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d.docs.live.net/feb117951333001f/Documents/Hasiči/Peněžní deník/"/>
    </mc:Choice>
  </mc:AlternateContent>
  <xr:revisionPtr revIDLastSave="601" documentId="8_{7565E731-CA7D-456C-A4C1-F703C5A7718B}" xr6:coauthVersionLast="47" xr6:coauthVersionMax="47" xr10:uidLastSave="{BE72D92C-72A7-4EBC-AE4C-0C37CF1CC68E}"/>
  <bookViews>
    <workbookView xWindow="-39990" yWindow="18480" windowWidth="29040" windowHeight="15840" xr2:uid="{2F4C9252-8B46-4543-A114-7A3069DE725A}"/>
  </bookViews>
  <sheets>
    <sheet name="Instrukce" sheetId="55" r:id="rId1"/>
    <sheet name="Historie verzí" sheetId="66" r:id="rId2"/>
    <sheet name="Základní údaje" sheetId="56" r:id="rId3"/>
    <sheet name="Kontroly" sheetId="75" r:id="rId4"/>
    <sheet name="Deník" sheetId="1" r:id="rId5"/>
    <sheet name="Pokladní doklad" sheetId="69" r:id="rId6"/>
    <sheet name="Výčetka" sheetId="68" r:id="rId7"/>
    <sheet name="Evidence DKP" sheetId="67" r:id="rId8"/>
    <sheet name="Přehled údajů k přiznání" sheetId="51" r:id="rId9"/>
    <sheet name="Přehled o příjmech a výdajích" sheetId="76" r:id="rId10"/>
    <sheet name="Přehled o majetku a závazcích" sheetId="65" r:id="rId11"/>
    <sheet name="Tisk deníku" sheetId="52" r:id="rId12"/>
    <sheet name="str 1" sheetId="57" r:id="rId13"/>
    <sheet name="str 2" sheetId="58" r:id="rId14"/>
    <sheet name="str 3" sheetId="59" r:id="rId15"/>
    <sheet name="str 4" sheetId="60" r:id="rId16"/>
    <sheet name="str 5" sheetId="61" r:id="rId17"/>
    <sheet name="str 6" sheetId="62" r:id="rId18"/>
    <sheet name="str 7" sheetId="63" r:id="rId19"/>
    <sheet name="str 8" sheetId="64" r:id="rId20"/>
    <sheet name="helper" sheetId="71" state="hidden" r:id="rId21"/>
    <sheet name="xml_export" sheetId="72" r:id="rId22"/>
    <sheet name="Povolené hodnoty" sheetId="50" r:id="rId23"/>
  </sheets>
  <definedNames>
    <definedName name="_xlnm._FilterDatabase" localSheetId="4" hidden="1">Deník!$A$4:$BR$608</definedName>
    <definedName name="_xlnm._FilterDatabase" localSheetId="22" hidden="1">'Povolené hodnoty'!#REF!</definedName>
    <definedName name="datumovka" localSheetId="20">Deník!$A$6:$B$605</definedName>
    <definedName name="datumovka">Deník!$A$6:$B$605</definedName>
    <definedName name="financi_urad">'Povolené hodnoty'!$G$3:$G$17</definedName>
    <definedName name="Klasifikace" localSheetId="20">'Povolené hodnoty'!$B$3:$B$6</definedName>
    <definedName name="Klasifikace">'Povolené hodnoty'!$B$3:$B$6</definedName>
    <definedName name="nazev_okec">'Povolené hodnoty'!$O$3:$O$985</definedName>
    <definedName name="nazev_pracoviste">'Povolené hodnoty'!$J$3:$J$203</definedName>
    <definedName name="_xlnm.Print_Area" localSheetId="1">'Historie verzí'!$A$1:$C$90</definedName>
    <definedName name="_xlnm.Print_Area" localSheetId="0">Instrukce!$B$2:$B$12</definedName>
    <definedName name="_xlnm.Print_Area" localSheetId="5">'Pokladní doklad'!$B$8:$G$21</definedName>
    <definedName name="_xlnm.Print_Area" localSheetId="10">'Přehled o majetku a závazcích'!$A$1:$H$33</definedName>
    <definedName name="_xlnm.Print_Area" localSheetId="9">'Přehled o příjmech a výdajích'!$B$2:$H$46</definedName>
    <definedName name="_xlnm.Print_Area" localSheetId="8">'Přehled údajů k přiznání'!$B$2:$H$51</definedName>
    <definedName name="_xlnm.Print_Area" localSheetId="12">'str 1'!$A$1:$L$58</definedName>
    <definedName name="_xlnm.Print_Area" localSheetId="13">'str 2'!$A$1:$F$33</definedName>
    <definedName name="_xlnm.Print_Area" localSheetId="14">'str 3'!$A$1:$E$42</definedName>
    <definedName name="_xlnm.Print_Area" localSheetId="15">'str 4'!$A$1:$F$32</definedName>
    <definedName name="_xlnm.Print_Area" localSheetId="16">'str 5'!$A$1:$J$45</definedName>
    <definedName name="_xlnm.Print_Area" localSheetId="17">'str 6'!$A$1:$E$39</definedName>
    <definedName name="_xlnm.Print_Area" localSheetId="18">'str 7'!$A$1:$D$43</definedName>
    <definedName name="_xlnm.Print_Area" localSheetId="19">'str 8'!$A$1:$G$51</definedName>
    <definedName name="_xlnm.Print_Area" localSheetId="11">'Tisk deníku'!$B$2:$BQ$40</definedName>
    <definedName name="okec">'Povolené hodnoty'!$O$3:$P$985</definedName>
    <definedName name="Označení" localSheetId="20">'Povolené hodnoty'!$D$3:$D$16</definedName>
    <definedName name="Označení">'Povolené hodnoty'!$D$3:$D$16</definedName>
    <definedName name="pokladna" localSheetId="20">Deník!$C$6:$V$605</definedName>
    <definedName name="pokladna">Deník!$C$6:$V$605</definedName>
    <definedName name="tab_FinUrad">'Povolené hodnoty'!$G$3:$H$17</definedName>
    <definedName name="tab_Pracoviste">'Povolené hodnoty'!$J$3:$M$203</definedName>
    <definedName name="Typ_cinnosti" localSheetId="9">'Povolené hodnoty'!$B$13:$B$14</definedName>
    <definedName name="Typ_cinnosti">'Povolené hodnoty'!$B$13:$B$14</definedName>
    <definedName name="Typ_pohybu" localSheetId="9">'Povolené hodnoty'!$E$19:$E$36</definedName>
    <definedName name="Typ_pohybu">'Povolené hodnoty'!$E$19:$E$36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R5" i="1" l="1"/>
  <c r="C17" i="56"/>
  <c r="C5" i="56"/>
  <c r="C4" i="56"/>
  <c r="A36" i="71"/>
  <c r="BE4" i="1"/>
  <c r="BD4" i="1"/>
  <c r="BC4" i="1"/>
  <c r="BB4" i="1"/>
  <c r="BA4" i="1"/>
  <c r="AZ4" i="1"/>
  <c r="AY4" i="1"/>
  <c r="AX4" i="1"/>
  <c r="AW4" i="1"/>
  <c r="AV4" i="1"/>
  <c r="AU4" i="1"/>
  <c r="AT4" i="1"/>
  <c r="AS4" i="1"/>
  <c r="AR4" i="1"/>
  <c r="AQ4" i="1"/>
  <c r="AQ597" i="1" s="1"/>
  <c r="AP4" i="1"/>
  <c r="AO4" i="1"/>
  <c r="AN4" i="1"/>
  <c r="AM4" i="1"/>
  <c r="AL4" i="1"/>
  <c r="AQ605" i="1"/>
  <c r="AQ603" i="1"/>
  <c r="AQ602" i="1"/>
  <c r="AQ601" i="1"/>
  <c r="AQ600" i="1"/>
  <c r="AQ599" i="1"/>
  <c r="AQ598" i="1"/>
  <c r="AQ594" i="1"/>
  <c r="AQ585" i="1"/>
  <c r="AQ580" i="1"/>
  <c r="AQ579" i="1"/>
  <c r="AQ578" i="1"/>
  <c r="AQ577" i="1"/>
  <c r="AQ576" i="1"/>
  <c r="AQ575" i="1"/>
  <c r="AQ574" i="1"/>
  <c r="AQ573" i="1"/>
  <c r="AQ571" i="1"/>
  <c r="AQ570" i="1"/>
  <c r="AQ569" i="1"/>
  <c r="AQ558" i="1"/>
  <c r="AQ557" i="1"/>
  <c r="AQ556" i="1"/>
  <c r="AQ555" i="1"/>
  <c r="AQ554" i="1"/>
  <c r="AQ553" i="1"/>
  <c r="AQ548" i="1"/>
  <c r="AQ547" i="1"/>
  <c r="AQ546" i="1"/>
  <c r="AQ545" i="1"/>
  <c r="AQ544" i="1"/>
  <c r="AQ543" i="1"/>
  <c r="AQ542" i="1"/>
  <c r="AQ539" i="1"/>
  <c r="AQ538" i="1"/>
  <c r="AQ537" i="1"/>
  <c r="AQ536" i="1"/>
  <c r="AQ535" i="1"/>
  <c r="AQ534" i="1"/>
  <c r="AQ530" i="1"/>
  <c r="AQ527" i="1"/>
  <c r="AQ526" i="1"/>
  <c r="AQ525" i="1"/>
  <c r="AQ524" i="1"/>
  <c r="AQ523" i="1"/>
  <c r="AQ512" i="1"/>
  <c r="AQ511" i="1"/>
  <c r="AQ510" i="1"/>
  <c r="AQ509" i="1"/>
  <c r="AQ508" i="1"/>
  <c r="AQ507" i="1"/>
  <c r="AQ506" i="1"/>
  <c r="AQ505" i="1"/>
  <c r="AQ504" i="1"/>
  <c r="AQ503" i="1"/>
  <c r="AQ502" i="1"/>
  <c r="AQ498" i="1"/>
  <c r="AQ495" i="1"/>
  <c r="AQ493" i="1"/>
  <c r="AQ492" i="1"/>
  <c r="AQ491" i="1"/>
  <c r="AQ490" i="1"/>
  <c r="AQ489" i="1"/>
  <c r="AQ484" i="1"/>
  <c r="AQ483" i="1"/>
  <c r="AQ482" i="1"/>
  <c r="AQ481" i="1"/>
  <c r="AQ480" i="1"/>
  <c r="AQ479" i="1"/>
  <c r="AQ478" i="1"/>
  <c r="AQ471" i="1"/>
  <c r="AQ470" i="1"/>
  <c r="AQ466" i="1"/>
  <c r="AQ463" i="1"/>
  <c r="AQ462" i="1"/>
  <c r="AQ461" i="1"/>
  <c r="AQ460" i="1"/>
  <c r="AQ459" i="1"/>
  <c r="AQ458" i="1"/>
  <c r="AQ457" i="1"/>
  <c r="AQ452" i="1"/>
  <c r="AQ451" i="1"/>
  <c r="AQ450" i="1"/>
  <c r="AQ448" i="1"/>
  <c r="AQ447" i="1"/>
  <c r="AQ446" i="1"/>
  <c r="AQ445" i="1"/>
  <c r="AQ444" i="1"/>
  <c r="AQ443" i="1"/>
  <c r="AQ442" i="1"/>
  <c r="AQ441" i="1"/>
  <c r="AQ440" i="1"/>
  <c r="AQ439" i="1"/>
  <c r="AQ438" i="1"/>
  <c r="AQ434" i="1"/>
  <c r="AQ425" i="1"/>
  <c r="AQ420" i="1"/>
  <c r="AQ419" i="1"/>
  <c r="AQ418" i="1"/>
  <c r="AQ417" i="1"/>
  <c r="AQ416" i="1"/>
  <c r="AQ415" i="1"/>
  <c r="AQ414" i="1"/>
  <c r="AQ413" i="1"/>
  <c r="AQ412" i="1"/>
  <c r="AQ411" i="1"/>
  <c r="AQ410" i="1"/>
  <c r="AQ409" i="1"/>
  <c r="AQ407" i="1"/>
  <c r="AQ406" i="1"/>
  <c r="AQ402" i="1"/>
  <c r="AQ399" i="1"/>
  <c r="AQ398" i="1"/>
  <c r="AQ397" i="1"/>
  <c r="AQ396" i="1"/>
  <c r="AQ395" i="1"/>
  <c r="AQ394" i="1"/>
  <c r="AQ393" i="1"/>
  <c r="AQ388" i="1"/>
  <c r="AQ387" i="1"/>
  <c r="AQ380" i="1"/>
  <c r="AQ379" i="1"/>
  <c r="AQ378" i="1"/>
  <c r="AQ377" i="1"/>
  <c r="AQ376" i="1"/>
  <c r="AQ375" i="1"/>
  <c r="AQ374" i="1"/>
  <c r="AQ370" i="1"/>
  <c r="AQ367" i="1"/>
  <c r="AQ366" i="1"/>
  <c r="AQ365" i="1"/>
  <c r="AQ364" i="1"/>
  <c r="AQ363" i="1"/>
  <c r="AQ361" i="1"/>
  <c r="AQ356" i="1"/>
  <c r="AQ355" i="1"/>
  <c r="AQ354" i="1"/>
  <c r="AQ353" i="1"/>
  <c r="AQ352" i="1"/>
  <c r="AQ351" i="1"/>
  <c r="AQ350" i="1"/>
  <c r="AQ349" i="1"/>
  <c r="AQ348" i="1"/>
  <c r="AQ347" i="1"/>
  <c r="AQ346" i="1"/>
  <c r="AQ335" i="1"/>
  <c r="AQ334" i="1"/>
  <c r="AQ333" i="1"/>
  <c r="AQ332" i="1"/>
  <c r="AQ331" i="1"/>
  <c r="AQ330" i="1"/>
  <c r="AQ329" i="1"/>
  <c r="AQ325" i="1"/>
  <c r="AQ324" i="1"/>
  <c r="AQ323" i="1"/>
  <c r="AQ322" i="1"/>
  <c r="AQ321" i="1"/>
  <c r="AQ320" i="1"/>
  <c r="AQ319" i="1"/>
  <c r="AQ317" i="1"/>
  <c r="AQ316" i="1"/>
  <c r="AQ315" i="1"/>
  <c r="AQ314" i="1"/>
  <c r="AQ313" i="1"/>
  <c r="AQ312" i="1"/>
  <c r="AQ311" i="1"/>
  <c r="AQ310" i="1"/>
  <c r="AQ306" i="1"/>
  <c r="AQ303" i="1"/>
  <c r="AQ302" i="1"/>
  <c r="AQ301" i="1"/>
  <c r="AQ292" i="1"/>
  <c r="AQ291" i="1"/>
  <c r="AQ290" i="1"/>
  <c r="AQ289" i="1"/>
  <c r="AQ288" i="1"/>
  <c r="AQ287" i="1"/>
  <c r="AQ286" i="1"/>
  <c r="AQ285" i="1"/>
  <c r="AQ284" i="1"/>
  <c r="AQ283" i="1"/>
  <c r="AQ282" i="1"/>
  <c r="AQ281" i="1"/>
  <c r="AQ280" i="1"/>
  <c r="AQ279" i="1"/>
  <c r="AQ274" i="1"/>
  <c r="AQ271" i="1"/>
  <c r="AQ270" i="1"/>
  <c r="AQ269" i="1"/>
  <c r="AQ268" i="1"/>
  <c r="AQ267" i="1"/>
  <c r="AQ266" i="1"/>
  <c r="AQ265" i="1"/>
  <c r="AQ261" i="1"/>
  <c r="AQ260" i="1"/>
  <c r="AQ259" i="1"/>
  <c r="AQ258" i="1"/>
  <c r="AQ252" i="1"/>
  <c r="AQ251" i="1"/>
  <c r="AQ250" i="1"/>
  <c r="AQ249" i="1"/>
  <c r="AQ248" i="1"/>
  <c r="AQ247" i="1"/>
  <c r="AQ246" i="1"/>
  <c r="AQ242" i="1"/>
  <c r="AQ239" i="1"/>
  <c r="AQ238" i="1"/>
  <c r="AQ237" i="1"/>
  <c r="AQ236" i="1"/>
  <c r="AQ235" i="1"/>
  <c r="AQ234" i="1"/>
  <c r="AQ229" i="1"/>
  <c r="AQ228" i="1"/>
  <c r="AQ227" i="1"/>
  <c r="AQ226" i="1"/>
  <c r="AQ225" i="1"/>
  <c r="AQ224" i="1"/>
  <c r="AQ223" i="1"/>
  <c r="AQ222" i="1"/>
  <c r="AQ221" i="1"/>
  <c r="AQ220" i="1"/>
  <c r="AQ219" i="1"/>
  <c r="AQ218" i="1"/>
  <c r="AQ207" i="1"/>
  <c r="AQ206" i="1"/>
  <c r="AQ205" i="1"/>
  <c r="AQ204" i="1"/>
  <c r="AQ203" i="1"/>
  <c r="AQ202" i="1"/>
  <c r="AQ201" i="1"/>
  <c r="AQ197" i="1"/>
  <c r="AQ196" i="1"/>
  <c r="AQ195" i="1"/>
  <c r="AQ194" i="1"/>
  <c r="AQ193" i="1"/>
  <c r="AQ192" i="1"/>
  <c r="AQ191" i="1"/>
  <c r="AQ189" i="1"/>
  <c r="AQ188" i="1"/>
  <c r="AQ187" i="1"/>
  <c r="AQ186" i="1"/>
  <c r="AQ185" i="1"/>
  <c r="AQ184" i="1"/>
  <c r="AQ183" i="1"/>
  <c r="AQ182" i="1"/>
  <c r="AQ178" i="1"/>
  <c r="AQ175" i="1"/>
  <c r="AQ174" i="1"/>
  <c r="AQ173" i="1"/>
  <c r="AQ164" i="1"/>
  <c r="AQ163" i="1"/>
  <c r="AQ162" i="1"/>
  <c r="AQ161" i="1"/>
  <c r="AQ160" i="1"/>
  <c r="AQ159" i="1"/>
  <c r="AQ158" i="1"/>
  <c r="AQ157" i="1"/>
  <c r="AQ156" i="1"/>
  <c r="AQ155" i="1"/>
  <c r="AQ154" i="1"/>
  <c r="AQ153" i="1"/>
  <c r="AQ152" i="1"/>
  <c r="AQ151" i="1"/>
  <c r="AQ146" i="1"/>
  <c r="AQ145" i="1"/>
  <c r="AQ143" i="1"/>
  <c r="AQ142" i="1"/>
  <c r="AQ141" i="1"/>
  <c r="AQ140" i="1"/>
  <c r="AQ139" i="1"/>
  <c r="AQ138" i="1"/>
  <c r="AQ137" i="1"/>
  <c r="AQ136" i="1"/>
  <c r="AQ133" i="1"/>
  <c r="AQ132" i="1"/>
  <c r="AQ126" i="1"/>
  <c r="AQ125" i="1"/>
  <c r="AQ124" i="1"/>
  <c r="AQ123" i="1"/>
  <c r="AQ122" i="1"/>
  <c r="AQ121" i="1"/>
  <c r="AQ120" i="1"/>
  <c r="AQ119" i="1"/>
  <c r="AQ118" i="1"/>
  <c r="AQ114" i="1"/>
  <c r="AQ113" i="1"/>
  <c r="AQ112" i="1"/>
  <c r="AQ111" i="1"/>
  <c r="AQ110" i="1"/>
  <c r="AQ108" i="1"/>
  <c r="AQ107" i="1"/>
  <c r="AQ106" i="1"/>
  <c r="AQ105" i="1"/>
  <c r="AQ104" i="1"/>
  <c r="AQ101" i="1"/>
  <c r="AQ100" i="1"/>
  <c r="AQ99" i="1"/>
  <c r="AQ98" i="1"/>
  <c r="AQ97" i="1"/>
  <c r="AQ96" i="1"/>
  <c r="AQ95" i="1"/>
  <c r="AQ89" i="1"/>
  <c r="AQ88" i="1"/>
  <c r="AQ87" i="1"/>
  <c r="AQ86" i="1"/>
  <c r="AQ84" i="1"/>
  <c r="AQ82" i="1"/>
  <c r="AQ81" i="1"/>
  <c r="AQ80" i="1"/>
  <c r="AQ79" i="1"/>
  <c r="AQ78" i="1"/>
  <c r="AQ77" i="1"/>
  <c r="AQ76" i="1"/>
  <c r="AQ75" i="1"/>
  <c r="AQ74" i="1"/>
  <c r="AQ72" i="1"/>
  <c r="AQ70" i="1"/>
  <c r="AQ69" i="1"/>
  <c r="AQ68" i="1"/>
  <c r="AQ67" i="1"/>
  <c r="AQ66" i="1"/>
  <c r="AQ65" i="1"/>
  <c r="AQ64" i="1"/>
  <c r="AQ63" i="1"/>
  <c r="AQ62" i="1"/>
  <c r="AQ61" i="1"/>
  <c r="AQ60" i="1"/>
  <c r="AQ54" i="1"/>
  <c r="AQ52" i="1"/>
  <c r="AQ50" i="1"/>
  <c r="AQ49" i="1"/>
  <c r="AQ48" i="1"/>
  <c r="AQ46" i="1"/>
  <c r="AQ45" i="1"/>
  <c r="AQ44" i="1"/>
  <c r="AQ43" i="1"/>
  <c r="AQ42" i="1"/>
  <c r="AQ41" i="1"/>
  <c r="AQ40" i="1"/>
  <c r="AQ39" i="1"/>
  <c r="AQ38" i="1"/>
  <c r="AQ36" i="1"/>
  <c r="AQ35" i="1"/>
  <c r="AQ34" i="1"/>
  <c r="AQ33" i="1"/>
  <c r="AQ32" i="1"/>
  <c r="AQ31" i="1"/>
  <c r="AQ30" i="1"/>
  <c r="AQ29" i="1"/>
  <c r="AQ28" i="1"/>
  <c r="AQ27" i="1"/>
  <c r="AQ26" i="1"/>
  <c r="AQ25" i="1"/>
  <c r="AQ19" i="1"/>
  <c r="AQ18" i="1"/>
  <c r="AQ17" i="1"/>
  <c r="AQ16" i="1"/>
  <c r="AQ15" i="1"/>
  <c r="AQ14" i="1"/>
  <c r="AQ13" i="1"/>
  <c r="AQ12" i="1"/>
  <c r="AQ11" i="1"/>
  <c r="AQ10" i="1"/>
  <c r="AQ9" i="1"/>
  <c r="AQ8" i="1"/>
  <c r="AQ7" i="1"/>
  <c r="AQ6" i="1"/>
  <c r="AQ47" i="1"/>
  <c r="AQ514" i="1" l="1"/>
  <c r="AQ21" i="1"/>
  <c r="AQ91" i="1"/>
  <c r="AQ128" i="1"/>
  <c r="AQ169" i="1"/>
  <c r="AQ214" i="1"/>
  <c r="AQ254" i="1"/>
  <c r="AQ297" i="1"/>
  <c r="AQ342" i="1"/>
  <c r="AQ383" i="1"/>
  <c r="AQ428" i="1"/>
  <c r="AQ474" i="1"/>
  <c r="AQ515" i="1"/>
  <c r="AQ564" i="1"/>
  <c r="AQ426" i="1"/>
  <c r="AQ513" i="1"/>
  <c r="AQ127" i="1"/>
  <c r="AQ473" i="1"/>
  <c r="AQ22" i="1"/>
  <c r="AQ129" i="1"/>
  <c r="AQ170" i="1"/>
  <c r="AQ215" i="1"/>
  <c r="AQ255" i="1"/>
  <c r="AQ298" i="1"/>
  <c r="AQ343" i="1"/>
  <c r="AQ384" i="1"/>
  <c r="AQ429" i="1"/>
  <c r="AQ475" i="1"/>
  <c r="AQ516" i="1"/>
  <c r="AQ566" i="1"/>
  <c r="AQ381" i="1"/>
  <c r="AQ472" i="1"/>
  <c r="AQ559" i="1"/>
  <c r="AQ55" i="1"/>
  <c r="AQ210" i="1"/>
  <c r="AQ382" i="1"/>
  <c r="AQ92" i="1"/>
  <c r="AQ23" i="1"/>
  <c r="AQ58" i="1"/>
  <c r="AQ93" i="1"/>
  <c r="AQ130" i="1"/>
  <c r="AQ171" i="1"/>
  <c r="AQ216" i="1"/>
  <c r="AQ256" i="1"/>
  <c r="AQ299" i="1"/>
  <c r="AQ344" i="1"/>
  <c r="AQ385" i="1"/>
  <c r="AQ430" i="1"/>
  <c r="AQ476" i="1"/>
  <c r="AQ521" i="1"/>
  <c r="AQ567" i="1"/>
  <c r="AQ90" i="1"/>
  <c r="AQ165" i="1"/>
  <c r="AQ253" i="1"/>
  <c r="AQ293" i="1"/>
  <c r="AQ338" i="1"/>
  <c r="AQ427" i="1"/>
  <c r="AQ562" i="1"/>
  <c r="AQ56" i="1"/>
  <c r="AQ57" i="1"/>
  <c r="AQ24" i="1"/>
  <c r="AQ59" i="1"/>
  <c r="AQ94" i="1"/>
  <c r="AQ131" i="1"/>
  <c r="AQ172" i="1"/>
  <c r="AQ217" i="1"/>
  <c r="AQ257" i="1"/>
  <c r="AQ300" i="1"/>
  <c r="AQ345" i="1"/>
  <c r="AQ386" i="1"/>
  <c r="AQ431" i="1"/>
  <c r="AQ477" i="1"/>
  <c r="AQ522" i="1"/>
  <c r="AQ568" i="1"/>
  <c r="AQ37" i="1"/>
  <c r="AQ73" i="1"/>
  <c r="AQ109" i="1"/>
  <c r="AQ150" i="1"/>
  <c r="AQ190" i="1"/>
  <c r="AQ233" i="1"/>
  <c r="AQ278" i="1"/>
  <c r="AQ318" i="1"/>
  <c r="AQ362" i="1"/>
  <c r="AQ408" i="1"/>
  <c r="AQ449" i="1"/>
  <c r="AQ494" i="1"/>
  <c r="AQ541" i="1"/>
  <c r="AQ586" i="1"/>
  <c r="AQ540" i="1"/>
  <c r="AQ572" i="1"/>
  <c r="AQ604" i="1"/>
  <c r="AQ357" i="1"/>
  <c r="AQ389" i="1"/>
  <c r="AQ421" i="1"/>
  <c r="AQ453" i="1"/>
  <c r="AQ485" i="1"/>
  <c r="AQ517" i="1"/>
  <c r="AQ549" i="1"/>
  <c r="AQ581" i="1"/>
  <c r="AQ102" i="1"/>
  <c r="AQ134" i="1"/>
  <c r="AQ166" i="1"/>
  <c r="AQ198" i="1"/>
  <c r="AQ230" i="1"/>
  <c r="AQ262" i="1"/>
  <c r="AQ294" i="1"/>
  <c r="AQ326" i="1"/>
  <c r="AQ358" i="1"/>
  <c r="AQ390" i="1"/>
  <c r="AQ422" i="1"/>
  <c r="AQ454" i="1"/>
  <c r="AQ486" i="1"/>
  <c r="AQ518" i="1"/>
  <c r="AQ550" i="1"/>
  <c r="AQ582" i="1"/>
  <c r="AQ71" i="1"/>
  <c r="AQ103" i="1"/>
  <c r="AQ135" i="1"/>
  <c r="AQ167" i="1"/>
  <c r="AQ199" i="1"/>
  <c r="AQ231" i="1"/>
  <c r="AQ263" i="1"/>
  <c r="AQ295" i="1"/>
  <c r="AQ327" i="1"/>
  <c r="AQ359" i="1"/>
  <c r="AQ391" i="1"/>
  <c r="AQ423" i="1"/>
  <c r="AQ455" i="1"/>
  <c r="AQ487" i="1"/>
  <c r="AQ519" i="1"/>
  <c r="AQ551" i="1"/>
  <c r="AQ583" i="1"/>
  <c r="AQ168" i="1"/>
  <c r="AQ200" i="1"/>
  <c r="AQ232" i="1"/>
  <c r="AQ264" i="1"/>
  <c r="AQ296" i="1"/>
  <c r="AQ328" i="1"/>
  <c r="AQ360" i="1"/>
  <c r="AQ392" i="1"/>
  <c r="AQ424" i="1"/>
  <c r="AQ456" i="1"/>
  <c r="AQ488" i="1"/>
  <c r="AQ520" i="1"/>
  <c r="AQ552" i="1"/>
  <c r="AQ584" i="1"/>
  <c r="AQ587" i="1"/>
  <c r="AQ588" i="1"/>
  <c r="AQ589" i="1"/>
  <c r="AQ590" i="1"/>
  <c r="AQ591" i="1"/>
  <c r="AQ144" i="1"/>
  <c r="AQ176" i="1"/>
  <c r="AQ208" i="1"/>
  <c r="AQ240" i="1"/>
  <c r="AQ272" i="1"/>
  <c r="AQ304" i="1"/>
  <c r="AQ336" i="1"/>
  <c r="AQ368" i="1"/>
  <c r="AQ400" i="1"/>
  <c r="AQ432" i="1"/>
  <c r="AQ464" i="1"/>
  <c r="AQ496" i="1"/>
  <c r="AQ528" i="1"/>
  <c r="AQ560" i="1"/>
  <c r="AQ592" i="1"/>
  <c r="AQ177" i="1"/>
  <c r="AQ209" i="1"/>
  <c r="AQ241" i="1"/>
  <c r="AQ273" i="1"/>
  <c r="AQ305" i="1"/>
  <c r="AQ337" i="1"/>
  <c r="AQ369" i="1"/>
  <c r="AQ401" i="1"/>
  <c r="AQ433" i="1"/>
  <c r="AQ465" i="1"/>
  <c r="AQ497" i="1"/>
  <c r="AQ529" i="1"/>
  <c r="AQ561" i="1"/>
  <c r="AQ593" i="1"/>
  <c r="AQ51" i="1"/>
  <c r="AQ83" i="1"/>
  <c r="AQ115" i="1"/>
  <c r="AQ147" i="1"/>
  <c r="AQ179" i="1"/>
  <c r="AQ211" i="1"/>
  <c r="AQ243" i="1"/>
  <c r="AQ275" i="1"/>
  <c r="AQ307" i="1"/>
  <c r="AQ339" i="1"/>
  <c r="AQ371" i="1"/>
  <c r="AQ403" i="1"/>
  <c r="AQ435" i="1"/>
  <c r="AQ467" i="1"/>
  <c r="AQ499" i="1"/>
  <c r="AQ531" i="1"/>
  <c r="AQ563" i="1"/>
  <c r="AQ595" i="1"/>
  <c r="AQ116" i="1"/>
  <c r="AQ148" i="1"/>
  <c r="AQ180" i="1"/>
  <c r="AQ212" i="1"/>
  <c r="AQ244" i="1"/>
  <c r="AQ276" i="1"/>
  <c r="AQ308" i="1"/>
  <c r="AQ340" i="1"/>
  <c r="AQ372" i="1"/>
  <c r="AQ404" i="1"/>
  <c r="AQ436" i="1"/>
  <c r="AQ468" i="1"/>
  <c r="AQ500" i="1"/>
  <c r="AQ532" i="1"/>
  <c r="AQ596" i="1"/>
  <c r="AQ20" i="1"/>
  <c r="AQ53" i="1"/>
  <c r="AQ85" i="1"/>
  <c r="AQ117" i="1"/>
  <c r="AQ149" i="1"/>
  <c r="AQ181" i="1"/>
  <c r="AQ213" i="1"/>
  <c r="AQ245" i="1"/>
  <c r="AQ277" i="1"/>
  <c r="AQ309" i="1"/>
  <c r="AQ341" i="1"/>
  <c r="AQ373" i="1"/>
  <c r="AQ405" i="1"/>
  <c r="AQ437" i="1"/>
  <c r="AQ469" i="1"/>
  <c r="AQ501" i="1"/>
  <c r="AQ533" i="1"/>
  <c r="AQ565" i="1"/>
  <c r="A7" i="56"/>
  <c r="T35" i="76"/>
  <c r="S35" i="76"/>
  <c r="T34" i="76"/>
  <c r="S34" i="76"/>
  <c r="T33" i="76"/>
  <c r="S33" i="76"/>
  <c r="T32" i="76"/>
  <c r="S32" i="76"/>
  <c r="T31" i="76"/>
  <c r="S31" i="76"/>
  <c r="T30" i="76"/>
  <c r="S30" i="76"/>
  <c r="T29" i="76"/>
  <c r="S29" i="76"/>
  <c r="T28" i="76"/>
  <c r="S28" i="76"/>
  <c r="S20" i="76"/>
  <c r="T19" i="76"/>
  <c r="S19" i="76"/>
  <c r="S18" i="76"/>
  <c r="S17" i="76"/>
  <c r="S16" i="76"/>
  <c r="S15" i="76"/>
  <c r="T14" i="76"/>
  <c r="S14" i="76"/>
  <c r="T13" i="76"/>
  <c r="S13" i="76"/>
  <c r="N35" i="76"/>
  <c r="N34" i="76"/>
  <c r="N33" i="76"/>
  <c r="N32" i="76"/>
  <c r="N31" i="76"/>
  <c r="N30" i="76"/>
  <c r="N29" i="76"/>
  <c r="N28" i="76"/>
  <c r="N36" i="76"/>
  <c r="N20" i="76"/>
  <c r="N19" i="76"/>
  <c r="J22" i="76"/>
  <c r="B43" i="76"/>
  <c r="B8" i="76"/>
  <c r="B7" i="76"/>
  <c r="H6" i="76"/>
  <c r="B6" i="76"/>
  <c r="B3" i="76"/>
  <c r="C6" i="56"/>
  <c r="A23" i="71"/>
  <c r="A22" i="71"/>
  <c r="A15" i="71"/>
  <c r="H26" i="57"/>
  <c r="F26" i="57"/>
  <c r="A7" i="57"/>
  <c r="C4" i="59" s="1"/>
  <c r="A79" i="71"/>
  <c r="A16" i="72" s="1"/>
  <c r="A78" i="71"/>
  <c r="A15" i="72" s="1"/>
  <c r="A77" i="71"/>
  <c r="A14" i="72" s="1"/>
  <c r="A76" i="71"/>
  <c r="A13" i="72" s="1"/>
  <c r="A75" i="71"/>
  <c r="A12" i="72" s="1"/>
  <c r="A74" i="71"/>
  <c r="A11" i="72" s="1"/>
  <c r="A73" i="71"/>
  <c r="A10" i="72" s="1"/>
  <c r="A72" i="71"/>
  <c r="A9" i="72" s="1"/>
  <c r="B13" i="55"/>
  <c r="A2" i="71"/>
  <c r="C35" i="63"/>
  <c r="C14" i="63"/>
  <c r="C13" i="63"/>
  <c r="G24" i="61"/>
  <c r="C10" i="63" s="1"/>
  <c r="A58" i="71" s="1"/>
  <c r="I23" i="61"/>
  <c r="I22" i="61"/>
  <c r="I21" i="61"/>
  <c r="I20" i="61"/>
  <c r="I19" i="61"/>
  <c r="I18" i="61"/>
  <c r="I17" i="61"/>
  <c r="I16" i="61"/>
  <c r="AQ606" i="1" l="1"/>
  <c r="T38" i="76"/>
  <c r="T27" i="76" s="1"/>
  <c r="T23" i="76"/>
  <c r="S23" i="76"/>
  <c r="S36" i="76"/>
  <c r="T12" i="76"/>
  <c r="M38" i="76"/>
  <c r="L22" i="76"/>
  <c r="L23" i="76" s="1"/>
  <c r="J38" i="76"/>
  <c r="N16" i="76"/>
  <c r="L38" i="76"/>
  <c r="N17" i="76"/>
  <c r="N18" i="76"/>
  <c r="N14" i="76"/>
  <c r="N15" i="76"/>
  <c r="B2" i="75"/>
  <c r="I24" i="61"/>
  <c r="A80" i="71" s="1"/>
  <c r="A17" i="72" s="1"/>
  <c r="S38" i="76" l="1"/>
  <c r="T40" i="76"/>
  <c r="S12" i="76"/>
  <c r="S27" i="76"/>
  <c r="S40" i="76"/>
  <c r="L39" i="76"/>
  <c r="L40" i="76" s="1"/>
  <c r="K22" i="76"/>
  <c r="J23" i="76" s="1"/>
  <c r="K38" i="76"/>
  <c r="J39" i="76" s="1"/>
  <c r="N13" i="76"/>
  <c r="N22" i="76" s="1"/>
  <c r="N23" i="76" s="1"/>
  <c r="N38" i="76"/>
  <c r="BR605" i="1" l="1"/>
  <c r="BR573" i="1"/>
  <c r="BR541" i="1"/>
  <c r="BR509" i="1"/>
  <c r="BR477" i="1"/>
  <c r="BR445" i="1"/>
  <c r="BR413" i="1"/>
  <c r="BR381" i="1"/>
  <c r="BR349" i="1"/>
  <c r="BR317" i="1"/>
  <c r="BR285" i="1"/>
  <c r="BR253" i="1"/>
  <c r="BR221" i="1"/>
  <c r="BR189" i="1"/>
  <c r="BR157" i="1"/>
  <c r="BR125" i="1"/>
  <c r="BR93" i="1"/>
  <c r="BR61" i="1"/>
  <c r="BR29" i="1"/>
  <c r="BR23" i="1"/>
  <c r="BR439" i="1"/>
  <c r="BR247" i="1"/>
  <c r="BR55" i="1"/>
  <c r="BR502" i="1"/>
  <c r="BR246" i="1"/>
  <c r="BR21" i="1"/>
  <c r="BR405" i="1"/>
  <c r="BR213" i="1"/>
  <c r="BR20" i="1"/>
  <c r="BR436" i="1"/>
  <c r="BR212" i="1"/>
  <c r="BR52" i="1"/>
  <c r="BR467" i="1"/>
  <c r="BR307" i="1"/>
  <c r="BR115" i="1"/>
  <c r="BR242" i="1"/>
  <c r="BR209" i="1"/>
  <c r="BR16" i="1"/>
  <c r="BR15" i="1"/>
  <c r="BR354" i="1"/>
  <c r="BR256" i="1"/>
  <c r="BR604" i="1"/>
  <c r="BR572" i="1"/>
  <c r="BR540" i="1"/>
  <c r="BR508" i="1"/>
  <c r="BR476" i="1"/>
  <c r="BR444" i="1"/>
  <c r="BR412" i="1"/>
  <c r="BR380" i="1"/>
  <c r="BR348" i="1"/>
  <c r="BR316" i="1"/>
  <c r="BR284" i="1"/>
  <c r="BR252" i="1"/>
  <c r="BR220" i="1"/>
  <c r="BR188" i="1"/>
  <c r="BR156" i="1"/>
  <c r="BR124" i="1"/>
  <c r="BR92" i="1"/>
  <c r="BR60" i="1"/>
  <c r="BR28" i="1"/>
  <c r="BR56" i="1"/>
  <c r="BR503" i="1"/>
  <c r="BR215" i="1"/>
  <c r="BR534" i="1"/>
  <c r="BR342" i="1"/>
  <c r="BR150" i="1"/>
  <c r="BR565" i="1"/>
  <c r="BR341" i="1"/>
  <c r="BR85" i="1"/>
  <c r="BR404" i="1"/>
  <c r="BR180" i="1"/>
  <c r="BR563" i="1"/>
  <c r="BR243" i="1"/>
  <c r="BR146" i="1"/>
  <c r="BR273" i="1"/>
  <c r="BR272" i="1"/>
  <c r="BR258" i="1"/>
  <c r="BR96" i="1"/>
  <c r="BR603" i="1"/>
  <c r="BR571" i="1"/>
  <c r="BR539" i="1"/>
  <c r="BR507" i="1"/>
  <c r="BR475" i="1"/>
  <c r="BR443" i="1"/>
  <c r="BR411" i="1"/>
  <c r="BR379" i="1"/>
  <c r="BR347" i="1"/>
  <c r="BR315" i="1"/>
  <c r="BR283" i="1"/>
  <c r="BR251" i="1"/>
  <c r="BR219" i="1"/>
  <c r="BR187" i="1"/>
  <c r="BR155" i="1"/>
  <c r="BR123" i="1"/>
  <c r="BR91" i="1"/>
  <c r="BR59" i="1"/>
  <c r="BR27" i="1"/>
  <c r="BR535" i="1"/>
  <c r="BR343" i="1"/>
  <c r="BR119" i="1"/>
  <c r="BR438" i="1"/>
  <c r="BR310" i="1"/>
  <c r="BR86" i="1"/>
  <c r="BR501" i="1"/>
  <c r="BR277" i="1"/>
  <c r="BR117" i="1"/>
  <c r="BR500" i="1"/>
  <c r="BR244" i="1"/>
  <c r="BR19" i="1"/>
  <c r="BR435" i="1"/>
  <c r="BR371" i="1"/>
  <c r="BR147" i="1"/>
  <c r="BR210" i="1"/>
  <c r="BR241" i="1"/>
  <c r="BR176" i="1"/>
  <c r="BR418" i="1"/>
  <c r="BR64" i="1"/>
  <c r="BR602" i="1"/>
  <c r="BR570" i="1"/>
  <c r="BR538" i="1"/>
  <c r="BR506" i="1"/>
  <c r="BR474" i="1"/>
  <c r="BR442" i="1"/>
  <c r="BR410" i="1"/>
  <c r="BR378" i="1"/>
  <c r="BR346" i="1"/>
  <c r="BR314" i="1"/>
  <c r="BR282" i="1"/>
  <c r="BR250" i="1"/>
  <c r="BR218" i="1"/>
  <c r="BR186" i="1"/>
  <c r="BR154" i="1"/>
  <c r="BR122" i="1"/>
  <c r="BR90" i="1"/>
  <c r="BR58" i="1"/>
  <c r="BR26" i="1"/>
  <c r="BR88" i="1"/>
  <c r="BR407" i="1"/>
  <c r="BR279" i="1"/>
  <c r="BR87" i="1"/>
  <c r="BR470" i="1"/>
  <c r="BR278" i="1"/>
  <c r="BR182" i="1"/>
  <c r="BR533" i="1"/>
  <c r="BR373" i="1"/>
  <c r="BR181" i="1"/>
  <c r="BR532" i="1"/>
  <c r="BR276" i="1"/>
  <c r="BR84" i="1"/>
  <c r="BR403" i="1"/>
  <c r="BR339" i="1"/>
  <c r="BR179" i="1"/>
  <c r="BR51" i="1"/>
  <c r="BR17" i="1"/>
  <c r="BR81" i="1"/>
  <c r="BR368" i="1"/>
  <c r="BR224" i="1"/>
  <c r="BR601" i="1"/>
  <c r="BR569" i="1"/>
  <c r="BR537" i="1"/>
  <c r="BR505" i="1"/>
  <c r="BR473" i="1"/>
  <c r="BR441" i="1"/>
  <c r="BR409" i="1"/>
  <c r="BR377" i="1"/>
  <c r="BR345" i="1"/>
  <c r="BR313" i="1"/>
  <c r="BR281" i="1"/>
  <c r="BR249" i="1"/>
  <c r="BR217" i="1"/>
  <c r="BR185" i="1"/>
  <c r="BR153" i="1"/>
  <c r="BR121" i="1"/>
  <c r="BR89" i="1"/>
  <c r="BR57" i="1"/>
  <c r="BR25" i="1"/>
  <c r="BR567" i="1"/>
  <c r="BR375" i="1"/>
  <c r="BR183" i="1"/>
  <c r="BR22" i="1"/>
  <c r="BR406" i="1"/>
  <c r="BR214" i="1"/>
  <c r="BR54" i="1"/>
  <c r="BR469" i="1"/>
  <c r="BR245" i="1"/>
  <c r="BR53" i="1"/>
  <c r="BR372" i="1"/>
  <c r="BR148" i="1"/>
  <c r="BR531" i="1"/>
  <c r="BR275" i="1"/>
  <c r="BR114" i="1"/>
  <c r="BR337" i="1"/>
  <c r="BR240" i="1"/>
  <c r="BR482" i="1"/>
  <c r="BR384" i="1"/>
  <c r="BR600" i="1"/>
  <c r="BR568" i="1"/>
  <c r="BR536" i="1"/>
  <c r="BR504" i="1"/>
  <c r="BR472" i="1"/>
  <c r="BR440" i="1"/>
  <c r="BR408" i="1"/>
  <c r="BR376" i="1"/>
  <c r="BR344" i="1"/>
  <c r="BR312" i="1"/>
  <c r="BR280" i="1"/>
  <c r="BR248" i="1"/>
  <c r="BR216" i="1"/>
  <c r="BR184" i="1"/>
  <c r="BR152" i="1"/>
  <c r="BR120" i="1"/>
  <c r="BR471" i="1"/>
  <c r="BR311" i="1"/>
  <c r="BR151" i="1"/>
  <c r="BR566" i="1"/>
  <c r="BR374" i="1"/>
  <c r="BR118" i="1"/>
  <c r="BR437" i="1"/>
  <c r="BR309" i="1"/>
  <c r="BR149" i="1"/>
  <c r="BR468" i="1"/>
  <c r="BR308" i="1"/>
  <c r="BR116" i="1"/>
  <c r="BR499" i="1"/>
  <c r="BR211" i="1"/>
  <c r="BR83" i="1"/>
  <c r="BR401" i="1"/>
  <c r="BR48" i="1"/>
  <c r="BR449" i="1"/>
  <c r="BR382" i="1"/>
  <c r="BR599" i="1"/>
  <c r="BR178" i="1"/>
  <c r="BR369" i="1"/>
  <c r="BR208" i="1"/>
  <c r="BR450" i="1"/>
  <c r="BR352" i="1"/>
  <c r="BR598" i="1"/>
  <c r="BR50" i="1"/>
  <c r="BR145" i="1"/>
  <c r="BR304" i="1"/>
  <c r="BR353" i="1"/>
  <c r="BR446" i="1"/>
  <c r="BR597" i="1"/>
  <c r="BR433" i="1"/>
  <c r="BR112" i="1"/>
  <c r="BR162" i="1"/>
  <c r="BR33" i="1"/>
  <c r="BR158" i="1"/>
  <c r="BR596" i="1"/>
  <c r="BR564" i="1"/>
  <c r="BR340" i="1"/>
  <c r="BR18" i="1"/>
  <c r="BR49" i="1"/>
  <c r="BR289" i="1"/>
  <c r="BR94" i="1"/>
  <c r="BR595" i="1"/>
  <c r="BR305" i="1"/>
  <c r="BR80" i="1"/>
  <c r="BR66" i="1"/>
  <c r="BR129" i="1"/>
  <c r="BR190" i="1"/>
  <c r="BR594" i="1"/>
  <c r="BR562" i="1"/>
  <c r="BR530" i="1"/>
  <c r="BR498" i="1"/>
  <c r="BR466" i="1"/>
  <c r="BR434" i="1"/>
  <c r="BR402" i="1"/>
  <c r="BR370" i="1"/>
  <c r="BR338" i="1"/>
  <c r="BR306" i="1"/>
  <c r="BR274" i="1"/>
  <c r="BR82" i="1"/>
  <c r="BR113" i="1"/>
  <c r="BR144" i="1"/>
  <c r="BR36" i="1"/>
  <c r="BR225" i="1"/>
  <c r="BR286" i="1"/>
  <c r="BR593" i="1"/>
  <c r="BR561" i="1"/>
  <c r="BR529" i="1"/>
  <c r="BR497" i="1"/>
  <c r="BR465" i="1"/>
  <c r="BR177" i="1"/>
  <c r="BR386" i="1"/>
  <c r="BR510" i="1"/>
  <c r="BR592" i="1"/>
  <c r="BR560" i="1"/>
  <c r="BR528" i="1"/>
  <c r="BR496" i="1"/>
  <c r="BR464" i="1"/>
  <c r="BR432" i="1"/>
  <c r="BR400" i="1"/>
  <c r="BR336" i="1"/>
  <c r="BR193" i="1"/>
  <c r="BR591" i="1"/>
  <c r="BR559" i="1"/>
  <c r="BR527" i="1"/>
  <c r="BR495" i="1"/>
  <c r="BR463" i="1"/>
  <c r="BR431" i="1"/>
  <c r="BR399" i="1"/>
  <c r="BR367" i="1"/>
  <c r="BR335" i="1"/>
  <c r="BR303" i="1"/>
  <c r="BR271" i="1"/>
  <c r="BR239" i="1"/>
  <c r="BR207" i="1"/>
  <c r="BR175" i="1"/>
  <c r="BR143" i="1"/>
  <c r="BR111" i="1"/>
  <c r="BR79" i="1"/>
  <c r="BR47" i="1"/>
  <c r="BR14" i="1"/>
  <c r="BR558" i="1"/>
  <c r="BR462" i="1"/>
  <c r="BR398" i="1"/>
  <c r="BR334" i="1"/>
  <c r="BR302" i="1"/>
  <c r="BR238" i="1"/>
  <c r="BR206" i="1"/>
  <c r="BR142" i="1"/>
  <c r="BR110" i="1"/>
  <c r="BR46" i="1"/>
  <c r="BR519" i="1"/>
  <c r="BR295" i="1"/>
  <c r="BR71" i="1"/>
  <c r="BR98" i="1"/>
  <c r="BR62" i="1"/>
  <c r="BR590" i="1"/>
  <c r="BR526" i="1"/>
  <c r="BR494" i="1"/>
  <c r="BR430" i="1"/>
  <c r="BR366" i="1"/>
  <c r="BR270" i="1"/>
  <c r="BR174" i="1"/>
  <c r="BR78" i="1"/>
  <c r="BR13" i="1"/>
  <c r="BR359" i="1"/>
  <c r="BR6" i="1"/>
  <c r="BR194" i="1"/>
  <c r="BR65" i="1"/>
  <c r="BR222" i="1"/>
  <c r="BR589" i="1"/>
  <c r="BR557" i="1"/>
  <c r="BR525" i="1"/>
  <c r="BR493" i="1"/>
  <c r="BR461" i="1"/>
  <c r="BR429" i="1"/>
  <c r="BR397" i="1"/>
  <c r="BR365" i="1"/>
  <c r="BR333" i="1"/>
  <c r="BR301" i="1"/>
  <c r="BR269" i="1"/>
  <c r="BR237" i="1"/>
  <c r="BR205" i="1"/>
  <c r="BR173" i="1"/>
  <c r="BR141" i="1"/>
  <c r="BR109" i="1"/>
  <c r="BR77" i="1"/>
  <c r="BR45" i="1"/>
  <c r="BR12" i="1"/>
  <c r="BR107" i="1"/>
  <c r="BR106" i="1"/>
  <c r="BR136" i="1"/>
  <c r="BR391" i="1"/>
  <c r="BR231" i="1"/>
  <c r="BR322" i="1"/>
  <c r="BR192" i="1"/>
  <c r="BR588" i="1"/>
  <c r="BR556" i="1"/>
  <c r="BR524" i="1"/>
  <c r="BR492" i="1"/>
  <c r="BR460" i="1"/>
  <c r="BR428" i="1"/>
  <c r="BR396" i="1"/>
  <c r="BR364" i="1"/>
  <c r="BR332" i="1"/>
  <c r="BR300" i="1"/>
  <c r="BR268" i="1"/>
  <c r="BR236" i="1"/>
  <c r="BR204" i="1"/>
  <c r="BR172" i="1"/>
  <c r="BR140" i="1"/>
  <c r="BR108" i="1"/>
  <c r="BR76" i="1"/>
  <c r="BR44" i="1"/>
  <c r="BR11" i="1"/>
  <c r="BR75" i="1"/>
  <c r="BR10" i="1"/>
  <c r="BR9" i="1"/>
  <c r="BR72" i="1"/>
  <c r="BR487" i="1"/>
  <c r="BR263" i="1"/>
  <c r="BR37" i="1"/>
  <c r="BR481" i="1"/>
  <c r="BR478" i="1"/>
  <c r="BR587" i="1"/>
  <c r="BR555" i="1"/>
  <c r="BR523" i="1"/>
  <c r="BR491" i="1"/>
  <c r="BR459" i="1"/>
  <c r="BR427" i="1"/>
  <c r="BR395" i="1"/>
  <c r="BR363" i="1"/>
  <c r="BR331" i="1"/>
  <c r="BR299" i="1"/>
  <c r="BR267" i="1"/>
  <c r="BR235" i="1"/>
  <c r="BR203" i="1"/>
  <c r="BR171" i="1"/>
  <c r="BR139" i="1"/>
  <c r="BR43" i="1"/>
  <c r="BR74" i="1"/>
  <c r="BR104" i="1"/>
  <c r="BR423" i="1"/>
  <c r="BR199" i="1"/>
  <c r="BR385" i="1"/>
  <c r="BR318" i="1"/>
  <c r="BR586" i="1"/>
  <c r="BR554" i="1"/>
  <c r="BR522" i="1"/>
  <c r="BR490" i="1"/>
  <c r="BR458" i="1"/>
  <c r="BR426" i="1"/>
  <c r="BR394" i="1"/>
  <c r="BR362" i="1"/>
  <c r="BR330" i="1"/>
  <c r="BR298" i="1"/>
  <c r="BR266" i="1"/>
  <c r="BR234" i="1"/>
  <c r="BR202" i="1"/>
  <c r="BR170" i="1"/>
  <c r="BR138" i="1"/>
  <c r="BR42" i="1"/>
  <c r="BR551" i="1"/>
  <c r="BR167" i="1"/>
  <c r="BR130" i="1"/>
  <c r="BR97" i="1"/>
  <c r="BR350" i="1"/>
  <c r="BR585" i="1"/>
  <c r="BR553" i="1"/>
  <c r="BR521" i="1"/>
  <c r="BR489" i="1"/>
  <c r="BR457" i="1"/>
  <c r="BR425" i="1"/>
  <c r="BR393" i="1"/>
  <c r="BR361" i="1"/>
  <c r="BR329" i="1"/>
  <c r="BR297" i="1"/>
  <c r="BR265" i="1"/>
  <c r="BR233" i="1"/>
  <c r="BR201" i="1"/>
  <c r="BR169" i="1"/>
  <c r="BR137" i="1"/>
  <c r="BR105" i="1"/>
  <c r="BR73" i="1"/>
  <c r="BR41" i="1"/>
  <c r="BR8" i="1"/>
  <c r="BR7" i="1"/>
  <c r="BR455" i="1"/>
  <c r="BR103" i="1"/>
  <c r="BR290" i="1"/>
  <c r="BR288" i="1"/>
  <c r="BR584" i="1"/>
  <c r="BR552" i="1"/>
  <c r="BR520" i="1"/>
  <c r="BR488" i="1"/>
  <c r="BR456" i="1"/>
  <c r="BR424" i="1"/>
  <c r="BR392" i="1"/>
  <c r="BR360" i="1"/>
  <c r="BR328" i="1"/>
  <c r="BR296" i="1"/>
  <c r="BR264" i="1"/>
  <c r="BR232" i="1"/>
  <c r="BR200" i="1"/>
  <c r="BR168" i="1"/>
  <c r="BR40" i="1"/>
  <c r="BR327" i="1"/>
  <c r="BR39" i="1"/>
  <c r="BR34" i="1"/>
  <c r="BR32" i="1"/>
  <c r="BR583" i="1"/>
  <c r="BR135" i="1"/>
  <c r="BR226" i="1"/>
  <c r="BR128" i="1"/>
  <c r="BR582" i="1"/>
  <c r="BR550" i="1"/>
  <c r="BR518" i="1"/>
  <c r="BR486" i="1"/>
  <c r="BR454" i="1"/>
  <c r="BR422" i="1"/>
  <c r="BR390" i="1"/>
  <c r="BR358" i="1"/>
  <c r="BR326" i="1"/>
  <c r="BR294" i="1"/>
  <c r="BR262" i="1"/>
  <c r="BR230" i="1"/>
  <c r="BR198" i="1"/>
  <c r="BR166" i="1"/>
  <c r="BR134" i="1"/>
  <c r="BR102" i="1"/>
  <c r="BR70" i="1"/>
  <c r="BR38" i="1"/>
  <c r="BR24" i="1"/>
  <c r="BR320" i="1"/>
  <c r="BR581" i="1"/>
  <c r="BR549" i="1"/>
  <c r="BR517" i="1"/>
  <c r="BR485" i="1"/>
  <c r="BR453" i="1"/>
  <c r="BR421" i="1"/>
  <c r="BR389" i="1"/>
  <c r="BR357" i="1"/>
  <c r="BR325" i="1"/>
  <c r="BR293" i="1"/>
  <c r="BR261" i="1"/>
  <c r="BR229" i="1"/>
  <c r="BR197" i="1"/>
  <c r="BR165" i="1"/>
  <c r="BR133" i="1"/>
  <c r="BR101" i="1"/>
  <c r="BR69" i="1"/>
  <c r="BR417" i="1"/>
  <c r="BR254" i="1"/>
  <c r="BR580" i="1"/>
  <c r="BR548" i="1"/>
  <c r="BR516" i="1"/>
  <c r="BR484" i="1"/>
  <c r="BR452" i="1"/>
  <c r="BR420" i="1"/>
  <c r="BR388" i="1"/>
  <c r="BR356" i="1"/>
  <c r="BR324" i="1"/>
  <c r="BR292" i="1"/>
  <c r="BR260" i="1"/>
  <c r="BR228" i="1"/>
  <c r="BR196" i="1"/>
  <c r="BR164" i="1"/>
  <c r="BR132" i="1"/>
  <c r="BR100" i="1"/>
  <c r="BR68" i="1"/>
  <c r="BR257" i="1"/>
  <c r="BR126" i="1"/>
  <c r="BR579" i="1"/>
  <c r="BR547" i="1"/>
  <c r="BR515" i="1"/>
  <c r="BR483" i="1"/>
  <c r="BR451" i="1"/>
  <c r="BR419" i="1"/>
  <c r="BR387" i="1"/>
  <c r="BR355" i="1"/>
  <c r="BR323" i="1"/>
  <c r="BR291" i="1"/>
  <c r="BR259" i="1"/>
  <c r="BR227" i="1"/>
  <c r="BR195" i="1"/>
  <c r="BR163" i="1"/>
  <c r="BR131" i="1"/>
  <c r="BR99" i="1"/>
  <c r="BR67" i="1"/>
  <c r="BR35" i="1"/>
  <c r="BR546" i="1"/>
  <c r="BR160" i="1"/>
  <c r="BR578" i="1"/>
  <c r="BR514" i="1"/>
  <c r="BR161" i="1"/>
  <c r="BR414" i="1"/>
  <c r="BR577" i="1"/>
  <c r="BR545" i="1"/>
  <c r="BR513" i="1"/>
  <c r="BR321" i="1"/>
  <c r="BR542" i="1"/>
  <c r="BR576" i="1"/>
  <c r="BR544" i="1"/>
  <c r="BR512" i="1"/>
  <c r="BR480" i="1"/>
  <c r="BR448" i="1"/>
  <c r="BR416" i="1"/>
  <c r="BR575" i="1"/>
  <c r="BR543" i="1"/>
  <c r="BR511" i="1"/>
  <c r="BR479" i="1"/>
  <c r="BR447" i="1"/>
  <c r="BR415" i="1"/>
  <c r="BR383" i="1"/>
  <c r="BR351" i="1"/>
  <c r="BR319" i="1"/>
  <c r="BR287" i="1"/>
  <c r="BR255" i="1"/>
  <c r="BR223" i="1"/>
  <c r="BR191" i="1"/>
  <c r="BR159" i="1"/>
  <c r="BR127" i="1"/>
  <c r="BR95" i="1"/>
  <c r="BR63" i="1"/>
  <c r="BR31" i="1"/>
  <c r="BR574" i="1"/>
  <c r="BR30" i="1"/>
  <c r="B5" i="75"/>
  <c r="N40" i="76"/>
  <c r="J40" i="76"/>
  <c r="A5" i="71"/>
  <c r="G15" i="51" l="1"/>
  <c r="E15" i="51"/>
  <c r="A60" i="72"/>
  <c r="A59" i="72"/>
  <c r="L24" i="65"/>
  <c r="K24" i="65"/>
  <c r="A122" i="71"/>
  <c r="A56" i="72" s="1"/>
  <c r="A118" i="71"/>
  <c r="A52" i="72" s="1"/>
  <c r="A117" i="71"/>
  <c r="A51" i="72" s="1"/>
  <c r="A116" i="71"/>
  <c r="A50" i="72" s="1"/>
  <c r="A115" i="71"/>
  <c r="A49" i="72" s="1"/>
  <c r="A111" i="71"/>
  <c r="A45" i="72" s="1"/>
  <c r="A110" i="71"/>
  <c r="A44" i="72" s="1"/>
  <c r="L25" i="65"/>
  <c r="K25" i="65"/>
  <c r="L19" i="65"/>
  <c r="K19" i="65"/>
  <c r="L18" i="65"/>
  <c r="K18" i="65"/>
  <c r="L17" i="65"/>
  <c r="K17" i="65"/>
  <c r="L16" i="65"/>
  <c r="K16" i="65"/>
  <c r="L13" i="65"/>
  <c r="K13" i="65"/>
  <c r="L12" i="65"/>
  <c r="K12" i="65"/>
  <c r="L11" i="65"/>
  <c r="K11" i="65"/>
  <c r="E15" i="65"/>
  <c r="K15" i="65" s="1"/>
  <c r="E14" i="65"/>
  <c r="K14" i="65" s="1"/>
  <c r="B7" i="52"/>
  <c r="B8" i="52" s="1"/>
  <c r="B9" i="52" s="1"/>
  <c r="B10" i="52" s="1"/>
  <c r="B11" i="52" s="1"/>
  <c r="B12" i="52" s="1"/>
  <c r="B13" i="52" s="1"/>
  <c r="B14" i="52" s="1"/>
  <c r="B15" i="52" s="1"/>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AZ36" i="52" s="1"/>
  <c r="AZ40" i="52"/>
  <c r="AN40" i="52"/>
  <c r="X40" i="52"/>
  <c r="BT605" i="1"/>
  <c r="BT604" i="1"/>
  <c r="BT603" i="1"/>
  <c r="BT602" i="1"/>
  <c r="BT601" i="1"/>
  <c r="BT600" i="1"/>
  <c r="BT599" i="1"/>
  <c r="BT598" i="1"/>
  <c r="BT597" i="1"/>
  <c r="BT596" i="1"/>
  <c r="BT595" i="1"/>
  <c r="BT594" i="1"/>
  <c r="BT593" i="1"/>
  <c r="BT592" i="1"/>
  <c r="BT591" i="1"/>
  <c r="BT590" i="1"/>
  <c r="BT589" i="1"/>
  <c r="BT588" i="1"/>
  <c r="BT587" i="1"/>
  <c r="BT586" i="1"/>
  <c r="BT585" i="1"/>
  <c r="BT584" i="1"/>
  <c r="BT583" i="1"/>
  <c r="BT582" i="1"/>
  <c r="BT581" i="1"/>
  <c r="BT580" i="1"/>
  <c r="BT579" i="1"/>
  <c r="BT578" i="1"/>
  <c r="BT577" i="1"/>
  <c r="BT576" i="1"/>
  <c r="BT575" i="1"/>
  <c r="BT574" i="1"/>
  <c r="BT573" i="1"/>
  <c r="BT572" i="1"/>
  <c r="BT571" i="1"/>
  <c r="BT570" i="1"/>
  <c r="BT569" i="1"/>
  <c r="BT568" i="1"/>
  <c r="BT567" i="1"/>
  <c r="BT566" i="1"/>
  <c r="BT565" i="1"/>
  <c r="BT564" i="1"/>
  <c r="BT563" i="1"/>
  <c r="BT562" i="1"/>
  <c r="BT561" i="1"/>
  <c r="BT560" i="1"/>
  <c r="BT559" i="1"/>
  <c r="BT558" i="1"/>
  <c r="BT557" i="1"/>
  <c r="BT556" i="1"/>
  <c r="BT555" i="1"/>
  <c r="BT554" i="1"/>
  <c r="BT553" i="1"/>
  <c r="BT552" i="1"/>
  <c r="BT551" i="1"/>
  <c r="BT550" i="1"/>
  <c r="BT549" i="1"/>
  <c r="BT548" i="1"/>
  <c r="BT547" i="1"/>
  <c r="BT546" i="1"/>
  <c r="BT545" i="1"/>
  <c r="BT544" i="1"/>
  <c r="BT543" i="1"/>
  <c r="BT542" i="1"/>
  <c r="BT541" i="1"/>
  <c r="BT540" i="1"/>
  <c r="BT539" i="1"/>
  <c r="BT538" i="1"/>
  <c r="BT537" i="1"/>
  <c r="BT536" i="1"/>
  <c r="BT535" i="1"/>
  <c r="BT534" i="1"/>
  <c r="BT533" i="1"/>
  <c r="BT532" i="1"/>
  <c r="BT531" i="1"/>
  <c r="BT530" i="1"/>
  <c r="BT529" i="1"/>
  <c r="BT528" i="1"/>
  <c r="BT527" i="1"/>
  <c r="BT526" i="1"/>
  <c r="BT525" i="1"/>
  <c r="BT524" i="1"/>
  <c r="BT523" i="1"/>
  <c r="BT522" i="1"/>
  <c r="BT521" i="1"/>
  <c r="BT520" i="1"/>
  <c r="BT519" i="1"/>
  <c r="BT518" i="1"/>
  <c r="BT517" i="1"/>
  <c r="BT516" i="1"/>
  <c r="BT515" i="1"/>
  <c r="BT514" i="1"/>
  <c r="BT513" i="1"/>
  <c r="BT512" i="1"/>
  <c r="BT511" i="1"/>
  <c r="BT510" i="1"/>
  <c r="BT509" i="1"/>
  <c r="BT508" i="1"/>
  <c r="BT507" i="1"/>
  <c r="BT506" i="1"/>
  <c r="BT505" i="1"/>
  <c r="BT504" i="1"/>
  <c r="BT503" i="1"/>
  <c r="BT502" i="1"/>
  <c r="BT501" i="1"/>
  <c r="BT500" i="1"/>
  <c r="BT499" i="1"/>
  <c r="BT498" i="1"/>
  <c r="BT497" i="1"/>
  <c r="BT496" i="1"/>
  <c r="BT495" i="1"/>
  <c r="BT494" i="1"/>
  <c r="BT493" i="1"/>
  <c r="BT492" i="1"/>
  <c r="BT491" i="1"/>
  <c r="BT490" i="1"/>
  <c r="BT489" i="1"/>
  <c r="BT488" i="1"/>
  <c r="BT487" i="1"/>
  <c r="BT486" i="1"/>
  <c r="BT485" i="1"/>
  <c r="BT484" i="1"/>
  <c r="BT483" i="1"/>
  <c r="BT482" i="1"/>
  <c r="BT481" i="1"/>
  <c r="BT480" i="1"/>
  <c r="BT479" i="1"/>
  <c r="BT478" i="1"/>
  <c r="BT477" i="1"/>
  <c r="BT476" i="1"/>
  <c r="BT475" i="1"/>
  <c r="BT474" i="1"/>
  <c r="BT473" i="1"/>
  <c r="BT472" i="1"/>
  <c r="BT471" i="1"/>
  <c r="BT470" i="1"/>
  <c r="BT469" i="1"/>
  <c r="BT468" i="1"/>
  <c r="BT467" i="1"/>
  <c r="BT466" i="1"/>
  <c r="BT465" i="1"/>
  <c r="BT464" i="1"/>
  <c r="BT463" i="1"/>
  <c r="BT462" i="1"/>
  <c r="BT461" i="1"/>
  <c r="BT460" i="1"/>
  <c r="BT459" i="1"/>
  <c r="BT458" i="1"/>
  <c r="BT457" i="1"/>
  <c r="BT456" i="1"/>
  <c r="BT455" i="1"/>
  <c r="BT454" i="1"/>
  <c r="BT453" i="1"/>
  <c r="BT452" i="1"/>
  <c r="BT451" i="1"/>
  <c r="BT450" i="1"/>
  <c r="BT449" i="1"/>
  <c r="BT448" i="1"/>
  <c r="BT447" i="1"/>
  <c r="BT446" i="1"/>
  <c r="BT445" i="1"/>
  <c r="BT444" i="1"/>
  <c r="BT443" i="1"/>
  <c r="BT442" i="1"/>
  <c r="BT441" i="1"/>
  <c r="BT440" i="1"/>
  <c r="BT439" i="1"/>
  <c r="BT438" i="1"/>
  <c r="BT437" i="1"/>
  <c r="BT436" i="1"/>
  <c r="BT435" i="1"/>
  <c r="BT434" i="1"/>
  <c r="BT433" i="1"/>
  <c r="BT432" i="1"/>
  <c r="BT431" i="1"/>
  <c r="BT430" i="1"/>
  <c r="BT429" i="1"/>
  <c r="BT428" i="1"/>
  <c r="BT427" i="1"/>
  <c r="BT426" i="1"/>
  <c r="BT425" i="1"/>
  <c r="BT424" i="1"/>
  <c r="BT423" i="1"/>
  <c r="BT422" i="1"/>
  <c r="BT421" i="1"/>
  <c r="BT420" i="1"/>
  <c r="BT419" i="1"/>
  <c r="BT418" i="1"/>
  <c r="BT417" i="1"/>
  <c r="BT416" i="1"/>
  <c r="BT415" i="1"/>
  <c r="BT414" i="1"/>
  <c r="BT413" i="1"/>
  <c r="BT412" i="1"/>
  <c r="BT411" i="1"/>
  <c r="BT410" i="1"/>
  <c r="BT409" i="1"/>
  <c r="BT408" i="1"/>
  <c r="BT407" i="1"/>
  <c r="BT406" i="1"/>
  <c r="BT405" i="1"/>
  <c r="BT404" i="1"/>
  <c r="BT403" i="1"/>
  <c r="BT402" i="1"/>
  <c r="BT401" i="1"/>
  <c r="BT400" i="1"/>
  <c r="BT399" i="1"/>
  <c r="BT398" i="1"/>
  <c r="BT397" i="1"/>
  <c r="BT396" i="1"/>
  <c r="BT395" i="1"/>
  <c r="BT394" i="1"/>
  <c r="BT393" i="1"/>
  <c r="BT392" i="1"/>
  <c r="BT391" i="1"/>
  <c r="BT390" i="1"/>
  <c r="BT389" i="1"/>
  <c r="BT388" i="1"/>
  <c r="BT387" i="1"/>
  <c r="BT386" i="1"/>
  <c r="BT385" i="1"/>
  <c r="BT384" i="1"/>
  <c r="BT383" i="1"/>
  <c r="BT382" i="1"/>
  <c r="BT381" i="1"/>
  <c r="BT380" i="1"/>
  <c r="BT379" i="1"/>
  <c r="BT378" i="1"/>
  <c r="BT377" i="1"/>
  <c r="BT376" i="1"/>
  <c r="BT375" i="1"/>
  <c r="BT374" i="1"/>
  <c r="BT373" i="1"/>
  <c r="BT372" i="1"/>
  <c r="BT371" i="1"/>
  <c r="BT370" i="1"/>
  <c r="BT369" i="1"/>
  <c r="BT368" i="1"/>
  <c r="BT367" i="1"/>
  <c r="BT366" i="1"/>
  <c r="BT365" i="1"/>
  <c r="BT364" i="1"/>
  <c r="BT363" i="1"/>
  <c r="BT362" i="1"/>
  <c r="BT361" i="1"/>
  <c r="BT360" i="1"/>
  <c r="BT359" i="1"/>
  <c r="BT358" i="1"/>
  <c r="BT357" i="1"/>
  <c r="BT356" i="1"/>
  <c r="BT355" i="1"/>
  <c r="BT354" i="1"/>
  <c r="BT353" i="1"/>
  <c r="BT352" i="1"/>
  <c r="BT351" i="1"/>
  <c r="BT350" i="1"/>
  <c r="BT349" i="1"/>
  <c r="BT348" i="1"/>
  <c r="BT347" i="1"/>
  <c r="BT346" i="1"/>
  <c r="BT345" i="1"/>
  <c r="BT344" i="1"/>
  <c r="BT343" i="1"/>
  <c r="BT342" i="1"/>
  <c r="BT341" i="1"/>
  <c r="BT340" i="1"/>
  <c r="BT339" i="1"/>
  <c r="BT338" i="1"/>
  <c r="BT337" i="1"/>
  <c r="BT336" i="1"/>
  <c r="BT335" i="1"/>
  <c r="BT334" i="1"/>
  <c r="BT333" i="1"/>
  <c r="BT332" i="1"/>
  <c r="BT331" i="1"/>
  <c r="BT330" i="1"/>
  <c r="BT329" i="1"/>
  <c r="BT328" i="1"/>
  <c r="BT327" i="1"/>
  <c r="BT326" i="1"/>
  <c r="BT325" i="1"/>
  <c r="BT324" i="1"/>
  <c r="BT323" i="1"/>
  <c r="BT322" i="1"/>
  <c r="BT321" i="1"/>
  <c r="BT320" i="1"/>
  <c r="BT319" i="1"/>
  <c r="BT318" i="1"/>
  <c r="BT317" i="1"/>
  <c r="BT316" i="1"/>
  <c r="BT315" i="1"/>
  <c r="BT314" i="1"/>
  <c r="BT313" i="1"/>
  <c r="BT312" i="1"/>
  <c r="BT311" i="1"/>
  <c r="BT310" i="1"/>
  <c r="BT309" i="1"/>
  <c r="BT308" i="1"/>
  <c r="BT307" i="1"/>
  <c r="BT306" i="1"/>
  <c r="BT305" i="1"/>
  <c r="BT304" i="1"/>
  <c r="BT303" i="1"/>
  <c r="BT302" i="1"/>
  <c r="BT301" i="1"/>
  <c r="BT300" i="1"/>
  <c r="BT299" i="1"/>
  <c r="BT298" i="1"/>
  <c r="BT297" i="1"/>
  <c r="BT296" i="1"/>
  <c r="BT295" i="1"/>
  <c r="BT294" i="1"/>
  <c r="BT293" i="1"/>
  <c r="BT292" i="1"/>
  <c r="BT291" i="1"/>
  <c r="BT290" i="1"/>
  <c r="BT289" i="1"/>
  <c r="BT288" i="1"/>
  <c r="BT287" i="1"/>
  <c r="BT286" i="1"/>
  <c r="BT285" i="1"/>
  <c r="BT284" i="1"/>
  <c r="BT283" i="1"/>
  <c r="BT282" i="1"/>
  <c r="BT281" i="1"/>
  <c r="BT280" i="1"/>
  <c r="BT279" i="1"/>
  <c r="BT278" i="1"/>
  <c r="BT277" i="1"/>
  <c r="BT276" i="1"/>
  <c r="BT275" i="1"/>
  <c r="BT274" i="1"/>
  <c r="BT273" i="1"/>
  <c r="BT272" i="1"/>
  <c r="BT271" i="1"/>
  <c r="BT270" i="1"/>
  <c r="BT269" i="1"/>
  <c r="BT268" i="1"/>
  <c r="BT267" i="1"/>
  <c r="BT266" i="1"/>
  <c r="BT265" i="1"/>
  <c r="BT264" i="1"/>
  <c r="BT263" i="1"/>
  <c r="BT262" i="1"/>
  <c r="BT261" i="1"/>
  <c r="BT260" i="1"/>
  <c r="BT259" i="1"/>
  <c r="BT258" i="1"/>
  <c r="BT257" i="1"/>
  <c r="BT256" i="1"/>
  <c r="BT255" i="1"/>
  <c r="BT254" i="1"/>
  <c r="BT253" i="1"/>
  <c r="BT252" i="1"/>
  <c r="BT251" i="1"/>
  <c r="BT250" i="1"/>
  <c r="BT249" i="1"/>
  <c r="BT248" i="1"/>
  <c r="BT247" i="1"/>
  <c r="BT246" i="1"/>
  <c r="BT245" i="1"/>
  <c r="BT244" i="1"/>
  <c r="BT243" i="1"/>
  <c r="BT242" i="1"/>
  <c r="BT241" i="1"/>
  <c r="BT240" i="1"/>
  <c r="BT239" i="1"/>
  <c r="BT238" i="1"/>
  <c r="BT237" i="1"/>
  <c r="BT236" i="1"/>
  <c r="BT235" i="1"/>
  <c r="BT234" i="1"/>
  <c r="BT233" i="1"/>
  <c r="BT232" i="1"/>
  <c r="BT231" i="1"/>
  <c r="BT230" i="1"/>
  <c r="BT229" i="1"/>
  <c r="BT228" i="1"/>
  <c r="BT227" i="1"/>
  <c r="BT226" i="1"/>
  <c r="BT225" i="1"/>
  <c r="BT224" i="1"/>
  <c r="BT223" i="1"/>
  <c r="BT222" i="1"/>
  <c r="BT221" i="1"/>
  <c r="BT220" i="1"/>
  <c r="BT219" i="1"/>
  <c r="BT218" i="1"/>
  <c r="BT217" i="1"/>
  <c r="BT216" i="1"/>
  <c r="BT215" i="1"/>
  <c r="BT214" i="1"/>
  <c r="BT213" i="1"/>
  <c r="BT212" i="1"/>
  <c r="BT211" i="1"/>
  <c r="BT210" i="1"/>
  <c r="BT209" i="1"/>
  <c r="BT208" i="1"/>
  <c r="BT207" i="1"/>
  <c r="BT206" i="1"/>
  <c r="BT205" i="1"/>
  <c r="BT204" i="1"/>
  <c r="BT203" i="1"/>
  <c r="BT202" i="1"/>
  <c r="BT201" i="1"/>
  <c r="BT200" i="1"/>
  <c r="BT199" i="1"/>
  <c r="BT198" i="1"/>
  <c r="BT197" i="1"/>
  <c r="BT196" i="1"/>
  <c r="BT195" i="1"/>
  <c r="BT194" i="1"/>
  <c r="BT193" i="1"/>
  <c r="BT192" i="1"/>
  <c r="BT191" i="1"/>
  <c r="BT190" i="1"/>
  <c r="BT189" i="1"/>
  <c r="BT188" i="1"/>
  <c r="BT187" i="1"/>
  <c r="BT186" i="1"/>
  <c r="BT185" i="1"/>
  <c r="BT184" i="1"/>
  <c r="BT183" i="1"/>
  <c r="BT182" i="1"/>
  <c r="BT181" i="1"/>
  <c r="BT180" i="1"/>
  <c r="BT179" i="1"/>
  <c r="BT178" i="1"/>
  <c r="BT177" i="1"/>
  <c r="BT176" i="1"/>
  <c r="BT175" i="1"/>
  <c r="BT174" i="1"/>
  <c r="BT173" i="1"/>
  <c r="BT172" i="1"/>
  <c r="BT171" i="1"/>
  <c r="BT170" i="1"/>
  <c r="BT169" i="1"/>
  <c r="BT168" i="1"/>
  <c r="BT167" i="1"/>
  <c r="BT166" i="1"/>
  <c r="BT165" i="1"/>
  <c r="BT164" i="1"/>
  <c r="BT163" i="1"/>
  <c r="BT162" i="1"/>
  <c r="BT161" i="1"/>
  <c r="BT160" i="1"/>
  <c r="BT159" i="1"/>
  <c r="BT158" i="1"/>
  <c r="BT157" i="1"/>
  <c r="BT156" i="1"/>
  <c r="BT155" i="1"/>
  <c r="BT154" i="1"/>
  <c r="BT153" i="1"/>
  <c r="BT152" i="1"/>
  <c r="BT151" i="1"/>
  <c r="BT150" i="1"/>
  <c r="BT149" i="1"/>
  <c r="BT148" i="1"/>
  <c r="BT147" i="1"/>
  <c r="BT146" i="1"/>
  <c r="BT145" i="1"/>
  <c r="BT144" i="1"/>
  <c r="BT143" i="1"/>
  <c r="BT142" i="1"/>
  <c r="BT141" i="1"/>
  <c r="BT140" i="1"/>
  <c r="BT139" i="1"/>
  <c r="BT138" i="1"/>
  <c r="BT137" i="1"/>
  <c r="BT136" i="1"/>
  <c r="BT135" i="1"/>
  <c r="BT134" i="1"/>
  <c r="BT133" i="1"/>
  <c r="BT132" i="1"/>
  <c r="BT131" i="1"/>
  <c r="BT130" i="1"/>
  <c r="BT129" i="1"/>
  <c r="BT128" i="1"/>
  <c r="BT127" i="1"/>
  <c r="BT126" i="1"/>
  <c r="BT125" i="1"/>
  <c r="BT124" i="1"/>
  <c r="BT123" i="1"/>
  <c r="BT122" i="1"/>
  <c r="BT121" i="1"/>
  <c r="BT120" i="1"/>
  <c r="BT119" i="1"/>
  <c r="BT118" i="1"/>
  <c r="BT117" i="1"/>
  <c r="BT116" i="1"/>
  <c r="BT115" i="1"/>
  <c r="BT114" i="1"/>
  <c r="BT113" i="1"/>
  <c r="BT112" i="1"/>
  <c r="BT111" i="1"/>
  <c r="BT110" i="1"/>
  <c r="BT109" i="1"/>
  <c r="BT108" i="1"/>
  <c r="BT107" i="1"/>
  <c r="BT106" i="1"/>
  <c r="BT105" i="1"/>
  <c r="BT104" i="1"/>
  <c r="BT103" i="1"/>
  <c r="BT102" i="1"/>
  <c r="BT101" i="1"/>
  <c r="BT100" i="1"/>
  <c r="BT99" i="1"/>
  <c r="BT98" i="1"/>
  <c r="BT97" i="1"/>
  <c r="BT96" i="1"/>
  <c r="BT95" i="1"/>
  <c r="BT94" i="1"/>
  <c r="BT93" i="1"/>
  <c r="BT92" i="1"/>
  <c r="BT91" i="1"/>
  <c r="BT90" i="1"/>
  <c r="BT89" i="1"/>
  <c r="BT88" i="1"/>
  <c r="BT87" i="1"/>
  <c r="BT86" i="1"/>
  <c r="BT85" i="1"/>
  <c r="BT84" i="1"/>
  <c r="BT83" i="1"/>
  <c r="BT82" i="1"/>
  <c r="BT81" i="1"/>
  <c r="BT80" i="1"/>
  <c r="BT79" i="1"/>
  <c r="BT78" i="1"/>
  <c r="BT77" i="1"/>
  <c r="BT76" i="1"/>
  <c r="BT75" i="1"/>
  <c r="BT74" i="1"/>
  <c r="BT73" i="1"/>
  <c r="BT72" i="1"/>
  <c r="BT71" i="1"/>
  <c r="BT70" i="1"/>
  <c r="BT69" i="1"/>
  <c r="BT68" i="1"/>
  <c r="BT67" i="1"/>
  <c r="BT66" i="1"/>
  <c r="BT65" i="1"/>
  <c r="BT64" i="1"/>
  <c r="BT63" i="1"/>
  <c r="BT62" i="1"/>
  <c r="BT61" i="1"/>
  <c r="BT60" i="1"/>
  <c r="BT59" i="1"/>
  <c r="BT58" i="1"/>
  <c r="BT57" i="1"/>
  <c r="BT56" i="1"/>
  <c r="BT55" i="1"/>
  <c r="BT54" i="1"/>
  <c r="BT53" i="1"/>
  <c r="BT52" i="1"/>
  <c r="BT51" i="1"/>
  <c r="BT50" i="1"/>
  <c r="BT49" i="1"/>
  <c r="BT48" i="1"/>
  <c r="BT47" i="1"/>
  <c r="BT46" i="1"/>
  <c r="BT45" i="1"/>
  <c r="BT44" i="1"/>
  <c r="BT43" i="1"/>
  <c r="BT42" i="1"/>
  <c r="BT41" i="1"/>
  <c r="BT40" i="1"/>
  <c r="BT39" i="1"/>
  <c r="BT38" i="1"/>
  <c r="BT37" i="1"/>
  <c r="BT36" i="1"/>
  <c r="BT35" i="1"/>
  <c r="BT34" i="1"/>
  <c r="BT33" i="1"/>
  <c r="BT32" i="1"/>
  <c r="BT31" i="1"/>
  <c r="BT30" i="1"/>
  <c r="BT29" i="1"/>
  <c r="BT28" i="1"/>
  <c r="BT27" i="1"/>
  <c r="BT26" i="1"/>
  <c r="BT25" i="1"/>
  <c r="BT24" i="1"/>
  <c r="BT23" i="1"/>
  <c r="BT22" i="1"/>
  <c r="BT21" i="1"/>
  <c r="BT20" i="1"/>
  <c r="BT19" i="1"/>
  <c r="BT18" i="1"/>
  <c r="BT17" i="1"/>
  <c r="BT16" i="1"/>
  <c r="BT15" i="1"/>
  <c r="BT14" i="1"/>
  <c r="BT13" i="1"/>
  <c r="BT12" i="1"/>
  <c r="BT11" i="1"/>
  <c r="BT10" i="1"/>
  <c r="BT9" i="1"/>
  <c r="BT8" i="1"/>
  <c r="BT7" i="1"/>
  <c r="BT6" i="1"/>
  <c r="A14" i="71"/>
  <c r="K20" i="65" l="1"/>
  <c r="K10" i="65" s="1"/>
  <c r="A112" i="71"/>
  <c r="A46" i="72" s="1"/>
  <c r="A7" i="52"/>
  <c r="A11" i="52"/>
  <c r="A14" i="52"/>
  <c r="A16" i="52"/>
  <c r="A9" i="52"/>
  <c r="A10" i="52"/>
  <c r="A15" i="52"/>
  <c r="A18" i="52"/>
  <c r="A20" i="52"/>
  <c r="A25" i="52"/>
  <c r="A17" i="52"/>
  <c r="A21" i="52"/>
  <c r="A24" i="52"/>
  <c r="A29" i="52"/>
  <c r="A33" i="52"/>
  <c r="A8" i="52"/>
  <c r="A19" i="52"/>
  <c r="A23" i="52"/>
  <c r="A27" i="52"/>
  <c r="A31" i="52"/>
  <c r="A34" i="52"/>
  <c r="A12" i="52"/>
  <c r="A22" i="52"/>
  <c r="A30" i="52"/>
  <c r="A35" i="52"/>
  <c r="A13" i="52"/>
  <c r="A26" i="52"/>
  <c r="A28" i="52"/>
  <c r="A32" i="52"/>
  <c r="A36" i="52"/>
  <c r="AN7" i="52"/>
  <c r="AN8" i="52"/>
  <c r="AZ7" i="52"/>
  <c r="AZ8" i="52"/>
  <c r="J34" i="52"/>
  <c r="J35" i="52"/>
  <c r="X34" i="52"/>
  <c r="J9" i="52"/>
  <c r="X9" i="52"/>
  <c r="J10" i="52"/>
  <c r="AN14" i="52"/>
  <c r="AN17" i="52"/>
  <c r="X14" i="52"/>
  <c r="J16" i="52"/>
  <c r="AN18" i="52"/>
  <c r="AZ20" i="52"/>
  <c r="X32" i="52"/>
  <c r="AZ10" i="52"/>
  <c r="AN10" i="52"/>
  <c r="AN13" i="52"/>
  <c r="AZ21" i="52"/>
  <c r="AZ11" i="52"/>
  <c r="J36" i="52"/>
  <c r="X31" i="52"/>
  <c r="AN11" i="52"/>
  <c r="AN36" i="52"/>
  <c r="AN9" i="52"/>
  <c r="AZ13" i="52"/>
  <c r="AZ12" i="52"/>
  <c r="J13" i="52"/>
  <c r="AN19" i="52"/>
  <c r="X36" i="52"/>
  <c r="AZ17" i="52"/>
  <c r="AZ22" i="52"/>
  <c r="AZ15" i="52"/>
  <c r="AZ18" i="52"/>
  <c r="J17" i="52"/>
  <c r="J19" i="52"/>
  <c r="AN24" i="52"/>
  <c r="J33" i="52"/>
  <c r="AZ9" i="52"/>
  <c r="J7" i="52"/>
  <c r="X8" i="52"/>
  <c r="AZ16" i="52"/>
  <c r="J14" i="52"/>
  <c r="J15" i="52"/>
  <c r="AN20" i="52"/>
  <c r="AN21" i="52"/>
  <c r="AN22" i="52"/>
  <c r="J21" i="52"/>
  <c r="X20" i="52"/>
  <c r="AN25" i="52"/>
  <c r="J24" i="52"/>
  <c r="X23" i="52"/>
  <c r="AZ30" i="52"/>
  <c r="J27" i="52"/>
  <c r="AN30" i="52"/>
  <c r="X27" i="52"/>
  <c r="J29" i="52"/>
  <c r="AN31" i="52"/>
  <c r="AZ33" i="52"/>
  <c r="AN35" i="52"/>
  <c r="X33" i="52"/>
  <c r="X7" i="52"/>
  <c r="J11" i="52"/>
  <c r="X10" i="52"/>
  <c r="X11" i="52"/>
  <c r="X12" i="52"/>
  <c r="X13" i="52"/>
  <c r="AZ23" i="52"/>
  <c r="J20" i="52"/>
  <c r="AN23" i="52"/>
  <c r="J22" i="52"/>
  <c r="J23" i="52"/>
  <c r="AN26" i="52"/>
  <c r="J25" i="52"/>
  <c r="AN28" i="52"/>
  <c r="AN29" i="52"/>
  <c r="J28" i="52"/>
  <c r="X28" i="52"/>
  <c r="J30" i="52"/>
  <c r="AN32" i="52"/>
  <c r="AZ34" i="52"/>
  <c r="J8" i="52"/>
  <c r="AZ14" i="52"/>
  <c r="AN15" i="52"/>
  <c r="AZ19" i="52"/>
  <c r="X15" i="52"/>
  <c r="X16" i="52"/>
  <c r="AZ24" i="52"/>
  <c r="AZ25" i="52"/>
  <c r="AZ27" i="52"/>
  <c r="X22" i="52"/>
  <c r="AZ29" i="52"/>
  <c r="J26" i="52"/>
  <c r="X25" i="52"/>
  <c r="AZ32" i="52"/>
  <c r="X29" i="52"/>
  <c r="J31" i="52"/>
  <c r="AN33" i="52"/>
  <c r="AZ35" i="52"/>
  <c r="X35" i="52"/>
  <c r="AN12" i="52"/>
  <c r="J12" i="52"/>
  <c r="AN16" i="52"/>
  <c r="J18" i="52"/>
  <c r="X17" i="52"/>
  <c r="X18" i="52"/>
  <c r="X19" i="52"/>
  <c r="AZ26" i="52"/>
  <c r="X21" i="52"/>
  <c r="AZ28" i="52"/>
  <c r="AN27" i="52"/>
  <c r="X24" i="52"/>
  <c r="AZ31" i="52"/>
  <c r="X26" i="52"/>
  <c r="X30" i="52"/>
  <c r="J32" i="52"/>
  <c r="AN34" i="52"/>
  <c r="C5" i="69"/>
  <c r="C4" i="69"/>
  <c r="BM605" i="1"/>
  <c r="BL605" i="1"/>
  <c r="BK605" i="1"/>
  <c r="BJ605" i="1"/>
  <c r="BI605" i="1"/>
  <c r="BH605" i="1"/>
  <c r="BG605" i="1"/>
  <c r="BF605" i="1"/>
  <c r="BM604" i="1"/>
  <c r="BL604" i="1"/>
  <c r="BK604" i="1"/>
  <c r="BJ604" i="1"/>
  <c r="BI604" i="1"/>
  <c r="BH604" i="1"/>
  <c r="BG604" i="1"/>
  <c r="BF604" i="1"/>
  <c r="BM603" i="1"/>
  <c r="BL603" i="1"/>
  <c r="BK603" i="1"/>
  <c r="BJ603" i="1"/>
  <c r="BI603" i="1"/>
  <c r="BH603" i="1"/>
  <c r="BG603" i="1"/>
  <c r="BF603" i="1"/>
  <c r="BM602" i="1"/>
  <c r="BL602" i="1"/>
  <c r="BK602" i="1"/>
  <c r="BJ602" i="1"/>
  <c r="BI602" i="1"/>
  <c r="BH602" i="1"/>
  <c r="BG602" i="1"/>
  <c r="BF602" i="1"/>
  <c r="BM601" i="1"/>
  <c r="BL601" i="1"/>
  <c r="BK601" i="1"/>
  <c r="BJ601" i="1"/>
  <c r="BI601" i="1"/>
  <c r="BH601" i="1"/>
  <c r="BG601" i="1"/>
  <c r="BF601" i="1"/>
  <c r="BM600" i="1"/>
  <c r="BL600" i="1"/>
  <c r="BK600" i="1"/>
  <c r="BJ600" i="1"/>
  <c r="BI600" i="1"/>
  <c r="BH600" i="1"/>
  <c r="BG600" i="1"/>
  <c r="BF600" i="1"/>
  <c r="BM599" i="1"/>
  <c r="BL599" i="1"/>
  <c r="BK599" i="1"/>
  <c r="BJ599" i="1"/>
  <c r="BI599" i="1"/>
  <c r="BH599" i="1"/>
  <c r="BG599" i="1"/>
  <c r="BF599" i="1"/>
  <c r="BM598" i="1"/>
  <c r="BL598" i="1"/>
  <c r="BK598" i="1"/>
  <c r="BJ598" i="1"/>
  <c r="BI598" i="1"/>
  <c r="BH598" i="1"/>
  <c r="BG598" i="1"/>
  <c r="BF598" i="1"/>
  <c r="BM597" i="1"/>
  <c r="BL597" i="1"/>
  <c r="BK597" i="1"/>
  <c r="BJ597" i="1"/>
  <c r="BI597" i="1"/>
  <c r="BH597" i="1"/>
  <c r="BG597" i="1"/>
  <c r="BF597" i="1"/>
  <c r="BM596" i="1"/>
  <c r="BL596" i="1"/>
  <c r="BK596" i="1"/>
  <c r="BJ596" i="1"/>
  <c r="BI596" i="1"/>
  <c r="BH596" i="1"/>
  <c r="BG596" i="1"/>
  <c r="BF596" i="1"/>
  <c r="BM595" i="1"/>
  <c r="BL595" i="1"/>
  <c r="BK595" i="1"/>
  <c r="BJ595" i="1"/>
  <c r="BI595" i="1"/>
  <c r="BH595" i="1"/>
  <c r="BG595" i="1"/>
  <c r="BF595" i="1"/>
  <c r="BM594" i="1"/>
  <c r="BL594" i="1"/>
  <c r="BK594" i="1"/>
  <c r="BJ594" i="1"/>
  <c r="BI594" i="1"/>
  <c r="BH594" i="1"/>
  <c r="BG594" i="1"/>
  <c r="BF594" i="1"/>
  <c r="BM593" i="1"/>
  <c r="BL593" i="1"/>
  <c r="BK593" i="1"/>
  <c r="BJ593" i="1"/>
  <c r="BI593" i="1"/>
  <c r="BH593" i="1"/>
  <c r="BG593" i="1"/>
  <c r="BF593" i="1"/>
  <c r="BM592" i="1"/>
  <c r="BL592" i="1"/>
  <c r="BK592" i="1"/>
  <c r="BJ592" i="1"/>
  <c r="BI592" i="1"/>
  <c r="BH592" i="1"/>
  <c r="BG592" i="1"/>
  <c r="BF592" i="1"/>
  <c r="BM591" i="1"/>
  <c r="BL591" i="1"/>
  <c r="BK591" i="1"/>
  <c r="BJ591" i="1"/>
  <c r="BI591" i="1"/>
  <c r="BH591" i="1"/>
  <c r="BG591" i="1"/>
  <c r="BF591" i="1"/>
  <c r="BM590" i="1"/>
  <c r="BL590" i="1"/>
  <c r="BK590" i="1"/>
  <c r="BJ590" i="1"/>
  <c r="BI590" i="1"/>
  <c r="BH590" i="1"/>
  <c r="BG590" i="1"/>
  <c r="BF590" i="1"/>
  <c r="BM589" i="1"/>
  <c r="BL589" i="1"/>
  <c r="BK589" i="1"/>
  <c r="BJ589" i="1"/>
  <c r="BI589" i="1"/>
  <c r="BH589" i="1"/>
  <c r="BG589" i="1"/>
  <c r="BF589" i="1"/>
  <c r="BM588" i="1"/>
  <c r="BL588" i="1"/>
  <c r="BK588" i="1"/>
  <c r="BJ588" i="1"/>
  <c r="BI588" i="1"/>
  <c r="BH588" i="1"/>
  <c r="BG588" i="1"/>
  <c r="BF588" i="1"/>
  <c r="BM587" i="1"/>
  <c r="BL587" i="1"/>
  <c r="BK587" i="1"/>
  <c r="BJ587" i="1"/>
  <c r="BI587" i="1"/>
  <c r="BH587" i="1"/>
  <c r="BG587" i="1"/>
  <c r="BF587" i="1"/>
  <c r="BM586" i="1"/>
  <c r="BL586" i="1"/>
  <c r="BK586" i="1"/>
  <c r="BJ586" i="1"/>
  <c r="BI586" i="1"/>
  <c r="BH586" i="1"/>
  <c r="BG586" i="1"/>
  <c r="BF586" i="1"/>
  <c r="BM585" i="1"/>
  <c r="BL585" i="1"/>
  <c r="BK585" i="1"/>
  <c r="BJ585" i="1"/>
  <c r="BI585" i="1"/>
  <c r="BH585" i="1"/>
  <c r="BG585" i="1"/>
  <c r="BF585" i="1"/>
  <c r="BM584" i="1"/>
  <c r="BL584" i="1"/>
  <c r="BK584" i="1"/>
  <c r="BJ584" i="1"/>
  <c r="BI584" i="1"/>
  <c r="BH584" i="1"/>
  <c r="BG584" i="1"/>
  <c r="BF584" i="1"/>
  <c r="BM583" i="1"/>
  <c r="BL583" i="1"/>
  <c r="BK583" i="1"/>
  <c r="BJ583" i="1"/>
  <c r="BI583" i="1"/>
  <c r="BH583" i="1"/>
  <c r="BG583" i="1"/>
  <c r="BF583" i="1"/>
  <c r="BM582" i="1"/>
  <c r="BL582" i="1"/>
  <c r="BK582" i="1"/>
  <c r="BJ582" i="1"/>
  <c r="BI582" i="1"/>
  <c r="BH582" i="1"/>
  <c r="BG582" i="1"/>
  <c r="BF582" i="1"/>
  <c r="BM581" i="1"/>
  <c r="BL581" i="1"/>
  <c r="BK581" i="1"/>
  <c r="BJ581" i="1"/>
  <c r="BI581" i="1"/>
  <c r="BH581" i="1"/>
  <c r="BG581" i="1"/>
  <c r="BF581" i="1"/>
  <c r="BM580" i="1"/>
  <c r="BL580" i="1"/>
  <c r="BK580" i="1"/>
  <c r="BJ580" i="1"/>
  <c r="BI580" i="1"/>
  <c r="BH580" i="1"/>
  <c r="BG580" i="1"/>
  <c r="BF580" i="1"/>
  <c r="BM579" i="1"/>
  <c r="BL579" i="1"/>
  <c r="BK579" i="1"/>
  <c r="BJ579" i="1"/>
  <c r="BI579" i="1"/>
  <c r="BH579" i="1"/>
  <c r="BG579" i="1"/>
  <c r="BF579" i="1"/>
  <c r="BM578" i="1"/>
  <c r="BL578" i="1"/>
  <c r="BK578" i="1"/>
  <c r="BJ578" i="1"/>
  <c r="BI578" i="1"/>
  <c r="BH578" i="1"/>
  <c r="BG578" i="1"/>
  <c r="BF578" i="1"/>
  <c r="BM577" i="1"/>
  <c r="BL577" i="1"/>
  <c r="BK577" i="1"/>
  <c r="BJ577" i="1"/>
  <c r="BI577" i="1"/>
  <c r="BH577" i="1"/>
  <c r="BG577" i="1"/>
  <c r="BF577" i="1"/>
  <c r="BM576" i="1"/>
  <c r="BL576" i="1"/>
  <c r="BK576" i="1"/>
  <c r="BJ576" i="1"/>
  <c r="BI576" i="1"/>
  <c r="BH576" i="1"/>
  <c r="BG576" i="1"/>
  <c r="BF576" i="1"/>
  <c r="BM575" i="1"/>
  <c r="BL575" i="1"/>
  <c r="BK575" i="1"/>
  <c r="BJ575" i="1"/>
  <c r="BI575" i="1"/>
  <c r="BH575" i="1"/>
  <c r="BG575" i="1"/>
  <c r="BF575" i="1"/>
  <c r="BM574" i="1"/>
  <c r="BL574" i="1"/>
  <c r="BK574" i="1"/>
  <c r="BJ574" i="1"/>
  <c r="BI574" i="1"/>
  <c r="BH574" i="1"/>
  <c r="BG574" i="1"/>
  <c r="BF574" i="1"/>
  <c r="BM573" i="1"/>
  <c r="BL573" i="1"/>
  <c r="BK573" i="1"/>
  <c r="BJ573" i="1"/>
  <c r="BI573" i="1"/>
  <c r="BH573" i="1"/>
  <c r="BG573" i="1"/>
  <c r="BF573" i="1"/>
  <c r="BM572" i="1"/>
  <c r="BL572" i="1"/>
  <c r="BK572" i="1"/>
  <c r="BJ572" i="1"/>
  <c r="BI572" i="1"/>
  <c r="BH572" i="1"/>
  <c r="BG572" i="1"/>
  <c r="BF572" i="1"/>
  <c r="BM571" i="1"/>
  <c r="BL571" i="1"/>
  <c r="BK571" i="1"/>
  <c r="BJ571" i="1"/>
  <c r="BI571" i="1"/>
  <c r="BH571" i="1"/>
  <c r="BG571" i="1"/>
  <c r="BF571" i="1"/>
  <c r="BM570" i="1"/>
  <c r="BL570" i="1"/>
  <c r="BK570" i="1"/>
  <c r="BJ570" i="1"/>
  <c r="BI570" i="1"/>
  <c r="BH570" i="1"/>
  <c r="BG570" i="1"/>
  <c r="BF570" i="1"/>
  <c r="BM569" i="1"/>
  <c r="BL569" i="1"/>
  <c r="BK569" i="1"/>
  <c r="BJ569" i="1"/>
  <c r="BI569" i="1"/>
  <c r="BH569" i="1"/>
  <c r="BG569" i="1"/>
  <c r="BF569" i="1"/>
  <c r="BM568" i="1"/>
  <c r="BL568" i="1"/>
  <c r="BK568" i="1"/>
  <c r="BJ568" i="1"/>
  <c r="BI568" i="1"/>
  <c r="BH568" i="1"/>
  <c r="BG568" i="1"/>
  <c r="BF568" i="1"/>
  <c r="BM567" i="1"/>
  <c r="BL567" i="1"/>
  <c r="BK567" i="1"/>
  <c r="BJ567" i="1"/>
  <c r="BI567" i="1"/>
  <c r="BH567" i="1"/>
  <c r="BG567" i="1"/>
  <c r="BF567" i="1"/>
  <c r="BM566" i="1"/>
  <c r="BL566" i="1"/>
  <c r="BK566" i="1"/>
  <c r="BJ566" i="1"/>
  <c r="BI566" i="1"/>
  <c r="BH566" i="1"/>
  <c r="BG566" i="1"/>
  <c r="BF566" i="1"/>
  <c r="BM565" i="1"/>
  <c r="BL565" i="1"/>
  <c r="BK565" i="1"/>
  <c r="BJ565" i="1"/>
  <c r="BI565" i="1"/>
  <c r="BH565" i="1"/>
  <c r="BG565" i="1"/>
  <c r="BF565" i="1"/>
  <c r="BM564" i="1"/>
  <c r="BL564" i="1"/>
  <c r="BK564" i="1"/>
  <c r="BJ564" i="1"/>
  <c r="BI564" i="1"/>
  <c r="BH564" i="1"/>
  <c r="BG564" i="1"/>
  <c r="BF564" i="1"/>
  <c r="BM563" i="1"/>
  <c r="BL563" i="1"/>
  <c r="BK563" i="1"/>
  <c r="BJ563" i="1"/>
  <c r="BI563" i="1"/>
  <c r="BH563" i="1"/>
  <c r="BG563" i="1"/>
  <c r="BF563" i="1"/>
  <c r="BM562" i="1"/>
  <c r="BL562" i="1"/>
  <c r="BK562" i="1"/>
  <c r="BJ562" i="1"/>
  <c r="BI562" i="1"/>
  <c r="BH562" i="1"/>
  <c r="BG562" i="1"/>
  <c r="BF562" i="1"/>
  <c r="BM561" i="1"/>
  <c r="BL561" i="1"/>
  <c r="BK561" i="1"/>
  <c r="BJ561" i="1"/>
  <c r="BI561" i="1"/>
  <c r="BH561" i="1"/>
  <c r="BG561" i="1"/>
  <c r="BF561" i="1"/>
  <c r="BM560" i="1"/>
  <c r="BL560" i="1"/>
  <c r="BK560" i="1"/>
  <c r="BJ560" i="1"/>
  <c r="BI560" i="1"/>
  <c r="BH560" i="1"/>
  <c r="BG560" i="1"/>
  <c r="BF560" i="1"/>
  <c r="BM559" i="1"/>
  <c r="BL559" i="1"/>
  <c r="BK559" i="1"/>
  <c r="BJ559" i="1"/>
  <c r="BI559" i="1"/>
  <c r="BH559" i="1"/>
  <c r="BG559" i="1"/>
  <c r="BF559" i="1"/>
  <c r="BM558" i="1"/>
  <c r="BL558" i="1"/>
  <c r="BK558" i="1"/>
  <c r="BJ558" i="1"/>
  <c r="BI558" i="1"/>
  <c r="BH558" i="1"/>
  <c r="BG558" i="1"/>
  <c r="BF558" i="1"/>
  <c r="BM557" i="1"/>
  <c r="BL557" i="1"/>
  <c r="BK557" i="1"/>
  <c r="BJ557" i="1"/>
  <c r="BI557" i="1"/>
  <c r="BH557" i="1"/>
  <c r="BG557" i="1"/>
  <c r="BF557" i="1"/>
  <c r="BM556" i="1"/>
  <c r="BL556" i="1"/>
  <c r="BK556" i="1"/>
  <c r="BJ556" i="1"/>
  <c r="BI556" i="1"/>
  <c r="BH556" i="1"/>
  <c r="BG556" i="1"/>
  <c r="BF556" i="1"/>
  <c r="BM555" i="1"/>
  <c r="BL555" i="1"/>
  <c r="BK555" i="1"/>
  <c r="BJ555" i="1"/>
  <c r="BI555" i="1"/>
  <c r="BH555" i="1"/>
  <c r="BG555" i="1"/>
  <c r="BF555" i="1"/>
  <c r="BM554" i="1"/>
  <c r="BL554" i="1"/>
  <c r="BK554" i="1"/>
  <c r="BJ554" i="1"/>
  <c r="BI554" i="1"/>
  <c r="BH554" i="1"/>
  <c r="BG554" i="1"/>
  <c r="BF554" i="1"/>
  <c r="BM553" i="1"/>
  <c r="BL553" i="1"/>
  <c r="BK553" i="1"/>
  <c r="BJ553" i="1"/>
  <c r="BI553" i="1"/>
  <c r="BH553" i="1"/>
  <c r="BG553" i="1"/>
  <c r="BF553" i="1"/>
  <c r="BM552" i="1"/>
  <c r="BL552" i="1"/>
  <c r="BK552" i="1"/>
  <c r="BJ552" i="1"/>
  <c r="BI552" i="1"/>
  <c r="BH552" i="1"/>
  <c r="BG552" i="1"/>
  <c r="BF552" i="1"/>
  <c r="BM551" i="1"/>
  <c r="BL551" i="1"/>
  <c r="BK551" i="1"/>
  <c r="BJ551" i="1"/>
  <c r="BI551" i="1"/>
  <c r="BH551" i="1"/>
  <c r="BG551" i="1"/>
  <c r="BF551" i="1"/>
  <c r="BM550" i="1"/>
  <c r="BL550" i="1"/>
  <c r="BK550" i="1"/>
  <c r="BJ550" i="1"/>
  <c r="BI550" i="1"/>
  <c r="BH550" i="1"/>
  <c r="BG550" i="1"/>
  <c r="BF550" i="1"/>
  <c r="BM549" i="1"/>
  <c r="BL549" i="1"/>
  <c r="BK549" i="1"/>
  <c r="BJ549" i="1"/>
  <c r="BI549" i="1"/>
  <c r="BH549" i="1"/>
  <c r="BG549" i="1"/>
  <c r="BF549" i="1"/>
  <c r="BM548" i="1"/>
  <c r="BL548" i="1"/>
  <c r="BK548" i="1"/>
  <c r="BJ548" i="1"/>
  <c r="BI548" i="1"/>
  <c r="BH548" i="1"/>
  <c r="BG548" i="1"/>
  <c r="BF548" i="1"/>
  <c r="BM547" i="1"/>
  <c r="BL547" i="1"/>
  <c r="BK547" i="1"/>
  <c r="BJ547" i="1"/>
  <c r="BI547" i="1"/>
  <c r="BH547" i="1"/>
  <c r="BG547" i="1"/>
  <c r="BF547" i="1"/>
  <c r="BM546" i="1"/>
  <c r="BL546" i="1"/>
  <c r="BK546" i="1"/>
  <c r="BJ546" i="1"/>
  <c r="BI546" i="1"/>
  <c r="BH546" i="1"/>
  <c r="BG546" i="1"/>
  <c r="BF546" i="1"/>
  <c r="BM545" i="1"/>
  <c r="BL545" i="1"/>
  <c r="BK545" i="1"/>
  <c r="BJ545" i="1"/>
  <c r="BI545" i="1"/>
  <c r="BH545" i="1"/>
  <c r="BG545" i="1"/>
  <c r="BF545" i="1"/>
  <c r="BM544" i="1"/>
  <c r="BL544" i="1"/>
  <c r="BK544" i="1"/>
  <c r="BJ544" i="1"/>
  <c r="BI544" i="1"/>
  <c r="BH544" i="1"/>
  <c r="BG544" i="1"/>
  <c r="BF544" i="1"/>
  <c r="BM543" i="1"/>
  <c r="BL543" i="1"/>
  <c r="BK543" i="1"/>
  <c r="BJ543" i="1"/>
  <c r="BI543" i="1"/>
  <c r="BH543" i="1"/>
  <c r="BG543" i="1"/>
  <c r="BF543" i="1"/>
  <c r="BM542" i="1"/>
  <c r="BL542" i="1"/>
  <c r="BK542" i="1"/>
  <c r="BJ542" i="1"/>
  <c r="BI542" i="1"/>
  <c r="BH542" i="1"/>
  <c r="BG542" i="1"/>
  <c r="BF542" i="1"/>
  <c r="BM541" i="1"/>
  <c r="BL541" i="1"/>
  <c r="BK541" i="1"/>
  <c r="BJ541" i="1"/>
  <c r="BI541" i="1"/>
  <c r="BH541" i="1"/>
  <c r="BG541" i="1"/>
  <c r="BF541" i="1"/>
  <c r="BM540" i="1"/>
  <c r="BL540" i="1"/>
  <c r="BK540" i="1"/>
  <c r="BJ540" i="1"/>
  <c r="BI540" i="1"/>
  <c r="BH540" i="1"/>
  <c r="BG540" i="1"/>
  <c r="BF540" i="1"/>
  <c r="BM539" i="1"/>
  <c r="BL539" i="1"/>
  <c r="BK539" i="1"/>
  <c r="BJ539" i="1"/>
  <c r="BI539" i="1"/>
  <c r="BH539" i="1"/>
  <c r="BG539" i="1"/>
  <c r="BF539" i="1"/>
  <c r="BM538" i="1"/>
  <c r="BL538" i="1"/>
  <c r="BK538" i="1"/>
  <c r="BJ538" i="1"/>
  <c r="BI538" i="1"/>
  <c r="BH538" i="1"/>
  <c r="BG538" i="1"/>
  <c r="BF538" i="1"/>
  <c r="BM537" i="1"/>
  <c r="BL537" i="1"/>
  <c r="BK537" i="1"/>
  <c r="BJ537" i="1"/>
  <c r="BI537" i="1"/>
  <c r="BH537" i="1"/>
  <c r="BG537" i="1"/>
  <c r="BF537" i="1"/>
  <c r="BM536" i="1"/>
  <c r="BL536" i="1"/>
  <c r="BK536" i="1"/>
  <c r="BJ536" i="1"/>
  <c r="BI536" i="1"/>
  <c r="BH536" i="1"/>
  <c r="BG536" i="1"/>
  <c r="BF536" i="1"/>
  <c r="BM535" i="1"/>
  <c r="BL535" i="1"/>
  <c r="BK535" i="1"/>
  <c r="BJ535" i="1"/>
  <c r="BI535" i="1"/>
  <c r="BH535" i="1"/>
  <c r="BG535" i="1"/>
  <c r="BF535" i="1"/>
  <c r="BM534" i="1"/>
  <c r="BL534" i="1"/>
  <c r="BK534" i="1"/>
  <c r="BJ534" i="1"/>
  <c r="BI534" i="1"/>
  <c r="BH534" i="1"/>
  <c r="BG534" i="1"/>
  <c r="BF534" i="1"/>
  <c r="BM533" i="1"/>
  <c r="BL533" i="1"/>
  <c r="BK533" i="1"/>
  <c r="BJ533" i="1"/>
  <c r="BI533" i="1"/>
  <c r="BH533" i="1"/>
  <c r="BG533" i="1"/>
  <c r="BF533" i="1"/>
  <c r="BM532" i="1"/>
  <c r="BL532" i="1"/>
  <c r="BK532" i="1"/>
  <c r="BJ532" i="1"/>
  <c r="BI532" i="1"/>
  <c r="BH532" i="1"/>
  <c r="BG532" i="1"/>
  <c r="BF532" i="1"/>
  <c r="BM531" i="1"/>
  <c r="BL531" i="1"/>
  <c r="BK531" i="1"/>
  <c r="BJ531" i="1"/>
  <c r="BI531" i="1"/>
  <c r="BH531" i="1"/>
  <c r="BG531" i="1"/>
  <c r="BF531" i="1"/>
  <c r="BM530" i="1"/>
  <c r="BL530" i="1"/>
  <c r="BK530" i="1"/>
  <c r="BJ530" i="1"/>
  <c r="BI530" i="1"/>
  <c r="BH530" i="1"/>
  <c r="BG530" i="1"/>
  <c r="BF530" i="1"/>
  <c r="BM529" i="1"/>
  <c r="BL529" i="1"/>
  <c r="BK529" i="1"/>
  <c r="BJ529" i="1"/>
  <c r="BI529" i="1"/>
  <c r="BH529" i="1"/>
  <c r="BG529" i="1"/>
  <c r="BF529" i="1"/>
  <c r="BM528" i="1"/>
  <c r="BL528" i="1"/>
  <c r="BK528" i="1"/>
  <c r="BJ528" i="1"/>
  <c r="BI528" i="1"/>
  <c r="BH528" i="1"/>
  <c r="BG528" i="1"/>
  <c r="BF528" i="1"/>
  <c r="BM527" i="1"/>
  <c r="BL527" i="1"/>
  <c r="BK527" i="1"/>
  <c r="BJ527" i="1"/>
  <c r="BI527" i="1"/>
  <c r="BH527" i="1"/>
  <c r="BG527" i="1"/>
  <c r="BF527" i="1"/>
  <c r="BM526" i="1"/>
  <c r="BL526" i="1"/>
  <c r="BK526" i="1"/>
  <c r="BJ526" i="1"/>
  <c r="BI526" i="1"/>
  <c r="BH526" i="1"/>
  <c r="BG526" i="1"/>
  <c r="BF526" i="1"/>
  <c r="BM525" i="1"/>
  <c r="BL525" i="1"/>
  <c r="BK525" i="1"/>
  <c r="BJ525" i="1"/>
  <c r="BI525" i="1"/>
  <c r="BH525" i="1"/>
  <c r="BG525" i="1"/>
  <c r="BF525" i="1"/>
  <c r="BM524" i="1"/>
  <c r="BL524" i="1"/>
  <c r="BK524" i="1"/>
  <c r="BJ524" i="1"/>
  <c r="BI524" i="1"/>
  <c r="BH524" i="1"/>
  <c r="BG524" i="1"/>
  <c r="BF524" i="1"/>
  <c r="BM523" i="1"/>
  <c r="BL523" i="1"/>
  <c r="BK523" i="1"/>
  <c r="BJ523" i="1"/>
  <c r="BI523" i="1"/>
  <c r="BH523" i="1"/>
  <c r="BG523" i="1"/>
  <c r="BF523" i="1"/>
  <c r="BM522" i="1"/>
  <c r="BL522" i="1"/>
  <c r="BK522" i="1"/>
  <c r="BJ522" i="1"/>
  <c r="BI522" i="1"/>
  <c r="BH522" i="1"/>
  <c r="BG522" i="1"/>
  <c r="BF522" i="1"/>
  <c r="BM521" i="1"/>
  <c r="BL521" i="1"/>
  <c r="BK521" i="1"/>
  <c r="BJ521" i="1"/>
  <c r="BI521" i="1"/>
  <c r="BH521" i="1"/>
  <c r="BG521" i="1"/>
  <c r="BF521" i="1"/>
  <c r="BM520" i="1"/>
  <c r="BL520" i="1"/>
  <c r="BK520" i="1"/>
  <c r="BJ520" i="1"/>
  <c r="BI520" i="1"/>
  <c r="BH520" i="1"/>
  <c r="BG520" i="1"/>
  <c r="BF520" i="1"/>
  <c r="BM519" i="1"/>
  <c r="BL519" i="1"/>
  <c r="BK519" i="1"/>
  <c r="BJ519" i="1"/>
  <c r="BI519" i="1"/>
  <c r="BH519" i="1"/>
  <c r="BG519" i="1"/>
  <c r="BF519" i="1"/>
  <c r="BM518" i="1"/>
  <c r="BL518" i="1"/>
  <c r="BK518" i="1"/>
  <c r="BJ518" i="1"/>
  <c r="BI518" i="1"/>
  <c r="BH518" i="1"/>
  <c r="BG518" i="1"/>
  <c r="BF518" i="1"/>
  <c r="BM517" i="1"/>
  <c r="BL517" i="1"/>
  <c r="BK517" i="1"/>
  <c r="BJ517" i="1"/>
  <c r="BI517" i="1"/>
  <c r="BH517" i="1"/>
  <c r="BG517" i="1"/>
  <c r="BF517" i="1"/>
  <c r="BM516" i="1"/>
  <c r="BL516" i="1"/>
  <c r="BK516" i="1"/>
  <c r="BJ516" i="1"/>
  <c r="BI516" i="1"/>
  <c r="BH516" i="1"/>
  <c r="BG516" i="1"/>
  <c r="BF516" i="1"/>
  <c r="BM515" i="1"/>
  <c r="BL515" i="1"/>
  <c r="BK515" i="1"/>
  <c r="BJ515" i="1"/>
  <c r="BI515" i="1"/>
  <c r="BH515" i="1"/>
  <c r="BG515" i="1"/>
  <c r="BF515" i="1"/>
  <c r="BM514" i="1"/>
  <c r="BL514" i="1"/>
  <c r="BK514" i="1"/>
  <c r="BJ514" i="1"/>
  <c r="BI514" i="1"/>
  <c r="BH514" i="1"/>
  <c r="BG514" i="1"/>
  <c r="BF514" i="1"/>
  <c r="BM513" i="1"/>
  <c r="BL513" i="1"/>
  <c r="BK513" i="1"/>
  <c r="BJ513" i="1"/>
  <c r="BI513" i="1"/>
  <c r="BH513" i="1"/>
  <c r="BG513" i="1"/>
  <c r="BF513" i="1"/>
  <c r="BM512" i="1"/>
  <c r="BL512" i="1"/>
  <c r="BK512" i="1"/>
  <c r="BJ512" i="1"/>
  <c r="BI512" i="1"/>
  <c r="BH512" i="1"/>
  <c r="BG512" i="1"/>
  <c r="BF512" i="1"/>
  <c r="BM511" i="1"/>
  <c r="BL511" i="1"/>
  <c r="BK511" i="1"/>
  <c r="BJ511" i="1"/>
  <c r="BI511" i="1"/>
  <c r="BH511" i="1"/>
  <c r="BG511" i="1"/>
  <c r="BF511" i="1"/>
  <c r="BM510" i="1"/>
  <c r="BL510" i="1"/>
  <c r="BK510" i="1"/>
  <c r="BJ510" i="1"/>
  <c r="BI510" i="1"/>
  <c r="BH510" i="1"/>
  <c r="BG510" i="1"/>
  <c r="BF510" i="1"/>
  <c r="BM509" i="1"/>
  <c r="BL509" i="1"/>
  <c r="BK509" i="1"/>
  <c r="BJ509" i="1"/>
  <c r="BI509" i="1"/>
  <c r="BH509" i="1"/>
  <c r="BG509" i="1"/>
  <c r="BF509" i="1"/>
  <c r="BM508" i="1"/>
  <c r="BL508" i="1"/>
  <c r="BK508" i="1"/>
  <c r="BJ508" i="1"/>
  <c r="BI508" i="1"/>
  <c r="BH508" i="1"/>
  <c r="BG508" i="1"/>
  <c r="BF508" i="1"/>
  <c r="BM507" i="1"/>
  <c r="BL507" i="1"/>
  <c r="BK507" i="1"/>
  <c r="BJ507" i="1"/>
  <c r="BI507" i="1"/>
  <c r="BH507" i="1"/>
  <c r="BG507" i="1"/>
  <c r="BF507" i="1"/>
  <c r="BM506" i="1"/>
  <c r="BL506" i="1"/>
  <c r="BK506" i="1"/>
  <c r="BJ506" i="1"/>
  <c r="BI506" i="1"/>
  <c r="BH506" i="1"/>
  <c r="BG506" i="1"/>
  <c r="BF506" i="1"/>
  <c r="BM505" i="1"/>
  <c r="BL505" i="1"/>
  <c r="BK505" i="1"/>
  <c r="BJ505" i="1"/>
  <c r="BI505" i="1"/>
  <c r="BH505" i="1"/>
  <c r="BG505" i="1"/>
  <c r="BF505" i="1"/>
  <c r="BM504" i="1"/>
  <c r="BL504" i="1"/>
  <c r="BK504" i="1"/>
  <c r="BJ504" i="1"/>
  <c r="BI504" i="1"/>
  <c r="BH504" i="1"/>
  <c r="BG504" i="1"/>
  <c r="BF504" i="1"/>
  <c r="BM503" i="1"/>
  <c r="BL503" i="1"/>
  <c r="BK503" i="1"/>
  <c r="BJ503" i="1"/>
  <c r="BI503" i="1"/>
  <c r="BH503" i="1"/>
  <c r="BG503" i="1"/>
  <c r="BF503" i="1"/>
  <c r="BM502" i="1"/>
  <c r="BL502" i="1"/>
  <c r="BK502" i="1"/>
  <c r="BJ502" i="1"/>
  <c r="BI502" i="1"/>
  <c r="BH502" i="1"/>
  <c r="BG502" i="1"/>
  <c r="BF502" i="1"/>
  <c r="BM501" i="1"/>
  <c r="BL501" i="1"/>
  <c r="BK501" i="1"/>
  <c r="BJ501" i="1"/>
  <c r="BI501" i="1"/>
  <c r="BH501" i="1"/>
  <c r="BG501" i="1"/>
  <c r="BF501" i="1"/>
  <c r="BM500" i="1"/>
  <c r="BL500" i="1"/>
  <c r="BK500" i="1"/>
  <c r="BJ500" i="1"/>
  <c r="BI500" i="1"/>
  <c r="BH500" i="1"/>
  <c r="BG500" i="1"/>
  <c r="BF500" i="1"/>
  <c r="BM499" i="1"/>
  <c r="BL499" i="1"/>
  <c r="BK499" i="1"/>
  <c r="BJ499" i="1"/>
  <c r="BI499" i="1"/>
  <c r="BH499" i="1"/>
  <c r="BG499" i="1"/>
  <c r="BF499" i="1"/>
  <c r="BM498" i="1"/>
  <c r="BL498" i="1"/>
  <c r="BK498" i="1"/>
  <c r="BJ498" i="1"/>
  <c r="BI498" i="1"/>
  <c r="BH498" i="1"/>
  <c r="BG498" i="1"/>
  <c r="BF498" i="1"/>
  <c r="BM497" i="1"/>
  <c r="BL497" i="1"/>
  <c r="BK497" i="1"/>
  <c r="BJ497" i="1"/>
  <c r="BI497" i="1"/>
  <c r="BH497" i="1"/>
  <c r="BG497" i="1"/>
  <c r="BF497" i="1"/>
  <c r="BM496" i="1"/>
  <c r="BL496" i="1"/>
  <c r="BK496" i="1"/>
  <c r="BJ496" i="1"/>
  <c r="BI496" i="1"/>
  <c r="BH496" i="1"/>
  <c r="BG496" i="1"/>
  <c r="BF496" i="1"/>
  <c r="BM495" i="1"/>
  <c r="BL495" i="1"/>
  <c r="BK495" i="1"/>
  <c r="BJ495" i="1"/>
  <c r="BI495" i="1"/>
  <c r="BH495" i="1"/>
  <c r="BG495" i="1"/>
  <c r="BF495" i="1"/>
  <c r="BM494" i="1"/>
  <c r="BL494" i="1"/>
  <c r="BK494" i="1"/>
  <c r="BJ494" i="1"/>
  <c r="BI494" i="1"/>
  <c r="BH494" i="1"/>
  <c r="BG494" i="1"/>
  <c r="BF494" i="1"/>
  <c r="BM493" i="1"/>
  <c r="BL493" i="1"/>
  <c r="BK493" i="1"/>
  <c r="BJ493" i="1"/>
  <c r="BI493" i="1"/>
  <c r="BH493" i="1"/>
  <c r="BG493" i="1"/>
  <c r="BF493" i="1"/>
  <c r="BM492" i="1"/>
  <c r="BL492" i="1"/>
  <c r="BK492" i="1"/>
  <c r="BJ492" i="1"/>
  <c r="BI492" i="1"/>
  <c r="BH492" i="1"/>
  <c r="BG492" i="1"/>
  <c r="BF492" i="1"/>
  <c r="BM491" i="1"/>
  <c r="BL491" i="1"/>
  <c r="BK491" i="1"/>
  <c r="BJ491" i="1"/>
  <c r="BI491" i="1"/>
  <c r="BH491" i="1"/>
  <c r="BG491" i="1"/>
  <c r="BF491" i="1"/>
  <c r="BM490" i="1"/>
  <c r="BL490" i="1"/>
  <c r="BK490" i="1"/>
  <c r="BJ490" i="1"/>
  <c r="BI490" i="1"/>
  <c r="BH490" i="1"/>
  <c r="BG490" i="1"/>
  <c r="BF490" i="1"/>
  <c r="BM489" i="1"/>
  <c r="BL489" i="1"/>
  <c r="BK489" i="1"/>
  <c r="BJ489" i="1"/>
  <c r="BI489" i="1"/>
  <c r="BH489" i="1"/>
  <c r="BG489" i="1"/>
  <c r="BF489" i="1"/>
  <c r="BM488" i="1"/>
  <c r="BL488" i="1"/>
  <c r="BK488" i="1"/>
  <c r="BJ488" i="1"/>
  <c r="BI488" i="1"/>
  <c r="BH488" i="1"/>
  <c r="BG488" i="1"/>
  <c r="BF488" i="1"/>
  <c r="BM487" i="1"/>
  <c r="BL487" i="1"/>
  <c r="BK487" i="1"/>
  <c r="BJ487" i="1"/>
  <c r="BI487" i="1"/>
  <c r="BH487" i="1"/>
  <c r="BG487" i="1"/>
  <c r="BF487" i="1"/>
  <c r="BM486" i="1"/>
  <c r="BL486" i="1"/>
  <c r="BK486" i="1"/>
  <c r="BJ486" i="1"/>
  <c r="BI486" i="1"/>
  <c r="BH486" i="1"/>
  <c r="BG486" i="1"/>
  <c r="BF486" i="1"/>
  <c r="BM485" i="1"/>
  <c r="BL485" i="1"/>
  <c r="BK485" i="1"/>
  <c r="BJ485" i="1"/>
  <c r="BI485" i="1"/>
  <c r="BH485" i="1"/>
  <c r="BG485" i="1"/>
  <c r="BF485" i="1"/>
  <c r="BM484" i="1"/>
  <c r="BL484" i="1"/>
  <c r="BK484" i="1"/>
  <c r="BJ484" i="1"/>
  <c r="BI484" i="1"/>
  <c r="BH484" i="1"/>
  <c r="BG484" i="1"/>
  <c r="BF484" i="1"/>
  <c r="BM483" i="1"/>
  <c r="BL483" i="1"/>
  <c r="BK483" i="1"/>
  <c r="BJ483" i="1"/>
  <c r="BI483" i="1"/>
  <c r="BH483" i="1"/>
  <c r="BG483" i="1"/>
  <c r="BF483" i="1"/>
  <c r="BM482" i="1"/>
  <c r="BL482" i="1"/>
  <c r="BK482" i="1"/>
  <c r="BJ482" i="1"/>
  <c r="BI482" i="1"/>
  <c r="BH482" i="1"/>
  <c r="BG482" i="1"/>
  <c r="BF482" i="1"/>
  <c r="BM481" i="1"/>
  <c r="BL481" i="1"/>
  <c r="BK481" i="1"/>
  <c r="BJ481" i="1"/>
  <c r="BI481" i="1"/>
  <c r="BH481" i="1"/>
  <c r="BG481" i="1"/>
  <c r="BF481" i="1"/>
  <c r="BM480" i="1"/>
  <c r="BL480" i="1"/>
  <c r="BK480" i="1"/>
  <c r="BJ480" i="1"/>
  <c r="BI480" i="1"/>
  <c r="BH480" i="1"/>
  <c r="BG480" i="1"/>
  <c r="BF480" i="1"/>
  <c r="BM479" i="1"/>
  <c r="BL479" i="1"/>
  <c r="BK479" i="1"/>
  <c r="BJ479" i="1"/>
  <c r="BI479" i="1"/>
  <c r="BH479" i="1"/>
  <c r="BG479" i="1"/>
  <c r="BF479" i="1"/>
  <c r="BM478" i="1"/>
  <c r="BL478" i="1"/>
  <c r="BK478" i="1"/>
  <c r="BJ478" i="1"/>
  <c r="BI478" i="1"/>
  <c r="BH478" i="1"/>
  <c r="BG478" i="1"/>
  <c r="BF478" i="1"/>
  <c r="BM477" i="1"/>
  <c r="BL477" i="1"/>
  <c r="BK477" i="1"/>
  <c r="BJ477" i="1"/>
  <c r="BI477" i="1"/>
  <c r="BH477" i="1"/>
  <c r="BG477" i="1"/>
  <c r="BF477" i="1"/>
  <c r="BM476" i="1"/>
  <c r="BL476" i="1"/>
  <c r="BK476" i="1"/>
  <c r="BJ476" i="1"/>
  <c r="BI476" i="1"/>
  <c r="BH476" i="1"/>
  <c r="BG476" i="1"/>
  <c r="BF476" i="1"/>
  <c r="BM475" i="1"/>
  <c r="BL475" i="1"/>
  <c r="BK475" i="1"/>
  <c r="BJ475" i="1"/>
  <c r="BI475" i="1"/>
  <c r="BH475" i="1"/>
  <c r="BG475" i="1"/>
  <c r="BF475" i="1"/>
  <c r="BM474" i="1"/>
  <c r="BL474" i="1"/>
  <c r="BK474" i="1"/>
  <c r="BJ474" i="1"/>
  <c r="BI474" i="1"/>
  <c r="BH474" i="1"/>
  <c r="BG474" i="1"/>
  <c r="BF474" i="1"/>
  <c r="BM473" i="1"/>
  <c r="BL473" i="1"/>
  <c r="BK473" i="1"/>
  <c r="BJ473" i="1"/>
  <c r="BI473" i="1"/>
  <c r="BH473" i="1"/>
  <c r="BG473" i="1"/>
  <c r="BF473" i="1"/>
  <c r="BM472" i="1"/>
  <c r="BL472" i="1"/>
  <c r="BK472" i="1"/>
  <c r="BJ472" i="1"/>
  <c r="BI472" i="1"/>
  <c r="BH472" i="1"/>
  <c r="BG472" i="1"/>
  <c r="BF472" i="1"/>
  <c r="BM471" i="1"/>
  <c r="BL471" i="1"/>
  <c r="BK471" i="1"/>
  <c r="BJ471" i="1"/>
  <c r="BI471" i="1"/>
  <c r="BH471" i="1"/>
  <c r="BG471" i="1"/>
  <c r="BF471" i="1"/>
  <c r="BM470" i="1"/>
  <c r="BL470" i="1"/>
  <c r="BK470" i="1"/>
  <c r="BJ470" i="1"/>
  <c r="BI470" i="1"/>
  <c r="BH470" i="1"/>
  <c r="BG470" i="1"/>
  <c r="BF470" i="1"/>
  <c r="BM469" i="1"/>
  <c r="BL469" i="1"/>
  <c r="BK469" i="1"/>
  <c r="BJ469" i="1"/>
  <c r="BI469" i="1"/>
  <c r="BH469" i="1"/>
  <c r="BG469" i="1"/>
  <c r="BF469" i="1"/>
  <c r="BM468" i="1"/>
  <c r="BL468" i="1"/>
  <c r="BK468" i="1"/>
  <c r="BJ468" i="1"/>
  <c r="BI468" i="1"/>
  <c r="BH468" i="1"/>
  <c r="BG468" i="1"/>
  <c r="BF468" i="1"/>
  <c r="BM467" i="1"/>
  <c r="BL467" i="1"/>
  <c r="BK467" i="1"/>
  <c r="BJ467" i="1"/>
  <c r="BI467" i="1"/>
  <c r="BH467" i="1"/>
  <c r="BG467" i="1"/>
  <c r="BF467" i="1"/>
  <c r="BM466" i="1"/>
  <c r="BL466" i="1"/>
  <c r="BK466" i="1"/>
  <c r="BJ466" i="1"/>
  <c r="BI466" i="1"/>
  <c r="BH466" i="1"/>
  <c r="BG466" i="1"/>
  <c r="BF466" i="1"/>
  <c r="BM465" i="1"/>
  <c r="BL465" i="1"/>
  <c r="BK465" i="1"/>
  <c r="BJ465" i="1"/>
  <c r="BI465" i="1"/>
  <c r="BH465" i="1"/>
  <c r="BG465" i="1"/>
  <c r="BF465" i="1"/>
  <c r="BM464" i="1"/>
  <c r="BL464" i="1"/>
  <c r="BK464" i="1"/>
  <c r="BJ464" i="1"/>
  <c r="BI464" i="1"/>
  <c r="BH464" i="1"/>
  <c r="BG464" i="1"/>
  <c r="BF464" i="1"/>
  <c r="BM463" i="1"/>
  <c r="BL463" i="1"/>
  <c r="BK463" i="1"/>
  <c r="BJ463" i="1"/>
  <c r="BI463" i="1"/>
  <c r="BH463" i="1"/>
  <c r="BG463" i="1"/>
  <c r="BF463" i="1"/>
  <c r="BM462" i="1"/>
  <c r="BL462" i="1"/>
  <c r="BK462" i="1"/>
  <c r="BJ462" i="1"/>
  <c r="BI462" i="1"/>
  <c r="BH462" i="1"/>
  <c r="BG462" i="1"/>
  <c r="BF462" i="1"/>
  <c r="BM461" i="1"/>
  <c r="BL461" i="1"/>
  <c r="BK461" i="1"/>
  <c r="BJ461" i="1"/>
  <c r="BI461" i="1"/>
  <c r="BH461" i="1"/>
  <c r="BG461" i="1"/>
  <c r="BF461" i="1"/>
  <c r="BM460" i="1"/>
  <c r="BL460" i="1"/>
  <c r="BK460" i="1"/>
  <c r="BJ460" i="1"/>
  <c r="BI460" i="1"/>
  <c r="BH460" i="1"/>
  <c r="BG460" i="1"/>
  <c r="BF460" i="1"/>
  <c r="BM459" i="1"/>
  <c r="BL459" i="1"/>
  <c r="BK459" i="1"/>
  <c r="BJ459" i="1"/>
  <c r="BI459" i="1"/>
  <c r="BH459" i="1"/>
  <c r="BG459" i="1"/>
  <c r="BF459" i="1"/>
  <c r="BM458" i="1"/>
  <c r="BL458" i="1"/>
  <c r="BK458" i="1"/>
  <c r="BJ458" i="1"/>
  <c r="BI458" i="1"/>
  <c r="BH458" i="1"/>
  <c r="BG458" i="1"/>
  <c r="BF458" i="1"/>
  <c r="BM457" i="1"/>
  <c r="BL457" i="1"/>
  <c r="BK457" i="1"/>
  <c r="BJ457" i="1"/>
  <c r="BI457" i="1"/>
  <c r="BH457" i="1"/>
  <c r="BG457" i="1"/>
  <c r="BF457" i="1"/>
  <c r="BM456" i="1"/>
  <c r="BL456" i="1"/>
  <c r="BK456" i="1"/>
  <c r="BJ456" i="1"/>
  <c r="BI456" i="1"/>
  <c r="BH456" i="1"/>
  <c r="BG456" i="1"/>
  <c r="BF456" i="1"/>
  <c r="BM455" i="1"/>
  <c r="BL455" i="1"/>
  <c r="BK455" i="1"/>
  <c r="BJ455" i="1"/>
  <c r="BI455" i="1"/>
  <c r="BH455" i="1"/>
  <c r="BG455" i="1"/>
  <c r="BF455" i="1"/>
  <c r="BM454" i="1"/>
  <c r="BL454" i="1"/>
  <c r="BK454" i="1"/>
  <c r="BJ454" i="1"/>
  <c r="BI454" i="1"/>
  <c r="BH454" i="1"/>
  <c r="BG454" i="1"/>
  <c r="BF454" i="1"/>
  <c r="BM453" i="1"/>
  <c r="BL453" i="1"/>
  <c r="BK453" i="1"/>
  <c r="BJ453" i="1"/>
  <c r="BI453" i="1"/>
  <c r="BH453" i="1"/>
  <c r="BG453" i="1"/>
  <c r="BF453" i="1"/>
  <c r="BM452" i="1"/>
  <c r="BL452" i="1"/>
  <c r="BK452" i="1"/>
  <c r="BJ452" i="1"/>
  <c r="BI452" i="1"/>
  <c r="BH452" i="1"/>
  <c r="BG452" i="1"/>
  <c r="BF452" i="1"/>
  <c r="BM451" i="1"/>
  <c r="BL451" i="1"/>
  <c r="BK451" i="1"/>
  <c r="BJ451" i="1"/>
  <c r="BI451" i="1"/>
  <c r="BH451" i="1"/>
  <c r="BG451" i="1"/>
  <c r="BF451" i="1"/>
  <c r="BM450" i="1"/>
  <c r="BL450" i="1"/>
  <c r="BK450" i="1"/>
  <c r="BJ450" i="1"/>
  <c r="BI450" i="1"/>
  <c r="BH450" i="1"/>
  <c r="BG450" i="1"/>
  <c r="BF450" i="1"/>
  <c r="BM449" i="1"/>
  <c r="BL449" i="1"/>
  <c r="BK449" i="1"/>
  <c r="BJ449" i="1"/>
  <c r="BI449" i="1"/>
  <c r="BH449" i="1"/>
  <c r="BG449" i="1"/>
  <c r="BF449" i="1"/>
  <c r="BM448" i="1"/>
  <c r="BL448" i="1"/>
  <c r="BK448" i="1"/>
  <c r="BJ448" i="1"/>
  <c r="BI448" i="1"/>
  <c r="BH448" i="1"/>
  <c r="BG448" i="1"/>
  <c r="BF448" i="1"/>
  <c r="BM447" i="1"/>
  <c r="BL447" i="1"/>
  <c r="BK447" i="1"/>
  <c r="BJ447" i="1"/>
  <c r="BI447" i="1"/>
  <c r="BH447" i="1"/>
  <c r="BG447" i="1"/>
  <c r="BF447" i="1"/>
  <c r="BM446" i="1"/>
  <c r="BL446" i="1"/>
  <c r="BK446" i="1"/>
  <c r="BJ446" i="1"/>
  <c r="BI446" i="1"/>
  <c r="BH446" i="1"/>
  <c r="BG446" i="1"/>
  <c r="BF446" i="1"/>
  <c r="BM445" i="1"/>
  <c r="BL445" i="1"/>
  <c r="BK445" i="1"/>
  <c r="BJ445" i="1"/>
  <c r="BI445" i="1"/>
  <c r="BH445" i="1"/>
  <c r="BG445" i="1"/>
  <c r="BF445" i="1"/>
  <c r="BM444" i="1"/>
  <c r="BL444" i="1"/>
  <c r="BK444" i="1"/>
  <c r="BJ444" i="1"/>
  <c r="BI444" i="1"/>
  <c r="BH444" i="1"/>
  <c r="BG444" i="1"/>
  <c r="BF444" i="1"/>
  <c r="BM443" i="1"/>
  <c r="BL443" i="1"/>
  <c r="BK443" i="1"/>
  <c r="BJ443" i="1"/>
  <c r="BI443" i="1"/>
  <c r="BH443" i="1"/>
  <c r="BG443" i="1"/>
  <c r="BF443" i="1"/>
  <c r="BM442" i="1"/>
  <c r="BL442" i="1"/>
  <c r="BK442" i="1"/>
  <c r="BJ442" i="1"/>
  <c r="BI442" i="1"/>
  <c r="BH442" i="1"/>
  <c r="BG442" i="1"/>
  <c r="BF442" i="1"/>
  <c r="BM441" i="1"/>
  <c r="BL441" i="1"/>
  <c r="BK441" i="1"/>
  <c r="BJ441" i="1"/>
  <c r="BI441" i="1"/>
  <c r="BH441" i="1"/>
  <c r="BG441" i="1"/>
  <c r="BF441" i="1"/>
  <c r="BM440" i="1"/>
  <c r="BL440" i="1"/>
  <c r="BK440" i="1"/>
  <c r="BJ440" i="1"/>
  <c r="BI440" i="1"/>
  <c r="BH440" i="1"/>
  <c r="BG440" i="1"/>
  <c r="BF440" i="1"/>
  <c r="BM439" i="1"/>
  <c r="BL439" i="1"/>
  <c r="BK439" i="1"/>
  <c r="BJ439" i="1"/>
  <c r="BI439" i="1"/>
  <c r="BH439" i="1"/>
  <c r="BG439" i="1"/>
  <c r="BF439" i="1"/>
  <c r="BM438" i="1"/>
  <c r="BL438" i="1"/>
  <c r="BK438" i="1"/>
  <c r="BJ438" i="1"/>
  <c r="BI438" i="1"/>
  <c r="BH438" i="1"/>
  <c r="BG438" i="1"/>
  <c r="BF438" i="1"/>
  <c r="BM437" i="1"/>
  <c r="BL437" i="1"/>
  <c r="BK437" i="1"/>
  <c r="BJ437" i="1"/>
  <c r="BI437" i="1"/>
  <c r="BH437" i="1"/>
  <c r="BG437" i="1"/>
  <c r="BF437" i="1"/>
  <c r="BM436" i="1"/>
  <c r="BL436" i="1"/>
  <c r="BK436" i="1"/>
  <c r="BJ436" i="1"/>
  <c r="BI436" i="1"/>
  <c r="BH436" i="1"/>
  <c r="BG436" i="1"/>
  <c r="BF436" i="1"/>
  <c r="BM435" i="1"/>
  <c r="BL435" i="1"/>
  <c r="BK435" i="1"/>
  <c r="BJ435" i="1"/>
  <c r="BI435" i="1"/>
  <c r="BH435" i="1"/>
  <c r="BG435" i="1"/>
  <c r="BF435" i="1"/>
  <c r="BM434" i="1"/>
  <c r="BL434" i="1"/>
  <c r="BK434" i="1"/>
  <c r="BJ434" i="1"/>
  <c r="BI434" i="1"/>
  <c r="BH434" i="1"/>
  <c r="BG434" i="1"/>
  <c r="BF434" i="1"/>
  <c r="BM433" i="1"/>
  <c r="BL433" i="1"/>
  <c r="BK433" i="1"/>
  <c r="BJ433" i="1"/>
  <c r="BI433" i="1"/>
  <c r="BH433" i="1"/>
  <c r="BG433" i="1"/>
  <c r="BF433" i="1"/>
  <c r="BM432" i="1"/>
  <c r="BL432" i="1"/>
  <c r="BK432" i="1"/>
  <c r="BJ432" i="1"/>
  <c r="BI432" i="1"/>
  <c r="BH432" i="1"/>
  <c r="BG432" i="1"/>
  <c r="BF432" i="1"/>
  <c r="BM431" i="1"/>
  <c r="BL431" i="1"/>
  <c r="BK431" i="1"/>
  <c r="BJ431" i="1"/>
  <c r="BI431" i="1"/>
  <c r="BH431" i="1"/>
  <c r="BG431" i="1"/>
  <c r="BF431" i="1"/>
  <c r="BM430" i="1"/>
  <c r="BL430" i="1"/>
  <c r="BK430" i="1"/>
  <c r="BJ430" i="1"/>
  <c r="BI430" i="1"/>
  <c r="BH430" i="1"/>
  <c r="BG430" i="1"/>
  <c r="BF430" i="1"/>
  <c r="BM429" i="1"/>
  <c r="BL429" i="1"/>
  <c r="BK429" i="1"/>
  <c r="BJ429" i="1"/>
  <c r="BI429" i="1"/>
  <c r="BH429" i="1"/>
  <c r="BG429" i="1"/>
  <c r="BF429" i="1"/>
  <c r="BM428" i="1"/>
  <c r="BL428" i="1"/>
  <c r="BK428" i="1"/>
  <c r="BJ428" i="1"/>
  <c r="BI428" i="1"/>
  <c r="BH428" i="1"/>
  <c r="BG428" i="1"/>
  <c r="BF428" i="1"/>
  <c r="BM427" i="1"/>
  <c r="BL427" i="1"/>
  <c r="BK427" i="1"/>
  <c r="BJ427" i="1"/>
  <c r="BI427" i="1"/>
  <c r="BH427" i="1"/>
  <c r="BG427" i="1"/>
  <c r="BF427" i="1"/>
  <c r="BM426" i="1"/>
  <c r="BL426" i="1"/>
  <c r="BK426" i="1"/>
  <c r="BJ426" i="1"/>
  <c r="BI426" i="1"/>
  <c r="BH426" i="1"/>
  <c r="BG426" i="1"/>
  <c r="BF426" i="1"/>
  <c r="BM425" i="1"/>
  <c r="BL425" i="1"/>
  <c r="BK425" i="1"/>
  <c r="BJ425" i="1"/>
  <c r="BI425" i="1"/>
  <c r="BH425" i="1"/>
  <c r="BG425" i="1"/>
  <c r="BF425" i="1"/>
  <c r="BM424" i="1"/>
  <c r="BL424" i="1"/>
  <c r="BK424" i="1"/>
  <c r="BJ424" i="1"/>
  <c r="BI424" i="1"/>
  <c r="BH424" i="1"/>
  <c r="BG424" i="1"/>
  <c r="BF424" i="1"/>
  <c r="BM423" i="1"/>
  <c r="BL423" i="1"/>
  <c r="BK423" i="1"/>
  <c r="BJ423" i="1"/>
  <c r="BI423" i="1"/>
  <c r="BH423" i="1"/>
  <c r="BG423" i="1"/>
  <c r="BF423" i="1"/>
  <c r="BM422" i="1"/>
  <c r="BL422" i="1"/>
  <c r="BK422" i="1"/>
  <c r="BJ422" i="1"/>
  <c r="BI422" i="1"/>
  <c r="BH422" i="1"/>
  <c r="BG422" i="1"/>
  <c r="BF422" i="1"/>
  <c r="BM421" i="1"/>
  <c r="BL421" i="1"/>
  <c r="BK421" i="1"/>
  <c r="BJ421" i="1"/>
  <c r="BI421" i="1"/>
  <c r="BH421" i="1"/>
  <c r="BG421" i="1"/>
  <c r="BF421" i="1"/>
  <c r="BM420" i="1"/>
  <c r="BL420" i="1"/>
  <c r="BK420" i="1"/>
  <c r="BJ420" i="1"/>
  <c r="BI420" i="1"/>
  <c r="BH420" i="1"/>
  <c r="BG420" i="1"/>
  <c r="BF420" i="1"/>
  <c r="BM419" i="1"/>
  <c r="BL419" i="1"/>
  <c r="BK419" i="1"/>
  <c r="BJ419" i="1"/>
  <c r="BI419" i="1"/>
  <c r="BH419" i="1"/>
  <c r="BG419" i="1"/>
  <c r="BF419" i="1"/>
  <c r="BM418" i="1"/>
  <c r="BL418" i="1"/>
  <c r="BK418" i="1"/>
  <c r="BJ418" i="1"/>
  <c r="BI418" i="1"/>
  <c r="BH418" i="1"/>
  <c r="BG418" i="1"/>
  <c r="BF418" i="1"/>
  <c r="BM417" i="1"/>
  <c r="BL417" i="1"/>
  <c r="BK417" i="1"/>
  <c r="BJ417" i="1"/>
  <c r="BI417" i="1"/>
  <c r="BH417" i="1"/>
  <c r="BG417" i="1"/>
  <c r="BF417" i="1"/>
  <c r="BM416" i="1"/>
  <c r="BL416" i="1"/>
  <c r="BK416" i="1"/>
  <c r="BJ416" i="1"/>
  <c r="BI416" i="1"/>
  <c r="BH416" i="1"/>
  <c r="BG416" i="1"/>
  <c r="BF416" i="1"/>
  <c r="BM415" i="1"/>
  <c r="BL415" i="1"/>
  <c r="BK415" i="1"/>
  <c r="BJ415" i="1"/>
  <c r="BI415" i="1"/>
  <c r="BH415" i="1"/>
  <c r="BG415" i="1"/>
  <c r="BF415" i="1"/>
  <c r="BM414" i="1"/>
  <c r="BL414" i="1"/>
  <c r="BK414" i="1"/>
  <c r="BJ414" i="1"/>
  <c r="BI414" i="1"/>
  <c r="BH414" i="1"/>
  <c r="BG414" i="1"/>
  <c r="BF414" i="1"/>
  <c r="BM413" i="1"/>
  <c r="BL413" i="1"/>
  <c r="BK413" i="1"/>
  <c r="BJ413" i="1"/>
  <c r="BI413" i="1"/>
  <c r="BH413" i="1"/>
  <c r="BG413" i="1"/>
  <c r="BF413" i="1"/>
  <c r="BM412" i="1"/>
  <c r="BL412" i="1"/>
  <c r="BK412" i="1"/>
  <c r="BJ412" i="1"/>
  <c r="BI412" i="1"/>
  <c r="BH412" i="1"/>
  <c r="BG412" i="1"/>
  <c r="BF412" i="1"/>
  <c r="BM411" i="1"/>
  <c r="BL411" i="1"/>
  <c r="BK411" i="1"/>
  <c r="BJ411" i="1"/>
  <c r="BI411" i="1"/>
  <c r="BH411" i="1"/>
  <c r="BG411" i="1"/>
  <c r="BF411" i="1"/>
  <c r="BM410" i="1"/>
  <c r="BL410" i="1"/>
  <c r="BK410" i="1"/>
  <c r="BJ410" i="1"/>
  <c r="BI410" i="1"/>
  <c r="BH410" i="1"/>
  <c r="BG410" i="1"/>
  <c r="BF410" i="1"/>
  <c r="BM409" i="1"/>
  <c r="BL409" i="1"/>
  <c r="BK409" i="1"/>
  <c r="BJ409" i="1"/>
  <c r="BI409" i="1"/>
  <c r="BH409" i="1"/>
  <c r="BG409" i="1"/>
  <c r="BF409" i="1"/>
  <c r="BM408" i="1"/>
  <c r="BL408" i="1"/>
  <c r="BK408" i="1"/>
  <c r="BJ408" i="1"/>
  <c r="BI408" i="1"/>
  <c r="BH408" i="1"/>
  <c r="BG408" i="1"/>
  <c r="BF408" i="1"/>
  <c r="BM407" i="1"/>
  <c r="BL407" i="1"/>
  <c r="BK407" i="1"/>
  <c r="BJ407" i="1"/>
  <c r="BI407" i="1"/>
  <c r="BH407" i="1"/>
  <c r="BG407" i="1"/>
  <c r="BF407" i="1"/>
  <c r="BM406" i="1"/>
  <c r="BL406" i="1"/>
  <c r="BK406" i="1"/>
  <c r="BJ406" i="1"/>
  <c r="BI406" i="1"/>
  <c r="BH406" i="1"/>
  <c r="BG406" i="1"/>
  <c r="BF406" i="1"/>
  <c r="BM405" i="1"/>
  <c r="BL405" i="1"/>
  <c r="BK405" i="1"/>
  <c r="BJ405" i="1"/>
  <c r="BI405" i="1"/>
  <c r="BH405" i="1"/>
  <c r="BG405" i="1"/>
  <c r="BF405" i="1"/>
  <c r="BM404" i="1"/>
  <c r="BL404" i="1"/>
  <c r="BK404" i="1"/>
  <c r="BJ404" i="1"/>
  <c r="BI404" i="1"/>
  <c r="BH404" i="1"/>
  <c r="BG404" i="1"/>
  <c r="BF404" i="1"/>
  <c r="BM403" i="1"/>
  <c r="BL403" i="1"/>
  <c r="BK403" i="1"/>
  <c r="BJ403" i="1"/>
  <c r="BI403" i="1"/>
  <c r="BH403" i="1"/>
  <c r="BG403" i="1"/>
  <c r="BF403" i="1"/>
  <c r="BM402" i="1"/>
  <c r="BL402" i="1"/>
  <c r="BK402" i="1"/>
  <c r="BJ402" i="1"/>
  <c r="BI402" i="1"/>
  <c r="BH402" i="1"/>
  <c r="BG402" i="1"/>
  <c r="BF402" i="1"/>
  <c r="BM401" i="1"/>
  <c r="BL401" i="1"/>
  <c r="BK401" i="1"/>
  <c r="BJ401" i="1"/>
  <c r="BI401" i="1"/>
  <c r="BH401" i="1"/>
  <c r="BG401" i="1"/>
  <c r="BF401" i="1"/>
  <c r="BM400" i="1"/>
  <c r="BL400" i="1"/>
  <c r="BK400" i="1"/>
  <c r="BJ400" i="1"/>
  <c r="BI400" i="1"/>
  <c r="BH400" i="1"/>
  <c r="BG400" i="1"/>
  <c r="BF400" i="1"/>
  <c r="BM399" i="1"/>
  <c r="BL399" i="1"/>
  <c r="BK399" i="1"/>
  <c r="BJ399" i="1"/>
  <c r="BI399" i="1"/>
  <c r="BH399" i="1"/>
  <c r="BG399" i="1"/>
  <c r="BF399" i="1"/>
  <c r="BM398" i="1"/>
  <c r="BL398" i="1"/>
  <c r="BK398" i="1"/>
  <c r="BJ398" i="1"/>
  <c r="BI398" i="1"/>
  <c r="BH398" i="1"/>
  <c r="BG398" i="1"/>
  <c r="BF398" i="1"/>
  <c r="BM397" i="1"/>
  <c r="BL397" i="1"/>
  <c r="BK397" i="1"/>
  <c r="BJ397" i="1"/>
  <c r="BI397" i="1"/>
  <c r="BH397" i="1"/>
  <c r="BG397" i="1"/>
  <c r="BF397" i="1"/>
  <c r="BM396" i="1"/>
  <c r="BL396" i="1"/>
  <c r="BK396" i="1"/>
  <c r="BJ396" i="1"/>
  <c r="BI396" i="1"/>
  <c r="BH396" i="1"/>
  <c r="BG396" i="1"/>
  <c r="BF396" i="1"/>
  <c r="BM395" i="1"/>
  <c r="BL395" i="1"/>
  <c r="BK395" i="1"/>
  <c r="BJ395" i="1"/>
  <c r="BI395" i="1"/>
  <c r="BH395" i="1"/>
  <c r="BG395" i="1"/>
  <c r="BF395" i="1"/>
  <c r="BM394" i="1"/>
  <c r="BL394" i="1"/>
  <c r="BK394" i="1"/>
  <c r="BJ394" i="1"/>
  <c r="BI394" i="1"/>
  <c r="BH394" i="1"/>
  <c r="BG394" i="1"/>
  <c r="BF394" i="1"/>
  <c r="BM393" i="1"/>
  <c r="BL393" i="1"/>
  <c r="BK393" i="1"/>
  <c r="BJ393" i="1"/>
  <c r="BI393" i="1"/>
  <c r="BH393" i="1"/>
  <c r="BG393" i="1"/>
  <c r="BF393" i="1"/>
  <c r="BM392" i="1"/>
  <c r="BL392" i="1"/>
  <c r="BK392" i="1"/>
  <c r="BJ392" i="1"/>
  <c r="BI392" i="1"/>
  <c r="BH392" i="1"/>
  <c r="BG392" i="1"/>
  <c r="BF392" i="1"/>
  <c r="BM391" i="1"/>
  <c r="BL391" i="1"/>
  <c r="BK391" i="1"/>
  <c r="BJ391" i="1"/>
  <c r="BI391" i="1"/>
  <c r="BH391" i="1"/>
  <c r="BG391" i="1"/>
  <c r="BF391" i="1"/>
  <c r="BM390" i="1"/>
  <c r="BL390" i="1"/>
  <c r="BK390" i="1"/>
  <c r="BJ390" i="1"/>
  <c r="BI390" i="1"/>
  <c r="BH390" i="1"/>
  <c r="BG390" i="1"/>
  <c r="BF390" i="1"/>
  <c r="BM389" i="1"/>
  <c r="BL389" i="1"/>
  <c r="BK389" i="1"/>
  <c r="BJ389" i="1"/>
  <c r="BI389" i="1"/>
  <c r="BH389" i="1"/>
  <c r="BG389" i="1"/>
  <c r="BF389" i="1"/>
  <c r="BM388" i="1"/>
  <c r="BL388" i="1"/>
  <c r="BK388" i="1"/>
  <c r="BJ388" i="1"/>
  <c r="BI388" i="1"/>
  <c r="BH388" i="1"/>
  <c r="BG388" i="1"/>
  <c r="BF388" i="1"/>
  <c r="BM387" i="1"/>
  <c r="BL387" i="1"/>
  <c r="BK387" i="1"/>
  <c r="BJ387" i="1"/>
  <c r="BI387" i="1"/>
  <c r="BH387" i="1"/>
  <c r="BG387" i="1"/>
  <c r="BF387" i="1"/>
  <c r="BM386" i="1"/>
  <c r="BL386" i="1"/>
  <c r="BK386" i="1"/>
  <c r="BJ386" i="1"/>
  <c r="BI386" i="1"/>
  <c r="BH386" i="1"/>
  <c r="BG386" i="1"/>
  <c r="BF386" i="1"/>
  <c r="BM385" i="1"/>
  <c r="BL385" i="1"/>
  <c r="BK385" i="1"/>
  <c r="BJ385" i="1"/>
  <c r="BI385" i="1"/>
  <c r="BH385" i="1"/>
  <c r="BG385" i="1"/>
  <c r="BF385" i="1"/>
  <c r="BM384" i="1"/>
  <c r="BL384" i="1"/>
  <c r="BK384" i="1"/>
  <c r="BJ384" i="1"/>
  <c r="BI384" i="1"/>
  <c r="BH384" i="1"/>
  <c r="BG384" i="1"/>
  <c r="BF384" i="1"/>
  <c r="BM383" i="1"/>
  <c r="BL383" i="1"/>
  <c r="BK383" i="1"/>
  <c r="BJ383" i="1"/>
  <c r="BI383" i="1"/>
  <c r="BH383" i="1"/>
  <c r="BG383" i="1"/>
  <c r="BF383" i="1"/>
  <c r="BM382" i="1"/>
  <c r="BL382" i="1"/>
  <c r="BK382" i="1"/>
  <c r="BJ382" i="1"/>
  <c r="BI382" i="1"/>
  <c r="BH382" i="1"/>
  <c r="BG382" i="1"/>
  <c r="BF382" i="1"/>
  <c r="BM381" i="1"/>
  <c r="BL381" i="1"/>
  <c r="BK381" i="1"/>
  <c r="BJ381" i="1"/>
  <c r="BI381" i="1"/>
  <c r="BH381" i="1"/>
  <c r="BG381" i="1"/>
  <c r="BF381" i="1"/>
  <c r="BM380" i="1"/>
  <c r="BL380" i="1"/>
  <c r="BK380" i="1"/>
  <c r="BJ380" i="1"/>
  <c r="BI380" i="1"/>
  <c r="BH380" i="1"/>
  <c r="BG380" i="1"/>
  <c r="BF380" i="1"/>
  <c r="BM379" i="1"/>
  <c r="BL379" i="1"/>
  <c r="BK379" i="1"/>
  <c r="BJ379" i="1"/>
  <c r="BI379" i="1"/>
  <c r="BH379" i="1"/>
  <c r="BG379" i="1"/>
  <c r="BF379" i="1"/>
  <c r="BM378" i="1"/>
  <c r="BL378" i="1"/>
  <c r="BK378" i="1"/>
  <c r="BJ378" i="1"/>
  <c r="BI378" i="1"/>
  <c r="BH378" i="1"/>
  <c r="BG378" i="1"/>
  <c r="BF378" i="1"/>
  <c r="BM377" i="1"/>
  <c r="BL377" i="1"/>
  <c r="BK377" i="1"/>
  <c r="BJ377" i="1"/>
  <c r="BI377" i="1"/>
  <c r="BH377" i="1"/>
  <c r="BG377" i="1"/>
  <c r="BF377" i="1"/>
  <c r="BM376" i="1"/>
  <c r="BL376" i="1"/>
  <c r="BK376" i="1"/>
  <c r="BJ376" i="1"/>
  <c r="BI376" i="1"/>
  <c r="BH376" i="1"/>
  <c r="BG376" i="1"/>
  <c r="BF376" i="1"/>
  <c r="BM375" i="1"/>
  <c r="BL375" i="1"/>
  <c r="BK375" i="1"/>
  <c r="BJ375" i="1"/>
  <c r="BI375" i="1"/>
  <c r="BH375" i="1"/>
  <c r="BG375" i="1"/>
  <c r="BF375" i="1"/>
  <c r="BM374" i="1"/>
  <c r="BL374" i="1"/>
  <c r="BK374" i="1"/>
  <c r="BJ374" i="1"/>
  <c r="BI374" i="1"/>
  <c r="BH374" i="1"/>
  <c r="BG374" i="1"/>
  <c r="BF374" i="1"/>
  <c r="BM373" i="1"/>
  <c r="BL373" i="1"/>
  <c r="BK373" i="1"/>
  <c r="BJ373" i="1"/>
  <c r="BI373" i="1"/>
  <c r="BH373" i="1"/>
  <c r="BG373" i="1"/>
  <c r="BF373" i="1"/>
  <c r="BM372" i="1"/>
  <c r="BL372" i="1"/>
  <c r="BK372" i="1"/>
  <c r="BJ372" i="1"/>
  <c r="BI372" i="1"/>
  <c r="BH372" i="1"/>
  <c r="BG372" i="1"/>
  <c r="BF372" i="1"/>
  <c r="BM371" i="1"/>
  <c r="BL371" i="1"/>
  <c r="BK371" i="1"/>
  <c r="BJ371" i="1"/>
  <c r="BI371" i="1"/>
  <c r="BH371" i="1"/>
  <c r="BG371" i="1"/>
  <c r="BF371" i="1"/>
  <c r="BM370" i="1"/>
  <c r="BL370" i="1"/>
  <c r="BK370" i="1"/>
  <c r="BJ370" i="1"/>
  <c r="BI370" i="1"/>
  <c r="BH370" i="1"/>
  <c r="BG370" i="1"/>
  <c r="BF370" i="1"/>
  <c r="BM369" i="1"/>
  <c r="BL369" i="1"/>
  <c r="BK369" i="1"/>
  <c r="BJ369" i="1"/>
  <c r="BI369" i="1"/>
  <c r="BH369" i="1"/>
  <c r="BG369" i="1"/>
  <c r="BF369" i="1"/>
  <c r="BM368" i="1"/>
  <c r="BL368" i="1"/>
  <c r="BK368" i="1"/>
  <c r="BJ368" i="1"/>
  <c r="BI368" i="1"/>
  <c r="BH368" i="1"/>
  <c r="BG368" i="1"/>
  <c r="BF368" i="1"/>
  <c r="BM367" i="1"/>
  <c r="BL367" i="1"/>
  <c r="BK367" i="1"/>
  <c r="BJ367" i="1"/>
  <c r="BI367" i="1"/>
  <c r="BH367" i="1"/>
  <c r="BG367" i="1"/>
  <c r="BF367" i="1"/>
  <c r="BM366" i="1"/>
  <c r="BL366" i="1"/>
  <c r="BK366" i="1"/>
  <c r="BJ366" i="1"/>
  <c r="BI366" i="1"/>
  <c r="BH366" i="1"/>
  <c r="BG366" i="1"/>
  <c r="BF366" i="1"/>
  <c r="BM365" i="1"/>
  <c r="BL365" i="1"/>
  <c r="BK365" i="1"/>
  <c r="BJ365" i="1"/>
  <c r="BI365" i="1"/>
  <c r="BH365" i="1"/>
  <c r="BG365" i="1"/>
  <c r="BF365" i="1"/>
  <c r="BM364" i="1"/>
  <c r="BL364" i="1"/>
  <c r="BK364" i="1"/>
  <c r="BJ364" i="1"/>
  <c r="BI364" i="1"/>
  <c r="BH364" i="1"/>
  <c r="BG364" i="1"/>
  <c r="BF364" i="1"/>
  <c r="BM363" i="1"/>
  <c r="BL363" i="1"/>
  <c r="BK363" i="1"/>
  <c r="BJ363" i="1"/>
  <c r="BI363" i="1"/>
  <c r="BH363" i="1"/>
  <c r="BG363" i="1"/>
  <c r="BF363" i="1"/>
  <c r="BM362" i="1"/>
  <c r="BL362" i="1"/>
  <c r="BK362" i="1"/>
  <c r="BJ362" i="1"/>
  <c r="BI362" i="1"/>
  <c r="BH362" i="1"/>
  <c r="BG362" i="1"/>
  <c r="BF362" i="1"/>
  <c r="BM361" i="1"/>
  <c r="BL361" i="1"/>
  <c r="BK361" i="1"/>
  <c r="BJ361" i="1"/>
  <c r="BI361" i="1"/>
  <c r="BH361" i="1"/>
  <c r="BG361" i="1"/>
  <c r="BF361" i="1"/>
  <c r="BM360" i="1"/>
  <c r="BL360" i="1"/>
  <c r="BK360" i="1"/>
  <c r="BJ360" i="1"/>
  <c r="BI360" i="1"/>
  <c r="BH360" i="1"/>
  <c r="BG360" i="1"/>
  <c r="BF360" i="1"/>
  <c r="BM359" i="1"/>
  <c r="BL359" i="1"/>
  <c r="BK359" i="1"/>
  <c r="BJ359" i="1"/>
  <c r="BI359" i="1"/>
  <c r="BH359" i="1"/>
  <c r="BG359" i="1"/>
  <c r="BF359" i="1"/>
  <c r="BM358" i="1"/>
  <c r="BL358" i="1"/>
  <c r="BK358" i="1"/>
  <c r="BJ358" i="1"/>
  <c r="BI358" i="1"/>
  <c r="BH358" i="1"/>
  <c r="BG358" i="1"/>
  <c r="BF358" i="1"/>
  <c r="BM357" i="1"/>
  <c r="BL357" i="1"/>
  <c r="BK357" i="1"/>
  <c r="BJ357" i="1"/>
  <c r="BI357" i="1"/>
  <c r="BH357" i="1"/>
  <c r="BG357" i="1"/>
  <c r="BF357" i="1"/>
  <c r="BM356" i="1"/>
  <c r="BL356" i="1"/>
  <c r="BK356" i="1"/>
  <c r="BJ356" i="1"/>
  <c r="BI356" i="1"/>
  <c r="BH356" i="1"/>
  <c r="BG356" i="1"/>
  <c r="BF356" i="1"/>
  <c r="BM355" i="1"/>
  <c r="BL355" i="1"/>
  <c r="BK355" i="1"/>
  <c r="BJ355" i="1"/>
  <c r="BI355" i="1"/>
  <c r="BH355" i="1"/>
  <c r="BG355" i="1"/>
  <c r="BF355" i="1"/>
  <c r="BM354" i="1"/>
  <c r="BL354" i="1"/>
  <c r="BK354" i="1"/>
  <c r="BJ354" i="1"/>
  <c r="BI354" i="1"/>
  <c r="BH354" i="1"/>
  <c r="BG354" i="1"/>
  <c r="BF354" i="1"/>
  <c r="BM353" i="1"/>
  <c r="BL353" i="1"/>
  <c r="BK353" i="1"/>
  <c r="BJ353" i="1"/>
  <c r="BI353" i="1"/>
  <c r="BH353" i="1"/>
  <c r="BG353" i="1"/>
  <c r="BF353" i="1"/>
  <c r="BM352" i="1"/>
  <c r="BL352" i="1"/>
  <c r="BK352" i="1"/>
  <c r="BJ352" i="1"/>
  <c r="BI352" i="1"/>
  <c r="BH352" i="1"/>
  <c r="BG352" i="1"/>
  <c r="BF352" i="1"/>
  <c r="BM351" i="1"/>
  <c r="BL351" i="1"/>
  <c r="BK351" i="1"/>
  <c r="BJ351" i="1"/>
  <c r="BI351" i="1"/>
  <c r="BH351" i="1"/>
  <c r="BG351" i="1"/>
  <c r="BF351" i="1"/>
  <c r="BM350" i="1"/>
  <c r="BL350" i="1"/>
  <c r="BK350" i="1"/>
  <c r="BJ350" i="1"/>
  <c r="BI350" i="1"/>
  <c r="BH350" i="1"/>
  <c r="BG350" i="1"/>
  <c r="BF350" i="1"/>
  <c r="BM349" i="1"/>
  <c r="BL349" i="1"/>
  <c r="BK349" i="1"/>
  <c r="BJ349" i="1"/>
  <c r="BI349" i="1"/>
  <c r="BH349" i="1"/>
  <c r="BG349" i="1"/>
  <c r="BF349" i="1"/>
  <c r="BM348" i="1"/>
  <c r="BL348" i="1"/>
  <c r="BK348" i="1"/>
  <c r="BJ348" i="1"/>
  <c r="BI348" i="1"/>
  <c r="BH348" i="1"/>
  <c r="BG348" i="1"/>
  <c r="BF348" i="1"/>
  <c r="BM347" i="1"/>
  <c r="BL347" i="1"/>
  <c r="BK347" i="1"/>
  <c r="BJ347" i="1"/>
  <c r="BI347" i="1"/>
  <c r="BH347" i="1"/>
  <c r="BG347" i="1"/>
  <c r="BF347" i="1"/>
  <c r="BM346" i="1"/>
  <c r="BL346" i="1"/>
  <c r="BK346" i="1"/>
  <c r="BJ346" i="1"/>
  <c r="BI346" i="1"/>
  <c r="BH346" i="1"/>
  <c r="BG346" i="1"/>
  <c r="BF346" i="1"/>
  <c r="BM345" i="1"/>
  <c r="BL345" i="1"/>
  <c r="BK345" i="1"/>
  <c r="BJ345" i="1"/>
  <c r="BI345" i="1"/>
  <c r="BH345" i="1"/>
  <c r="BG345" i="1"/>
  <c r="BF345" i="1"/>
  <c r="BM344" i="1"/>
  <c r="BL344" i="1"/>
  <c r="BK344" i="1"/>
  <c r="BJ344" i="1"/>
  <c r="BI344" i="1"/>
  <c r="BH344" i="1"/>
  <c r="BG344" i="1"/>
  <c r="BF344" i="1"/>
  <c r="BM343" i="1"/>
  <c r="BL343" i="1"/>
  <c r="BK343" i="1"/>
  <c r="BJ343" i="1"/>
  <c r="BI343" i="1"/>
  <c r="BH343" i="1"/>
  <c r="BG343" i="1"/>
  <c r="BF343" i="1"/>
  <c r="BM342" i="1"/>
  <c r="BL342" i="1"/>
  <c r="BK342" i="1"/>
  <c r="BJ342" i="1"/>
  <c r="BI342" i="1"/>
  <c r="BH342" i="1"/>
  <c r="BG342" i="1"/>
  <c r="BF342" i="1"/>
  <c r="BM341" i="1"/>
  <c r="BL341" i="1"/>
  <c r="BK341" i="1"/>
  <c r="BJ341" i="1"/>
  <c r="BI341" i="1"/>
  <c r="BH341" i="1"/>
  <c r="BG341" i="1"/>
  <c r="BF341" i="1"/>
  <c r="BM340" i="1"/>
  <c r="BL340" i="1"/>
  <c r="BK340" i="1"/>
  <c r="BJ340" i="1"/>
  <c r="BI340" i="1"/>
  <c r="BH340" i="1"/>
  <c r="BG340" i="1"/>
  <c r="BF340" i="1"/>
  <c r="BM339" i="1"/>
  <c r="BL339" i="1"/>
  <c r="BK339" i="1"/>
  <c r="BJ339" i="1"/>
  <c r="BI339" i="1"/>
  <c r="BH339" i="1"/>
  <c r="BG339" i="1"/>
  <c r="BF339" i="1"/>
  <c r="BM338" i="1"/>
  <c r="BL338" i="1"/>
  <c r="BK338" i="1"/>
  <c r="BJ338" i="1"/>
  <c r="BI338" i="1"/>
  <c r="BH338" i="1"/>
  <c r="BG338" i="1"/>
  <c r="BF338" i="1"/>
  <c r="BM337" i="1"/>
  <c r="BL337" i="1"/>
  <c r="BK337" i="1"/>
  <c r="BJ337" i="1"/>
  <c r="BI337" i="1"/>
  <c r="BH337" i="1"/>
  <c r="BG337" i="1"/>
  <c r="BF337" i="1"/>
  <c r="BM336" i="1"/>
  <c r="BL336" i="1"/>
  <c r="BK336" i="1"/>
  <c r="BJ336" i="1"/>
  <c r="BI336" i="1"/>
  <c r="BH336" i="1"/>
  <c r="BG336" i="1"/>
  <c r="BF336" i="1"/>
  <c r="BM335" i="1"/>
  <c r="BL335" i="1"/>
  <c r="BK335" i="1"/>
  <c r="BJ335" i="1"/>
  <c r="BI335" i="1"/>
  <c r="BH335" i="1"/>
  <c r="BG335" i="1"/>
  <c r="BF335" i="1"/>
  <c r="BM334" i="1"/>
  <c r="BL334" i="1"/>
  <c r="BK334" i="1"/>
  <c r="BJ334" i="1"/>
  <c r="BI334" i="1"/>
  <c r="BH334" i="1"/>
  <c r="BG334" i="1"/>
  <c r="BF334" i="1"/>
  <c r="BM333" i="1"/>
  <c r="BL333" i="1"/>
  <c r="BK333" i="1"/>
  <c r="BJ333" i="1"/>
  <c r="BI333" i="1"/>
  <c r="BH333" i="1"/>
  <c r="BG333" i="1"/>
  <c r="BF333" i="1"/>
  <c r="BM332" i="1"/>
  <c r="BL332" i="1"/>
  <c r="BK332" i="1"/>
  <c r="BJ332" i="1"/>
  <c r="BI332" i="1"/>
  <c r="BH332" i="1"/>
  <c r="BG332" i="1"/>
  <c r="BF332" i="1"/>
  <c r="BM331" i="1"/>
  <c r="BL331" i="1"/>
  <c r="BK331" i="1"/>
  <c r="BJ331" i="1"/>
  <c r="BI331" i="1"/>
  <c r="BH331" i="1"/>
  <c r="BG331" i="1"/>
  <c r="BF331" i="1"/>
  <c r="BM330" i="1"/>
  <c r="BL330" i="1"/>
  <c r="BK330" i="1"/>
  <c r="BJ330" i="1"/>
  <c r="BI330" i="1"/>
  <c r="BH330" i="1"/>
  <c r="BG330" i="1"/>
  <c r="BF330" i="1"/>
  <c r="BM329" i="1"/>
  <c r="BL329" i="1"/>
  <c r="BK329" i="1"/>
  <c r="BJ329" i="1"/>
  <c r="BI329" i="1"/>
  <c r="BH329" i="1"/>
  <c r="BG329" i="1"/>
  <c r="BF329" i="1"/>
  <c r="BM328" i="1"/>
  <c r="BL328" i="1"/>
  <c r="BK328" i="1"/>
  <c r="BJ328" i="1"/>
  <c r="BI328" i="1"/>
  <c r="BH328" i="1"/>
  <c r="BG328" i="1"/>
  <c r="BF328" i="1"/>
  <c r="BM327" i="1"/>
  <c r="BL327" i="1"/>
  <c r="BK327" i="1"/>
  <c r="BJ327" i="1"/>
  <c r="BI327" i="1"/>
  <c r="BH327" i="1"/>
  <c r="BG327" i="1"/>
  <c r="BF327" i="1"/>
  <c r="BM326" i="1"/>
  <c r="BL326" i="1"/>
  <c r="BK326" i="1"/>
  <c r="BJ326" i="1"/>
  <c r="BI326" i="1"/>
  <c r="BH326" i="1"/>
  <c r="BG326" i="1"/>
  <c r="BF326" i="1"/>
  <c r="BM325" i="1"/>
  <c r="BL325" i="1"/>
  <c r="BK325" i="1"/>
  <c r="BJ325" i="1"/>
  <c r="BI325" i="1"/>
  <c r="BH325" i="1"/>
  <c r="BG325" i="1"/>
  <c r="BF325" i="1"/>
  <c r="BM324" i="1"/>
  <c r="BL324" i="1"/>
  <c r="BK324" i="1"/>
  <c r="BJ324" i="1"/>
  <c r="BI324" i="1"/>
  <c r="BH324" i="1"/>
  <c r="BG324" i="1"/>
  <c r="BF324" i="1"/>
  <c r="BM323" i="1"/>
  <c r="BL323" i="1"/>
  <c r="BK323" i="1"/>
  <c r="BJ323" i="1"/>
  <c r="BI323" i="1"/>
  <c r="BH323" i="1"/>
  <c r="BG323" i="1"/>
  <c r="BF323" i="1"/>
  <c r="BM322" i="1"/>
  <c r="BL322" i="1"/>
  <c r="BK322" i="1"/>
  <c r="BJ322" i="1"/>
  <c r="BI322" i="1"/>
  <c r="BH322" i="1"/>
  <c r="BG322" i="1"/>
  <c r="BF322" i="1"/>
  <c r="BM321" i="1"/>
  <c r="BL321" i="1"/>
  <c r="BK321" i="1"/>
  <c r="BJ321" i="1"/>
  <c r="BI321" i="1"/>
  <c r="BH321" i="1"/>
  <c r="BG321" i="1"/>
  <c r="BF321" i="1"/>
  <c r="BM320" i="1"/>
  <c r="BL320" i="1"/>
  <c r="BK320" i="1"/>
  <c r="BJ320" i="1"/>
  <c r="BI320" i="1"/>
  <c r="BH320" i="1"/>
  <c r="BG320" i="1"/>
  <c r="BF320" i="1"/>
  <c r="BM319" i="1"/>
  <c r="BL319" i="1"/>
  <c r="BK319" i="1"/>
  <c r="BJ319" i="1"/>
  <c r="BI319" i="1"/>
  <c r="BH319" i="1"/>
  <c r="BG319" i="1"/>
  <c r="BF319" i="1"/>
  <c r="BM318" i="1"/>
  <c r="BL318" i="1"/>
  <c r="BK318" i="1"/>
  <c r="BJ318" i="1"/>
  <c r="BI318" i="1"/>
  <c r="BH318" i="1"/>
  <c r="BG318" i="1"/>
  <c r="BF318" i="1"/>
  <c r="BM317" i="1"/>
  <c r="BL317" i="1"/>
  <c r="BK317" i="1"/>
  <c r="BJ317" i="1"/>
  <c r="BI317" i="1"/>
  <c r="BH317" i="1"/>
  <c r="BG317" i="1"/>
  <c r="BF317" i="1"/>
  <c r="BM316" i="1"/>
  <c r="BL316" i="1"/>
  <c r="BK316" i="1"/>
  <c r="BJ316" i="1"/>
  <c r="BI316" i="1"/>
  <c r="BH316" i="1"/>
  <c r="BG316" i="1"/>
  <c r="BF316" i="1"/>
  <c r="BM315" i="1"/>
  <c r="BL315" i="1"/>
  <c r="BK315" i="1"/>
  <c r="BJ315" i="1"/>
  <c r="BI315" i="1"/>
  <c r="BH315" i="1"/>
  <c r="BG315" i="1"/>
  <c r="BF315" i="1"/>
  <c r="BM314" i="1"/>
  <c r="BL314" i="1"/>
  <c r="BK314" i="1"/>
  <c r="BJ314" i="1"/>
  <c r="BI314" i="1"/>
  <c r="BH314" i="1"/>
  <c r="BG314" i="1"/>
  <c r="BF314" i="1"/>
  <c r="BM313" i="1"/>
  <c r="BL313" i="1"/>
  <c r="BK313" i="1"/>
  <c r="BJ313" i="1"/>
  <c r="BI313" i="1"/>
  <c r="BH313" i="1"/>
  <c r="BG313" i="1"/>
  <c r="BF313" i="1"/>
  <c r="BM312" i="1"/>
  <c r="BL312" i="1"/>
  <c r="BK312" i="1"/>
  <c r="BJ312" i="1"/>
  <c r="BI312" i="1"/>
  <c r="BH312" i="1"/>
  <c r="BG312" i="1"/>
  <c r="BF312" i="1"/>
  <c r="BM311" i="1"/>
  <c r="BL311" i="1"/>
  <c r="BK311" i="1"/>
  <c r="BJ311" i="1"/>
  <c r="BI311" i="1"/>
  <c r="BH311" i="1"/>
  <c r="BG311" i="1"/>
  <c r="BF311" i="1"/>
  <c r="BM310" i="1"/>
  <c r="BL310" i="1"/>
  <c r="BK310" i="1"/>
  <c r="BJ310" i="1"/>
  <c r="BI310" i="1"/>
  <c r="BH310" i="1"/>
  <c r="BG310" i="1"/>
  <c r="BF310" i="1"/>
  <c r="BM309" i="1"/>
  <c r="BL309" i="1"/>
  <c r="BK309" i="1"/>
  <c r="BJ309" i="1"/>
  <c r="BI309" i="1"/>
  <c r="BH309" i="1"/>
  <c r="BG309" i="1"/>
  <c r="BF309" i="1"/>
  <c r="BM308" i="1"/>
  <c r="BL308" i="1"/>
  <c r="BK308" i="1"/>
  <c r="BJ308" i="1"/>
  <c r="BI308" i="1"/>
  <c r="BH308" i="1"/>
  <c r="BG308" i="1"/>
  <c r="BF308" i="1"/>
  <c r="BM307" i="1"/>
  <c r="BL307" i="1"/>
  <c r="BK307" i="1"/>
  <c r="BJ307" i="1"/>
  <c r="BI307" i="1"/>
  <c r="BH307" i="1"/>
  <c r="BG307" i="1"/>
  <c r="BF307" i="1"/>
  <c r="BM306" i="1"/>
  <c r="BL306" i="1"/>
  <c r="BK306" i="1"/>
  <c r="BJ306" i="1"/>
  <c r="BI306" i="1"/>
  <c r="BH306" i="1"/>
  <c r="BG306" i="1"/>
  <c r="BF306" i="1"/>
  <c r="BM305" i="1"/>
  <c r="BL305" i="1"/>
  <c r="BK305" i="1"/>
  <c r="BJ305" i="1"/>
  <c r="BI305" i="1"/>
  <c r="BH305" i="1"/>
  <c r="BG305" i="1"/>
  <c r="BF305" i="1"/>
  <c r="BM304" i="1"/>
  <c r="BL304" i="1"/>
  <c r="BK304" i="1"/>
  <c r="BJ304" i="1"/>
  <c r="BI304" i="1"/>
  <c r="BH304" i="1"/>
  <c r="BG304" i="1"/>
  <c r="BF304" i="1"/>
  <c r="BM303" i="1"/>
  <c r="BL303" i="1"/>
  <c r="BK303" i="1"/>
  <c r="BJ303" i="1"/>
  <c r="BI303" i="1"/>
  <c r="BH303" i="1"/>
  <c r="BG303" i="1"/>
  <c r="BF303" i="1"/>
  <c r="BM302" i="1"/>
  <c r="BL302" i="1"/>
  <c r="BK302" i="1"/>
  <c r="BJ302" i="1"/>
  <c r="BI302" i="1"/>
  <c r="BH302" i="1"/>
  <c r="BG302" i="1"/>
  <c r="BF302" i="1"/>
  <c r="BM301" i="1"/>
  <c r="BL301" i="1"/>
  <c r="BK301" i="1"/>
  <c r="BJ301" i="1"/>
  <c r="BI301" i="1"/>
  <c r="BH301" i="1"/>
  <c r="BG301" i="1"/>
  <c r="BF301" i="1"/>
  <c r="BM300" i="1"/>
  <c r="BL300" i="1"/>
  <c r="BK300" i="1"/>
  <c r="BJ300" i="1"/>
  <c r="BI300" i="1"/>
  <c r="BH300" i="1"/>
  <c r="BG300" i="1"/>
  <c r="BF300" i="1"/>
  <c r="BM299" i="1"/>
  <c r="BL299" i="1"/>
  <c r="BK299" i="1"/>
  <c r="BJ299" i="1"/>
  <c r="BI299" i="1"/>
  <c r="BH299" i="1"/>
  <c r="BG299" i="1"/>
  <c r="BF299" i="1"/>
  <c r="BM298" i="1"/>
  <c r="BL298" i="1"/>
  <c r="BK298" i="1"/>
  <c r="BJ298" i="1"/>
  <c r="BI298" i="1"/>
  <c r="BH298" i="1"/>
  <c r="BG298" i="1"/>
  <c r="BF298" i="1"/>
  <c r="BM297" i="1"/>
  <c r="BL297" i="1"/>
  <c r="BK297" i="1"/>
  <c r="BJ297" i="1"/>
  <c r="BI297" i="1"/>
  <c r="BH297" i="1"/>
  <c r="BG297" i="1"/>
  <c r="BF297" i="1"/>
  <c r="BM296" i="1"/>
  <c r="BL296" i="1"/>
  <c r="BK296" i="1"/>
  <c r="BJ296" i="1"/>
  <c r="BI296" i="1"/>
  <c r="BH296" i="1"/>
  <c r="BG296" i="1"/>
  <c r="BF296" i="1"/>
  <c r="BM295" i="1"/>
  <c r="BL295" i="1"/>
  <c r="BK295" i="1"/>
  <c r="BJ295" i="1"/>
  <c r="BI295" i="1"/>
  <c r="BH295" i="1"/>
  <c r="BG295" i="1"/>
  <c r="BF295" i="1"/>
  <c r="BM294" i="1"/>
  <c r="BL294" i="1"/>
  <c r="BK294" i="1"/>
  <c r="BJ294" i="1"/>
  <c r="BI294" i="1"/>
  <c r="BH294" i="1"/>
  <c r="BG294" i="1"/>
  <c r="BF294" i="1"/>
  <c r="BM293" i="1"/>
  <c r="BL293" i="1"/>
  <c r="BK293" i="1"/>
  <c r="BJ293" i="1"/>
  <c r="BI293" i="1"/>
  <c r="BH293" i="1"/>
  <c r="BG293" i="1"/>
  <c r="BF293" i="1"/>
  <c r="BM292" i="1"/>
  <c r="BL292" i="1"/>
  <c r="BK292" i="1"/>
  <c r="BJ292" i="1"/>
  <c r="BI292" i="1"/>
  <c r="BH292" i="1"/>
  <c r="BG292" i="1"/>
  <c r="BF292" i="1"/>
  <c r="BM291" i="1"/>
  <c r="BL291" i="1"/>
  <c r="BK291" i="1"/>
  <c r="BJ291" i="1"/>
  <c r="BI291" i="1"/>
  <c r="BH291" i="1"/>
  <c r="BG291" i="1"/>
  <c r="BF291" i="1"/>
  <c r="BM290" i="1"/>
  <c r="BL290" i="1"/>
  <c r="BK290" i="1"/>
  <c r="BJ290" i="1"/>
  <c r="BI290" i="1"/>
  <c r="BH290" i="1"/>
  <c r="BG290" i="1"/>
  <c r="BF290" i="1"/>
  <c r="BM289" i="1"/>
  <c r="BL289" i="1"/>
  <c r="BK289" i="1"/>
  <c r="BJ289" i="1"/>
  <c r="BI289" i="1"/>
  <c r="BH289" i="1"/>
  <c r="BG289" i="1"/>
  <c r="BF289" i="1"/>
  <c r="BM288" i="1"/>
  <c r="BL288" i="1"/>
  <c r="BK288" i="1"/>
  <c r="BJ288" i="1"/>
  <c r="BI288" i="1"/>
  <c r="BH288" i="1"/>
  <c r="BG288" i="1"/>
  <c r="BF288" i="1"/>
  <c r="BM287" i="1"/>
  <c r="BL287" i="1"/>
  <c r="BK287" i="1"/>
  <c r="BJ287" i="1"/>
  <c r="BI287" i="1"/>
  <c r="BH287" i="1"/>
  <c r="BG287" i="1"/>
  <c r="BF287" i="1"/>
  <c r="BM286" i="1"/>
  <c r="BL286" i="1"/>
  <c r="BK286" i="1"/>
  <c r="BJ286" i="1"/>
  <c r="BI286" i="1"/>
  <c r="BH286" i="1"/>
  <c r="BG286" i="1"/>
  <c r="BF286" i="1"/>
  <c r="BM285" i="1"/>
  <c r="BL285" i="1"/>
  <c r="BK285" i="1"/>
  <c r="BJ285" i="1"/>
  <c r="BI285" i="1"/>
  <c r="BH285" i="1"/>
  <c r="BG285" i="1"/>
  <c r="BF285" i="1"/>
  <c r="BM284" i="1"/>
  <c r="BL284" i="1"/>
  <c r="BK284" i="1"/>
  <c r="BJ284" i="1"/>
  <c r="BI284" i="1"/>
  <c r="BH284" i="1"/>
  <c r="BG284" i="1"/>
  <c r="BF284" i="1"/>
  <c r="BM283" i="1"/>
  <c r="BL283" i="1"/>
  <c r="BK283" i="1"/>
  <c r="BJ283" i="1"/>
  <c r="BI283" i="1"/>
  <c r="BH283" i="1"/>
  <c r="BG283" i="1"/>
  <c r="BF283" i="1"/>
  <c r="BM282" i="1"/>
  <c r="BL282" i="1"/>
  <c r="BK282" i="1"/>
  <c r="BJ282" i="1"/>
  <c r="BI282" i="1"/>
  <c r="BH282" i="1"/>
  <c r="BG282" i="1"/>
  <c r="BF282" i="1"/>
  <c r="BM281" i="1"/>
  <c r="BL281" i="1"/>
  <c r="BK281" i="1"/>
  <c r="BJ281" i="1"/>
  <c r="BI281" i="1"/>
  <c r="BH281" i="1"/>
  <c r="BG281" i="1"/>
  <c r="BF281" i="1"/>
  <c r="BM280" i="1"/>
  <c r="BL280" i="1"/>
  <c r="BK280" i="1"/>
  <c r="BJ280" i="1"/>
  <c r="BI280" i="1"/>
  <c r="BH280" i="1"/>
  <c r="BG280" i="1"/>
  <c r="BF280" i="1"/>
  <c r="BM279" i="1"/>
  <c r="BL279" i="1"/>
  <c r="BK279" i="1"/>
  <c r="BJ279" i="1"/>
  <c r="BI279" i="1"/>
  <c r="BH279" i="1"/>
  <c r="BG279" i="1"/>
  <c r="BF279" i="1"/>
  <c r="BM278" i="1"/>
  <c r="BL278" i="1"/>
  <c r="BK278" i="1"/>
  <c r="BJ278" i="1"/>
  <c r="BI278" i="1"/>
  <c r="BH278" i="1"/>
  <c r="BG278" i="1"/>
  <c r="BF278" i="1"/>
  <c r="BM277" i="1"/>
  <c r="BL277" i="1"/>
  <c r="BK277" i="1"/>
  <c r="BJ277" i="1"/>
  <c r="BI277" i="1"/>
  <c r="BH277" i="1"/>
  <c r="BG277" i="1"/>
  <c r="BF277" i="1"/>
  <c r="BM276" i="1"/>
  <c r="BL276" i="1"/>
  <c r="BK276" i="1"/>
  <c r="BJ276" i="1"/>
  <c r="BI276" i="1"/>
  <c r="BH276" i="1"/>
  <c r="BG276" i="1"/>
  <c r="BF276" i="1"/>
  <c r="BM275" i="1"/>
  <c r="BL275" i="1"/>
  <c r="BK275" i="1"/>
  <c r="BJ275" i="1"/>
  <c r="BI275" i="1"/>
  <c r="BH275" i="1"/>
  <c r="BG275" i="1"/>
  <c r="BF275" i="1"/>
  <c r="BM274" i="1"/>
  <c r="BL274" i="1"/>
  <c r="BK274" i="1"/>
  <c r="BJ274" i="1"/>
  <c r="BI274" i="1"/>
  <c r="BH274" i="1"/>
  <c r="BG274" i="1"/>
  <c r="BF274" i="1"/>
  <c r="BM273" i="1"/>
  <c r="BL273" i="1"/>
  <c r="BK273" i="1"/>
  <c r="BJ273" i="1"/>
  <c r="BI273" i="1"/>
  <c r="BH273" i="1"/>
  <c r="BG273" i="1"/>
  <c r="BF273" i="1"/>
  <c r="BM272" i="1"/>
  <c r="BL272" i="1"/>
  <c r="BK272" i="1"/>
  <c r="BJ272" i="1"/>
  <c r="BI272" i="1"/>
  <c r="BH272" i="1"/>
  <c r="BG272" i="1"/>
  <c r="BF272" i="1"/>
  <c r="BM271" i="1"/>
  <c r="BL271" i="1"/>
  <c r="BK271" i="1"/>
  <c r="BJ271" i="1"/>
  <c r="BI271" i="1"/>
  <c r="BH271" i="1"/>
  <c r="BG271" i="1"/>
  <c r="BF271" i="1"/>
  <c r="BM270" i="1"/>
  <c r="BL270" i="1"/>
  <c r="BK270" i="1"/>
  <c r="BJ270" i="1"/>
  <c r="BI270" i="1"/>
  <c r="BH270" i="1"/>
  <c r="BG270" i="1"/>
  <c r="BF270" i="1"/>
  <c r="BM269" i="1"/>
  <c r="BL269" i="1"/>
  <c r="BK269" i="1"/>
  <c r="BJ269" i="1"/>
  <c r="BI269" i="1"/>
  <c r="BH269" i="1"/>
  <c r="BG269" i="1"/>
  <c r="BF269" i="1"/>
  <c r="BM268" i="1"/>
  <c r="BL268" i="1"/>
  <c r="BK268" i="1"/>
  <c r="BJ268" i="1"/>
  <c r="BI268" i="1"/>
  <c r="BH268" i="1"/>
  <c r="BG268" i="1"/>
  <c r="BF268" i="1"/>
  <c r="BM267" i="1"/>
  <c r="BL267" i="1"/>
  <c r="BK267" i="1"/>
  <c r="BJ267" i="1"/>
  <c r="BI267" i="1"/>
  <c r="BH267" i="1"/>
  <c r="BG267" i="1"/>
  <c r="BF267" i="1"/>
  <c r="BM266" i="1"/>
  <c r="BL266" i="1"/>
  <c r="BK266" i="1"/>
  <c r="BJ266" i="1"/>
  <c r="BI266" i="1"/>
  <c r="BH266" i="1"/>
  <c r="BG266" i="1"/>
  <c r="BF266" i="1"/>
  <c r="BM265" i="1"/>
  <c r="BL265" i="1"/>
  <c r="BK265" i="1"/>
  <c r="BJ265" i="1"/>
  <c r="BI265" i="1"/>
  <c r="BH265" i="1"/>
  <c r="BG265" i="1"/>
  <c r="BF265" i="1"/>
  <c r="BM264" i="1"/>
  <c r="BL264" i="1"/>
  <c r="BK264" i="1"/>
  <c r="BJ264" i="1"/>
  <c r="BI264" i="1"/>
  <c r="BH264" i="1"/>
  <c r="BG264" i="1"/>
  <c r="BF264" i="1"/>
  <c r="BM263" i="1"/>
  <c r="BL263" i="1"/>
  <c r="BK263" i="1"/>
  <c r="BJ263" i="1"/>
  <c r="BI263" i="1"/>
  <c r="BH263" i="1"/>
  <c r="BG263" i="1"/>
  <c r="BF263" i="1"/>
  <c r="BM262" i="1"/>
  <c r="BL262" i="1"/>
  <c r="BK262" i="1"/>
  <c r="BJ262" i="1"/>
  <c r="BI262" i="1"/>
  <c r="BH262" i="1"/>
  <c r="BG262" i="1"/>
  <c r="BF262" i="1"/>
  <c r="BM261" i="1"/>
  <c r="BL261" i="1"/>
  <c r="BK261" i="1"/>
  <c r="BJ261" i="1"/>
  <c r="BI261" i="1"/>
  <c r="BH261" i="1"/>
  <c r="BG261" i="1"/>
  <c r="BF261" i="1"/>
  <c r="BM260" i="1"/>
  <c r="BL260" i="1"/>
  <c r="BK260" i="1"/>
  <c r="BJ260" i="1"/>
  <c r="BI260" i="1"/>
  <c r="BH260" i="1"/>
  <c r="BG260" i="1"/>
  <c r="BF260" i="1"/>
  <c r="BM259" i="1"/>
  <c r="BL259" i="1"/>
  <c r="BK259" i="1"/>
  <c r="BJ259" i="1"/>
  <c r="BI259" i="1"/>
  <c r="BH259" i="1"/>
  <c r="BG259" i="1"/>
  <c r="BF259" i="1"/>
  <c r="BM258" i="1"/>
  <c r="BL258" i="1"/>
  <c r="BK258" i="1"/>
  <c r="BJ258" i="1"/>
  <c r="BI258" i="1"/>
  <c r="BH258" i="1"/>
  <c r="BG258" i="1"/>
  <c r="BF258" i="1"/>
  <c r="BM257" i="1"/>
  <c r="BL257" i="1"/>
  <c r="BK257" i="1"/>
  <c r="BJ257" i="1"/>
  <c r="BI257" i="1"/>
  <c r="BH257" i="1"/>
  <c r="BG257" i="1"/>
  <c r="BF257" i="1"/>
  <c r="BM256" i="1"/>
  <c r="BL256" i="1"/>
  <c r="BK256" i="1"/>
  <c r="BJ256" i="1"/>
  <c r="BI256" i="1"/>
  <c r="BH256" i="1"/>
  <c r="BG256" i="1"/>
  <c r="BF256" i="1"/>
  <c r="BM255" i="1"/>
  <c r="BL255" i="1"/>
  <c r="BK255" i="1"/>
  <c r="BJ255" i="1"/>
  <c r="BI255" i="1"/>
  <c r="BH255" i="1"/>
  <c r="BG255" i="1"/>
  <c r="BF255" i="1"/>
  <c r="BM254" i="1"/>
  <c r="BL254" i="1"/>
  <c r="BK254" i="1"/>
  <c r="BJ254" i="1"/>
  <c r="BI254" i="1"/>
  <c r="BH254" i="1"/>
  <c r="BG254" i="1"/>
  <c r="BF254" i="1"/>
  <c r="BM253" i="1"/>
  <c r="BL253" i="1"/>
  <c r="BK253" i="1"/>
  <c r="BJ253" i="1"/>
  <c r="BI253" i="1"/>
  <c r="BH253" i="1"/>
  <c r="BG253" i="1"/>
  <c r="BF253" i="1"/>
  <c r="BM252" i="1"/>
  <c r="BL252" i="1"/>
  <c r="BK252" i="1"/>
  <c r="BJ252" i="1"/>
  <c r="BI252" i="1"/>
  <c r="BH252" i="1"/>
  <c r="BG252" i="1"/>
  <c r="BF252" i="1"/>
  <c r="BM251" i="1"/>
  <c r="BL251" i="1"/>
  <c r="BK251" i="1"/>
  <c r="BJ251" i="1"/>
  <c r="BI251" i="1"/>
  <c r="BH251" i="1"/>
  <c r="BG251" i="1"/>
  <c r="BF251" i="1"/>
  <c r="BM250" i="1"/>
  <c r="BL250" i="1"/>
  <c r="BK250" i="1"/>
  <c r="BJ250" i="1"/>
  <c r="BI250" i="1"/>
  <c r="BH250" i="1"/>
  <c r="BG250" i="1"/>
  <c r="BF250" i="1"/>
  <c r="BM249" i="1"/>
  <c r="BL249" i="1"/>
  <c r="BK249" i="1"/>
  <c r="BJ249" i="1"/>
  <c r="BI249" i="1"/>
  <c r="BH249" i="1"/>
  <c r="BG249" i="1"/>
  <c r="BF249" i="1"/>
  <c r="BM248" i="1"/>
  <c r="BL248" i="1"/>
  <c r="BK248" i="1"/>
  <c r="BJ248" i="1"/>
  <c r="BI248" i="1"/>
  <c r="BH248" i="1"/>
  <c r="BG248" i="1"/>
  <c r="BF248" i="1"/>
  <c r="BM247" i="1"/>
  <c r="BL247" i="1"/>
  <c r="BK247" i="1"/>
  <c r="BJ247" i="1"/>
  <c r="BI247" i="1"/>
  <c r="BH247" i="1"/>
  <c r="BG247" i="1"/>
  <c r="BF247" i="1"/>
  <c r="BM246" i="1"/>
  <c r="BL246" i="1"/>
  <c r="BK246" i="1"/>
  <c r="BJ246" i="1"/>
  <c r="BI246" i="1"/>
  <c r="BH246" i="1"/>
  <c r="BG246" i="1"/>
  <c r="BF246" i="1"/>
  <c r="BM245" i="1"/>
  <c r="BL245" i="1"/>
  <c r="BK245" i="1"/>
  <c r="BJ245" i="1"/>
  <c r="BI245" i="1"/>
  <c r="BH245" i="1"/>
  <c r="BG245" i="1"/>
  <c r="BF245" i="1"/>
  <c r="BM244" i="1"/>
  <c r="BL244" i="1"/>
  <c r="BK244" i="1"/>
  <c r="BJ244" i="1"/>
  <c r="BI244" i="1"/>
  <c r="BH244" i="1"/>
  <c r="BG244" i="1"/>
  <c r="BF244" i="1"/>
  <c r="BM243" i="1"/>
  <c r="BL243" i="1"/>
  <c r="BK243" i="1"/>
  <c r="BJ243" i="1"/>
  <c r="BI243" i="1"/>
  <c r="BH243" i="1"/>
  <c r="BG243" i="1"/>
  <c r="BF243" i="1"/>
  <c r="BM242" i="1"/>
  <c r="BL242" i="1"/>
  <c r="BK242" i="1"/>
  <c r="BJ242" i="1"/>
  <c r="BI242" i="1"/>
  <c r="BH242" i="1"/>
  <c r="BG242" i="1"/>
  <c r="BF242" i="1"/>
  <c r="BM241" i="1"/>
  <c r="BL241" i="1"/>
  <c r="BK241" i="1"/>
  <c r="BJ241" i="1"/>
  <c r="BI241" i="1"/>
  <c r="BH241" i="1"/>
  <c r="BG241" i="1"/>
  <c r="BF241" i="1"/>
  <c r="BM240" i="1"/>
  <c r="BL240" i="1"/>
  <c r="BK240" i="1"/>
  <c r="BJ240" i="1"/>
  <c r="BI240" i="1"/>
  <c r="BH240" i="1"/>
  <c r="BG240" i="1"/>
  <c r="BF240" i="1"/>
  <c r="BM239" i="1"/>
  <c r="BL239" i="1"/>
  <c r="BK239" i="1"/>
  <c r="BJ239" i="1"/>
  <c r="BI239" i="1"/>
  <c r="BH239" i="1"/>
  <c r="BG239" i="1"/>
  <c r="BF239" i="1"/>
  <c r="BM238" i="1"/>
  <c r="BL238" i="1"/>
  <c r="BK238" i="1"/>
  <c r="BJ238" i="1"/>
  <c r="BI238" i="1"/>
  <c r="BH238" i="1"/>
  <c r="BG238" i="1"/>
  <c r="BF238" i="1"/>
  <c r="BM237" i="1"/>
  <c r="BL237" i="1"/>
  <c r="BK237" i="1"/>
  <c r="BJ237" i="1"/>
  <c r="BI237" i="1"/>
  <c r="BH237" i="1"/>
  <c r="BG237" i="1"/>
  <c r="BF237" i="1"/>
  <c r="BM236" i="1"/>
  <c r="BL236" i="1"/>
  <c r="BK236" i="1"/>
  <c r="BJ236" i="1"/>
  <c r="BI236" i="1"/>
  <c r="BH236" i="1"/>
  <c r="BG236" i="1"/>
  <c r="BF236" i="1"/>
  <c r="BM235" i="1"/>
  <c r="BL235" i="1"/>
  <c r="BK235" i="1"/>
  <c r="BJ235" i="1"/>
  <c r="BI235" i="1"/>
  <c r="BH235" i="1"/>
  <c r="BG235" i="1"/>
  <c r="BF235" i="1"/>
  <c r="BM234" i="1"/>
  <c r="BL234" i="1"/>
  <c r="BK234" i="1"/>
  <c r="BJ234" i="1"/>
  <c r="BI234" i="1"/>
  <c r="BH234" i="1"/>
  <c r="BG234" i="1"/>
  <c r="BF234" i="1"/>
  <c r="BM233" i="1"/>
  <c r="BL233" i="1"/>
  <c r="BK233" i="1"/>
  <c r="BJ233" i="1"/>
  <c r="BI233" i="1"/>
  <c r="BH233" i="1"/>
  <c r="BG233" i="1"/>
  <c r="BF233" i="1"/>
  <c r="BM232" i="1"/>
  <c r="BL232" i="1"/>
  <c r="BK232" i="1"/>
  <c r="BJ232" i="1"/>
  <c r="BI232" i="1"/>
  <c r="BH232" i="1"/>
  <c r="BG232" i="1"/>
  <c r="BF232" i="1"/>
  <c r="BM231" i="1"/>
  <c r="BL231" i="1"/>
  <c r="BK231" i="1"/>
  <c r="BJ231" i="1"/>
  <c r="BI231" i="1"/>
  <c r="BH231" i="1"/>
  <c r="BG231" i="1"/>
  <c r="BF231" i="1"/>
  <c r="BM230" i="1"/>
  <c r="BL230" i="1"/>
  <c r="BK230" i="1"/>
  <c r="BJ230" i="1"/>
  <c r="BI230" i="1"/>
  <c r="BH230" i="1"/>
  <c r="BG230" i="1"/>
  <c r="BF230" i="1"/>
  <c r="BM229" i="1"/>
  <c r="BL229" i="1"/>
  <c r="BK229" i="1"/>
  <c r="BJ229" i="1"/>
  <c r="BI229" i="1"/>
  <c r="BH229" i="1"/>
  <c r="BG229" i="1"/>
  <c r="BF229" i="1"/>
  <c r="BM228" i="1"/>
  <c r="BL228" i="1"/>
  <c r="BK228" i="1"/>
  <c r="BJ228" i="1"/>
  <c r="BI228" i="1"/>
  <c r="BH228" i="1"/>
  <c r="BG228" i="1"/>
  <c r="BF228" i="1"/>
  <c r="BM227" i="1"/>
  <c r="BL227" i="1"/>
  <c r="BK227" i="1"/>
  <c r="BJ227" i="1"/>
  <c r="BI227" i="1"/>
  <c r="BH227" i="1"/>
  <c r="BG227" i="1"/>
  <c r="BF227" i="1"/>
  <c r="BM226" i="1"/>
  <c r="BL226" i="1"/>
  <c r="BK226" i="1"/>
  <c r="BJ226" i="1"/>
  <c r="BI226" i="1"/>
  <c r="BH226" i="1"/>
  <c r="BG226" i="1"/>
  <c r="BF226" i="1"/>
  <c r="BM225" i="1"/>
  <c r="BL225" i="1"/>
  <c r="BK225" i="1"/>
  <c r="BJ225" i="1"/>
  <c r="BI225" i="1"/>
  <c r="BH225" i="1"/>
  <c r="BG225" i="1"/>
  <c r="BF225" i="1"/>
  <c r="BM224" i="1"/>
  <c r="BL224" i="1"/>
  <c r="BK224" i="1"/>
  <c r="BJ224" i="1"/>
  <c r="BI224" i="1"/>
  <c r="BH224" i="1"/>
  <c r="BG224" i="1"/>
  <c r="BF224" i="1"/>
  <c r="BM223" i="1"/>
  <c r="BL223" i="1"/>
  <c r="BK223" i="1"/>
  <c r="BJ223" i="1"/>
  <c r="BI223" i="1"/>
  <c r="BH223" i="1"/>
  <c r="BG223" i="1"/>
  <c r="BF223" i="1"/>
  <c r="BM222" i="1"/>
  <c r="BL222" i="1"/>
  <c r="BK222" i="1"/>
  <c r="BJ222" i="1"/>
  <c r="BI222" i="1"/>
  <c r="BH222" i="1"/>
  <c r="BG222" i="1"/>
  <c r="BF222" i="1"/>
  <c r="BM221" i="1"/>
  <c r="BL221" i="1"/>
  <c r="BK221" i="1"/>
  <c r="BJ221" i="1"/>
  <c r="BI221" i="1"/>
  <c r="BH221" i="1"/>
  <c r="BG221" i="1"/>
  <c r="BF221" i="1"/>
  <c r="BM220" i="1"/>
  <c r="BL220" i="1"/>
  <c r="BK220" i="1"/>
  <c r="BJ220" i="1"/>
  <c r="BI220" i="1"/>
  <c r="BH220" i="1"/>
  <c r="BG220" i="1"/>
  <c r="BF220" i="1"/>
  <c r="BM219" i="1"/>
  <c r="BL219" i="1"/>
  <c r="BK219" i="1"/>
  <c r="BJ219" i="1"/>
  <c r="BI219" i="1"/>
  <c r="BH219" i="1"/>
  <c r="BG219" i="1"/>
  <c r="BF219" i="1"/>
  <c r="BM218" i="1"/>
  <c r="BL218" i="1"/>
  <c r="BK218" i="1"/>
  <c r="BJ218" i="1"/>
  <c r="BI218" i="1"/>
  <c r="BH218" i="1"/>
  <c r="BG218" i="1"/>
  <c r="BF218" i="1"/>
  <c r="BM217" i="1"/>
  <c r="BL217" i="1"/>
  <c r="BK217" i="1"/>
  <c r="BJ217" i="1"/>
  <c r="BI217" i="1"/>
  <c r="BH217" i="1"/>
  <c r="BG217" i="1"/>
  <c r="BF217" i="1"/>
  <c r="BM216" i="1"/>
  <c r="BL216" i="1"/>
  <c r="BK216" i="1"/>
  <c r="BJ216" i="1"/>
  <c r="BI216" i="1"/>
  <c r="BH216" i="1"/>
  <c r="BG216" i="1"/>
  <c r="BF216" i="1"/>
  <c r="BM215" i="1"/>
  <c r="BL215" i="1"/>
  <c r="BK215" i="1"/>
  <c r="BJ215" i="1"/>
  <c r="BI215" i="1"/>
  <c r="BH215" i="1"/>
  <c r="BG215" i="1"/>
  <c r="BF215" i="1"/>
  <c r="BM214" i="1"/>
  <c r="BL214" i="1"/>
  <c r="BK214" i="1"/>
  <c r="BJ214" i="1"/>
  <c r="BI214" i="1"/>
  <c r="BH214" i="1"/>
  <c r="BG214" i="1"/>
  <c r="BF214" i="1"/>
  <c r="BM213" i="1"/>
  <c r="BL213" i="1"/>
  <c r="BK213" i="1"/>
  <c r="BJ213" i="1"/>
  <c r="BI213" i="1"/>
  <c r="BH213" i="1"/>
  <c r="BG213" i="1"/>
  <c r="BF213" i="1"/>
  <c r="BM212" i="1"/>
  <c r="BL212" i="1"/>
  <c r="BK212" i="1"/>
  <c r="BJ212" i="1"/>
  <c r="BI212" i="1"/>
  <c r="BH212" i="1"/>
  <c r="BG212" i="1"/>
  <c r="BF212" i="1"/>
  <c r="BM211" i="1"/>
  <c r="BL211" i="1"/>
  <c r="BK211" i="1"/>
  <c r="BJ211" i="1"/>
  <c r="BI211" i="1"/>
  <c r="BH211" i="1"/>
  <c r="BG211" i="1"/>
  <c r="BF211" i="1"/>
  <c r="BM210" i="1"/>
  <c r="BL210" i="1"/>
  <c r="BK210" i="1"/>
  <c r="BJ210" i="1"/>
  <c r="BI210" i="1"/>
  <c r="BH210" i="1"/>
  <c r="BG210" i="1"/>
  <c r="BF210" i="1"/>
  <c r="BM209" i="1"/>
  <c r="BL209" i="1"/>
  <c r="BK209" i="1"/>
  <c r="BJ209" i="1"/>
  <c r="BI209" i="1"/>
  <c r="BH209" i="1"/>
  <c r="BG209" i="1"/>
  <c r="BF209" i="1"/>
  <c r="BM208" i="1"/>
  <c r="BL208" i="1"/>
  <c r="BK208" i="1"/>
  <c r="BJ208" i="1"/>
  <c r="BI208" i="1"/>
  <c r="BH208" i="1"/>
  <c r="BG208" i="1"/>
  <c r="BF208" i="1"/>
  <c r="BM207" i="1"/>
  <c r="BL207" i="1"/>
  <c r="BK207" i="1"/>
  <c r="BJ207" i="1"/>
  <c r="BI207" i="1"/>
  <c r="BH207" i="1"/>
  <c r="BG207" i="1"/>
  <c r="BF207" i="1"/>
  <c r="BM206" i="1"/>
  <c r="BL206" i="1"/>
  <c r="BK206" i="1"/>
  <c r="BJ206" i="1"/>
  <c r="BI206" i="1"/>
  <c r="BH206" i="1"/>
  <c r="BG206" i="1"/>
  <c r="BF206" i="1"/>
  <c r="BM205" i="1"/>
  <c r="BL205" i="1"/>
  <c r="BK205" i="1"/>
  <c r="BJ205" i="1"/>
  <c r="BI205" i="1"/>
  <c r="BH205" i="1"/>
  <c r="BG205" i="1"/>
  <c r="BF205" i="1"/>
  <c r="BM204" i="1"/>
  <c r="BL204" i="1"/>
  <c r="BK204" i="1"/>
  <c r="BJ204" i="1"/>
  <c r="BI204" i="1"/>
  <c r="BH204" i="1"/>
  <c r="BG204" i="1"/>
  <c r="BF204" i="1"/>
  <c r="BM203" i="1"/>
  <c r="BL203" i="1"/>
  <c r="BK203" i="1"/>
  <c r="BJ203" i="1"/>
  <c r="BI203" i="1"/>
  <c r="BH203" i="1"/>
  <c r="BG203" i="1"/>
  <c r="BF203" i="1"/>
  <c r="BM202" i="1"/>
  <c r="BL202" i="1"/>
  <c r="BK202" i="1"/>
  <c r="BJ202" i="1"/>
  <c r="BI202" i="1"/>
  <c r="BH202" i="1"/>
  <c r="BG202" i="1"/>
  <c r="BF202" i="1"/>
  <c r="BM201" i="1"/>
  <c r="BL201" i="1"/>
  <c r="BK201" i="1"/>
  <c r="BJ201" i="1"/>
  <c r="BI201" i="1"/>
  <c r="BH201" i="1"/>
  <c r="BG201" i="1"/>
  <c r="BF201" i="1"/>
  <c r="BM200" i="1"/>
  <c r="BL200" i="1"/>
  <c r="BK200" i="1"/>
  <c r="BJ200" i="1"/>
  <c r="BI200" i="1"/>
  <c r="BH200" i="1"/>
  <c r="BG200" i="1"/>
  <c r="BF200" i="1"/>
  <c r="BM199" i="1"/>
  <c r="BL199" i="1"/>
  <c r="BK199" i="1"/>
  <c r="BJ199" i="1"/>
  <c r="BI199" i="1"/>
  <c r="BH199" i="1"/>
  <c r="BG199" i="1"/>
  <c r="BF199" i="1"/>
  <c r="BM198" i="1"/>
  <c r="BL198" i="1"/>
  <c r="BK198" i="1"/>
  <c r="BJ198" i="1"/>
  <c r="BI198" i="1"/>
  <c r="BH198" i="1"/>
  <c r="BG198" i="1"/>
  <c r="BF198" i="1"/>
  <c r="BM197" i="1"/>
  <c r="BL197" i="1"/>
  <c r="BK197" i="1"/>
  <c r="BJ197" i="1"/>
  <c r="BI197" i="1"/>
  <c r="BH197" i="1"/>
  <c r="BG197" i="1"/>
  <c r="BF197" i="1"/>
  <c r="BM196" i="1"/>
  <c r="BL196" i="1"/>
  <c r="BK196" i="1"/>
  <c r="BJ196" i="1"/>
  <c r="BI196" i="1"/>
  <c r="BH196" i="1"/>
  <c r="BG196" i="1"/>
  <c r="BF196" i="1"/>
  <c r="BM195" i="1"/>
  <c r="BL195" i="1"/>
  <c r="BK195" i="1"/>
  <c r="BJ195" i="1"/>
  <c r="BI195" i="1"/>
  <c r="BH195" i="1"/>
  <c r="BG195" i="1"/>
  <c r="BF195" i="1"/>
  <c r="BM194" i="1"/>
  <c r="BL194" i="1"/>
  <c r="BK194" i="1"/>
  <c r="BJ194" i="1"/>
  <c r="BI194" i="1"/>
  <c r="BH194" i="1"/>
  <c r="BG194" i="1"/>
  <c r="BF194" i="1"/>
  <c r="BM193" i="1"/>
  <c r="BL193" i="1"/>
  <c r="BK193" i="1"/>
  <c r="BJ193" i="1"/>
  <c r="BI193" i="1"/>
  <c r="BH193" i="1"/>
  <c r="BG193" i="1"/>
  <c r="BF193" i="1"/>
  <c r="BM192" i="1"/>
  <c r="BL192" i="1"/>
  <c r="BK192" i="1"/>
  <c r="BJ192" i="1"/>
  <c r="BI192" i="1"/>
  <c r="BH192" i="1"/>
  <c r="BG192" i="1"/>
  <c r="BF192" i="1"/>
  <c r="BM191" i="1"/>
  <c r="BL191" i="1"/>
  <c r="BK191" i="1"/>
  <c r="BJ191" i="1"/>
  <c r="BI191" i="1"/>
  <c r="BH191" i="1"/>
  <c r="BG191" i="1"/>
  <c r="BF191" i="1"/>
  <c r="BM190" i="1"/>
  <c r="BL190" i="1"/>
  <c r="BK190" i="1"/>
  <c r="BJ190" i="1"/>
  <c r="BI190" i="1"/>
  <c r="BH190" i="1"/>
  <c r="BG190" i="1"/>
  <c r="BF190" i="1"/>
  <c r="BM189" i="1"/>
  <c r="BL189" i="1"/>
  <c r="BK189" i="1"/>
  <c r="BJ189" i="1"/>
  <c r="BI189" i="1"/>
  <c r="BH189" i="1"/>
  <c r="BG189" i="1"/>
  <c r="BF189" i="1"/>
  <c r="BM188" i="1"/>
  <c r="BL188" i="1"/>
  <c r="BK188" i="1"/>
  <c r="BJ188" i="1"/>
  <c r="BI188" i="1"/>
  <c r="BH188" i="1"/>
  <c r="BG188" i="1"/>
  <c r="BF188" i="1"/>
  <c r="BM187" i="1"/>
  <c r="BL187" i="1"/>
  <c r="BK187" i="1"/>
  <c r="BJ187" i="1"/>
  <c r="BI187" i="1"/>
  <c r="BH187" i="1"/>
  <c r="BG187" i="1"/>
  <c r="BF187" i="1"/>
  <c r="BM186" i="1"/>
  <c r="BL186" i="1"/>
  <c r="BK186" i="1"/>
  <c r="BJ186" i="1"/>
  <c r="BI186" i="1"/>
  <c r="BH186" i="1"/>
  <c r="BG186" i="1"/>
  <c r="BF186" i="1"/>
  <c r="BM185" i="1"/>
  <c r="BL185" i="1"/>
  <c r="BK185" i="1"/>
  <c r="BJ185" i="1"/>
  <c r="BI185" i="1"/>
  <c r="BH185" i="1"/>
  <c r="BG185" i="1"/>
  <c r="BF185" i="1"/>
  <c r="BM184" i="1"/>
  <c r="BL184" i="1"/>
  <c r="BK184" i="1"/>
  <c r="BJ184" i="1"/>
  <c r="BI184" i="1"/>
  <c r="BH184" i="1"/>
  <c r="BG184" i="1"/>
  <c r="BF184" i="1"/>
  <c r="BM183" i="1"/>
  <c r="BL183" i="1"/>
  <c r="BK183" i="1"/>
  <c r="BJ183" i="1"/>
  <c r="BI183" i="1"/>
  <c r="BH183" i="1"/>
  <c r="BG183" i="1"/>
  <c r="BF183" i="1"/>
  <c r="BM182" i="1"/>
  <c r="BL182" i="1"/>
  <c r="BK182" i="1"/>
  <c r="BJ182" i="1"/>
  <c r="BI182" i="1"/>
  <c r="BH182" i="1"/>
  <c r="BG182" i="1"/>
  <c r="BF182" i="1"/>
  <c r="BM181" i="1"/>
  <c r="BL181" i="1"/>
  <c r="BK181" i="1"/>
  <c r="BJ181" i="1"/>
  <c r="BI181" i="1"/>
  <c r="BH181" i="1"/>
  <c r="BG181" i="1"/>
  <c r="BF181" i="1"/>
  <c r="BM180" i="1"/>
  <c r="BL180" i="1"/>
  <c r="BK180" i="1"/>
  <c r="BJ180" i="1"/>
  <c r="BI180" i="1"/>
  <c r="BH180" i="1"/>
  <c r="BG180" i="1"/>
  <c r="BF180" i="1"/>
  <c r="BM179" i="1"/>
  <c r="BL179" i="1"/>
  <c r="BK179" i="1"/>
  <c r="BJ179" i="1"/>
  <c r="BI179" i="1"/>
  <c r="BH179" i="1"/>
  <c r="BG179" i="1"/>
  <c r="BF179" i="1"/>
  <c r="BM178" i="1"/>
  <c r="BL178" i="1"/>
  <c r="BK178" i="1"/>
  <c r="BJ178" i="1"/>
  <c r="BI178" i="1"/>
  <c r="BH178" i="1"/>
  <c r="BG178" i="1"/>
  <c r="BF178" i="1"/>
  <c r="BM177" i="1"/>
  <c r="BL177" i="1"/>
  <c r="BK177" i="1"/>
  <c r="BJ177" i="1"/>
  <c r="BI177" i="1"/>
  <c r="BH177" i="1"/>
  <c r="BG177" i="1"/>
  <c r="BF177" i="1"/>
  <c r="BM176" i="1"/>
  <c r="BL176" i="1"/>
  <c r="BK176" i="1"/>
  <c r="BJ176" i="1"/>
  <c r="BI176" i="1"/>
  <c r="BH176" i="1"/>
  <c r="BG176" i="1"/>
  <c r="BF176" i="1"/>
  <c r="BM175" i="1"/>
  <c r="BL175" i="1"/>
  <c r="BK175" i="1"/>
  <c r="BJ175" i="1"/>
  <c r="BI175" i="1"/>
  <c r="BH175" i="1"/>
  <c r="BG175" i="1"/>
  <c r="BF175" i="1"/>
  <c r="BM174" i="1"/>
  <c r="BL174" i="1"/>
  <c r="BK174" i="1"/>
  <c r="BJ174" i="1"/>
  <c r="BI174" i="1"/>
  <c r="BH174" i="1"/>
  <c r="BG174" i="1"/>
  <c r="BF174" i="1"/>
  <c r="BM173" i="1"/>
  <c r="BL173" i="1"/>
  <c r="BK173" i="1"/>
  <c r="BJ173" i="1"/>
  <c r="BI173" i="1"/>
  <c r="BH173" i="1"/>
  <c r="BG173" i="1"/>
  <c r="BF173" i="1"/>
  <c r="BM172" i="1"/>
  <c r="BL172" i="1"/>
  <c r="BK172" i="1"/>
  <c r="BJ172" i="1"/>
  <c r="BI172" i="1"/>
  <c r="BH172" i="1"/>
  <c r="BG172" i="1"/>
  <c r="BF172" i="1"/>
  <c r="BM171" i="1"/>
  <c r="BL171" i="1"/>
  <c r="BK171" i="1"/>
  <c r="BJ171" i="1"/>
  <c r="BI171" i="1"/>
  <c r="BH171" i="1"/>
  <c r="BG171" i="1"/>
  <c r="BF171" i="1"/>
  <c r="BM170" i="1"/>
  <c r="BL170" i="1"/>
  <c r="BK170" i="1"/>
  <c r="BJ170" i="1"/>
  <c r="BI170" i="1"/>
  <c r="BH170" i="1"/>
  <c r="BG170" i="1"/>
  <c r="BF170" i="1"/>
  <c r="BM169" i="1"/>
  <c r="BL169" i="1"/>
  <c r="BK169" i="1"/>
  <c r="BJ169" i="1"/>
  <c r="BI169" i="1"/>
  <c r="BH169" i="1"/>
  <c r="BG169" i="1"/>
  <c r="BF169" i="1"/>
  <c r="BM168" i="1"/>
  <c r="BL168" i="1"/>
  <c r="BK168" i="1"/>
  <c r="BJ168" i="1"/>
  <c r="BI168" i="1"/>
  <c r="BH168" i="1"/>
  <c r="BG168" i="1"/>
  <c r="BF168" i="1"/>
  <c r="BM167" i="1"/>
  <c r="BL167" i="1"/>
  <c r="BK167" i="1"/>
  <c r="BJ167" i="1"/>
  <c r="BI167" i="1"/>
  <c r="BH167" i="1"/>
  <c r="BG167" i="1"/>
  <c r="BF167" i="1"/>
  <c r="BM166" i="1"/>
  <c r="BL166" i="1"/>
  <c r="BK166" i="1"/>
  <c r="BJ166" i="1"/>
  <c r="BI166" i="1"/>
  <c r="BH166" i="1"/>
  <c r="BG166" i="1"/>
  <c r="BF166" i="1"/>
  <c r="BM165" i="1"/>
  <c r="BL165" i="1"/>
  <c r="BK165" i="1"/>
  <c r="BJ165" i="1"/>
  <c r="BI165" i="1"/>
  <c r="BH165" i="1"/>
  <c r="BG165" i="1"/>
  <c r="BF165" i="1"/>
  <c r="BM164" i="1"/>
  <c r="BL164" i="1"/>
  <c r="BK164" i="1"/>
  <c r="BJ164" i="1"/>
  <c r="BI164" i="1"/>
  <c r="BH164" i="1"/>
  <c r="BG164" i="1"/>
  <c r="BF164" i="1"/>
  <c r="BM163" i="1"/>
  <c r="BL163" i="1"/>
  <c r="BK163" i="1"/>
  <c r="BJ163" i="1"/>
  <c r="BI163" i="1"/>
  <c r="BH163" i="1"/>
  <c r="BG163" i="1"/>
  <c r="BF163" i="1"/>
  <c r="BM162" i="1"/>
  <c r="BL162" i="1"/>
  <c r="BK162" i="1"/>
  <c r="BJ162" i="1"/>
  <c r="BI162" i="1"/>
  <c r="BH162" i="1"/>
  <c r="BG162" i="1"/>
  <c r="BF162" i="1"/>
  <c r="BM161" i="1"/>
  <c r="BL161" i="1"/>
  <c r="BK161" i="1"/>
  <c r="BJ161" i="1"/>
  <c r="BI161" i="1"/>
  <c r="BH161" i="1"/>
  <c r="BG161" i="1"/>
  <c r="BF161" i="1"/>
  <c r="BM160" i="1"/>
  <c r="BL160" i="1"/>
  <c r="BK160" i="1"/>
  <c r="BJ160" i="1"/>
  <c r="BI160" i="1"/>
  <c r="BH160" i="1"/>
  <c r="BG160" i="1"/>
  <c r="BF160" i="1"/>
  <c r="BM159" i="1"/>
  <c r="BL159" i="1"/>
  <c r="BK159" i="1"/>
  <c r="BJ159" i="1"/>
  <c r="BI159" i="1"/>
  <c r="BH159" i="1"/>
  <c r="BG159" i="1"/>
  <c r="BF159" i="1"/>
  <c r="BM158" i="1"/>
  <c r="BL158" i="1"/>
  <c r="BK158" i="1"/>
  <c r="BJ158" i="1"/>
  <c r="BI158" i="1"/>
  <c r="BH158" i="1"/>
  <c r="BG158" i="1"/>
  <c r="BF158" i="1"/>
  <c r="BM157" i="1"/>
  <c r="BL157" i="1"/>
  <c r="BK157" i="1"/>
  <c r="BJ157" i="1"/>
  <c r="BI157" i="1"/>
  <c r="BH157" i="1"/>
  <c r="BG157" i="1"/>
  <c r="BF157" i="1"/>
  <c r="BM156" i="1"/>
  <c r="BL156" i="1"/>
  <c r="BK156" i="1"/>
  <c r="BJ156" i="1"/>
  <c r="BI156" i="1"/>
  <c r="BH156" i="1"/>
  <c r="BG156" i="1"/>
  <c r="BF156" i="1"/>
  <c r="BM155" i="1"/>
  <c r="BL155" i="1"/>
  <c r="BK155" i="1"/>
  <c r="BJ155" i="1"/>
  <c r="BI155" i="1"/>
  <c r="BH155" i="1"/>
  <c r="BG155" i="1"/>
  <c r="BF155" i="1"/>
  <c r="BM154" i="1"/>
  <c r="BL154" i="1"/>
  <c r="BK154" i="1"/>
  <c r="BJ154" i="1"/>
  <c r="BI154" i="1"/>
  <c r="BH154" i="1"/>
  <c r="BG154" i="1"/>
  <c r="BF154" i="1"/>
  <c r="BM153" i="1"/>
  <c r="BL153" i="1"/>
  <c r="BK153" i="1"/>
  <c r="BJ153" i="1"/>
  <c r="BI153" i="1"/>
  <c r="BH153" i="1"/>
  <c r="BG153" i="1"/>
  <c r="BF153" i="1"/>
  <c r="BM152" i="1"/>
  <c r="BL152" i="1"/>
  <c r="BK152" i="1"/>
  <c r="BJ152" i="1"/>
  <c r="BI152" i="1"/>
  <c r="BH152" i="1"/>
  <c r="BG152" i="1"/>
  <c r="BF152" i="1"/>
  <c r="BM151" i="1"/>
  <c r="BL151" i="1"/>
  <c r="BK151" i="1"/>
  <c r="BJ151" i="1"/>
  <c r="BI151" i="1"/>
  <c r="BH151" i="1"/>
  <c r="BG151" i="1"/>
  <c r="BF151" i="1"/>
  <c r="BM150" i="1"/>
  <c r="BL150" i="1"/>
  <c r="BK150" i="1"/>
  <c r="BJ150" i="1"/>
  <c r="BI150" i="1"/>
  <c r="BH150" i="1"/>
  <c r="BG150" i="1"/>
  <c r="BF150" i="1"/>
  <c r="BM149" i="1"/>
  <c r="BL149" i="1"/>
  <c r="BK149" i="1"/>
  <c r="BJ149" i="1"/>
  <c r="BI149" i="1"/>
  <c r="BH149" i="1"/>
  <c r="BG149" i="1"/>
  <c r="BF149" i="1"/>
  <c r="BM148" i="1"/>
  <c r="BL148" i="1"/>
  <c r="BK148" i="1"/>
  <c r="BJ148" i="1"/>
  <c r="BI148" i="1"/>
  <c r="BH148" i="1"/>
  <c r="BG148" i="1"/>
  <c r="BF148" i="1"/>
  <c r="BM147" i="1"/>
  <c r="BL147" i="1"/>
  <c r="BK147" i="1"/>
  <c r="BJ147" i="1"/>
  <c r="BI147" i="1"/>
  <c r="BH147" i="1"/>
  <c r="BG147" i="1"/>
  <c r="BF147" i="1"/>
  <c r="BM146" i="1"/>
  <c r="BL146" i="1"/>
  <c r="BK146" i="1"/>
  <c r="BJ146" i="1"/>
  <c r="BI146" i="1"/>
  <c r="BH146" i="1"/>
  <c r="BG146" i="1"/>
  <c r="BF146" i="1"/>
  <c r="BM145" i="1"/>
  <c r="BL145" i="1"/>
  <c r="BK145" i="1"/>
  <c r="BJ145" i="1"/>
  <c r="BI145" i="1"/>
  <c r="BH145" i="1"/>
  <c r="BG145" i="1"/>
  <c r="BF145" i="1"/>
  <c r="BM144" i="1"/>
  <c r="BL144" i="1"/>
  <c r="BK144" i="1"/>
  <c r="BJ144" i="1"/>
  <c r="BI144" i="1"/>
  <c r="BH144" i="1"/>
  <c r="BG144" i="1"/>
  <c r="BF144" i="1"/>
  <c r="BM143" i="1"/>
  <c r="BL143" i="1"/>
  <c r="BK143" i="1"/>
  <c r="BJ143" i="1"/>
  <c r="BI143" i="1"/>
  <c r="BH143" i="1"/>
  <c r="BG143" i="1"/>
  <c r="BF143" i="1"/>
  <c r="BM142" i="1"/>
  <c r="BL142" i="1"/>
  <c r="BK142" i="1"/>
  <c r="BJ142" i="1"/>
  <c r="BI142" i="1"/>
  <c r="BH142" i="1"/>
  <c r="BG142" i="1"/>
  <c r="BF142" i="1"/>
  <c r="BM141" i="1"/>
  <c r="BL141" i="1"/>
  <c r="BK141" i="1"/>
  <c r="BJ141" i="1"/>
  <c r="BI141" i="1"/>
  <c r="BH141" i="1"/>
  <c r="BG141" i="1"/>
  <c r="BF141" i="1"/>
  <c r="BM140" i="1"/>
  <c r="BL140" i="1"/>
  <c r="BK140" i="1"/>
  <c r="BJ140" i="1"/>
  <c r="BI140" i="1"/>
  <c r="BH140" i="1"/>
  <c r="BG140" i="1"/>
  <c r="BF140" i="1"/>
  <c r="BM139" i="1"/>
  <c r="BL139" i="1"/>
  <c r="BK139" i="1"/>
  <c r="BJ139" i="1"/>
  <c r="BI139" i="1"/>
  <c r="BH139" i="1"/>
  <c r="BG139" i="1"/>
  <c r="BF139" i="1"/>
  <c r="BM138" i="1"/>
  <c r="BL138" i="1"/>
  <c r="BK138" i="1"/>
  <c r="BJ138" i="1"/>
  <c r="BI138" i="1"/>
  <c r="BH138" i="1"/>
  <c r="BG138" i="1"/>
  <c r="BF138" i="1"/>
  <c r="BM137" i="1"/>
  <c r="BL137" i="1"/>
  <c r="BK137" i="1"/>
  <c r="BJ137" i="1"/>
  <c r="BI137" i="1"/>
  <c r="BH137" i="1"/>
  <c r="BG137" i="1"/>
  <c r="BF137" i="1"/>
  <c r="BM136" i="1"/>
  <c r="BL136" i="1"/>
  <c r="BK136" i="1"/>
  <c r="BJ136" i="1"/>
  <c r="BI136" i="1"/>
  <c r="BH136" i="1"/>
  <c r="BG136" i="1"/>
  <c r="BF136" i="1"/>
  <c r="BM135" i="1"/>
  <c r="BL135" i="1"/>
  <c r="BK135" i="1"/>
  <c r="BJ135" i="1"/>
  <c r="BI135" i="1"/>
  <c r="BH135" i="1"/>
  <c r="BG135" i="1"/>
  <c r="BF135" i="1"/>
  <c r="BM134" i="1"/>
  <c r="BL134" i="1"/>
  <c r="BK134" i="1"/>
  <c r="BJ134" i="1"/>
  <c r="BI134" i="1"/>
  <c r="BH134" i="1"/>
  <c r="BG134" i="1"/>
  <c r="BF134" i="1"/>
  <c r="BM133" i="1"/>
  <c r="BL133" i="1"/>
  <c r="BK133" i="1"/>
  <c r="BJ133" i="1"/>
  <c r="BI133" i="1"/>
  <c r="BH133" i="1"/>
  <c r="BG133" i="1"/>
  <c r="BF133" i="1"/>
  <c r="BM132" i="1"/>
  <c r="BL132" i="1"/>
  <c r="BK132" i="1"/>
  <c r="BJ132" i="1"/>
  <c r="BI132" i="1"/>
  <c r="BH132" i="1"/>
  <c r="BG132" i="1"/>
  <c r="BF132" i="1"/>
  <c r="BM131" i="1"/>
  <c r="BL131" i="1"/>
  <c r="BK131" i="1"/>
  <c r="BJ131" i="1"/>
  <c r="BI131" i="1"/>
  <c r="BH131" i="1"/>
  <c r="BG131" i="1"/>
  <c r="BF131" i="1"/>
  <c r="BM130" i="1"/>
  <c r="BL130" i="1"/>
  <c r="BK130" i="1"/>
  <c r="BJ130" i="1"/>
  <c r="BI130" i="1"/>
  <c r="BH130" i="1"/>
  <c r="BG130" i="1"/>
  <c r="BF130" i="1"/>
  <c r="BM129" i="1"/>
  <c r="BL129" i="1"/>
  <c r="BK129" i="1"/>
  <c r="BJ129" i="1"/>
  <c r="BI129" i="1"/>
  <c r="BH129" i="1"/>
  <c r="BG129" i="1"/>
  <c r="BF129" i="1"/>
  <c r="BM128" i="1"/>
  <c r="BL128" i="1"/>
  <c r="BK128" i="1"/>
  <c r="BJ128" i="1"/>
  <c r="BI128" i="1"/>
  <c r="BH128" i="1"/>
  <c r="BG128" i="1"/>
  <c r="BF128" i="1"/>
  <c r="BM127" i="1"/>
  <c r="BL127" i="1"/>
  <c r="BK127" i="1"/>
  <c r="BJ127" i="1"/>
  <c r="BI127" i="1"/>
  <c r="BH127" i="1"/>
  <c r="BG127" i="1"/>
  <c r="BF127" i="1"/>
  <c r="BM126" i="1"/>
  <c r="BL126" i="1"/>
  <c r="BK126" i="1"/>
  <c r="BJ126" i="1"/>
  <c r="BI126" i="1"/>
  <c r="BH126" i="1"/>
  <c r="BG126" i="1"/>
  <c r="BF126" i="1"/>
  <c r="BM125" i="1"/>
  <c r="BL125" i="1"/>
  <c r="BK125" i="1"/>
  <c r="BJ125" i="1"/>
  <c r="BI125" i="1"/>
  <c r="BH125" i="1"/>
  <c r="BG125" i="1"/>
  <c r="BF125" i="1"/>
  <c r="BM124" i="1"/>
  <c r="BL124" i="1"/>
  <c r="BK124" i="1"/>
  <c r="BJ124" i="1"/>
  <c r="BI124" i="1"/>
  <c r="BH124" i="1"/>
  <c r="BG124" i="1"/>
  <c r="BF124" i="1"/>
  <c r="BM123" i="1"/>
  <c r="BL123" i="1"/>
  <c r="BK123" i="1"/>
  <c r="BJ123" i="1"/>
  <c r="BI123" i="1"/>
  <c r="BH123" i="1"/>
  <c r="BG123" i="1"/>
  <c r="BF123" i="1"/>
  <c r="BM122" i="1"/>
  <c r="BL122" i="1"/>
  <c r="BK122" i="1"/>
  <c r="BJ122" i="1"/>
  <c r="BI122" i="1"/>
  <c r="BH122" i="1"/>
  <c r="BG122" i="1"/>
  <c r="BF122" i="1"/>
  <c r="BM121" i="1"/>
  <c r="BL121" i="1"/>
  <c r="BK121" i="1"/>
  <c r="BJ121" i="1"/>
  <c r="BI121" i="1"/>
  <c r="BH121" i="1"/>
  <c r="BG121" i="1"/>
  <c r="BF121" i="1"/>
  <c r="BM120" i="1"/>
  <c r="BL120" i="1"/>
  <c r="BK120" i="1"/>
  <c r="BJ120" i="1"/>
  <c r="BI120" i="1"/>
  <c r="BH120" i="1"/>
  <c r="BG120" i="1"/>
  <c r="BF120" i="1"/>
  <c r="BM119" i="1"/>
  <c r="BL119" i="1"/>
  <c r="BK119" i="1"/>
  <c r="BJ119" i="1"/>
  <c r="BI119" i="1"/>
  <c r="BH119" i="1"/>
  <c r="BG119" i="1"/>
  <c r="BF119" i="1"/>
  <c r="BM118" i="1"/>
  <c r="BL118" i="1"/>
  <c r="BK118" i="1"/>
  <c r="BJ118" i="1"/>
  <c r="BI118" i="1"/>
  <c r="BH118" i="1"/>
  <c r="BG118" i="1"/>
  <c r="BF118" i="1"/>
  <c r="BM117" i="1"/>
  <c r="BL117" i="1"/>
  <c r="BK117" i="1"/>
  <c r="BJ117" i="1"/>
  <c r="BI117" i="1"/>
  <c r="BH117" i="1"/>
  <c r="BG117" i="1"/>
  <c r="BF117" i="1"/>
  <c r="BM116" i="1"/>
  <c r="BL116" i="1"/>
  <c r="BK116" i="1"/>
  <c r="BJ116" i="1"/>
  <c r="BI116" i="1"/>
  <c r="BH116" i="1"/>
  <c r="BG116" i="1"/>
  <c r="BF116" i="1"/>
  <c r="BM115" i="1"/>
  <c r="BL115" i="1"/>
  <c r="BK115" i="1"/>
  <c r="BJ115" i="1"/>
  <c r="BI115" i="1"/>
  <c r="BH115" i="1"/>
  <c r="BG115" i="1"/>
  <c r="BF115" i="1"/>
  <c r="BM114" i="1"/>
  <c r="BL114" i="1"/>
  <c r="BK114" i="1"/>
  <c r="BJ114" i="1"/>
  <c r="BI114" i="1"/>
  <c r="BH114" i="1"/>
  <c r="BG114" i="1"/>
  <c r="BF114" i="1"/>
  <c r="BM113" i="1"/>
  <c r="BL113" i="1"/>
  <c r="BK113" i="1"/>
  <c r="BJ113" i="1"/>
  <c r="BI113" i="1"/>
  <c r="BH113" i="1"/>
  <c r="BG113" i="1"/>
  <c r="BF113" i="1"/>
  <c r="BM112" i="1"/>
  <c r="BL112" i="1"/>
  <c r="BK112" i="1"/>
  <c r="BJ112" i="1"/>
  <c r="BI112" i="1"/>
  <c r="BH112" i="1"/>
  <c r="BG112" i="1"/>
  <c r="BF112" i="1"/>
  <c r="BM111" i="1"/>
  <c r="BL111" i="1"/>
  <c r="BK111" i="1"/>
  <c r="BJ111" i="1"/>
  <c r="BI111" i="1"/>
  <c r="BH111" i="1"/>
  <c r="BG111" i="1"/>
  <c r="BF111" i="1"/>
  <c r="BM110" i="1"/>
  <c r="BL110" i="1"/>
  <c r="BK110" i="1"/>
  <c r="BJ110" i="1"/>
  <c r="BI110" i="1"/>
  <c r="BH110" i="1"/>
  <c r="BG110" i="1"/>
  <c r="BF110" i="1"/>
  <c r="BM109" i="1"/>
  <c r="BL109" i="1"/>
  <c r="BK109" i="1"/>
  <c r="BJ109" i="1"/>
  <c r="BI109" i="1"/>
  <c r="BH109" i="1"/>
  <c r="BG109" i="1"/>
  <c r="BF109" i="1"/>
  <c r="BM108" i="1"/>
  <c r="BL108" i="1"/>
  <c r="BK108" i="1"/>
  <c r="BJ108" i="1"/>
  <c r="BI108" i="1"/>
  <c r="BH108" i="1"/>
  <c r="BG108" i="1"/>
  <c r="BF108" i="1"/>
  <c r="BM107" i="1"/>
  <c r="BL107" i="1"/>
  <c r="BK107" i="1"/>
  <c r="BJ107" i="1"/>
  <c r="BI107" i="1"/>
  <c r="BH107" i="1"/>
  <c r="BG107" i="1"/>
  <c r="BF107" i="1"/>
  <c r="BM106" i="1"/>
  <c r="BL106" i="1"/>
  <c r="BK106" i="1"/>
  <c r="BJ106" i="1"/>
  <c r="BI106" i="1"/>
  <c r="BH106" i="1"/>
  <c r="BG106" i="1"/>
  <c r="BF106" i="1"/>
  <c r="BM105" i="1"/>
  <c r="BL105" i="1"/>
  <c r="BK105" i="1"/>
  <c r="BJ105" i="1"/>
  <c r="BI105" i="1"/>
  <c r="BH105" i="1"/>
  <c r="BG105" i="1"/>
  <c r="BF105" i="1"/>
  <c r="BM104" i="1"/>
  <c r="BL104" i="1"/>
  <c r="BK104" i="1"/>
  <c r="BJ104" i="1"/>
  <c r="BI104" i="1"/>
  <c r="BH104" i="1"/>
  <c r="BG104" i="1"/>
  <c r="BF104" i="1"/>
  <c r="BM103" i="1"/>
  <c r="BL103" i="1"/>
  <c r="BK103" i="1"/>
  <c r="BJ103" i="1"/>
  <c r="BI103" i="1"/>
  <c r="BH103" i="1"/>
  <c r="BG103" i="1"/>
  <c r="BF103" i="1"/>
  <c r="BM102" i="1"/>
  <c r="BL102" i="1"/>
  <c r="BK102" i="1"/>
  <c r="BJ102" i="1"/>
  <c r="BI102" i="1"/>
  <c r="BH102" i="1"/>
  <c r="BG102" i="1"/>
  <c r="BF102" i="1"/>
  <c r="BM101" i="1"/>
  <c r="BL101" i="1"/>
  <c r="BK101" i="1"/>
  <c r="BJ101" i="1"/>
  <c r="BI101" i="1"/>
  <c r="BH101" i="1"/>
  <c r="BG101" i="1"/>
  <c r="BF101" i="1"/>
  <c r="BM100" i="1"/>
  <c r="BL100" i="1"/>
  <c r="BK100" i="1"/>
  <c r="BJ100" i="1"/>
  <c r="BI100" i="1"/>
  <c r="BH100" i="1"/>
  <c r="BG100" i="1"/>
  <c r="BF100" i="1"/>
  <c r="BM99" i="1"/>
  <c r="BL99" i="1"/>
  <c r="BK99" i="1"/>
  <c r="BJ99" i="1"/>
  <c r="BI99" i="1"/>
  <c r="BH99" i="1"/>
  <c r="BG99" i="1"/>
  <c r="BF99" i="1"/>
  <c r="BM98" i="1"/>
  <c r="BL98" i="1"/>
  <c r="BK98" i="1"/>
  <c r="BJ98" i="1"/>
  <c r="BI98" i="1"/>
  <c r="BH98" i="1"/>
  <c r="BG98" i="1"/>
  <c r="BF98" i="1"/>
  <c r="BM97" i="1"/>
  <c r="BL97" i="1"/>
  <c r="BK97" i="1"/>
  <c r="BJ97" i="1"/>
  <c r="BI97" i="1"/>
  <c r="BH97" i="1"/>
  <c r="BG97" i="1"/>
  <c r="BF97" i="1"/>
  <c r="BM96" i="1"/>
  <c r="BL96" i="1"/>
  <c r="BK96" i="1"/>
  <c r="BJ96" i="1"/>
  <c r="BI96" i="1"/>
  <c r="BH96" i="1"/>
  <c r="BG96" i="1"/>
  <c r="BF96" i="1"/>
  <c r="BM95" i="1"/>
  <c r="BL95" i="1"/>
  <c r="BK95" i="1"/>
  <c r="BJ95" i="1"/>
  <c r="BI95" i="1"/>
  <c r="BH95" i="1"/>
  <c r="BG95" i="1"/>
  <c r="BF95" i="1"/>
  <c r="BM94" i="1"/>
  <c r="BL94" i="1"/>
  <c r="BK94" i="1"/>
  <c r="BJ94" i="1"/>
  <c r="BI94" i="1"/>
  <c r="BH94" i="1"/>
  <c r="BG94" i="1"/>
  <c r="BF94" i="1"/>
  <c r="BM93" i="1"/>
  <c r="BL93" i="1"/>
  <c r="BK93" i="1"/>
  <c r="BJ93" i="1"/>
  <c r="BI93" i="1"/>
  <c r="BH93" i="1"/>
  <c r="BG93" i="1"/>
  <c r="BF93" i="1"/>
  <c r="BM92" i="1"/>
  <c r="BL92" i="1"/>
  <c r="BK92" i="1"/>
  <c r="BJ92" i="1"/>
  <c r="BI92" i="1"/>
  <c r="BH92" i="1"/>
  <c r="BG92" i="1"/>
  <c r="BF92" i="1"/>
  <c r="BM91" i="1"/>
  <c r="BL91" i="1"/>
  <c r="BK91" i="1"/>
  <c r="BJ91" i="1"/>
  <c r="BI91" i="1"/>
  <c r="BH91" i="1"/>
  <c r="BG91" i="1"/>
  <c r="BF91" i="1"/>
  <c r="BM90" i="1"/>
  <c r="BL90" i="1"/>
  <c r="BK90" i="1"/>
  <c r="BJ90" i="1"/>
  <c r="BI90" i="1"/>
  <c r="BH90" i="1"/>
  <c r="BG90" i="1"/>
  <c r="BF90" i="1"/>
  <c r="BM89" i="1"/>
  <c r="BL89" i="1"/>
  <c r="BK89" i="1"/>
  <c r="BJ89" i="1"/>
  <c r="BI89" i="1"/>
  <c r="BH89" i="1"/>
  <c r="BG89" i="1"/>
  <c r="BF89" i="1"/>
  <c r="BM88" i="1"/>
  <c r="BL88" i="1"/>
  <c r="BK88" i="1"/>
  <c r="BJ88" i="1"/>
  <c r="BI88" i="1"/>
  <c r="BH88" i="1"/>
  <c r="BG88" i="1"/>
  <c r="BF88" i="1"/>
  <c r="BM87" i="1"/>
  <c r="BL87" i="1"/>
  <c r="BK87" i="1"/>
  <c r="BJ87" i="1"/>
  <c r="BI87" i="1"/>
  <c r="BH87" i="1"/>
  <c r="BG87" i="1"/>
  <c r="BF87" i="1"/>
  <c r="BM86" i="1"/>
  <c r="BL86" i="1"/>
  <c r="BK86" i="1"/>
  <c r="BJ86" i="1"/>
  <c r="BI86" i="1"/>
  <c r="BH86" i="1"/>
  <c r="BG86" i="1"/>
  <c r="BF86" i="1"/>
  <c r="BM85" i="1"/>
  <c r="BL85" i="1"/>
  <c r="BK85" i="1"/>
  <c r="BJ85" i="1"/>
  <c r="BI85" i="1"/>
  <c r="BH85" i="1"/>
  <c r="BG85" i="1"/>
  <c r="BF85" i="1"/>
  <c r="BM84" i="1"/>
  <c r="BL84" i="1"/>
  <c r="BK84" i="1"/>
  <c r="BJ84" i="1"/>
  <c r="BI84" i="1"/>
  <c r="BH84" i="1"/>
  <c r="BG84" i="1"/>
  <c r="BF84" i="1"/>
  <c r="BM83" i="1"/>
  <c r="BL83" i="1"/>
  <c r="BK83" i="1"/>
  <c r="BJ83" i="1"/>
  <c r="BI83" i="1"/>
  <c r="BH83" i="1"/>
  <c r="BG83" i="1"/>
  <c r="BF83" i="1"/>
  <c r="BM82" i="1"/>
  <c r="BL82" i="1"/>
  <c r="BK82" i="1"/>
  <c r="BJ82" i="1"/>
  <c r="BI82" i="1"/>
  <c r="BH82" i="1"/>
  <c r="BG82" i="1"/>
  <c r="BF82" i="1"/>
  <c r="BM81" i="1"/>
  <c r="BL81" i="1"/>
  <c r="BK81" i="1"/>
  <c r="BJ81" i="1"/>
  <c r="BI81" i="1"/>
  <c r="BH81" i="1"/>
  <c r="BG81" i="1"/>
  <c r="BF81" i="1"/>
  <c r="BM80" i="1"/>
  <c r="BL80" i="1"/>
  <c r="BK80" i="1"/>
  <c r="BJ80" i="1"/>
  <c r="BI80" i="1"/>
  <c r="BH80" i="1"/>
  <c r="BG80" i="1"/>
  <c r="BF80" i="1"/>
  <c r="BM79" i="1"/>
  <c r="BL79" i="1"/>
  <c r="BK79" i="1"/>
  <c r="BJ79" i="1"/>
  <c r="BI79" i="1"/>
  <c r="BH79" i="1"/>
  <c r="BG79" i="1"/>
  <c r="BF79" i="1"/>
  <c r="BM78" i="1"/>
  <c r="BL78" i="1"/>
  <c r="BK78" i="1"/>
  <c r="BJ78" i="1"/>
  <c r="BI78" i="1"/>
  <c r="BH78" i="1"/>
  <c r="BG78" i="1"/>
  <c r="BF78" i="1"/>
  <c r="BM77" i="1"/>
  <c r="BL77" i="1"/>
  <c r="BK77" i="1"/>
  <c r="BJ77" i="1"/>
  <c r="BI77" i="1"/>
  <c r="BH77" i="1"/>
  <c r="BG77" i="1"/>
  <c r="BF77" i="1"/>
  <c r="BM76" i="1"/>
  <c r="BL76" i="1"/>
  <c r="BK76" i="1"/>
  <c r="BJ76" i="1"/>
  <c r="BI76" i="1"/>
  <c r="BH76" i="1"/>
  <c r="BG76" i="1"/>
  <c r="BF76" i="1"/>
  <c r="BM75" i="1"/>
  <c r="BL75" i="1"/>
  <c r="BK75" i="1"/>
  <c r="BJ75" i="1"/>
  <c r="BI75" i="1"/>
  <c r="BH75" i="1"/>
  <c r="BG75" i="1"/>
  <c r="BF75" i="1"/>
  <c r="BM74" i="1"/>
  <c r="BL74" i="1"/>
  <c r="BK74" i="1"/>
  <c r="BJ74" i="1"/>
  <c r="BI74" i="1"/>
  <c r="BH74" i="1"/>
  <c r="BG74" i="1"/>
  <c r="BF74" i="1"/>
  <c r="BM73" i="1"/>
  <c r="BL73" i="1"/>
  <c r="BK73" i="1"/>
  <c r="BJ73" i="1"/>
  <c r="BI73" i="1"/>
  <c r="BH73" i="1"/>
  <c r="BG73" i="1"/>
  <c r="BF73" i="1"/>
  <c r="BM72" i="1"/>
  <c r="BL72" i="1"/>
  <c r="BK72" i="1"/>
  <c r="BJ72" i="1"/>
  <c r="BI72" i="1"/>
  <c r="BH72" i="1"/>
  <c r="BG72" i="1"/>
  <c r="BF72" i="1"/>
  <c r="BM71" i="1"/>
  <c r="BL71" i="1"/>
  <c r="BK71" i="1"/>
  <c r="BJ71" i="1"/>
  <c r="BI71" i="1"/>
  <c r="BH71" i="1"/>
  <c r="BG71" i="1"/>
  <c r="BF71" i="1"/>
  <c r="BM70" i="1"/>
  <c r="BL70" i="1"/>
  <c r="BK70" i="1"/>
  <c r="BJ70" i="1"/>
  <c r="BI70" i="1"/>
  <c r="BH70" i="1"/>
  <c r="BG70" i="1"/>
  <c r="BF70" i="1"/>
  <c r="BM69" i="1"/>
  <c r="BL69" i="1"/>
  <c r="BK69" i="1"/>
  <c r="BJ69" i="1"/>
  <c r="BI69" i="1"/>
  <c r="BH69" i="1"/>
  <c r="BG69" i="1"/>
  <c r="BF69" i="1"/>
  <c r="BM68" i="1"/>
  <c r="BL68" i="1"/>
  <c r="BK68" i="1"/>
  <c r="BJ68" i="1"/>
  <c r="BI68" i="1"/>
  <c r="BH68" i="1"/>
  <c r="BG68" i="1"/>
  <c r="BF68" i="1"/>
  <c r="BM67" i="1"/>
  <c r="BL67" i="1"/>
  <c r="BK67" i="1"/>
  <c r="BJ67" i="1"/>
  <c r="BI67" i="1"/>
  <c r="BH67" i="1"/>
  <c r="BG67" i="1"/>
  <c r="BF67" i="1"/>
  <c r="BM66" i="1"/>
  <c r="BL66" i="1"/>
  <c r="BK66" i="1"/>
  <c r="BJ66" i="1"/>
  <c r="BI66" i="1"/>
  <c r="BH66" i="1"/>
  <c r="BG66" i="1"/>
  <c r="BF66" i="1"/>
  <c r="BM65" i="1"/>
  <c r="BL65" i="1"/>
  <c r="BK65" i="1"/>
  <c r="BJ65" i="1"/>
  <c r="BI65" i="1"/>
  <c r="BH65" i="1"/>
  <c r="BG65" i="1"/>
  <c r="BF65" i="1"/>
  <c r="BM64" i="1"/>
  <c r="BL64" i="1"/>
  <c r="BK64" i="1"/>
  <c r="BJ64" i="1"/>
  <c r="BI64" i="1"/>
  <c r="BH64" i="1"/>
  <c r="BG64" i="1"/>
  <c r="BF64" i="1"/>
  <c r="BM63" i="1"/>
  <c r="BL63" i="1"/>
  <c r="BK63" i="1"/>
  <c r="BJ63" i="1"/>
  <c r="BI63" i="1"/>
  <c r="BH63" i="1"/>
  <c r="BG63" i="1"/>
  <c r="BF63" i="1"/>
  <c r="BM62" i="1"/>
  <c r="BL62" i="1"/>
  <c r="BK62" i="1"/>
  <c r="BJ62" i="1"/>
  <c r="BI62" i="1"/>
  <c r="BH62" i="1"/>
  <c r="BG62" i="1"/>
  <c r="BF62" i="1"/>
  <c r="BM61" i="1"/>
  <c r="BL61" i="1"/>
  <c r="BK61" i="1"/>
  <c r="BJ61" i="1"/>
  <c r="BI61" i="1"/>
  <c r="BH61" i="1"/>
  <c r="BG61" i="1"/>
  <c r="BF61" i="1"/>
  <c r="BM60" i="1"/>
  <c r="BL60" i="1"/>
  <c r="BK60" i="1"/>
  <c r="BJ60" i="1"/>
  <c r="BI60" i="1"/>
  <c r="BH60" i="1"/>
  <c r="BG60" i="1"/>
  <c r="BF60" i="1"/>
  <c r="BM59" i="1"/>
  <c r="BL59" i="1"/>
  <c r="BK59" i="1"/>
  <c r="BJ59" i="1"/>
  <c r="BI59" i="1"/>
  <c r="BH59" i="1"/>
  <c r="BG59" i="1"/>
  <c r="BF59" i="1"/>
  <c r="BM58" i="1"/>
  <c r="BL58" i="1"/>
  <c r="BK58" i="1"/>
  <c r="BJ58" i="1"/>
  <c r="BI58" i="1"/>
  <c r="BH58" i="1"/>
  <c r="BG58" i="1"/>
  <c r="BF58" i="1"/>
  <c r="BM57" i="1"/>
  <c r="BL57" i="1"/>
  <c r="BK57" i="1"/>
  <c r="BJ57" i="1"/>
  <c r="BI57" i="1"/>
  <c r="BH57" i="1"/>
  <c r="BG57" i="1"/>
  <c r="BF57" i="1"/>
  <c r="BM56" i="1"/>
  <c r="BL56" i="1"/>
  <c r="BK56" i="1"/>
  <c r="BJ56" i="1"/>
  <c r="BI56" i="1"/>
  <c r="BH56" i="1"/>
  <c r="BG56" i="1"/>
  <c r="BF56" i="1"/>
  <c r="BM55" i="1"/>
  <c r="BL55" i="1"/>
  <c r="BK55" i="1"/>
  <c r="BJ55" i="1"/>
  <c r="BI55" i="1"/>
  <c r="BH55" i="1"/>
  <c r="BG55" i="1"/>
  <c r="BF55" i="1"/>
  <c r="BM54" i="1"/>
  <c r="BL54" i="1"/>
  <c r="BK54" i="1"/>
  <c r="BJ54" i="1"/>
  <c r="BI54" i="1"/>
  <c r="BH54" i="1"/>
  <c r="BG54" i="1"/>
  <c r="BF54" i="1"/>
  <c r="BM53" i="1"/>
  <c r="BL53" i="1"/>
  <c r="BK53" i="1"/>
  <c r="BJ53" i="1"/>
  <c r="BI53" i="1"/>
  <c r="BH53" i="1"/>
  <c r="BG53" i="1"/>
  <c r="BF53" i="1"/>
  <c r="BM52" i="1"/>
  <c r="BL52" i="1"/>
  <c r="BK52" i="1"/>
  <c r="BJ52" i="1"/>
  <c r="BI52" i="1"/>
  <c r="BH52" i="1"/>
  <c r="BG52" i="1"/>
  <c r="BF52" i="1"/>
  <c r="BM51" i="1"/>
  <c r="BL51" i="1"/>
  <c r="BK51" i="1"/>
  <c r="BJ51" i="1"/>
  <c r="BI51" i="1"/>
  <c r="BH51" i="1"/>
  <c r="BG51" i="1"/>
  <c r="BF51" i="1"/>
  <c r="BM50" i="1"/>
  <c r="BL50" i="1"/>
  <c r="BK50" i="1"/>
  <c r="BJ50" i="1"/>
  <c r="BI50" i="1"/>
  <c r="BH50" i="1"/>
  <c r="BG50" i="1"/>
  <c r="BF50" i="1"/>
  <c r="BM49" i="1"/>
  <c r="BL49" i="1"/>
  <c r="BK49" i="1"/>
  <c r="BJ49" i="1"/>
  <c r="BI49" i="1"/>
  <c r="BH49" i="1"/>
  <c r="BG49" i="1"/>
  <c r="BF49" i="1"/>
  <c r="BM48" i="1"/>
  <c r="BL48" i="1"/>
  <c r="BK48" i="1"/>
  <c r="BJ48" i="1"/>
  <c r="BI48" i="1"/>
  <c r="BH48" i="1"/>
  <c r="BG48" i="1"/>
  <c r="BF48" i="1"/>
  <c r="BM47" i="1"/>
  <c r="BL47" i="1"/>
  <c r="BK47" i="1"/>
  <c r="BJ47" i="1"/>
  <c r="BI47" i="1"/>
  <c r="BH47" i="1"/>
  <c r="BG47" i="1"/>
  <c r="BF47" i="1"/>
  <c r="BM46" i="1"/>
  <c r="BL46" i="1"/>
  <c r="BK46" i="1"/>
  <c r="BJ46" i="1"/>
  <c r="BI46" i="1"/>
  <c r="BH46" i="1"/>
  <c r="BG46" i="1"/>
  <c r="BF46" i="1"/>
  <c r="BM45" i="1"/>
  <c r="BL45" i="1"/>
  <c r="BK45" i="1"/>
  <c r="BJ45" i="1"/>
  <c r="BI45" i="1"/>
  <c r="BH45" i="1"/>
  <c r="BG45" i="1"/>
  <c r="BF45" i="1"/>
  <c r="BM44" i="1"/>
  <c r="BL44" i="1"/>
  <c r="BK44" i="1"/>
  <c r="BJ44" i="1"/>
  <c r="BI44" i="1"/>
  <c r="BH44" i="1"/>
  <c r="BG44" i="1"/>
  <c r="BF44" i="1"/>
  <c r="BM43" i="1"/>
  <c r="BL43" i="1"/>
  <c r="BK43" i="1"/>
  <c r="BJ43" i="1"/>
  <c r="BI43" i="1"/>
  <c r="BH43" i="1"/>
  <c r="BG43" i="1"/>
  <c r="BF43" i="1"/>
  <c r="BM42" i="1"/>
  <c r="BL42" i="1"/>
  <c r="BK42" i="1"/>
  <c r="BJ42" i="1"/>
  <c r="BI42" i="1"/>
  <c r="BH42" i="1"/>
  <c r="BG42" i="1"/>
  <c r="BF42" i="1"/>
  <c r="BM41" i="1"/>
  <c r="BL41" i="1"/>
  <c r="BK41" i="1"/>
  <c r="BJ41" i="1"/>
  <c r="BI41" i="1"/>
  <c r="BH41" i="1"/>
  <c r="BG41" i="1"/>
  <c r="BF41" i="1"/>
  <c r="BM40" i="1"/>
  <c r="BL40" i="1"/>
  <c r="BK40" i="1"/>
  <c r="BJ40" i="1"/>
  <c r="BI40" i="1"/>
  <c r="BH40" i="1"/>
  <c r="BG40" i="1"/>
  <c r="BF40" i="1"/>
  <c r="BM39" i="1"/>
  <c r="BL39" i="1"/>
  <c r="BK39" i="1"/>
  <c r="BJ39" i="1"/>
  <c r="BI39" i="1"/>
  <c r="BH39" i="1"/>
  <c r="BG39" i="1"/>
  <c r="BF39" i="1"/>
  <c r="BM38" i="1"/>
  <c r="BL38" i="1"/>
  <c r="BK38" i="1"/>
  <c r="BJ38" i="1"/>
  <c r="BI38" i="1"/>
  <c r="BH38" i="1"/>
  <c r="BG38" i="1"/>
  <c r="BF38" i="1"/>
  <c r="BM37" i="1"/>
  <c r="BL37" i="1"/>
  <c r="BK37" i="1"/>
  <c r="BJ37" i="1"/>
  <c r="BI37" i="1"/>
  <c r="BH37" i="1"/>
  <c r="BG37" i="1"/>
  <c r="BF37" i="1"/>
  <c r="BM36" i="1"/>
  <c r="BL36" i="1"/>
  <c r="BK36" i="1"/>
  <c r="BJ36" i="1"/>
  <c r="BI36" i="1"/>
  <c r="BH36" i="1"/>
  <c r="BG36" i="1"/>
  <c r="BF36" i="1"/>
  <c r="BM35" i="1"/>
  <c r="BL35" i="1"/>
  <c r="BK35" i="1"/>
  <c r="BJ35" i="1"/>
  <c r="BI35" i="1"/>
  <c r="BH35" i="1"/>
  <c r="BG35" i="1"/>
  <c r="BF35" i="1"/>
  <c r="BM34" i="1"/>
  <c r="BL34" i="1"/>
  <c r="BK34" i="1"/>
  <c r="BJ34" i="1"/>
  <c r="BI34" i="1"/>
  <c r="BH34" i="1"/>
  <c r="BG34" i="1"/>
  <c r="BF34" i="1"/>
  <c r="BM33" i="1"/>
  <c r="BL33" i="1"/>
  <c r="BK33" i="1"/>
  <c r="BJ33" i="1"/>
  <c r="BI33" i="1"/>
  <c r="BH33" i="1"/>
  <c r="BG33" i="1"/>
  <c r="BF33" i="1"/>
  <c r="BM32" i="1"/>
  <c r="BL32" i="1"/>
  <c r="BK32" i="1"/>
  <c r="BJ32" i="1"/>
  <c r="BI32" i="1"/>
  <c r="BH32" i="1"/>
  <c r="BG32" i="1"/>
  <c r="BF32" i="1"/>
  <c r="BM31" i="1"/>
  <c r="BL31" i="1"/>
  <c r="BK31" i="1"/>
  <c r="BJ31" i="1"/>
  <c r="BI31" i="1"/>
  <c r="BH31" i="1"/>
  <c r="BG31" i="1"/>
  <c r="BF31" i="1"/>
  <c r="BM30" i="1"/>
  <c r="BL30" i="1"/>
  <c r="BK30" i="1"/>
  <c r="BJ30" i="1"/>
  <c r="BI30" i="1"/>
  <c r="BH30" i="1"/>
  <c r="BG30" i="1"/>
  <c r="BF30" i="1"/>
  <c r="BM29" i="1"/>
  <c r="BL29" i="1"/>
  <c r="BK29" i="1"/>
  <c r="BJ29" i="1"/>
  <c r="BI29" i="1"/>
  <c r="BH29" i="1"/>
  <c r="BG29" i="1"/>
  <c r="BF29" i="1"/>
  <c r="BM28" i="1"/>
  <c r="BL28" i="1"/>
  <c r="BK28" i="1"/>
  <c r="BJ28" i="1"/>
  <c r="BI28" i="1"/>
  <c r="BH28" i="1"/>
  <c r="BG28" i="1"/>
  <c r="BF28" i="1"/>
  <c r="BM27" i="1"/>
  <c r="BL27" i="1"/>
  <c r="BK27" i="1"/>
  <c r="BJ27" i="1"/>
  <c r="BI27" i="1"/>
  <c r="BH27" i="1"/>
  <c r="BG27" i="1"/>
  <c r="BF27" i="1"/>
  <c r="BM26" i="1"/>
  <c r="BL26" i="1"/>
  <c r="BK26" i="1"/>
  <c r="BJ26" i="1"/>
  <c r="BI26" i="1"/>
  <c r="BH26" i="1"/>
  <c r="BG26" i="1"/>
  <c r="BF26" i="1"/>
  <c r="BM25" i="1"/>
  <c r="BL25" i="1"/>
  <c r="BK25" i="1"/>
  <c r="BJ25" i="1"/>
  <c r="BI25" i="1"/>
  <c r="BH25" i="1"/>
  <c r="BG25" i="1"/>
  <c r="BF25" i="1"/>
  <c r="BM24" i="1"/>
  <c r="BL24" i="1"/>
  <c r="BK24" i="1"/>
  <c r="BJ24" i="1"/>
  <c r="BI24" i="1"/>
  <c r="BH24" i="1"/>
  <c r="BG24" i="1"/>
  <c r="BF24" i="1"/>
  <c r="BM23" i="1"/>
  <c r="BL23" i="1"/>
  <c r="BK23" i="1"/>
  <c r="BJ23" i="1"/>
  <c r="BI23" i="1"/>
  <c r="BH23" i="1"/>
  <c r="BG23" i="1"/>
  <c r="BF23" i="1"/>
  <c r="BM22" i="1"/>
  <c r="BL22" i="1"/>
  <c r="BK22" i="1"/>
  <c r="BJ22" i="1"/>
  <c r="BI22" i="1"/>
  <c r="BH22" i="1"/>
  <c r="BG22" i="1"/>
  <c r="BF22" i="1"/>
  <c r="BM21" i="1"/>
  <c r="BL21" i="1"/>
  <c r="BK21" i="1"/>
  <c r="BJ21" i="1"/>
  <c r="BI21" i="1"/>
  <c r="BH21" i="1"/>
  <c r="BG21" i="1"/>
  <c r="BF21" i="1"/>
  <c r="BM20" i="1"/>
  <c r="BL20" i="1"/>
  <c r="BK20" i="1"/>
  <c r="BJ20" i="1"/>
  <c r="BI20" i="1"/>
  <c r="BH20" i="1"/>
  <c r="BG20" i="1"/>
  <c r="BF20" i="1"/>
  <c r="BM19" i="1"/>
  <c r="BL19" i="1"/>
  <c r="BK19" i="1"/>
  <c r="BJ19" i="1"/>
  <c r="BI19" i="1"/>
  <c r="BH19" i="1"/>
  <c r="BG19" i="1"/>
  <c r="BF19" i="1"/>
  <c r="BM18" i="1"/>
  <c r="BL18" i="1"/>
  <c r="BK18" i="1"/>
  <c r="BJ18" i="1"/>
  <c r="BI18" i="1"/>
  <c r="BH18" i="1"/>
  <c r="BG18" i="1"/>
  <c r="BF18" i="1"/>
  <c r="BM17" i="1"/>
  <c r="BL17" i="1"/>
  <c r="BK17" i="1"/>
  <c r="BJ17" i="1"/>
  <c r="BI17" i="1"/>
  <c r="BH17" i="1"/>
  <c r="BG17" i="1"/>
  <c r="BF17" i="1"/>
  <c r="BM16" i="1"/>
  <c r="BL16" i="1"/>
  <c r="BK16" i="1"/>
  <c r="BJ16" i="1"/>
  <c r="BI16" i="1"/>
  <c r="BH16" i="1"/>
  <c r="BG16" i="1"/>
  <c r="BF16" i="1"/>
  <c r="BM15" i="1"/>
  <c r="BL15" i="1"/>
  <c r="BK15" i="1"/>
  <c r="BJ15" i="1"/>
  <c r="BI15" i="1"/>
  <c r="BH15" i="1"/>
  <c r="BG15" i="1"/>
  <c r="BF15" i="1"/>
  <c r="BM14" i="1"/>
  <c r="BL14" i="1"/>
  <c r="BK14" i="1"/>
  <c r="BJ14" i="1"/>
  <c r="BI14" i="1"/>
  <c r="BH14" i="1"/>
  <c r="BG14" i="1"/>
  <c r="BF14" i="1"/>
  <c r="BM13" i="1"/>
  <c r="BL13" i="1"/>
  <c r="BK13" i="1"/>
  <c r="BJ13" i="1"/>
  <c r="BI13" i="1"/>
  <c r="BH13" i="1"/>
  <c r="BG13" i="1"/>
  <c r="BF13" i="1"/>
  <c r="BM12" i="1"/>
  <c r="BL12" i="1"/>
  <c r="BK12" i="1"/>
  <c r="BJ12" i="1"/>
  <c r="BI12" i="1"/>
  <c r="BH12" i="1"/>
  <c r="BG12" i="1"/>
  <c r="BF12" i="1"/>
  <c r="BM11" i="1"/>
  <c r="BL11" i="1"/>
  <c r="BK11" i="1"/>
  <c r="BJ11" i="1"/>
  <c r="BI11" i="1"/>
  <c r="BH11" i="1"/>
  <c r="BG11" i="1"/>
  <c r="BF11" i="1"/>
  <c r="BM10" i="1"/>
  <c r="BL10" i="1"/>
  <c r="BK10" i="1"/>
  <c r="BJ10" i="1"/>
  <c r="BI10" i="1"/>
  <c r="BH10" i="1"/>
  <c r="BG10" i="1"/>
  <c r="BF10" i="1"/>
  <c r="BM9" i="1"/>
  <c r="BL9" i="1"/>
  <c r="BK9" i="1"/>
  <c r="BJ9" i="1"/>
  <c r="BI9" i="1"/>
  <c r="BH9" i="1"/>
  <c r="BG9" i="1"/>
  <c r="BF9" i="1"/>
  <c r="BM8" i="1"/>
  <c r="BL8" i="1"/>
  <c r="BK8" i="1"/>
  <c r="BJ8" i="1"/>
  <c r="BI8" i="1"/>
  <c r="BH8" i="1"/>
  <c r="BG8" i="1"/>
  <c r="BF8" i="1"/>
  <c r="BM7" i="1"/>
  <c r="BL7" i="1"/>
  <c r="BK7" i="1"/>
  <c r="BJ7" i="1"/>
  <c r="BI7" i="1"/>
  <c r="BH7" i="1"/>
  <c r="BG7" i="1"/>
  <c r="BF7" i="1"/>
  <c r="BM6" i="1"/>
  <c r="BL6" i="1"/>
  <c r="BK6" i="1"/>
  <c r="BJ6" i="1"/>
  <c r="BI6" i="1"/>
  <c r="BH6" i="1"/>
  <c r="BG6" i="1"/>
  <c r="BF6" i="1"/>
  <c r="BE605" i="1"/>
  <c r="BD605" i="1"/>
  <c r="BC605" i="1"/>
  <c r="BB605" i="1"/>
  <c r="BA605" i="1"/>
  <c r="AZ605" i="1"/>
  <c r="AY605" i="1"/>
  <c r="AX605" i="1"/>
  <c r="AW605" i="1"/>
  <c r="BE604" i="1"/>
  <c r="BD604" i="1"/>
  <c r="BC604" i="1"/>
  <c r="BB604" i="1"/>
  <c r="BA604" i="1"/>
  <c r="AZ604" i="1"/>
  <c r="AY604" i="1"/>
  <c r="AX604" i="1"/>
  <c r="AW604" i="1"/>
  <c r="BE603" i="1"/>
  <c r="BD603" i="1"/>
  <c r="BC603" i="1"/>
  <c r="BB603" i="1"/>
  <c r="BA603" i="1"/>
  <c r="AZ603" i="1"/>
  <c r="AY603" i="1"/>
  <c r="AX603" i="1"/>
  <c r="AW603" i="1"/>
  <c r="BE602" i="1"/>
  <c r="BD602" i="1"/>
  <c r="BC602" i="1"/>
  <c r="BB602" i="1"/>
  <c r="BA602" i="1"/>
  <c r="AZ602" i="1"/>
  <c r="AY602" i="1"/>
  <c r="AX602" i="1"/>
  <c r="AW602" i="1"/>
  <c r="BE601" i="1"/>
  <c r="BD601" i="1"/>
  <c r="BC601" i="1"/>
  <c r="BB601" i="1"/>
  <c r="BA601" i="1"/>
  <c r="AZ601" i="1"/>
  <c r="AY601" i="1"/>
  <c r="AX601" i="1"/>
  <c r="AW601" i="1"/>
  <c r="BE600" i="1"/>
  <c r="BD600" i="1"/>
  <c r="BC600" i="1"/>
  <c r="BB600" i="1"/>
  <c r="BA600" i="1"/>
  <c r="AZ600" i="1"/>
  <c r="AY600" i="1"/>
  <c r="AX600" i="1"/>
  <c r="AW600" i="1"/>
  <c r="BE599" i="1"/>
  <c r="BD599" i="1"/>
  <c r="BC599" i="1"/>
  <c r="BB599" i="1"/>
  <c r="BA599" i="1"/>
  <c r="AZ599" i="1"/>
  <c r="AY599" i="1"/>
  <c r="AX599" i="1"/>
  <c r="AW599" i="1"/>
  <c r="BE598" i="1"/>
  <c r="BD598" i="1"/>
  <c r="BC598" i="1"/>
  <c r="BB598" i="1"/>
  <c r="BA598" i="1"/>
  <c r="AZ598" i="1"/>
  <c r="AY598" i="1"/>
  <c r="AX598" i="1"/>
  <c r="AW598" i="1"/>
  <c r="BE597" i="1"/>
  <c r="BD597" i="1"/>
  <c r="BC597" i="1"/>
  <c r="BB597" i="1"/>
  <c r="BA597" i="1"/>
  <c r="AZ597" i="1"/>
  <c r="AY597" i="1"/>
  <c r="AX597" i="1"/>
  <c r="AW597" i="1"/>
  <c r="BE596" i="1"/>
  <c r="BD596" i="1"/>
  <c r="BC596" i="1"/>
  <c r="BB596" i="1"/>
  <c r="BA596" i="1"/>
  <c r="AZ596" i="1"/>
  <c r="AY596" i="1"/>
  <c r="AX596" i="1"/>
  <c r="AW596" i="1"/>
  <c r="BE595" i="1"/>
  <c r="BD595" i="1"/>
  <c r="BC595" i="1"/>
  <c r="BB595" i="1"/>
  <c r="BA595" i="1"/>
  <c r="AZ595" i="1"/>
  <c r="AY595" i="1"/>
  <c r="AX595" i="1"/>
  <c r="AW595" i="1"/>
  <c r="BE594" i="1"/>
  <c r="BD594" i="1"/>
  <c r="BC594" i="1"/>
  <c r="BB594" i="1"/>
  <c r="BA594" i="1"/>
  <c r="AZ594" i="1"/>
  <c r="AY594" i="1"/>
  <c r="AX594" i="1"/>
  <c r="AW594" i="1"/>
  <c r="BE593" i="1"/>
  <c r="BD593" i="1"/>
  <c r="BC593" i="1"/>
  <c r="BB593" i="1"/>
  <c r="BA593" i="1"/>
  <c r="AZ593" i="1"/>
  <c r="AY593" i="1"/>
  <c r="AX593" i="1"/>
  <c r="AW593" i="1"/>
  <c r="BE592" i="1"/>
  <c r="BD592" i="1"/>
  <c r="BC592" i="1"/>
  <c r="BB592" i="1"/>
  <c r="BA592" i="1"/>
  <c r="AZ592" i="1"/>
  <c r="AY592" i="1"/>
  <c r="AX592" i="1"/>
  <c r="AW592" i="1"/>
  <c r="BE591" i="1"/>
  <c r="BD591" i="1"/>
  <c r="BC591" i="1"/>
  <c r="BB591" i="1"/>
  <c r="BA591" i="1"/>
  <c r="AZ591" i="1"/>
  <c r="AY591" i="1"/>
  <c r="AX591" i="1"/>
  <c r="AW591" i="1"/>
  <c r="BE590" i="1"/>
  <c r="BD590" i="1"/>
  <c r="BC590" i="1"/>
  <c r="BB590" i="1"/>
  <c r="BA590" i="1"/>
  <c r="AZ590" i="1"/>
  <c r="AY590" i="1"/>
  <c r="AX590" i="1"/>
  <c r="AW590" i="1"/>
  <c r="BE589" i="1"/>
  <c r="BD589" i="1"/>
  <c r="BC589" i="1"/>
  <c r="BB589" i="1"/>
  <c r="BA589" i="1"/>
  <c r="AZ589" i="1"/>
  <c r="AY589" i="1"/>
  <c r="AX589" i="1"/>
  <c r="AW589" i="1"/>
  <c r="BE588" i="1"/>
  <c r="BD588" i="1"/>
  <c r="BC588" i="1"/>
  <c r="BB588" i="1"/>
  <c r="BA588" i="1"/>
  <c r="AZ588" i="1"/>
  <c r="AY588" i="1"/>
  <c r="AX588" i="1"/>
  <c r="AW588" i="1"/>
  <c r="BE587" i="1"/>
  <c r="BD587" i="1"/>
  <c r="BC587" i="1"/>
  <c r="BB587" i="1"/>
  <c r="BA587" i="1"/>
  <c r="AZ587" i="1"/>
  <c r="AY587" i="1"/>
  <c r="AX587" i="1"/>
  <c r="AW587" i="1"/>
  <c r="BE586" i="1"/>
  <c r="BD586" i="1"/>
  <c r="BC586" i="1"/>
  <c r="BB586" i="1"/>
  <c r="BA586" i="1"/>
  <c r="AZ586" i="1"/>
  <c r="AY586" i="1"/>
  <c r="AX586" i="1"/>
  <c r="AW586" i="1"/>
  <c r="BE585" i="1"/>
  <c r="BD585" i="1"/>
  <c r="BC585" i="1"/>
  <c r="BB585" i="1"/>
  <c r="BA585" i="1"/>
  <c r="AZ585" i="1"/>
  <c r="AY585" i="1"/>
  <c r="AX585" i="1"/>
  <c r="AW585" i="1"/>
  <c r="BE584" i="1"/>
  <c r="BD584" i="1"/>
  <c r="BC584" i="1"/>
  <c r="BB584" i="1"/>
  <c r="BA584" i="1"/>
  <c r="AZ584" i="1"/>
  <c r="AY584" i="1"/>
  <c r="AX584" i="1"/>
  <c r="AW584" i="1"/>
  <c r="BE583" i="1"/>
  <c r="BD583" i="1"/>
  <c r="BC583" i="1"/>
  <c r="BB583" i="1"/>
  <c r="BA583" i="1"/>
  <c r="AZ583" i="1"/>
  <c r="AY583" i="1"/>
  <c r="AX583" i="1"/>
  <c r="AW583" i="1"/>
  <c r="BE582" i="1"/>
  <c r="BD582" i="1"/>
  <c r="BC582" i="1"/>
  <c r="BB582" i="1"/>
  <c r="BA582" i="1"/>
  <c r="AZ582" i="1"/>
  <c r="AY582" i="1"/>
  <c r="AX582" i="1"/>
  <c r="AW582" i="1"/>
  <c r="BE581" i="1"/>
  <c r="BD581" i="1"/>
  <c r="BC581" i="1"/>
  <c r="BB581" i="1"/>
  <c r="BA581" i="1"/>
  <c r="AZ581" i="1"/>
  <c r="AY581" i="1"/>
  <c r="AX581" i="1"/>
  <c r="AW581" i="1"/>
  <c r="BE580" i="1"/>
  <c r="BD580" i="1"/>
  <c r="BC580" i="1"/>
  <c r="BB580" i="1"/>
  <c r="BA580" i="1"/>
  <c r="AZ580" i="1"/>
  <c r="AY580" i="1"/>
  <c r="AX580" i="1"/>
  <c r="AW580" i="1"/>
  <c r="BE579" i="1"/>
  <c r="BD579" i="1"/>
  <c r="BC579" i="1"/>
  <c r="BB579" i="1"/>
  <c r="BA579" i="1"/>
  <c r="AZ579" i="1"/>
  <c r="AY579" i="1"/>
  <c r="AX579" i="1"/>
  <c r="AW579" i="1"/>
  <c r="BE578" i="1"/>
  <c r="BD578" i="1"/>
  <c r="BC578" i="1"/>
  <c r="BB578" i="1"/>
  <c r="BA578" i="1"/>
  <c r="AZ578" i="1"/>
  <c r="AY578" i="1"/>
  <c r="AX578" i="1"/>
  <c r="AW578" i="1"/>
  <c r="BE577" i="1"/>
  <c r="BD577" i="1"/>
  <c r="BC577" i="1"/>
  <c r="BB577" i="1"/>
  <c r="BA577" i="1"/>
  <c r="AZ577" i="1"/>
  <c r="AY577" i="1"/>
  <c r="AX577" i="1"/>
  <c r="AW577" i="1"/>
  <c r="BE576" i="1"/>
  <c r="BD576" i="1"/>
  <c r="BC576" i="1"/>
  <c r="BB576" i="1"/>
  <c r="BA576" i="1"/>
  <c r="AZ576" i="1"/>
  <c r="AY576" i="1"/>
  <c r="AX576" i="1"/>
  <c r="AW576" i="1"/>
  <c r="BE575" i="1"/>
  <c r="BD575" i="1"/>
  <c r="BC575" i="1"/>
  <c r="BB575" i="1"/>
  <c r="BA575" i="1"/>
  <c r="AZ575" i="1"/>
  <c r="AY575" i="1"/>
  <c r="AX575" i="1"/>
  <c r="AW575" i="1"/>
  <c r="BE574" i="1"/>
  <c r="BD574" i="1"/>
  <c r="BC574" i="1"/>
  <c r="BB574" i="1"/>
  <c r="BA574" i="1"/>
  <c r="AZ574" i="1"/>
  <c r="AY574" i="1"/>
  <c r="AX574" i="1"/>
  <c r="AW574" i="1"/>
  <c r="BE573" i="1"/>
  <c r="BD573" i="1"/>
  <c r="BC573" i="1"/>
  <c r="BB573" i="1"/>
  <c r="BA573" i="1"/>
  <c r="AZ573" i="1"/>
  <c r="AY573" i="1"/>
  <c r="AX573" i="1"/>
  <c r="AW573" i="1"/>
  <c r="BE572" i="1"/>
  <c r="BD572" i="1"/>
  <c r="BC572" i="1"/>
  <c r="BB572" i="1"/>
  <c r="BA572" i="1"/>
  <c r="AZ572" i="1"/>
  <c r="AY572" i="1"/>
  <c r="AX572" i="1"/>
  <c r="AW572" i="1"/>
  <c r="BE571" i="1"/>
  <c r="BD571" i="1"/>
  <c r="BC571" i="1"/>
  <c r="BB571" i="1"/>
  <c r="BA571" i="1"/>
  <c r="AZ571" i="1"/>
  <c r="AY571" i="1"/>
  <c r="AX571" i="1"/>
  <c r="AW571" i="1"/>
  <c r="BE570" i="1"/>
  <c r="BD570" i="1"/>
  <c r="BC570" i="1"/>
  <c r="BB570" i="1"/>
  <c r="BA570" i="1"/>
  <c r="AZ570" i="1"/>
  <c r="AY570" i="1"/>
  <c r="AX570" i="1"/>
  <c r="AW570" i="1"/>
  <c r="BE569" i="1"/>
  <c r="BD569" i="1"/>
  <c r="BC569" i="1"/>
  <c r="BB569" i="1"/>
  <c r="BA569" i="1"/>
  <c r="AZ569" i="1"/>
  <c r="AY569" i="1"/>
  <c r="AX569" i="1"/>
  <c r="AW569" i="1"/>
  <c r="BE568" i="1"/>
  <c r="BD568" i="1"/>
  <c r="BC568" i="1"/>
  <c r="BB568" i="1"/>
  <c r="BA568" i="1"/>
  <c r="AZ568" i="1"/>
  <c r="AY568" i="1"/>
  <c r="AX568" i="1"/>
  <c r="AW568" i="1"/>
  <c r="BE567" i="1"/>
  <c r="BD567" i="1"/>
  <c r="BC567" i="1"/>
  <c r="BB567" i="1"/>
  <c r="BA567" i="1"/>
  <c r="AZ567" i="1"/>
  <c r="AY567" i="1"/>
  <c r="AX567" i="1"/>
  <c r="AW567" i="1"/>
  <c r="BE566" i="1"/>
  <c r="BD566" i="1"/>
  <c r="BC566" i="1"/>
  <c r="BB566" i="1"/>
  <c r="BA566" i="1"/>
  <c r="AZ566" i="1"/>
  <c r="AY566" i="1"/>
  <c r="AX566" i="1"/>
  <c r="AW566" i="1"/>
  <c r="BE565" i="1"/>
  <c r="BD565" i="1"/>
  <c r="BC565" i="1"/>
  <c r="BB565" i="1"/>
  <c r="BA565" i="1"/>
  <c r="AZ565" i="1"/>
  <c r="AY565" i="1"/>
  <c r="AX565" i="1"/>
  <c r="AW565" i="1"/>
  <c r="BE564" i="1"/>
  <c r="BD564" i="1"/>
  <c r="BC564" i="1"/>
  <c r="BB564" i="1"/>
  <c r="BA564" i="1"/>
  <c r="AZ564" i="1"/>
  <c r="AY564" i="1"/>
  <c r="AX564" i="1"/>
  <c r="AW564" i="1"/>
  <c r="BE563" i="1"/>
  <c r="BD563" i="1"/>
  <c r="BC563" i="1"/>
  <c r="BB563" i="1"/>
  <c r="BA563" i="1"/>
  <c r="AZ563" i="1"/>
  <c r="AY563" i="1"/>
  <c r="AX563" i="1"/>
  <c r="AW563" i="1"/>
  <c r="BE562" i="1"/>
  <c r="BD562" i="1"/>
  <c r="BC562" i="1"/>
  <c r="BB562" i="1"/>
  <c r="BA562" i="1"/>
  <c r="AZ562" i="1"/>
  <c r="AY562" i="1"/>
  <c r="AX562" i="1"/>
  <c r="AW562" i="1"/>
  <c r="BE561" i="1"/>
  <c r="BD561" i="1"/>
  <c r="BC561" i="1"/>
  <c r="BB561" i="1"/>
  <c r="BA561" i="1"/>
  <c r="AZ561" i="1"/>
  <c r="AY561" i="1"/>
  <c r="AX561" i="1"/>
  <c r="AW561" i="1"/>
  <c r="BE560" i="1"/>
  <c r="BD560" i="1"/>
  <c r="BC560" i="1"/>
  <c r="BB560" i="1"/>
  <c r="BA560" i="1"/>
  <c r="AZ560" i="1"/>
  <c r="AY560" i="1"/>
  <c r="AX560" i="1"/>
  <c r="AW560" i="1"/>
  <c r="BE559" i="1"/>
  <c r="BD559" i="1"/>
  <c r="BC559" i="1"/>
  <c r="BB559" i="1"/>
  <c r="BA559" i="1"/>
  <c r="AZ559" i="1"/>
  <c r="AY559" i="1"/>
  <c r="AX559" i="1"/>
  <c r="AW559" i="1"/>
  <c r="BE558" i="1"/>
  <c r="BD558" i="1"/>
  <c r="BC558" i="1"/>
  <c r="BB558" i="1"/>
  <c r="BA558" i="1"/>
  <c r="AZ558" i="1"/>
  <c r="AY558" i="1"/>
  <c r="AX558" i="1"/>
  <c r="AW558" i="1"/>
  <c r="BE557" i="1"/>
  <c r="BD557" i="1"/>
  <c r="BC557" i="1"/>
  <c r="BB557" i="1"/>
  <c r="BA557" i="1"/>
  <c r="AZ557" i="1"/>
  <c r="AY557" i="1"/>
  <c r="AX557" i="1"/>
  <c r="AW557" i="1"/>
  <c r="BE556" i="1"/>
  <c r="BD556" i="1"/>
  <c r="BC556" i="1"/>
  <c r="BB556" i="1"/>
  <c r="BA556" i="1"/>
  <c r="AZ556" i="1"/>
  <c r="AY556" i="1"/>
  <c r="AX556" i="1"/>
  <c r="AW556" i="1"/>
  <c r="BE555" i="1"/>
  <c r="BD555" i="1"/>
  <c r="BC555" i="1"/>
  <c r="BB555" i="1"/>
  <c r="BA555" i="1"/>
  <c r="AZ555" i="1"/>
  <c r="AY555" i="1"/>
  <c r="AX555" i="1"/>
  <c r="AW555" i="1"/>
  <c r="BE554" i="1"/>
  <c r="BD554" i="1"/>
  <c r="BC554" i="1"/>
  <c r="BB554" i="1"/>
  <c r="BA554" i="1"/>
  <c r="AZ554" i="1"/>
  <c r="AY554" i="1"/>
  <c r="AX554" i="1"/>
  <c r="AW554" i="1"/>
  <c r="BE553" i="1"/>
  <c r="BD553" i="1"/>
  <c r="BC553" i="1"/>
  <c r="BB553" i="1"/>
  <c r="BA553" i="1"/>
  <c r="AZ553" i="1"/>
  <c r="AY553" i="1"/>
  <c r="AX553" i="1"/>
  <c r="AW553" i="1"/>
  <c r="BE552" i="1"/>
  <c r="BD552" i="1"/>
  <c r="BC552" i="1"/>
  <c r="BB552" i="1"/>
  <c r="BA552" i="1"/>
  <c r="AZ552" i="1"/>
  <c r="AY552" i="1"/>
  <c r="AX552" i="1"/>
  <c r="AW552" i="1"/>
  <c r="BE551" i="1"/>
  <c r="BD551" i="1"/>
  <c r="BC551" i="1"/>
  <c r="BB551" i="1"/>
  <c r="BA551" i="1"/>
  <c r="AZ551" i="1"/>
  <c r="AY551" i="1"/>
  <c r="AX551" i="1"/>
  <c r="AW551" i="1"/>
  <c r="BE550" i="1"/>
  <c r="BD550" i="1"/>
  <c r="BC550" i="1"/>
  <c r="BB550" i="1"/>
  <c r="BA550" i="1"/>
  <c r="AZ550" i="1"/>
  <c r="AY550" i="1"/>
  <c r="AX550" i="1"/>
  <c r="AW550" i="1"/>
  <c r="BE549" i="1"/>
  <c r="BD549" i="1"/>
  <c r="BC549" i="1"/>
  <c r="BB549" i="1"/>
  <c r="BA549" i="1"/>
  <c r="AZ549" i="1"/>
  <c r="AY549" i="1"/>
  <c r="AX549" i="1"/>
  <c r="AW549" i="1"/>
  <c r="BE548" i="1"/>
  <c r="BD548" i="1"/>
  <c r="BC548" i="1"/>
  <c r="BB548" i="1"/>
  <c r="BA548" i="1"/>
  <c r="AZ548" i="1"/>
  <c r="AY548" i="1"/>
  <c r="AX548" i="1"/>
  <c r="AW548" i="1"/>
  <c r="BE547" i="1"/>
  <c r="BD547" i="1"/>
  <c r="BC547" i="1"/>
  <c r="BB547" i="1"/>
  <c r="BA547" i="1"/>
  <c r="AZ547" i="1"/>
  <c r="AY547" i="1"/>
  <c r="AX547" i="1"/>
  <c r="AW547" i="1"/>
  <c r="BE546" i="1"/>
  <c r="BD546" i="1"/>
  <c r="BC546" i="1"/>
  <c r="BB546" i="1"/>
  <c r="BA546" i="1"/>
  <c r="AZ546" i="1"/>
  <c r="AY546" i="1"/>
  <c r="AX546" i="1"/>
  <c r="AW546" i="1"/>
  <c r="BE545" i="1"/>
  <c r="BD545" i="1"/>
  <c r="BC545" i="1"/>
  <c r="BB545" i="1"/>
  <c r="BA545" i="1"/>
  <c r="AZ545" i="1"/>
  <c r="AY545" i="1"/>
  <c r="AX545" i="1"/>
  <c r="AW545" i="1"/>
  <c r="BE544" i="1"/>
  <c r="BD544" i="1"/>
  <c r="BC544" i="1"/>
  <c r="BB544" i="1"/>
  <c r="BA544" i="1"/>
  <c r="AZ544" i="1"/>
  <c r="AY544" i="1"/>
  <c r="AX544" i="1"/>
  <c r="AW544" i="1"/>
  <c r="BE543" i="1"/>
  <c r="BD543" i="1"/>
  <c r="BC543" i="1"/>
  <c r="BB543" i="1"/>
  <c r="BA543" i="1"/>
  <c r="AZ543" i="1"/>
  <c r="AY543" i="1"/>
  <c r="AX543" i="1"/>
  <c r="AW543" i="1"/>
  <c r="BE542" i="1"/>
  <c r="BD542" i="1"/>
  <c r="BC542" i="1"/>
  <c r="BB542" i="1"/>
  <c r="BA542" i="1"/>
  <c r="AZ542" i="1"/>
  <c r="AY542" i="1"/>
  <c r="AX542" i="1"/>
  <c r="AW542" i="1"/>
  <c r="BE541" i="1"/>
  <c r="BD541" i="1"/>
  <c r="BC541" i="1"/>
  <c r="BB541" i="1"/>
  <c r="BA541" i="1"/>
  <c r="AZ541" i="1"/>
  <c r="AY541" i="1"/>
  <c r="AX541" i="1"/>
  <c r="AW541" i="1"/>
  <c r="BE540" i="1"/>
  <c r="BD540" i="1"/>
  <c r="BC540" i="1"/>
  <c r="BB540" i="1"/>
  <c r="BA540" i="1"/>
  <c r="AZ540" i="1"/>
  <c r="AY540" i="1"/>
  <c r="AX540" i="1"/>
  <c r="AW540" i="1"/>
  <c r="BE539" i="1"/>
  <c r="BD539" i="1"/>
  <c r="BC539" i="1"/>
  <c r="BB539" i="1"/>
  <c r="BA539" i="1"/>
  <c r="AZ539" i="1"/>
  <c r="AY539" i="1"/>
  <c r="AX539" i="1"/>
  <c r="AW539" i="1"/>
  <c r="BE538" i="1"/>
  <c r="BD538" i="1"/>
  <c r="BC538" i="1"/>
  <c r="BB538" i="1"/>
  <c r="BA538" i="1"/>
  <c r="AZ538" i="1"/>
  <c r="AY538" i="1"/>
  <c r="AX538" i="1"/>
  <c r="AW538" i="1"/>
  <c r="BE537" i="1"/>
  <c r="BD537" i="1"/>
  <c r="BC537" i="1"/>
  <c r="BB537" i="1"/>
  <c r="BA537" i="1"/>
  <c r="AZ537" i="1"/>
  <c r="AY537" i="1"/>
  <c r="AX537" i="1"/>
  <c r="AW537" i="1"/>
  <c r="BE536" i="1"/>
  <c r="BD536" i="1"/>
  <c r="BC536" i="1"/>
  <c r="BB536" i="1"/>
  <c r="BA536" i="1"/>
  <c r="AZ536" i="1"/>
  <c r="AY536" i="1"/>
  <c r="AX536" i="1"/>
  <c r="AW536" i="1"/>
  <c r="BE535" i="1"/>
  <c r="BD535" i="1"/>
  <c r="BC535" i="1"/>
  <c r="BB535" i="1"/>
  <c r="BA535" i="1"/>
  <c r="AZ535" i="1"/>
  <c r="AY535" i="1"/>
  <c r="AX535" i="1"/>
  <c r="AW535" i="1"/>
  <c r="BE534" i="1"/>
  <c r="BD534" i="1"/>
  <c r="BC534" i="1"/>
  <c r="BB534" i="1"/>
  <c r="BA534" i="1"/>
  <c r="AZ534" i="1"/>
  <c r="AY534" i="1"/>
  <c r="AX534" i="1"/>
  <c r="AW534" i="1"/>
  <c r="BE533" i="1"/>
  <c r="BD533" i="1"/>
  <c r="BC533" i="1"/>
  <c r="BB533" i="1"/>
  <c r="BA533" i="1"/>
  <c r="AZ533" i="1"/>
  <c r="AY533" i="1"/>
  <c r="AX533" i="1"/>
  <c r="AW533" i="1"/>
  <c r="BE532" i="1"/>
  <c r="BD532" i="1"/>
  <c r="BC532" i="1"/>
  <c r="BB532" i="1"/>
  <c r="BA532" i="1"/>
  <c r="AZ532" i="1"/>
  <c r="AY532" i="1"/>
  <c r="AX532" i="1"/>
  <c r="AW532" i="1"/>
  <c r="BE531" i="1"/>
  <c r="BD531" i="1"/>
  <c r="BC531" i="1"/>
  <c r="BB531" i="1"/>
  <c r="BA531" i="1"/>
  <c r="AZ531" i="1"/>
  <c r="AY531" i="1"/>
  <c r="AX531" i="1"/>
  <c r="AW531" i="1"/>
  <c r="BE530" i="1"/>
  <c r="BD530" i="1"/>
  <c r="BC530" i="1"/>
  <c r="BB530" i="1"/>
  <c r="BA530" i="1"/>
  <c r="AZ530" i="1"/>
  <c r="AY530" i="1"/>
  <c r="AX530" i="1"/>
  <c r="AW530" i="1"/>
  <c r="BE529" i="1"/>
  <c r="BD529" i="1"/>
  <c r="BC529" i="1"/>
  <c r="BB529" i="1"/>
  <c r="BA529" i="1"/>
  <c r="AZ529" i="1"/>
  <c r="AY529" i="1"/>
  <c r="AX529" i="1"/>
  <c r="AW529" i="1"/>
  <c r="BE528" i="1"/>
  <c r="BD528" i="1"/>
  <c r="BC528" i="1"/>
  <c r="BB528" i="1"/>
  <c r="BA528" i="1"/>
  <c r="AZ528" i="1"/>
  <c r="AY528" i="1"/>
  <c r="AX528" i="1"/>
  <c r="AW528" i="1"/>
  <c r="BE527" i="1"/>
  <c r="BD527" i="1"/>
  <c r="BC527" i="1"/>
  <c r="BB527" i="1"/>
  <c r="BA527" i="1"/>
  <c r="AZ527" i="1"/>
  <c r="AY527" i="1"/>
  <c r="AX527" i="1"/>
  <c r="AW527" i="1"/>
  <c r="BE526" i="1"/>
  <c r="BD526" i="1"/>
  <c r="BC526" i="1"/>
  <c r="BB526" i="1"/>
  <c r="BA526" i="1"/>
  <c r="AZ526" i="1"/>
  <c r="AY526" i="1"/>
  <c r="AX526" i="1"/>
  <c r="AW526" i="1"/>
  <c r="BE525" i="1"/>
  <c r="BD525" i="1"/>
  <c r="BC525" i="1"/>
  <c r="BB525" i="1"/>
  <c r="BA525" i="1"/>
  <c r="AZ525" i="1"/>
  <c r="AY525" i="1"/>
  <c r="AX525" i="1"/>
  <c r="AW525" i="1"/>
  <c r="BE524" i="1"/>
  <c r="BD524" i="1"/>
  <c r="BC524" i="1"/>
  <c r="BB524" i="1"/>
  <c r="BA524" i="1"/>
  <c r="AZ524" i="1"/>
  <c r="AY524" i="1"/>
  <c r="AX524" i="1"/>
  <c r="AW524" i="1"/>
  <c r="BE523" i="1"/>
  <c r="BD523" i="1"/>
  <c r="BC523" i="1"/>
  <c r="BB523" i="1"/>
  <c r="BA523" i="1"/>
  <c r="AZ523" i="1"/>
  <c r="AY523" i="1"/>
  <c r="AX523" i="1"/>
  <c r="AW523" i="1"/>
  <c r="BE522" i="1"/>
  <c r="BD522" i="1"/>
  <c r="BC522" i="1"/>
  <c r="BB522" i="1"/>
  <c r="BA522" i="1"/>
  <c r="AZ522" i="1"/>
  <c r="AY522" i="1"/>
  <c r="AX522" i="1"/>
  <c r="AW522" i="1"/>
  <c r="BE521" i="1"/>
  <c r="BD521" i="1"/>
  <c r="BC521" i="1"/>
  <c r="BB521" i="1"/>
  <c r="BA521" i="1"/>
  <c r="AZ521" i="1"/>
  <c r="AY521" i="1"/>
  <c r="AX521" i="1"/>
  <c r="AW521" i="1"/>
  <c r="BE520" i="1"/>
  <c r="BD520" i="1"/>
  <c r="BC520" i="1"/>
  <c r="BB520" i="1"/>
  <c r="BA520" i="1"/>
  <c r="AZ520" i="1"/>
  <c r="AY520" i="1"/>
  <c r="AX520" i="1"/>
  <c r="AW520" i="1"/>
  <c r="BE519" i="1"/>
  <c r="BD519" i="1"/>
  <c r="BC519" i="1"/>
  <c r="BB519" i="1"/>
  <c r="BA519" i="1"/>
  <c r="AZ519" i="1"/>
  <c r="AY519" i="1"/>
  <c r="AX519" i="1"/>
  <c r="AW519" i="1"/>
  <c r="BE518" i="1"/>
  <c r="BD518" i="1"/>
  <c r="BC518" i="1"/>
  <c r="BB518" i="1"/>
  <c r="BA518" i="1"/>
  <c r="AZ518" i="1"/>
  <c r="AY518" i="1"/>
  <c r="AX518" i="1"/>
  <c r="AW518" i="1"/>
  <c r="BE517" i="1"/>
  <c r="BD517" i="1"/>
  <c r="BC517" i="1"/>
  <c r="BB517" i="1"/>
  <c r="BA517" i="1"/>
  <c r="AZ517" i="1"/>
  <c r="AY517" i="1"/>
  <c r="AX517" i="1"/>
  <c r="AW517" i="1"/>
  <c r="BE516" i="1"/>
  <c r="BD516" i="1"/>
  <c r="BC516" i="1"/>
  <c r="BB516" i="1"/>
  <c r="BA516" i="1"/>
  <c r="AZ516" i="1"/>
  <c r="AY516" i="1"/>
  <c r="AX516" i="1"/>
  <c r="AW516" i="1"/>
  <c r="BE515" i="1"/>
  <c r="BD515" i="1"/>
  <c r="BC515" i="1"/>
  <c r="BB515" i="1"/>
  <c r="BA515" i="1"/>
  <c r="AZ515" i="1"/>
  <c r="AY515" i="1"/>
  <c r="AX515" i="1"/>
  <c r="AW515" i="1"/>
  <c r="BE514" i="1"/>
  <c r="BD514" i="1"/>
  <c r="BC514" i="1"/>
  <c r="BB514" i="1"/>
  <c r="BA514" i="1"/>
  <c r="AZ514" i="1"/>
  <c r="AY514" i="1"/>
  <c r="AX514" i="1"/>
  <c r="AW514" i="1"/>
  <c r="BE513" i="1"/>
  <c r="BD513" i="1"/>
  <c r="BC513" i="1"/>
  <c r="BB513" i="1"/>
  <c r="BA513" i="1"/>
  <c r="AZ513" i="1"/>
  <c r="AY513" i="1"/>
  <c r="AX513" i="1"/>
  <c r="AW513" i="1"/>
  <c r="BE512" i="1"/>
  <c r="BD512" i="1"/>
  <c r="BC512" i="1"/>
  <c r="BB512" i="1"/>
  <c r="BA512" i="1"/>
  <c r="AZ512" i="1"/>
  <c r="AY512" i="1"/>
  <c r="AX512" i="1"/>
  <c r="AW512" i="1"/>
  <c r="BE511" i="1"/>
  <c r="BD511" i="1"/>
  <c r="BC511" i="1"/>
  <c r="BB511" i="1"/>
  <c r="BA511" i="1"/>
  <c r="AZ511" i="1"/>
  <c r="AY511" i="1"/>
  <c r="AX511" i="1"/>
  <c r="AW511" i="1"/>
  <c r="BE510" i="1"/>
  <c r="BD510" i="1"/>
  <c r="BC510" i="1"/>
  <c r="BB510" i="1"/>
  <c r="BA510" i="1"/>
  <c r="AZ510" i="1"/>
  <c r="AY510" i="1"/>
  <c r="AX510" i="1"/>
  <c r="AW510" i="1"/>
  <c r="BE509" i="1"/>
  <c r="BD509" i="1"/>
  <c r="BC509" i="1"/>
  <c r="BB509" i="1"/>
  <c r="BA509" i="1"/>
  <c r="AZ509" i="1"/>
  <c r="AY509" i="1"/>
  <c r="AX509" i="1"/>
  <c r="AW509" i="1"/>
  <c r="BE508" i="1"/>
  <c r="BD508" i="1"/>
  <c r="BC508" i="1"/>
  <c r="BB508" i="1"/>
  <c r="BA508" i="1"/>
  <c r="AZ508" i="1"/>
  <c r="AY508" i="1"/>
  <c r="AX508" i="1"/>
  <c r="AW508" i="1"/>
  <c r="BE507" i="1"/>
  <c r="BD507" i="1"/>
  <c r="BC507" i="1"/>
  <c r="BB507" i="1"/>
  <c r="BA507" i="1"/>
  <c r="AZ507" i="1"/>
  <c r="AY507" i="1"/>
  <c r="AX507" i="1"/>
  <c r="AW507" i="1"/>
  <c r="BE506" i="1"/>
  <c r="BD506" i="1"/>
  <c r="BC506" i="1"/>
  <c r="BB506" i="1"/>
  <c r="BA506" i="1"/>
  <c r="AZ506" i="1"/>
  <c r="AY506" i="1"/>
  <c r="AX506" i="1"/>
  <c r="AW506" i="1"/>
  <c r="BE505" i="1"/>
  <c r="BD505" i="1"/>
  <c r="BC505" i="1"/>
  <c r="BB505" i="1"/>
  <c r="BA505" i="1"/>
  <c r="AZ505" i="1"/>
  <c r="AY505" i="1"/>
  <c r="AX505" i="1"/>
  <c r="AW505" i="1"/>
  <c r="BE504" i="1"/>
  <c r="BD504" i="1"/>
  <c r="BC504" i="1"/>
  <c r="BB504" i="1"/>
  <c r="BA504" i="1"/>
  <c r="AZ504" i="1"/>
  <c r="AY504" i="1"/>
  <c r="AX504" i="1"/>
  <c r="AW504" i="1"/>
  <c r="BE503" i="1"/>
  <c r="BD503" i="1"/>
  <c r="BC503" i="1"/>
  <c r="BB503" i="1"/>
  <c r="BA503" i="1"/>
  <c r="AZ503" i="1"/>
  <c r="AY503" i="1"/>
  <c r="AX503" i="1"/>
  <c r="AW503" i="1"/>
  <c r="BE502" i="1"/>
  <c r="BD502" i="1"/>
  <c r="BC502" i="1"/>
  <c r="BB502" i="1"/>
  <c r="BA502" i="1"/>
  <c r="AZ502" i="1"/>
  <c r="AY502" i="1"/>
  <c r="AX502" i="1"/>
  <c r="AW502" i="1"/>
  <c r="BE501" i="1"/>
  <c r="BD501" i="1"/>
  <c r="BC501" i="1"/>
  <c r="BB501" i="1"/>
  <c r="BA501" i="1"/>
  <c r="AZ501" i="1"/>
  <c r="AY501" i="1"/>
  <c r="AX501" i="1"/>
  <c r="AW501" i="1"/>
  <c r="BE500" i="1"/>
  <c r="BD500" i="1"/>
  <c r="BC500" i="1"/>
  <c r="BB500" i="1"/>
  <c r="BA500" i="1"/>
  <c r="AZ500" i="1"/>
  <c r="AY500" i="1"/>
  <c r="AX500" i="1"/>
  <c r="AW500" i="1"/>
  <c r="BE499" i="1"/>
  <c r="BD499" i="1"/>
  <c r="BC499" i="1"/>
  <c r="BB499" i="1"/>
  <c r="BA499" i="1"/>
  <c r="AZ499" i="1"/>
  <c r="AY499" i="1"/>
  <c r="AX499" i="1"/>
  <c r="AW499" i="1"/>
  <c r="BE498" i="1"/>
  <c r="BD498" i="1"/>
  <c r="BC498" i="1"/>
  <c r="BB498" i="1"/>
  <c r="BA498" i="1"/>
  <c r="AZ498" i="1"/>
  <c r="AY498" i="1"/>
  <c r="AX498" i="1"/>
  <c r="AW498" i="1"/>
  <c r="BE497" i="1"/>
  <c r="BD497" i="1"/>
  <c r="BC497" i="1"/>
  <c r="BB497" i="1"/>
  <c r="BA497" i="1"/>
  <c r="AZ497" i="1"/>
  <c r="AY497" i="1"/>
  <c r="AX497" i="1"/>
  <c r="AW497" i="1"/>
  <c r="BE496" i="1"/>
  <c r="BD496" i="1"/>
  <c r="BC496" i="1"/>
  <c r="BB496" i="1"/>
  <c r="BA496" i="1"/>
  <c r="AZ496" i="1"/>
  <c r="AY496" i="1"/>
  <c r="AX496" i="1"/>
  <c r="AW496" i="1"/>
  <c r="BE495" i="1"/>
  <c r="BD495" i="1"/>
  <c r="BC495" i="1"/>
  <c r="BB495" i="1"/>
  <c r="BA495" i="1"/>
  <c r="AZ495" i="1"/>
  <c r="AY495" i="1"/>
  <c r="AX495" i="1"/>
  <c r="AW495" i="1"/>
  <c r="BE494" i="1"/>
  <c r="BD494" i="1"/>
  <c r="BC494" i="1"/>
  <c r="BB494" i="1"/>
  <c r="BA494" i="1"/>
  <c r="AZ494" i="1"/>
  <c r="AY494" i="1"/>
  <c r="AX494" i="1"/>
  <c r="AW494" i="1"/>
  <c r="BE493" i="1"/>
  <c r="BD493" i="1"/>
  <c r="BC493" i="1"/>
  <c r="BB493" i="1"/>
  <c r="BA493" i="1"/>
  <c r="AZ493" i="1"/>
  <c r="AY493" i="1"/>
  <c r="AX493" i="1"/>
  <c r="AW493" i="1"/>
  <c r="BE492" i="1"/>
  <c r="BD492" i="1"/>
  <c r="BC492" i="1"/>
  <c r="BB492" i="1"/>
  <c r="BA492" i="1"/>
  <c r="AZ492" i="1"/>
  <c r="AY492" i="1"/>
  <c r="AX492" i="1"/>
  <c r="AW492" i="1"/>
  <c r="BE491" i="1"/>
  <c r="BD491" i="1"/>
  <c r="BC491" i="1"/>
  <c r="BB491" i="1"/>
  <c r="BA491" i="1"/>
  <c r="AZ491" i="1"/>
  <c r="AY491" i="1"/>
  <c r="AX491" i="1"/>
  <c r="AW491" i="1"/>
  <c r="BE490" i="1"/>
  <c r="BD490" i="1"/>
  <c r="BC490" i="1"/>
  <c r="BB490" i="1"/>
  <c r="BA490" i="1"/>
  <c r="AZ490" i="1"/>
  <c r="AY490" i="1"/>
  <c r="AX490" i="1"/>
  <c r="AW490" i="1"/>
  <c r="BE489" i="1"/>
  <c r="BD489" i="1"/>
  <c r="BC489" i="1"/>
  <c r="BB489" i="1"/>
  <c r="BA489" i="1"/>
  <c r="AZ489" i="1"/>
  <c r="AY489" i="1"/>
  <c r="AX489" i="1"/>
  <c r="AW489" i="1"/>
  <c r="BE488" i="1"/>
  <c r="BD488" i="1"/>
  <c r="BC488" i="1"/>
  <c r="BB488" i="1"/>
  <c r="BA488" i="1"/>
  <c r="AZ488" i="1"/>
  <c r="AY488" i="1"/>
  <c r="AX488" i="1"/>
  <c r="AW488" i="1"/>
  <c r="BE487" i="1"/>
  <c r="BD487" i="1"/>
  <c r="BC487" i="1"/>
  <c r="BB487" i="1"/>
  <c r="BA487" i="1"/>
  <c r="AZ487" i="1"/>
  <c r="AY487" i="1"/>
  <c r="AX487" i="1"/>
  <c r="AW487" i="1"/>
  <c r="BE486" i="1"/>
  <c r="BD486" i="1"/>
  <c r="BC486" i="1"/>
  <c r="BB486" i="1"/>
  <c r="BA486" i="1"/>
  <c r="AZ486" i="1"/>
  <c r="AY486" i="1"/>
  <c r="AX486" i="1"/>
  <c r="AW486" i="1"/>
  <c r="BE485" i="1"/>
  <c r="BD485" i="1"/>
  <c r="BC485" i="1"/>
  <c r="BB485" i="1"/>
  <c r="BA485" i="1"/>
  <c r="AZ485" i="1"/>
  <c r="AY485" i="1"/>
  <c r="AX485" i="1"/>
  <c r="AW485" i="1"/>
  <c r="BE484" i="1"/>
  <c r="BD484" i="1"/>
  <c r="BC484" i="1"/>
  <c r="BB484" i="1"/>
  <c r="BA484" i="1"/>
  <c r="AZ484" i="1"/>
  <c r="AY484" i="1"/>
  <c r="AX484" i="1"/>
  <c r="AW484" i="1"/>
  <c r="BE483" i="1"/>
  <c r="BD483" i="1"/>
  <c r="BC483" i="1"/>
  <c r="BB483" i="1"/>
  <c r="BA483" i="1"/>
  <c r="AZ483" i="1"/>
  <c r="AY483" i="1"/>
  <c r="AX483" i="1"/>
  <c r="AW483" i="1"/>
  <c r="BE482" i="1"/>
  <c r="BD482" i="1"/>
  <c r="BC482" i="1"/>
  <c r="BB482" i="1"/>
  <c r="BA482" i="1"/>
  <c r="AZ482" i="1"/>
  <c r="AY482" i="1"/>
  <c r="AX482" i="1"/>
  <c r="AW482" i="1"/>
  <c r="BE481" i="1"/>
  <c r="BD481" i="1"/>
  <c r="BC481" i="1"/>
  <c r="BB481" i="1"/>
  <c r="BA481" i="1"/>
  <c r="AZ481" i="1"/>
  <c r="AY481" i="1"/>
  <c r="AX481" i="1"/>
  <c r="AW481" i="1"/>
  <c r="BE480" i="1"/>
  <c r="BD480" i="1"/>
  <c r="BC480" i="1"/>
  <c r="BB480" i="1"/>
  <c r="BA480" i="1"/>
  <c r="AZ480" i="1"/>
  <c r="AY480" i="1"/>
  <c r="AX480" i="1"/>
  <c r="AW480" i="1"/>
  <c r="BE479" i="1"/>
  <c r="BD479" i="1"/>
  <c r="BC479" i="1"/>
  <c r="BB479" i="1"/>
  <c r="BA479" i="1"/>
  <c r="AZ479" i="1"/>
  <c r="AY479" i="1"/>
  <c r="AX479" i="1"/>
  <c r="AW479" i="1"/>
  <c r="BE478" i="1"/>
  <c r="BD478" i="1"/>
  <c r="BC478" i="1"/>
  <c r="BB478" i="1"/>
  <c r="BA478" i="1"/>
  <c r="AZ478" i="1"/>
  <c r="AY478" i="1"/>
  <c r="AX478" i="1"/>
  <c r="AW478" i="1"/>
  <c r="BE477" i="1"/>
  <c r="BD477" i="1"/>
  <c r="BC477" i="1"/>
  <c r="BB477" i="1"/>
  <c r="BA477" i="1"/>
  <c r="AZ477" i="1"/>
  <c r="AY477" i="1"/>
  <c r="AX477" i="1"/>
  <c r="AW477" i="1"/>
  <c r="BE476" i="1"/>
  <c r="BD476" i="1"/>
  <c r="BC476" i="1"/>
  <c r="BB476" i="1"/>
  <c r="BA476" i="1"/>
  <c r="AZ476" i="1"/>
  <c r="AY476" i="1"/>
  <c r="AX476" i="1"/>
  <c r="AW476" i="1"/>
  <c r="BE475" i="1"/>
  <c r="BD475" i="1"/>
  <c r="BC475" i="1"/>
  <c r="BB475" i="1"/>
  <c r="BA475" i="1"/>
  <c r="AZ475" i="1"/>
  <c r="AY475" i="1"/>
  <c r="AX475" i="1"/>
  <c r="AW475" i="1"/>
  <c r="BE474" i="1"/>
  <c r="BD474" i="1"/>
  <c r="BC474" i="1"/>
  <c r="BB474" i="1"/>
  <c r="BA474" i="1"/>
  <c r="AZ474" i="1"/>
  <c r="AY474" i="1"/>
  <c r="AX474" i="1"/>
  <c r="AW474" i="1"/>
  <c r="BE473" i="1"/>
  <c r="BD473" i="1"/>
  <c r="BC473" i="1"/>
  <c r="BB473" i="1"/>
  <c r="BA473" i="1"/>
  <c r="AZ473" i="1"/>
  <c r="AY473" i="1"/>
  <c r="AX473" i="1"/>
  <c r="AW473" i="1"/>
  <c r="BE472" i="1"/>
  <c r="BD472" i="1"/>
  <c r="BC472" i="1"/>
  <c r="BB472" i="1"/>
  <c r="BA472" i="1"/>
  <c r="AZ472" i="1"/>
  <c r="AY472" i="1"/>
  <c r="AX472" i="1"/>
  <c r="AW472" i="1"/>
  <c r="BE471" i="1"/>
  <c r="BD471" i="1"/>
  <c r="BC471" i="1"/>
  <c r="BB471" i="1"/>
  <c r="BA471" i="1"/>
  <c r="AZ471" i="1"/>
  <c r="AY471" i="1"/>
  <c r="AX471" i="1"/>
  <c r="AW471" i="1"/>
  <c r="BE470" i="1"/>
  <c r="BD470" i="1"/>
  <c r="BC470" i="1"/>
  <c r="BB470" i="1"/>
  <c r="BA470" i="1"/>
  <c r="AZ470" i="1"/>
  <c r="AY470" i="1"/>
  <c r="AX470" i="1"/>
  <c r="AW470" i="1"/>
  <c r="BE469" i="1"/>
  <c r="BD469" i="1"/>
  <c r="BC469" i="1"/>
  <c r="BB469" i="1"/>
  <c r="BA469" i="1"/>
  <c r="AZ469" i="1"/>
  <c r="AY469" i="1"/>
  <c r="AX469" i="1"/>
  <c r="AW469" i="1"/>
  <c r="BE468" i="1"/>
  <c r="BD468" i="1"/>
  <c r="BC468" i="1"/>
  <c r="BB468" i="1"/>
  <c r="BA468" i="1"/>
  <c r="AZ468" i="1"/>
  <c r="AY468" i="1"/>
  <c r="AX468" i="1"/>
  <c r="AW468" i="1"/>
  <c r="BE467" i="1"/>
  <c r="BD467" i="1"/>
  <c r="BC467" i="1"/>
  <c r="BB467" i="1"/>
  <c r="BA467" i="1"/>
  <c r="AZ467" i="1"/>
  <c r="AY467" i="1"/>
  <c r="AX467" i="1"/>
  <c r="AW467" i="1"/>
  <c r="BE466" i="1"/>
  <c r="BD466" i="1"/>
  <c r="BC466" i="1"/>
  <c r="BB466" i="1"/>
  <c r="BA466" i="1"/>
  <c r="AZ466" i="1"/>
  <c r="AY466" i="1"/>
  <c r="AX466" i="1"/>
  <c r="AW466" i="1"/>
  <c r="BE465" i="1"/>
  <c r="BD465" i="1"/>
  <c r="BC465" i="1"/>
  <c r="BB465" i="1"/>
  <c r="BA465" i="1"/>
  <c r="AZ465" i="1"/>
  <c r="AY465" i="1"/>
  <c r="AX465" i="1"/>
  <c r="AW465" i="1"/>
  <c r="BE464" i="1"/>
  <c r="BD464" i="1"/>
  <c r="BC464" i="1"/>
  <c r="BB464" i="1"/>
  <c r="BA464" i="1"/>
  <c r="AZ464" i="1"/>
  <c r="AY464" i="1"/>
  <c r="AX464" i="1"/>
  <c r="AW464" i="1"/>
  <c r="BE463" i="1"/>
  <c r="BD463" i="1"/>
  <c r="BC463" i="1"/>
  <c r="BB463" i="1"/>
  <c r="BA463" i="1"/>
  <c r="AZ463" i="1"/>
  <c r="AY463" i="1"/>
  <c r="AX463" i="1"/>
  <c r="AW463" i="1"/>
  <c r="BE462" i="1"/>
  <c r="BD462" i="1"/>
  <c r="BC462" i="1"/>
  <c r="BB462" i="1"/>
  <c r="BA462" i="1"/>
  <c r="AZ462" i="1"/>
  <c r="AY462" i="1"/>
  <c r="AX462" i="1"/>
  <c r="AW462" i="1"/>
  <c r="BE461" i="1"/>
  <c r="BD461" i="1"/>
  <c r="BC461" i="1"/>
  <c r="BB461" i="1"/>
  <c r="BA461" i="1"/>
  <c r="AZ461" i="1"/>
  <c r="AY461" i="1"/>
  <c r="AX461" i="1"/>
  <c r="AW461" i="1"/>
  <c r="BE460" i="1"/>
  <c r="BD460" i="1"/>
  <c r="BC460" i="1"/>
  <c r="BB460" i="1"/>
  <c r="BA460" i="1"/>
  <c r="AZ460" i="1"/>
  <c r="AY460" i="1"/>
  <c r="AX460" i="1"/>
  <c r="AW460" i="1"/>
  <c r="BE459" i="1"/>
  <c r="BD459" i="1"/>
  <c r="BC459" i="1"/>
  <c r="BB459" i="1"/>
  <c r="BA459" i="1"/>
  <c r="AZ459" i="1"/>
  <c r="AY459" i="1"/>
  <c r="AX459" i="1"/>
  <c r="AW459" i="1"/>
  <c r="BE458" i="1"/>
  <c r="BD458" i="1"/>
  <c r="BC458" i="1"/>
  <c r="BB458" i="1"/>
  <c r="BA458" i="1"/>
  <c r="AZ458" i="1"/>
  <c r="AY458" i="1"/>
  <c r="AX458" i="1"/>
  <c r="AW458" i="1"/>
  <c r="BE457" i="1"/>
  <c r="BD457" i="1"/>
  <c r="BC457" i="1"/>
  <c r="BB457" i="1"/>
  <c r="BA457" i="1"/>
  <c r="AZ457" i="1"/>
  <c r="AY457" i="1"/>
  <c r="AX457" i="1"/>
  <c r="AW457" i="1"/>
  <c r="BE456" i="1"/>
  <c r="BD456" i="1"/>
  <c r="BC456" i="1"/>
  <c r="BB456" i="1"/>
  <c r="BA456" i="1"/>
  <c r="AZ456" i="1"/>
  <c r="AY456" i="1"/>
  <c r="AX456" i="1"/>
  <c r="AW456" i="1"/>
  <c r="BE455" i="1"/>
  <c r="BD455" i="1"/>
  <c r="BC455" i="1"/>
  <c r="BB455" i="1"/>
  <c r="BA455" i="1"/>
  <c r="AZ455" i="1"/>
  <c r="AY455" i="1"/>
  <c r="AX455" i="1"/>
  <c r="AW455" i="1"/>
  <c r="BE454" i="1"/>
  <c r="BD454" i="1"/>
  <c r="BC454" i="1"/>
  <c r="BB454" i="1"/>
  <c r="BA454" i="1"/>
  <c r="AZ454" i="1"/>
  <c r="AY454" i="1"/>
  <c r="AX454" i="1"/>
  <c r="AW454" i="1"/>
  <c r="BE453" i="1"/>
  <c r="BD453" i="1"/>
  <c r="BC453" i="1"/>
  <c r="BB453" i="1"/>
  <c r="BA453" i="1"/>
  <c r="AZ453" i="1"/>
  <c r="AY453" i="1"/>
  <c r="AX453" i="1"/>
  <c r="AW453" i="1"/>
  <c r="BE452" i="1"/>
  <c r="BD452" i="1"/>
  <c r="BC452" i="1"/>
  <c r="BB452" i="1"/>
  <c r="BA452" i="1"/>
  <c r="AZ452" i="1"/>
  <c r="AY452" i="1"/>
  <c r="AX452" i="1"/>
  <c r="AW452" i="1"/>
  <c r="BE451" i="1"/>
  <c r="BD451" i="1"/>
  <c r="BC451" i="1"/>
  <c r="BB451" i="1"/>
  <c r="BA451" i="1"/>
  <c r="AZ451" i="1"/>
  <c r="AY451" i="1"/>
  <c r="AX451" i="1"/>
  <c r="AW451" i="1"/>
  <c r="BE450" i="1"/>
  <c r="BD450" i="1"/>
  <c r="BC450" i="1"/>
  <c r="BB450" i="1"/>
  <c r="BA450" i="1"/>
  <c r="AZ450" i="1"/>
  <c r="AY450" i="1"/>
  <c r="AX450" i="1"/>
  <c r="AW450" i="1"/>
  <c r="BE449" i="1"/>
  <c r="BD449" i="1"/>
  <c r="BC449" i="1"/>
  <c r="BB449" i="1"/>
  <c r="BA449" i="1"/>
  <c r="AZ449" i="1"/>
  <c r="AY449" i="1"/>
  <c r="AX449" i="1"/>
  <c r="AW449" i="1"/>
  <c r="BE448" i="1"/>
  <c r="BD448" i="1"/>
  <c r="BC448" i="1"/>
  <c r="BB448" i="1"/>
  <c r="BA448" i="1"/>
  <c r="AZ448" i="1"/>
  <c r="AY448" i="1"/>
  <c r="AX448" i="1"/>
  <c r="AW448" i="1"/>
  <c r="BE447" i="1"/>
  <c r="BD447" i="1"/>
  <c r="BC447" i="1"/>
  <c r="BB447" i="1"/>
  <c r="BA447" i="1"/>
  <c r="AZ447" i="1"/>
  <c r="AY447" i="1"/>
  <c r="AX447" i="1"/>
  <c r="AW447" i="1"/>
  <c r="BE446" i="1"/>
  <c r="BD446" i="1"/>
  <c r="BC446" i="1"/>
  <c r="BB446" i="1"/>
  <c r="BA446" i="1"/>
  <c r="AZ446" i="1"/>
  <c r="AY446" i="1"/>
  <c r="AX446" i="1"/>
  <c r="AW446" i="1"/>
  <c r="BE445" i="1"/>
  <c r="BD445" i="1"/>
  <c r="BC445" i="1"/>
  <c r="BB445" i="1"/>
  <c r="BA445" i="1"/>
  <c r="AZ445" i="1"/>
  <c r="AY445" i="1"/>
  <c r="AX445" i="1"/>
  <c r="AW445" i="1"/>
  <c r="BE444" i="1"/>
  <c r="BD444" i="1"/>
  <c r="BC444" i="1"/>
  <c r="BB444" i="1"/>
  <c r="BA444" i="1"/>
  <c r="AZ444" i="1"/>
  <c r="AY444" i="1"/>
  <c r="AX444" i="1"/>
  <c r="AW444" i="1"/>
  <c r="BE443" i="1"/>
  <c r="BD443" i="1"/>
  <c r="BC443" i="1"/>
  <c r="BB443" i="1"/>
  <c r="BA443" i="1"/>
  <c r="AZ443" i="1"/>
  <c r="AY443" i="1"/>
  <c r="AX443" i="1"/>
  <c r="AW443" i="1"/>
  <c r="BE442" i="1"/>
  <c r="BD442" i="1"/>
  <c r="BC442" i="1"/>
  <c r="BB442" i="1"/>
  <c r="BA442" i="1"/>
  <c r="AZ442" i="1"/>
  <c r="AY442" i="1"/>
  <c r="AX442" i="1"/>
  <c r="AW442" i="1"/>
  <c r="BE441" i="1"/>
  <c r="BD441" i="1"/>
  <c r="BC441" i="1"/>
  <c r="BB441" i="1"/>
  <c r="BA441" i="1"/>
  <c r="AZ441" i="1"/>
  <c r="AY441" i="1"/>
  <c r="AX441" i="1"/>
  <c r="AW441" i="1"/>
  <c r="BE440" i="1"/>
  <c r="BD440" i="1"/>
  <c r="BC440" i="1"/>
  <c r="BB440" i="1"/>
  <c r="BA440" i="1"/>
  <c r="AZ440" i="1"/>
  <c r="AY440" i="1"/>
  <c r="AX440" i="1"/>
  <c r="AW440" i="1"/>
  <c r="BE439" i="1"/>
  <c r="BD439" i="1"/>
  <c r="BC439" i="1"/>
  <c r="BB439" i="1"/>
  <c r="BA439" i="1"/>
  <c r="AZ439" i="1"/>
  <c r="AY439" i="1"/>
  <c r="AX439" i="1"/>
  <c r="AW439" i="1"/>
  <c r="BE438" i="1"/>
  <c r="BD438" i="1"/>
  <c r="BC438" i="1"/>
  <c r="BB438" i="1"/>
  <c r="BA438" i="1"/>
  <c r="AZ438" i="1"/>
  <c r="AY438" i="1"/>
  <c r="AX438" i="1"/>
  <c r="AW438" i="1"/>
  <c r="BE437" i="1"/>
  <c r="BD437" i="1"/>
  <c r="BC437" i="1"/>
  <c r="BB437" i="1"/>
  <c r="BA437" i="1"/>
  <c r="AZ437" i="1"/>
  <c r="AY437" i="1"/>
  <c r="AX437" i="1"/>
  <c r="AW437" i="1"/>
  <c r="BE436" i="1"/>
  <c r="BD436" i="1"/>
  <c r="BC436" i="1"/>
  <c r="BB436" i="1"/>
  <c r="BA436" i="1"/>
  <c r="AZ436" i="1"/>
  <c r="AY436" i="1"/>
  <c r="AX436" i="1"/>
  <c r="AW436" i="1"/>
  <c r="BE435" i="1"/>
  <c r="BD435" i="1"/>
  <c r="BC435" i="1"/>
  <c r="BB435" i="1"/>
  <c r="BA435" i="1"/>
  <c r="AZ435" i="1"/>
  <c r="AY435" i="1"/>
  <c r="AX435" i="1"/>
  <c r="AW435" i="1"/>
  <c r="BE434" i="1"/>
  <c r="BD434" i="1"/>
  <c r="BC434" i="1"/>
  <c r="BB434" i="1"/>
  <c r="BA434" i="1"/>
  <c r="AZ434" i="1"/>
  <c r="AY434" i="1"/>
  <c r="AX434" i="1"/>
  <c r="AW434" i="1"/>
  <c r="BE433" i="1"/>
  <c r="BD433" i="1"/>
  <c r="BC433" i="1"/>
  <c r="BB433" i="1"/>
  <c r="BA433" i="1"/>
  <c r="AZ433" i="1"/>
  <c r="AY433" i="1"/>
  <c r="AX433" i="1"/>
  <c r="AW433" i="1"/>
  <c r="BE432" i="1"/>
  <c r="BD432" i="1"/>
  <c r="BC432" i="1"/>
  <c r="BB432" i="1"/>
  <c r="BA432" i="1"/>
  <c r="AZ432" i="1"/>
  <c r="AY432" i="1"/>
  <c r="AX432" i="1"/>
  <c r="AW432" i="1"/>
  <c r="BE431" i="1"/>
  <c r="BD431" i="1"/>
  <c r="BC431" i="1"/>
  <c r="BB431" i="1"/>
  <c r="BA431" i="1"/>
  <c r="AZ431" i="1"/>
  <c r="AY431" i="1"/>
  <c r="AX431" i="1"/>
  <c r="AW431" i="1"/>
  <c r="BE430" i="1"/>
  <c r="BD430" i="1"/>
  <c r="BC430" i="1"/>
  <c r="BB430" i="1"/>
  <c r="BA430" i="1"/>
  <c r="AZ430" i="1"/>
  <c r="AY430" i="1"/>
  <c r="AX430" i="1"/>
  <c r="AW430" i="1"/>
  <c r="BE429" i="1"/>
  <c r="BD429" i="1"/>
  <c r="BC429" i="1"/>
  <c r="BB429" i="1"/>
  <c r="BA429" i="1"/>
  <c r="AZ429" i="1"/>
  <c r="AY429" i="1"/>
  <c r="AX429" i="1"/>
  <c r="AW429" i="1"/>
  <c r="BE428" i="1"/>
  <c r="BD428" i="1"/>
  <c r="BC428" i="1"/>
  <c r="BB428" i="1"/>
  <c r="BA428" i="1"/>
  <c r="AZ428" i="1"/>
  <c r="AY428" i="1"/>
  <c r="AX428" i="1"/>
  <c r="AW428" i="1"/>
  <c r="BE427" i="1"/>
  <c r="BD427" i="1"/>
  <c r="BC427" i="1"/>
  <c r="BB427" i="1"/>
  <c r="BA427" i="1"/>
  <c r="AZ427" i="1"/>
  <c r="AY427" i="1"/>
  <c r="AX427" i="1"/>
  <c r="AW427" i="1"/>
  <c r="BE426" i="1"/>
  <c r="BD426" i="1"/>
  <c r="BC426" i="1"/>
  <c r="BB426" i="1"/>
  <c r="BA426" i="1"/>
  <c r="AZ426" i="1"/>
  <c r="AY426" i="1"/>
  <c r="AX426" i="1"/>
  <c r="AW426" i="1"/>
  <c r="BE425" i="1"/>
  <c r="BD425" i="1"/>
  <c r="BC425" i="1"/>
  <c r="BB425" i="1"/>
  <c r="BA425" i="1"/>
  <c r="AZ425" i="1"/>
  <c r="AY425" i="1"/>
  <c r="AX425" i="1"/>
  <c r="AW425" i="1"/>
  <c r="BE424" i="1"/>
  <c r="BD424" i="1"/>
  <c r="BC424" i="1"/>
  <c r="BB424" i="1"/>
  <c r="BA424" i="1"/>
  <c r="AZ424" i="1"/>
  <c r="AY424" i="1"/>
  <c r="AX424" i="1"/>
  <c r="AW424" i="1"/>
  <c r="BE423" i="1"/>
  <c r="BD423" i="1"/>
  <c r="BC423" i="1"/>
  <c r="BB423" i="1"/>
  <c r="BA423" i="1"/>
  <c r="AZ423" i="1"/>
  <c r="AY423" i="1"/>
  <c r="AX423" i="1"/>
  <c r="AW423" i="1"/>
  <c r="BE422" i="1"/>
  <c r="BD422" i="1"/>
  <c r="BC422" i="1"/>
  <c r="BB422" i="1"/>
  <c r="BA422" i="1"/>
  <c r="AZ422" i="1"/>
  <c r="AY422" i="1"/>
  <c r="AX422" i="1"/>
  <c r="AW422" i="1"/>
  <c r="BE421" i="1"/>
  <c r="BD421" i="1"/>
  <c r="BC421" i="1"/>
  <c r="BB421" i="1"/>
  <c r="BA421" i="1"/>
  <c r="AZ421" i="1"/>
  <c r="AY421" i="1"/>
  <c r="AX421" i="1"/>
  <c r="AW421" i="1"/>
  <c r="BE420" i="1"/>
  <c r="BD420" i="1"/>
  <c r="BC420" i="1"/>
  <c r="BB420" i="1"/>
  <c r="BA420" i="1"/>
  <c r="AZ420" i="1"/>
  <c r="AY420" i="1"/>
  <c r="AX420" i="1"/>
  <c r="AW420" i="1"/>
  <c r="BE419" i="1"/>
  <c r="BD419" i="1"/>
  <c r="BC419" i="1"/>
  <c r="BB419" i="1"/>
  <c r="BA419" i="1"/>
  <c r="AZ419" i="1"/>
  <c r="AY419" i="1"/>
  <c r="AX419" i="1"/>
  <c r="AW419" i="1"/>
  <c r="BE418" i="1"/>
  <c r="BD418" i="1"/>
  <c r="BC418" i="1"/>
  <c r="BB418" i="1"/>
  <c r="BA418" i="1"/>
  <c r="AZ418" i="1"/>
  <c r="AY418" i="1"/>
  <c r="AX418" i="1"/>
  <c r="AW418" i="1"/>
  <c r="BE417" i="1"/>
  <c r="BD417" i="1"/>
  <c r="BC417" i="1"/>
  <c r="BB417" i="1"/>
  <c r="BA417" i="1"/>
  <c r="AZ417" i="1"/>
  <c r="AY417" i="1"/>
  <c r="AX417" i="1"/>
  <c r="AW417" i="1"/>
  <c r="BE416" i="1"/>
  <c r="BD416" i="1"/>
  <c r="BC416" i="1"/>
  <c r="BB416" i="1"/>
  <c r="BA416" i="1"/>
  <c r="AZ416" i="1"/>
  <c r="AY416" i="1"/>
  <c r="AX416" i="1"/>
  <c r="AW416" i="1"/>
  <c r="BE415" i="1"/>
  <c r="BD415" i="1"/>
  <c r="BC415" i="1"/>
  <c r="BB415" i="1"/>
  <c r="BA415" i="1"/>
  <c r="AZ415" i="1"/>
  <c r="AY415" i="1"/>
  <c r="AX415" i="1"/>
  <c r="AW415" i="1"/>
  <c r="BE414" i="1"/>
  <c r="BD414" i="1"/>
  <c r="BC414" i="1"/>
  <c r="BB414" i="1"/>
  <c r="BA414" i="1"/>
  <c r="AZ414" i="1"/>
  <c r="AY414" i="1"/>
  <c r="AX414" i="1"/>
  <c r="AW414" i="1"/>
  <c r="BE413" i="1"/>
  <c r="BD413" i="1"/>
  <c r="BC413" i="1"/>
  <c r="BB413" i="1"/>
  <c r="BA413" i="1"/>
  <c r="AZ413" i="1"/>
  <c r="AY413" i="1"/>
  <c r="AX413" i="1"/>
  <c r="AW413" i="1"/>
  <c r="BE412" i="1"/>
  <c r="BD412" i="1"/>
  <c r="BC412" i="1"/>
  <c r="BB412" i="1"/>
  <c r="BA412" i="1"/>
  <c r="AZ412" i="1"/>
  <c r="AY412" i="1"/>
  <c r="AX412" i="1"/>
  <c r="AW412" i="1"/>
  <c r="BE411" i="1"/>
  <c r="BD411" i="1"/>
  <c r="BC411" i="1"/>
  <c r="BB411" i="1"/>
  <c r="BA411" i="1"/>
  <c r="AZ411" i="1"/>
  <c r="AY411" i="1"/>
  <c r="AX411" i="1"/>
  <c r="AW411" i="1"/>
  <c r="BE410" i="1"/>
  <c r="BD410" i="1"/>
  <c r="BC410" i="1"/>
  <c r="BB410" i="1"/>
  <c r="BA410" i="1"/>
  <c r="AZ410" i="1"/>
  <c r="AY410" i="1"/>
  <c r="AX410" i="1"/>
  <c r="AW410" i="1"/>
  <c r="BE409" i="1"/>
  <c r="BD409" i="1"/>
  <c r="BC409" i="1"/>
  <c r="BB409" i="1"/>
  <c r="BA409" i="1"/>
  <c r="AZ409" i="1"/>
  <c r="AY409" i="1"/>
  <c r="AX409" i="1"/>
  <c r="AW409" i="1"/>
  <c r="BE408" i="1"/>
  <c r="BD408" i="1"/>
  <c r="BC408" i="1"/>
  <c r="BB408" i="1"/>
  <c r="BA408" i="1"/>
  <c r="AZ408" i="1"/>
  <c r="AY408" i="1"/>
  <c r="AX408" i="1"/>
  <c r="AW408" i="1"/>
  <c r="BE407" i="1"/>
  <c r="BD407" i="1"/>
  <c r="BC407" i="1"/>
  <c r="BB407" i="1"/>
  <c r="BA407" i="1"/>
  <c r="AZ407" i="1"/>
  <c r="AY407" i="1"/>
  <c r="AX407" i="1"/>
  <c r="AW407" i="1"/>
  <c r="BE406" i="1"/>
  <c r="BD406" i="1"/>
  <c r="BC406" i="1"/>
  <c r="BB406" i="1"/>
  <c r="BA406" i="1"/>
  <c r="AZ406" i="1"/>
  <c r="AY406" i="1"/>
  <c r="AX406" i="1"/>
  <c r="AW406" i="1"/>
  <c r="BE405" i="1"/>
  <c r="BD405" i="1"/>
  <c r="BC405" i="1"/>
  <c r="BB405" i="1"/>
  <c r="BA405" i="1"/>
  <c r="AZ405" i="1"/>
  <c r="AY405" i="1"/>
  <c r="AX405" i="1"/>
  <c r="AW405" i="1"/>
  <c r="BE404" i="1"/>
  <c r="BD404" i="1"/>
  <c r="BC404" i="1"/>
  <c r="BB404" i="1"/>
  <c r="BA404" i="1"/>
  <c r="AZ404" i="1"/>
  <c r="AY404" i="1"/>
  <c r="AX404" i="1"/>
  <c r="AW404" i="1"/>
  <c r="BE403" i="1"/>
  <c r="BD403" i="1"/>
  <c r="BC403" i="1"/>
  <c r="BB403" i="1"/>
  <c r="BA403" i="1"/>
  <c r="AZ403" i="1"/>
  <c r="AY403" i="1"/>
  <c r="AX403" i="1"/>
  <c r="AW403" i="1"/>
  <c r="BE402" i="1"/>
  <c r="BD402" i="1"/>
  <c r="BC402" i="1"/>
  <c r="BB402" i="1"/>
  <c r="BA402" i="1"/>
  <c r="AZ402" i="1"/>
  <c r="AY402" i="1"/>
  <c r="AX402" i="1"/>
  <c r="AW402" i="1"/>
  <c r="BE401" i="1"/>
  <c r="BD401" i="1"/>
  <c r="BC401" i="1"/>
  <c r="BB401" i="1"/>
  <c r="BA401" i="1"/>
  <c r="AZ401" i="1"/>
  <c r="AY401" i="1"/>
  <c r="AX401" i="1"/>
  <c r="AW401" i="1"/>
  <c r="BE400" i="1"/>
  <c r="BD400" i="1"/>
  <c r="BC400" i="1"/>
  <c r="BB400" i="1"/>
  <c r="BA400" i="1"/>
  <c r="AZ400" i="1"/>
  <c r="AY400" i="1"/>
  <c r="AX400" i="1"/>
  <c r="AW400" i="1"/>
  <c r="BE399" i="1"/>
  <c r="BD399" i="1"/>
  <c r="BC399" i="1"/>
  <c r="BB399" i="1"/>
  <c r="BA399" i="1"/>
  <c r="AZ399" i="1"/>
  <c r="AY399" i="1"/>
  <c r="AX399" i="1"/>
  <c r="AW399" i="1"/>
  <c r="BE398" i="1"/>
  <c r="BD398" i="1"/>
  <c r="BC398" i="1"/>
  <c r="BB398" i="1"/>
  <c r="BA398" i="1"/>
  <c r="AZ398" i="1"/>
  <c r="AY398" i="1"/>
  <c r="AX398" i="1"/>
  <c r="AW398" i="1"/>
  <c r="BE397" i="1"/>
  <c r="BD397" i="1"/>
  <c r="BC397" i="1"/>
  <c r="BB397" i="1"/>
  <c r="BA397" i="1"/>
  <c r="AZ397" i="1"/>
  <c r="AY397" i="1"/>
  <c r="AX397" i="1"/>
  <c r="AW397" i="1"/>
  <c r="BE396" i="1"/>
  <c r="BD396" i="1"/>
  <c r="BC396" i="1"/>
  <c r="BB396" i="1"/>
  <c r="BA396" i="1"/>
  <c r="AZ396" i="1"/>
  <c r="AY396" i="1"/>
  <c r="AX396" i="1"/>
  <c r="AW396" i="1"/>
  <c r="BE395" i="1"/>
  <c r="BD395" i="1"/>
  <c r="BC395" i="1"/>
  <c r="BB395" i="1"/>
  <c r="BA395" i="1"/>
  <c r="AZ395" i="1"/>
  <c r="AY395" i="1"/>
  <c r="AX395" i="1"/>
  <c r="AW395" i="1"/>
  <c r="BE394" i="1"/>
  <c r="BD394" i="1"/>
  <c r="BC394" i="1"/>
  <c r="BB394" i="1"/>
  <c r="BA394" i="1"/>
  <c r="AZ394" i="1"/>
  <c r="AY394" i="1"/>
  <c r="AX394" i="1"/>
  <c r="AW394" i="1"/>
  <c r="BE393" i="1"/>
  <c r="BD393" i="1"/>
  <c r="BC393" i="1"/>
  <c r="BB393" i="1"/>
  <c r="BA393" i="1"/>
  <c r="AZ393" i="1"/>
  <c r="AY393" i="1"/>
  <c r="AX393" i="1"/>
  <c r="AW393" i="1"/>
  <c r="BE392" i="1"/>
  <c r="BD392" i="1"/>
  <c r="BC392" i="1"/>
  <c r="BB392" i="1"/>
  <c r="BA392" i="1"/>
  <c r="AZ392" i="1"/>
  <c r="AY392" i="1"/>
  <c r="AX392" i="1"/>
  <c r="AW392" i="1"/>
  <c r="BE391" i="1"/>
  <c r="BD391" i="1"/>
  <c r="BC391" i="1"/>
  <c r="BB391" i="1"/>
  <c r="BA391" i="1"/>
  <c r="AZ391" i="1"/>
  <c r="AY391" i="1"/>
  <c r="AX391" i="1"/>
  <c r="AW391" i="1"/>
  <c r="BE390" i="1"/>
  <c r="BD390" i="1"/>
  <c r="BC390" i="1"/>
  <c r="BB390" i="1"/>
  <c r="BA390" i="1"/>
  <c r="AZ390" i="1"/>
  <c r="AY390" i="1"/>
  <c r="AX390" i="1"/>
  <c r="AW390" i="1"/>
  <c r="BE389" i="1"/>
  <c r="BD389" i="1"/>
  <c r="BC389" i="1"/>
  <c r="BB389" i="1"/>
  <c r="BA389" i="1"/>
  <c r="AZ389" i="1"/>
  <c r="AY389" i="1"/>
  <c r="AX389" i="1"/>
  <c r="AW389" i="1"/>
  <c r="BE388" i="1"/>
  <c r="BD388" i="1"/>
  <c r="BC388" i="1"/>
  <c r="BB388" i="1"/>
  <c r="BA388" i="1"/>
  <c r="AZ388" i="1"/>
  <c r="AY388" i="1"/>
  <c r="AX388" i="1"/>
  <c r="AW388" i="1"/>
  <c r="BE387" i="1"/>
  <c r="BD387" i="1"/>
  <c r="BC387" i="1"/>
  <c r="BB387" i="1"/>
  <c r="BA387" i="1"/>
  <c r="AZ387" i="1"/>
  <c r="AY387" i="1"/>
  <c r="AX387" i="1"/>
  <c r="AW387" i="1"/>
  <c r="BE386" i="1"/>
  <c r="BD386" i="1"/>
  <c r="BC386" i="1"/>
  <c r="BB386" i="1"/>
  <c r="BA386" i="1"/>
  <c r="AZ386" i="1"/>
  <c r="AY386" i="1"/>
  <c r="AX386" i="1"/>
  <c r="AW386" i="1"/>
  <c r="BE385" i="1"/>
  <c r="BD385" i="1"/>
  <c r="BC385" i="1"/>
  <c r="BB385" i="1"/>
  <c r="BA385" i="1"/>
  <c r="AZ385" i="1"/>
  <c r="AY385" i="1"/>
  <c r="AX385" i="1"/>
  <c r="AW385" i="1"/>
  <c r="BE384" i="1"/>
  <c r="BD384" i="1"/>
  <c r="BC384" i="1"/>
  <c r="BB384" i="1"/>
  <c r="BA384" i="1"/>
  <c r="AZ384" i="1"/>
  <c r="AY384" i="1"/>
  <c r="AX384" i="1"/>
  <c r="AW384" i="1"/>
  <c r="BE383" i="1"/>
  <c r="BD383" i="1"/>
  <c r="BC383" i="1"/>
  <c r="BB383" i="1"/>
  <c r="BA383" i="1"/>
  <c r="AZ383" i="1"/>
  <c r="AY383" i="1"/>
  <c r="AX383" i="1"/>
  <c r="AW383" i="1"/>
  <c r="BE382" i="1"/>
  <c r="BD382" i="1"/>
  <c r="BC382" i="1"/>
  <c r="BB382" i="1"/>
  <c r="BA382" i="1"/>
  <c r="AZ382" i="1"/>
  <c r="AY382" i="1"/>
  <c r="AX382" i="1"/>
  <c r="AW382" i="1"/>
  <c r="BE381" i="1"/>
  <c r="BD381" i="1"/>
  <c r="BC381" i="1"/>
  <c r="BB381" i="1"/>
  <c r="BA381" i="1"/>
  <c r="AZ381" i="1"/>
  <c r="AY381" i="1"/>
  <c r="AX381" i="1"/>
  <c r="AW381" i="1"/>
  <c r="BE380" i="1"/>
  <c r="BD380" i="1"/>
  <c r="BC380" i="1"/>
  <c r="BB380" i="1"/>
  <c r="BA380" i="1"/>
  <c r="AZ380" i="1"/>
  <c r="AY380" i="1"/>
  <c r="AX380" i="1"/>
  <c r="AW380" i="1"/>
  <c r="BE379" i="1"/>
  <c r="BD379" i="1"/>
  <c r="BC379" i="1"/>
  <c r="BB379" i="1"/>
  <c r="BA379" i="1"/>
  <c r="AZ379" i="1"/>
  <c r="AY379" i="1"/>
  <c r="AX379" i="1"/>
  <c r="AW379" i="1"/>
  <c r="BE378" i="1"/>
  <c r="BD378" i="1"/>
  <c r="BC378" i="1"/>
  <c r="BB378" i="1"/>
  <c r="BA378" i="1"/>
  <c r="AZ378" i="1"/>
  <c r="AY378" i="1"/>
  <c r="AX378" i="1"/>
  <c r="AW378" i="1"/>
  <c r="BE377" i="1"/>
  <c r="BD377" i="1"/>
  <c r="BC377" i="1"/>
  <c r="BB377" i="1"/>
  <c r="BA377" i="1"/>
  <c r="AZ377" i="1"/>
  <c r="AY377" i="1"/>
  <c r="AX377" i="1"/>
  <c r="AW377" i="1"/>
  <c r="BE376" i="1"/>
  <c r="BD376" i="1"/>
  <c r="BC376" i="1"/>
  <c r="BB376" i="1"/>
  <c r="BA376" i="1"/>
  <c r="AZ376" i="1"/>
  <c r="AY376" i="1"/>
  <c r="AX376" i="1"/>
  <c r="AW376" i="1"/>
  <c r="BE375" i="1"/>
  <c r="BD375" i="1"/>
  <c r="BC375" i="1"/>
  <c r="BB375" i="1"/>
  <c r="BA375" i="1"/>
  <c r="AZ375" i="1"/>
  <c r="AY375" i="1"/>
  <c r="AX375" i="1"/>
  <c r="AW375" i="1"/>
  <c r="BE374" i="1"/>
  <c r="BD374" i="1"/>
  <c r="BC374" i="1"/>
  <c r="BB374" i="1"/>
  <c r="BA374" i="1"/>
  <c r="AZ374" i="1"/>
  <c r="AY374" i="1"/>
  <c r="AX374" i="1"/>
  <c r="AW374" i="1"/>
  <c r="BE373" i="1"/>
  <c r="BD373" i="1"/>
  <c r="BC373" i="1"/>
  <c r="BB373" i="1"/>
  <c r="BA373" i="1"/>
  <c r="AZ373" i="1"/>
  <c r="AY373" i="1"/>
  <c r="AX373" i="1"/>
  <c r="AW373" i="1"/>
  <c r="BE372" i="1"/>
  <c r="BD372" i="1"/>
  <c r="BC372" i="1"/>
  <c r="BB372" i="1"/>
  <c r="BA372" i="1"/>
  <c r="AZ372" i="1"/>
  <c r="AY372" i="1"/>
  <c r="AX372" i="1"/>
  <c r="AW372" i="1"/>
  <c r="BE371" i="1"/>
  <c r="BD371" i="1"/>
  <c r="BC371" i="1"/>
  <c r="BB371" i="1"/>
  <c r="BA371" i="1"/>
  <c r="AZ371" i="1"/>
  <c r="AY371" i="1"/>
  <c r="AX371" i="1"/>
  <c r="AW371" i="1"/>
  <c r="BE370" i="1"/>
  <c r="BD370" i="1"/>
  <c r="BC370" i="1"/>
  <c r="BB370" i="1"/>
  <c r="BA370" i="1"/>
  <c r="AZ370" i="1"/>
  <c r="AY370" i="1"/>
  <c r="AX370" i="1"/>
  <c r="AW370" i="1"/>
  <c r="BE369" i="1"/>
  <c r="BD369" i="1"/>
  <c r="BC369" i="1"/>
  <c r="BB369" i="1"/>
  <c r="BA369" i="1"/>
  <c r="AZ369" i="1"/>
  <c r="AY369" i="1"/>
  <c r="AX369" i="1"/>
  <c r="AW369" i="1"/>
  <c r="BE368" i="1"/>
  <c r="BD368" i="1"/>
  <c r="BC368" i="1"/>
  <c r="BB368" i="1"/>
  <c r="BA368" i="1"/>
  <c r="AZ368" i="1"/>
  <c r="AY368" i="1"/>
  <c r="AX368" i="1"/>
  <c r="AW368" i="1"/>
  <c r="BE367" i="1"/>
  <c r="BD367" i="1"/>
  <c r="BC367" i="1"/>
  <c r="BB367" i="1"/>
  <c r="BA367" i="1"/>
  <c r="AZ367" i="1"/>
  <c r="AY367" i="1"/>
  <c r="AX367" i="1"/>
  <c r="AW367" i="1"/>
  <c r="BE366" i="1"/>
  <c r="BD366" i="1"/>
  <c r="BC366" i="1"/>
  <c r="BB366" i="1"/>
  <c r="BA366" i="1"/>
  <c r="AZ366" i="1"/>
  <c r="AY366" i="1"/>
  <c r="AX366" i="1"/>
  <c r="AW366" i="1"/>
  <c r="BE365" i="1"/>
  <c r="BD365" i="1"/>
  <c r="BC365" i="1"/>
  <c r="BB365" i="1"/>
  <c r="BA365" i="1"/>
  <c r="AZ365" i="1"/>
  <c r="AY365" i="1"/>
  <c r="AX365" i="1"/>
  <c r="AW365" i="1"/>
  <c r="BE364" i="1"/>
  <c r="BD364" i="1"/>
  <c r="BC364" i="1"/>
  <c r="BB364" i="1"/>
  <c r="BA364" i="1"/>
  <c r="AZ364" i="1"/>
  <c r="AY364" i="1"/>
  <c r="AX364" i="1"/>
  <c r="AW364" i="1"/>
  <c r="BE363" i="1"/>
  <c r="BD363" i="1"/>
  <c r="BC363" i="1"/>
  <c r="BB363" i="1"/>
  <c r="BA363" i="1"/>
  <c r="AZ363" i="1"/>
  <c r="AY363" i="1"/>
  <c r="AX363" i="1"/>
  <c r="AW363" i="1"/>
  <c r="BE362" i="1"/>
  <c r="BD362" i="1"/>
  <c r="BC362" i="1"/>
  <c r="BB362" i="1"/>
  <c r="BA362" i="1"/>
  <c r="AZ362" i="1"/>
  <c r="AY362" i="1"/>
  <c r="AX362" i="1"/>
  <c r="AW362" i="1"/>
  <c r="BE361" i="1"/>
  <c r="BD361" i="1"/>
  <c r="BC361" i="1"/>
  <c r="BB361" i="1"/>
  <c r="BA361" i="1"/>
  <c r="AZ361" i="1"/>
  <c r="AY361" i="1"/>
  <c r="AX361" i="1"/>
  <c r="AW361" i="1"/>
  <c r="BE360" i="1"/>
  <c r="BD360" i="1"/>
  <c r="BC360" i="1"/>
  <c r="BB360" i="1"/>
  <c r="BA360" i="1"/>
  <c r="AZ360" i="1"/>
  <c r="AY360" i="1"/>
  <c r="AX360" i="1"/>
  <c r="AW360" i="1"/>
  <c r="BE359" i="1"/>
  <c r="BD359" i="1"/>
  <c r="BC359" i="1"/>
  <c r="BB359" i="1"/>
  <c r="BA359" i="1"/>
  <c r="AZ359" i="1"/>
  <c r="AY359" i="1"/>
  <c r="AX359" i="1"/>
  <c r="AW359" i="1"/>
  <c r="BE358" i="1"/>
  <c r="BD358" i="1"/>
  <c r="BC358" i="1"/>
  <c r="BB358" i="1"/>
  <c r="BA358" i="1"/>
  <c r="AZ358" i="1"/>
  <c r="AY358" i="1"/>
  <c r="AX358" i="1"/>
  <c r="AW358" i="1"/>
  <c r="BE357" i="1"/>
  <c r="BD357" i="1"/>
  <c r="BC357" i="1"/>
  <c r="BB357" i="1"/>
  <c r="BA357" i="1"/>
  <c r="AZ357" i="1"/>
  <c r="AY357" i="1"/>
  <c r="AX357" i="1"/>
  <c r="AW357" i="1"/>
  <c r="BE356" i="1"/>
  <c r="BD356" i="1"/>
  <c r="BC356" i="1"/>
  <c r="BB356" i="1"/>
  <c r="BA356" i="1"/>
  <c r="AZ356" i="1"/>
  <c r="AY356" i="1"/>
  <c r="AX356" i="1"/>
  <c r="AW356" i="1"/>
  <c r="BE355" i="1"/>
  <c r="BD355" i="1"/>
  <c r="BC355" i="1"/>
  <c r="BB355" i="1"/>
  <c r="BA355" i="1"/>
  <c r="AZ355" i="1"/>
  <c r="AY355" i="1"/>
  <c r="AX355" i="1"/>
  <c r="AW355" i="1"/>
  <c r="BE354" i="1"/>
  <c r="BD354" i="1"/>
  <c r="BC354" i="1"/>
  <c r="BB354" i="1"/>
  <c r="BA354" i="1"/>
  <c r="AZ354" i="1"/>
  <c r="AY354" i="1"/>
  <c r="AX354" i="1"/>
  <c r="AW354" i="1"/>
  <c r="BE353" i="1"/>
  <c r="BD353" i="1"/>
  <c r="BC353" i="1"/>
  <c r="BB353" i="1"/>
  <c r="BA353" i="1"/>
  <c r="AZ353" i="1"/>
  <c r="AY353" i="1"/>
  <c r="AX353" i="1"/>
  <c r="AW353" i="1"/>
  <c r="BE352" i="1"/>
  <c r="BD352" i="1"/>
  <c r="BC352" i="1"/>
  <c r="BB352" i="1"/>
  <c r="BA352" i="1"/>
  <c r="AZ352" i="1"/>
  <c r="AY352" i="1"/>
  <c r="AX352" i="1"/>
  <c r="AW352" i="1"/>
  <c r="BE351" i="1"/>
  <c r="BD351" i="1"/>
  <c r="BC351" i="1"/>
  <c r="BB351" i="1"/>
  <c r="BA351" i="1"/>
  <c r="AZ351" i="1"/>
  <c r="AY351" i="1"/>
  <c r="AX351" i="1"/>
  <c r="AW351" i="1"/>
  <c r="BE350" i="1"/>
  <c r="BD350" i="1"/>
  <c r="BC350" i="1"/>
  <c r="BB350" i="1"/>
  <c r="BA350" i="1"/>
  <c r="AZ350" i="1"/>
  <c r="AY350" i="1"/>
  <c r="AX350" i="1"/>
  <c r="AW350" i="1"/>
  <c r="BE349" i="1"/>
  <c r="BD349" i="1"/>
  <c r="BC349" i="1"/>
  <c r="BB349" i="1"/>
  <c r="BA349" i="1"/>
  <c r="AZ349" i="1"/>
  <c r="AY349" i="1"/>
  <c r="AX349" i="1"/>
  <c r="AW349" i="1"/>
  <c r="BE348" i="1"/>
  <c r="BD348" i="1"/>
  <c r="BC348" i="1"/>
  <c r="BB348" i="1"/>
  <c r="BA348" i="1"/>
  <c r="AZ348" i="1"/>
  <c r="AY348" i="1"/>
  <c r="AX348" i="1"/>
  <c r="AW348" i="1"/>
  <c r="BE347" i="1"/>
  <c r="BD347" i="1"/>
  <c r="BC347" i="1"/>
  <c r="BB347" i="1"/>
  <c r="BA347" i="1"/>
  <c r="AZ347" i="1"/>
  <c r="AY347" i="1"/>
  <c r="AX347" i="1"/>
  <c r="AW347" i="1"/>
  <c r="BE346" i="1"/>
  <c r="BD346" i="1"/>
  <c r="BC346" i="1"/>
  <c r="BB346" i="1"/>
  <c r="BA346" i="1"/>
  <c r="AZ346" i="1"/>
  <c r="AY346" i="1"/>
  <c r="AX346" i="1"/>
  <c r="AW346" i="1"/>
  <c r="BE345" i="1"/>
  <c r="BD345" i="1"/>
  <c r="BC345" i="1"/>
  <c r="BB345" i="1"/>
  <c r="BA345" i="1"/>
  <c r="AZ345" i="1"/>
  <c r="AY345" i="1"/>
  <c r="AX345" i="1"/>
  <c r="AW345" i="1"/>
  <c r="BE344" i="1"/>
  <c r="BD344" i="1"/>
  <c r="BC344" i="1"/>
  <c r="BB344" i="1"/>
  <c r="BA344" i="1"/>
  <c r="AZ344" i="1"/>
  <c r="AY344" i="1"/>
  <c r="AX344" i="1"/>
  <c r="AW344" i="1"/>
  <c r="BE343" i="1"/>
  <c r="BD343" i="1"/>
  <c r="BC343" i="1"/>
  <c r="BB343" i="1"/>
  <c r="BA343" i="1"/>
  <c r="AZ343" i="1"/>
  <c r="AY343" i="1"/>
  <c r="AX343" i="1"/>
  <c r="AW343" i="1"/>
  <c r="BE342" i="1"/>
  <c r="BD342" i="1"/>
  <c r="BC342" i="1"/>
  <c r="BB342" i="1"/>
  <c r="BA342" i="1"/>
  <c r="AZ342" i="1"/>
  <c r="AY342" i="1"/>
  <c r="AX342" i="1"/>
  <c r="AW342" i="1"/>
  <c r="BE341" i="1"/>
  <c r="BD341" i="1"/>
  <c r="BC341" i="1"/>
  <c r="BB341" i="1"/>
  <c r="BA341" i="1"/>
  <c r="AZ341" i="1"/>
  <c r="AY341" i="1"/>
  <c r="AX341" i="1"/>
  <c r="AW341" i="1"/>
  <c r="BE340" i="1"/>
  <c r="BD340" i="1"/>
  <c r="BC340" i="1"/>
  <c r="BB340" i="1"/>
  <c r="BA340" i="1"/>
  <c r="AZ340" i="1"/>
  <c r="AY340" i="1"/>
  <c r="AX340" i="1"/>
  <c r="AW340" i="1"/>
  <c r="BE339" i="1"/>
  <c r="BD339" i="1"/>
  <c r="BC339" i="1"/>
  <c r="BB339" i="1"/>
  <c r="BA339" i="1"/>
  <c r="AZ339" i="1"/>
  <c r="AY339" i="1"/>
  <c r="AX339" i="1"/>
  <c r="AW339" i="1"/>
  <c r="BE338" i="1"/>
  <c r="BD338" i="1"/>
  <c r="BC338" i="1"/>
  <c r="BB338" i="1"/>
  <c r="BA338" i="1"/>
  <c r="AZ338" i="1"/>
  <c r="AY338" i="1"/>
  <c r="AX338" i="1"/>
  <c r="AW338" i="1"/>
  <c r="BE337" i="1"/>
  <c r="BD337" i="1"/>
  <c r="BC337" i="1"/>
  <c r="BB337" i="1"/>
  <c r="BA337" i="1"/>
  <c r="AZ337" i="1"/>
  <c r="AY337" i="1"/>
  <c r="AX337" i="1"/>
  <c r="AW337" i="1"/>
  <c r="BE336" i="1"/>
  <c r="BD336" i="1"/>
  <c r="BC336" i="1"/>
  <c r="BB336" i="1"/>
  <c r="BA336" i="1"/>
  <c r="AZ336" i="1"/>
  <c r="AY336" i="1"/>
  <c r="AX336" i="1"/>
  <c r="AW336" i="1"/>
  <c r="BE335" i="1"/>
  <c r="BD335" i="1"/>
  <c r="BC335" i="1"/>
  <c r="BB335" i="1"/>
  <c r="BA335" i="1"/>
  <c r="AZ335" i="1"/>
  <c r="AY335" i="1"/>
  <c r="AX335" i="1"/>
  <c r="AW335" i="1"/>
  <c r="BE334" i="1"/>
  <c r="BD334" i="1"/>
  <c r="BC334" i="1"/>
  <c r="BB334" i="1"/>
  <c r="BA334" i="1"/>
  <c r="AZ334" i="1"/>
  <c r="AY334" i="1"/>
  <c r="AX334" i="1"/>
  <c r="AW334" i="1"/>
  <c r="BE333" i="1"/>
  <c r="BD333" i="1"/>
  <c r="BC333" i="1"/>
  <c r="BB333" i="1"/>
  <c r="BA333" i="1"/>
  <c r="AZ333" i="1"/>
  <c r="AY333" i="1"/>
  <c r="AX333" i="1"/>
  <c r="AW333" i="1"/>
  <c r="BE332" i="1"/>
  <c r="BD332" i="1"/>
  <c r="BC332" i="1"/>
  <c r="BB332" i="1"/>
  <c r="BA332" i="1"/>
  <c r="AZ332" i="1"/>
  <c r="AY332" i="1"/>
  <c r="AX332" i="1"/>
  <c r="AW332" i="1"/>
  <c r="BE331" i="1"/>
  <c r="BD331" i="1"/>
  <c r="BC331" i="1"/>
  <c r="BB331" i="1"/>
  <c r="BA331" i="1"/>
  <c r="AZ331" i="1"/>
  <c r="AY331" i="1"/>
  <c r="AX331" i="1"/>
  <c r="AW331" i="1"/>
  <c r="BE330" i="1"/>
  <c r="BD330" i="1"/>
  <c r="BC330" i="1"/>
  <c r="BB330" i="1"/>
  <c r="BA330" i="1"/>
  <c r="AZ330" i="1"/>
  <c r="AY330" i="1"/>
  <c r="AX330" i="1"/>
  <c r="AW330" i="1"/>
  <c r="BE329" i="1"/>
  <c r="BD329" i="1"/>
  <c r="BC329" i="1"/>
  <c r="BB329" i="1"/>
  <c r="BA329" i="1"/>
  <c r="AZ329" i="1"/>
  <c r="AY329" i="1"/>
  <c r="AX329" i="1"/>
  <c r="AW329" i="1"/>
  <c r="BE328" i="1"/>
  <c r="BD328" i="1"/>
  <c r="BC328" i="1"/>
  <c r="BB328" i="1"/>
  <c r="BA328" i="1"/>
  <c r="AZ328" i="1"/>
  <c r="AY328" i="1"/>
  <c r="AX328" i="1"/>
  <c r="AW328" i="1"/>
  <c r="BE327" i="1"/>
  <c r="BD327" i="1"/>
  <c r="BC327" i="1"/>
  <c r="BB327" i="1"/>
  <c r="BA327" i="1"/>
  <c r="AZ327" i="1"/>
  <c r="AY327" i="1"/>
  <c r="AX327" i="1"/>
  <c r="AW327" i="1"/>
  <c r="BE326" i="1"/>
  <c r="BD326" i="1"/>
  <c r="BC326" i="1"/>
  <c r="BB326" i="1"/>
  <c r="BA326" i="1"/>
  <c r="AZ326" i="1"/>
  <c r="AY326" i="1"/>
  <c r="AX326" i="1"/>
  <c r="AW326" i="1"/>
  <c r="BE325" i="1"/>
  <c r="BD325" i="1"/>
  <c r="BC325" i="1"/>
  <c r="BB325" i="1"/>
  <c r="BA325" i="1"/>
  <c r="AZ325" i="1"/>
  <c r="AY325" i="1"/>
  <c r="AX325" i="1"/>
  <c r="AW325" i="1"/>
  <c r="BE324" i="1"/>
  <c r="BD324" i="1"/>
  <c r="BC324" i="1"/>
  <c r="BB324" i="1"/>
  <c r="BA324" i="1"/>
  <c r="AZ324" i="1"/>
  <c r="AY324" i="1"/>
  <c r="AX324" i="1"/>
  <c r="AW324" i="1"/>
  <c r="BE323" i="1"/>
  <c r="BD323" i="1"/>
  <c r="BC323" i="1"/>
  <c r="BB323" i="1"/>
  <c r="BA323" i="1"/>
  <c r="AZ323" i="1"/>
  <c r="AY323" i="1"/>
  <c r="AX323" i="1"/>
  <c r="AW323" i="1"/>
  <c r="BE322" i="1"/>
  <c r="BD322" i="1"/>
  <c r="BC322" i="1"/>
  <c r="BB322" i="1"/>
  <c r="BA322" i="1"/>
  <c r="AZ322" i="1"/>
  <c r="AY322" i="1"/>
  <c r="AX322" i="1"/>
  <c r="AW322" i="1"/>
  <c r="BE321" i="1"/>
  <c r="BD321" i="1"/>
  <c r="BC321" i="1"/>
  <c r="BB321" i="1"/>
  <c r="BA321" i="1"/>
  <c r="AZ321" i="1"/>
  <c r="AY321" i="1"/>
  <c r="AX321" i="1"/>
  <c r="AW321" i="1"/>
  <c r="BE320" i="1"/>
  <c r="BD320" i="1"/>
  <c r="BC320" i="1"/>
  <c r="BB320" i="1"/>
  <c r="BA320" i="1"/>
  <c r="AZ320" i="1"/>
  <c r="AY320" i="1"/>
  <c r="AX320" i="1"/>
  <c r="AW320" i="1"/>
  <c r="BE319" i="1"/>
  <c r="BD319" i="1"/>
  <c r="BC319" i="1"/>
  <c r="BB319" i="1"/>
  <c r="BA319" i="1"/>
  <c r="AZ319" i="1"/>
  <c r="AY319" i="1"/>
  <c r="AX319" i="1"/>
  <c r="AW319" i="1"/>
  <c r="BE318" i="1"/>
  <c r="BD318" i="1"/>
  <c r="BC318" i="1"/>
  <c r="BB318" i="1"/>
  <c r="BA318" i="1"/>
  <c r="AZ318" i="1"/>
  <c r="AY318" i="1"/>
  <c r="AX318" i="1"/>
  <c r="AW318" i="1"/>
  <c r="BE317" i="1"/>
  <c r="BD317" i="1"/>
  <c r="BC317" i="1"/>
  <c r="BB317" i="1"/>
  <c r="BA317" i="1"/>
  <c r="AZ317" i="1"/>
  <c r="AY317" i="1"/>
  <c r="AX317" i="1"/>
  <c r="AW317" i="1"/>
  <c r="BE316" i="1"/>
  <c r="BD316" i="1"/>
  <c r="BC316" i="1"/>
  <c r="BB316" i="1"/>
  <c r="BA316" i="1"/>
  <c r="AZ316" i="1"/>
  <c r="AY316" i="1"/>
  <c r="AX316" i="1"/>
  <c r="AW316" i="1"/>
  <c r="BE315" i="1"/>
  <c r="BD315" i="1"/>
  <c r="BC315" i="1"/>
  <c r="BB315" i="1"/>
  <c r="BA315" i="1"/>
  <c r="AZ315" i="1"/>
  <c r="AY315" i="1"/>
  <c r="AX315" i="1"/>
  <c r="AW315" i="1"/>
  <c r="BE314" i="1"/>
  <c r="BD314" i="1"/>
  <c r="BC314" i="1"/>
  <c r="BB314" i="1"/>
  <c r="BA314" i="1"/>
  <c r="AZ314" i="1"/>
  <c r="AY314" i="1"/>
  <c r="AX314" i="1"/>
  <c r="AW314" i="1"/>
  <c r="BE313" i="1"/>
  <c r="BD313" i="1"/>
  <c r="BC313" i="1"/>
  <c r="BB313" i="1"/>
  <c r="BA313" i="1"/>
  <c r="AZ313" i="1"/>
  <c r="AY313" i="1"/>
  <c r="AX313" i="1"/>
  <c r="AW313" i="1"/>
  <c r="BE312" i="1"/>
  <c r="BD312" i="1"/>
  <c r="BC312" i="1"/>
  <c r="BB312" i="1"/>
  <c r="BA312" i="1"/>
  <c r="AZ312" i="1"/>
  <c r="AY312" i="1"/>
  <c r="AX312" i="1"/>
  <c r="AW312" i="1"/>
  <c r="BE311" i="1"/>
  <c r="BD311" i="1"/>
  <c r="BC311" i="1"/>
  <c r="BB311" i="1"/>
  <c r="BA311" i="1"/>
  <c r="AZ311" i="1"/>
  <c r="AY311" i="1"/>
  <c r="AX311" i="1"/>
  <c r="AW311" i="1"/>
  <c r="BE310" i="1"/>
  <c r="BD310" i="1"/>
  <c r="BC310" i="1"/>
  <c r="BB310" i="1"/>
  <c r="BA310" i="1"/>
  <c r="AZ310" i="1"/>
  <c r="AY310" i="1"/>
  <c r="AX310" i="1"/>
  <c r="AW310" i="1"/>
  <c r="BE309" i="1"/>
  <c r="BD309" i="1"/>
  <c r="BC309" i="1"/>
  <c r="BB309" i="1"/>
  <c r="BA309" i="1"/>
  <c r="AZ309" i="1"/>
  <c r="AY309" i="1"/>
  <c r="AX309" i="1"/>
  <c r="AW309" i="1"/>
  <c r="BE308" i="1"/>
  <c r="BD308" i="1"/>
  <c r="BC308" i="1"/>
  <c r="BB308" i="1"/>
  <c r="BA308" i="1"/>
  <c r="AZ308" i="1"/>
  <c r="AY308" i="1"/>
  <c r="AX308" i="1"/>
  <c r="AW308" i="1"/>
  <c r="BE307" i="1"/>
  <c r="BD307" i="1"/>
  <c r="BC307" i="1"/>
  <c r="BB307" i="1"/>
  <c r="BA307" i="1"/>
  <c r="AZ307" i="1"/>
  <c r="AY307" i="1"/>
  <c r="AX307" i="1"/>
  <c r="AW307" i="1"/>
  <c r="BE306" i="1"/>
  <c r="BD306" i="1"/>
  <c r="BC306" i="1"/>
  <c r="BB306" i="1"/>
  <c r="BA306" i="1"/>
  <c r="AZ306" i="1"/>
  <c r="AY306" i="1"/>
  <c r="AX306" i="1"/>
  <c r="AW306" i="1"/>
  <c r="BE305" i="1"/>
  <c r="BD305" i="1"/>
  <c r="BC305" i="1"/>
  <c r="BB305" i="1"/>
  <c r="BA305" i="1"/>
  <c r="AZ305" i="1"/>
  <c r="AY305" i="1"/>
  <c r="AX305" i="1"/>
  <c r="AW305" i="1"/>
  <c r="BE304" i="1"/>
  <c r="BD304" i="1"/>
  <c r="BC304" i="1"/>
  <c r="BB304" i="1"/>
  <c r="BA304" i="1"/>
  <c r="AZ304" i="1"/>
  <c r="AY304" i="1"/>
  <c r="AX304" i="1"/>
  <c r="AW304" i="1"/>
  <c r="BE303" i="1"/>
  <c r="BD303" i="1"/>
  <c r="BC303" i="1"/>
  <c r="BB303" i="1"/>
  <c r="BA303" i="1"/>
  <c r="AZ303" i="1"/>
  <c r="AY303" i="1"/>
  <c r="AX303" i="1"/>
  <c r="AW303" i="1"/>
  <c r="BE302" i="1"/>
  <c r="BD302" i="1"/>
  <c r="BC302" i="1"/>
  <c r="BB302" i="1"/>
  <c r="BA302" i="1"/>
  <c r="AZ302" i="1"/>
  <c r="AY302" i="1"/>
  <c r="AX302" i="1"/>
  <c r="AW302" i="1"/>
  <c r="BE301" i="1"/>
  <c r="BD301" i="1"/>
  <c r="BC301" i="1"/>
  <c r="BB301" i="1"/>
  <c r="BA301" i="1"/>
  <c r="AZ301" i="1"/>
  <c r="AY301" i="1"/>
  <c r="AX301" i="1"/>
  <c r="AW301" i="1"/>
  <c r="BE300" i="1"/>
  <c r="BD300" i="1"/>
  <c r="BC300" i="1"/>
  <c r="BB300" i="1"/>
  <c r="BA300" i="1"/>
  <c r="AZ300" i="1"/>
  <c r="AY300" i="1"/>
  <c r="AX300" i="1"/>
  <c r="AW300" i="1"/>
  <c r="BE299" i="1"/>
  <c r="BD299" i="1"/>
  <c r="BC299" i="1"/>
  <c r="BB299" i="1"/>
  <c r="BA299" i="1"/>
  <c r="AZ299" i="1"/>
  <c r="AY299" i="1"/>
  <c r="AX299" i="1"/>
  <c r="AW299" i="1"/>
  <c r="BE298" i="1"/>
  <c r="BD298" i="1"/>
  <c r="BC298" i="1"/>
  <c r="BB298" i="1"/>
  <c r="BA298" i="1"/>
  <c r="AZ298" i="1"/>
  <c r="AY298" i="1"/>
  <c r="AX298" i="1"/>
  <c r="AW298" i="1"/>
  <c r="BE297" i="1"/>
  <c r="BD297" i="1"/>
  <c r="BC297" i="1"/>
  <c r="BB297" i="1"/>
  <c r="BA297" i="1"/>
  <c r="AZ297" i="1"/>
  <c r="AY297" i="1"/>
  <c r="AX297" i="1"/>
  <c r="AW297" i="1"/>
  <c r="BE296" i="1"/>
  <c r="BD296" i="1"/>
  <c r="BC296" i="1"/>
  <c r="BB296" i="1"/>
  <c r="BA296" i="1"/>
  <c r="AZ296" i="1"/>
  <c r="AY296" i="1"/>
  <c r="AX296" i="1"/>
  <c r="AW296" i="1"/>
  <c r="BE295" i="1"/>
  <c r="BD295" i="1"/>
  <c r="BC295" i="1"/>
  <c r="BB295" i="1"/>
  <c r="BA295" i="1"/>
  <c r="AZ295" i="1"/>
  <c r="AY295" i="1"/>
  <c r="AX295" i="1"/>
  <c r="AW295" i="1"/>
  <c r="BE294" i="1"/>
  <c r="BD294" i="1"/>
  <c r="BC294" i="1"/>
  <c r="BB294" i="1"/>
  <c r="BA294" i="1"/>
  <c r="AZ294" i="1"/>
  <c r="AY294" i="1"/>
  <c r="AX294" i="1"/>
  <c r="AW294" i="1"/>
  <c r="BE293" i="1"/>
  <c r="BD293" i="1"/>
  <c r="BC293" i="1"/>
  <c r="BB293" i="1"/>
  <c r="BA293" i="1"/>
  <c r="AZ293" i="1"/>
  <c r="AY293" i="1"/>
  <c r="AX293" i="1"/>
  <c r="AW293" i="1"/>
  <c r="BE292" i="1"/>
  <c r="BD292" i="1"/>
  <c r="BC292" i="1"/>
  <c r="BB292" i="1"/>
  <c r="BA292" i="1"/>
  <c r="AZ292" i="1"/>
  <c r="AY292" i="1"/>
  <c r="AX292" i="1"/>
  <c r="AW292" i="1"/>
  <c r="BE291" i="1"/>
  <c r="BD291" i="1"/>
  <c r="BC291" i="1"/>
  <c r="BB291" i="1"/>
  <c r="BA291" i="1"/>
  <c r="AZ291" i="1"/>
  <c r="AY291" i="1"/>
  <c r="AX291" i="1"/>
  <c r="AW291" i="1"/>
  <c r="BE290" i="1"/>
  <c r="BD290" i="1"/>
  <c r="BC290" i="1"/>
  <c r="BB290" i="1"/>
  <c r="BA290" i="1"/>
  <c r="AZ290" i="1"/>
  <c r="AY290" i="1"/>
  <c r="AX290" i="1"/>
  <c r="AW290" i="1"/>
  <c r="BE289" i="1"/>
  <c r="BD289" i="1"/>
  <c r="BC289" i="1"/>
  <c r="BB289" i="1"/>
  <c r="BA289" i="1"/>
  <c r="AZ289" i="1"/>
  <c r="AY289" i="1"/>
  <c r="AX289" i="1"/>
  <c r="AW289" i="1"/>
  <c r="BE288" i="1"/>
  <c r="BD288" i="1"/>
  <c r="BC288" i="1"/>
  <c r="BB288" i="1"/>
  <c r="BA288" i="1"/>
  <c r="AZ288" i="1"/>
  <c r="AY288" i="1"/>
  <c r="AX288" i="1"/>
  <c r="AW288" i="1"/>
  <c r="BE287" i="1"/>
  <c r="BD287" i="1"/>
  <c r="BC287" i="1"/>
  <c r="BB287" i="1"/>
  <c r="BA287" i="1"/>
  <c r="AZ287" i="1"/>
  <c r="AY287" i="1"/>
  <c r="AX287" i="1"/>
  <c r="AW287" i="1"/>
  <c r="BE286" i="1"/>
  <c r="BD286" i="1"/>
  <c r="BC286" i="1"/>
  <c r="BB286" i="1"/>
  <c r="BA286" i="1"/>
  <c r="AZ286" i="1"/>
  <c r="AY286" i="1"/>
  <c r="AX286" i="1"/>
  <c r="AW286" i="1"/>
  <c r="BE285" i="1"/>
  <c r="BD285" i="1"/>
  <c r="BC285" i="1"/>
  <c r="BB285" i="1"/>
  <c r="BA285" i="1"/>
  <c r="AZ285" i="1"/>
  <c r="AY285" i="1"/>
  <c r="AX285" i="1"/>
  <c r="AW285" i="1"/>
  <c r="BE284" i="1"/>
  <c r="BD284" i="1"/>
  <c r="BC284" i="1"/>
  <c r="BB284" i="1"/>
  <c r="BA284" i="1"/>
  <c r="AZ284" i="1"/>
  <c r="AY284" i="1"/>
  <c r="AX284" i="1"/>
  <c r="AW284" i="1"/>
  <c r="BE283" i="1"/>
  <c r="BD283" i="1"/>
  <c r="BC283" i="1"/>
  <c r="BB283" i="1"/>
  <c r="BA283" i="1"/>
  <c r="AZ283" i="1"/>
  <c r="AY283" i="1"/>
  <c r="AX283" i="1"/>
  <c r="AW283" i="1"/>
  <c r="BE282" i="1"/>
  <c r="BD282" i="1"/>
  <c r="BC282" i="1"/>
  <c r="BB282" i="1"/>
  <c r="BA282" i="1"/>
  <c r="AZ282" i="1"/>
  <c r="AY282" i="1"/>
  <c r="AX282" i="1"/>
  <c r="AW282" i="1"/>
  <c r="BE281" i="1"/>
  <c r="BD281" i="1"/>
  <c r="BC281" i="1"/>
  <c r="BB281" i="1"/>
  <c r="BA281" i="1"/>
  <c r="AZ281" i="1"/>
  <c r="AY281" i="1"/>
  <c r="AX281" i="1"/>
  <c r="AW281" i="1"/>
  <c r="BE280" i="1"/>
  <c r="BD280" i="1"/>
  <c r="BC280" i="1"/>
  <c r="BB280" i="1"/>
  <c r="BA280" i="1"/>
  <c r="AZ280" i="1"/>
  <c r="AY280" i="1"/>
  <c r="AX280" i="1"/>
  <c r="AW280" i="1"/>
  <c r="BE279" i="1"/>
  <c r="BD279" i="1"/>
  <c r="BC279" i="1"/>
  <c r="BB279" i="1"/>
  <c r="BA279" i="1"/>
  <c r="AZ279" i="1"/>
  <c r="AY279" i="1"/>
  <c r="AX279" i="1"/>
  <c r="AW279" i="1"/>
  <c r="BE278" i="1"/>
  <c r="BD278" i="1"/>
  <c r="BC278" i="1"/>
  <c r="BB278" i="1"/>
  <c r="BA278" i="1"/>
  <c r="AZ278" i="1"/>
  <c r="AY278" i="1"/>
  <c r="AX278" i="1"/>
  <c r="AW278" i="1"/>
  <c r="BE277" i="1"/>
  <c r="BD277" i="1"/>
  <c r="BC277" i="1"/>
  <c r="BB277" i="1"/>
  <c r="BA277" i="1"/>
  <c r="AZ277" i="1"/>
  <c r="AY277" i="1"/>
  <c r="AX277" i="1"/>
  <c r="AW277" i="1"/>
  <c r="BE276" i="1"/>
  <c r="BD276" i="1"/>
  <c r="BC276" i="1"/>
  <c r="BB276" i="1"/>
  <c r="BA276" i="1"/>
  <c r="AZ276" i="1"/>
  <c r="AY276" i="1"/>
  <c r="AX276" i="1"/>
  <c r="AW276" i="1"/>
  <c r="BE275" i="1"/>
  <c r="BD275" i="1"/>
  <c r="BC275" i="1"/>
  <c r="BB275" i="1"/>
  <c r="BA275" i="1"/>
  <c r="AZ275" i="1"/>
  <c r="AY275" i="1"/>
  <c r="AX275" i="1"/>
  <c r="AW275" i="1"/>
  <c r="BE274" i="1"/>
  <c r="BD274" i="1"/>
  <c r="BC274" i="1"/>
  <c r="BB274" i="1"/>
  <c r="BA274" i="1"/>
  <c r="AZ274" i="1"/>
  <c r="AY274" i="1"/>
  <c r="AX274" i="1"/>
  <c r="AW274" i="1"/>
  <c r="BE273" i="1"/>
  <c r="BD273" i="1"/>
  <c r="BC273" i="1"/>
  <c r="BB273" i="1"/>
  <c r="BA273" i="1"/>
  <c r="AZ273" i="1"/>
  <c r="AY273" i="1"/>
  <c r="AX273" i="1"/>
  <c r="AW273" i="1"/>
  <c r="BE272" i="1"/>
  <c r="BD272" i="1"/>
  <c r="BC272" i="1"/>
  <c r="BB272" i="1"/>
  <c r="BA272" i="1"/>
  <c r="AZ272" i="1"/>
  <c r="AY272" i="1"/>
  <c r="AX272" i="1"/>
  <c r="AW272" i="1"/>
  <c r="BE271" i="1"/>
  <c r="BD271" i="1"/>
  <c r="BC271" i="1"/>
  <c r="BB271" i="1"/>
  <c r="BA271" i="1"/>
  <c r="AZ271" i="1"/>
  <c r="AY271" i="1"/>
  <c r="AX271" i="1"/>
  <c r="AW271" i="1"/>
  <c r="BE270" i="1"/>
  <c r="BD270" i="1"/>
  <c r="BC270" i="1"/>
  <c r="BB270" i="1"/>
  <c r="BA270" i="1"/>
  <c r="AZ270" i="1"/>
  <c r="AY270" i="1"/>
  <c r="AX270" i="1"/>
  <c r="AW270" i="1"/>
  <c r="BE269" i="1"/>
  <c r="BD269" i="1"/>
  <c r="BC269" i="1"/>
  <c r="BB269" i="1"/>
  <c r="BA269" i="1"/>
  <c r="AZ269" i="1"/>
  <c r="AY269" i="1"/>
  <c r="AX269" i="1"/>
  <c r="AW269" i="1"/>
  <c r="BE268" i="1"/>
  <c r="BD268" i="1"/>
  <c r="BC268" i="1"/>
  <c r="BB268" i="1"/>
  <c r="BA268" i="1"/>
  <c r="AZ268" i="1"/>
  <c r="AY268" i="1"/>
  <c r="AX268" i="1"/>
  <c r="AW268" i="1"/>
  <c r="BE267" i="1"/>
  <c r="BD267" i="1"/>
  <c r="BC267" i="1"/>
  <c r="BB267" i="1"/>
  <c r="BA267" i="1"/>
  <c r="AZ267" i="1"/>
  <c r="AY267" i="1"/>
  <c r="AX267" i="1"/>
  <c r="AW267" i="1"/>
  <c r="BE266" i="1"/>
  <c r="BD266" i="1"/>
  <c r="BC266" i="1"/>
  <c r="BB266" i="1"/>
  <c r="BA266" i="1"/>
  <c r="AZ266" i="1"/>
  <c r="AY266" i="1"/>
  <c r="AX266" i="1"/>
  <c r="AW266" i="1"/>
  <c r="BE265" i="1"/>
  <c r="BD265" i="1"/>
  <c r="BC265" i="1"/>
  <c r="BB265" i="1"/>
  <c r="BA265" i="1"/>
  <c r="AZ265" i="1"/>
  <c r="AY265" i="1"/>
  <c r="AX265" i="1"/>
  <c r="AW265" i="1"/>
  <c r="BE264" i="1"/>
  <c r="BD264" i="1"/>
  <c r="BC264" i="1"/>
  <c r="BB264" i="1"/>
  <c r="BA264" i="1"/>
  <c r="AZ264" i="1"/>
  <c r="AY264" i="1"/>
  <c r="AX264" i="1"/>
  <c r="AW264" i="1"/>
  <c r="BE263" i="1"/>
  <c r="BD263" i="1"/>
  <c r="BC263" i="1"/>
  <c r="BB263" i="1"/>
  <c r="BA263" i="1"/>
  <c r="AZ263" i="1"/>
  <c r="AY263" i="1"/>
  <c r="AX263" i="1"/>
  <c r="AW263" i="1"/>
  <c r="BE262" i="1"/>
  <c r="BD262" i="1"/>
  <c r="BC262" i="1"/>
  <c r="BB262" i="1"/>
  <c r="BA262" i="1"/>
  <c r="AZ262" i="1"/>
  <c r="AY262" i="1"/>
  <c r="AX262" i="1"/>
  <c r="AW262" i="1"/>
  <c r="BE261" i="1"/>
  <c r="BD261" i="1"/>
  <c r="BC261" i="1"/>
  <c r="BB261" i="1"/>
  <c r="BA261" i="1"/>
  <c r="AZ261" i="1"/>
  <c r="AY261" i="1"/>
  <c r="AX261" i="1"/>
  <c r="AW261" i="1"/>
  <c r="BE260" i="1"/>
  <c r="BD260" i="1"/>
  <c r="BC260" i="1"/>
  <c r="BB260" i="1"/>
  <c r="BA260" i="1"/>
  <c r="AZ260" i="1"/>
  <c r="AY260" i="1"/>
  <c r="AX260" i="1"/>
  <c r="AW260" i="1"/>
  <c r="BE259" i="1"/>
  <c r="BD259" i="1"/>
  <c r="BC259" i="1"/>
  <c r="BB259" i="1"/>
  <c r="BA259" i="1"/>
  <c r="AZ259" i="1"/>
  <c r="AY259" i="1"/>
  <c r="AX259" i="1"/>
  <c r="AW259" i="1"/>
  <c r="BE258" i="1"/>
  <c r="BD258" i="1"/>
  <c r="BC258" i="1"/>
  <c r="BB258" i="1"/>
  <c r="BA258" i="1"/>
  <c r="AZ258" i="1"/>
  <c r="AY258" i="1"/>
  <c r="AX258" i="1"/>
  <c r="AW258" i="1"/>
  <c r="BE257" i="1"/>
  <c r="BD257" i="1"/>
  <c r="BC257" i="1"/>
  <c r="BB257" i="1"/>
  <c r="BA257" i="1"/>
  <c r="AZ257" i="1"/>
  <c r="AY257" i="1"/>
  <c r="AX257" i="1"/>
  <c r="AW257" i="1"/>
  <c r="BE256" i="1"/>
  <c r="BD256" i="1"/>
  <c r="BC256" i="1"/>
  <c r="BB256" i="1"/>
  <c r="BA256" i="1"/>
  <c r="AZ256" i="1"/>
  <c r="AY256" i="1"/>
  <c r="AX256" i="1"/>
  <c r="AW256" i="1"/>
  <c r="BE255" i="1"/>
  <c r="BD255" i="1"/>
  <c r="BC255" i="1"/>
  <c r="BB255" i="1"/>
  <c r="BA255" i="1"/>
  <c r="AZ255" i="1"/>
  <c r="AY255" i="1"/>
  <c r="AX255" i="1"/>
  <c r="AW255" i="1"/>
  <c r="BE254" i="1"/>
  <c r="BD254" i="1"/>
  <c r="BC254" i="1"/>
  <c r="BB254" i="1"/>
  <c r="BA254" i="1"/>
  <c r="AZ254" i="1"/>
  <c r="AY254" i="1"/>
  <c r="AX254" i="1"/>
  <c r="AW254" i="1"/>
  <c r="BE253" i="1"/>
  <c r="BD253" i="1"/>
  <c r="BC253" i="1"/>
  <c r="BB253" i="1"/>
  <c r="BA253" i="1"/>
  <c r="AZ253" i="1"/>
  <c r="AY253" i="1"/>
  <c r="AX253" i="1"/>
  <c r="AW253" i="1"/>
  <c r="BE252" i="1"/>
  <c r="BD252" i="1"/>
  <c r="BC252" i="1"/>
  <c r="BB252" i="1"/>
  <c r="BA252" i="1"/>
  <c r="AZ252" i="1"/>
  <c r="AY252" i="1"/>
  <c r="AX252" i="1"/>
  <c r="AW252" i="1"/>
  <c r="BE251" i="1"/>
  <c r="BD251" i="1"/>
  <c r="BC251" i="1"/>
  <c r="BB251" i="1"/>
  <c r="BA251" i="1"/>
  <c r="AZ251" i="1"/>
  <c r="AY251" i="1"/>
  <c r="AX251" i="1"/>
  <c r="AW251" i="1"/>
  <c r="BE250" i="1"/>
  <c r="BD250" i="1"/>
  <c r="BC250" i="1"/>
  <c r="BB250" i="1"/>
  <c r="BA250" i="1"/>
  <c r="AZ250" i="1"/>
  <c r="AY250" i="1"/>
  <c r="AX250" i="1"/>
  <c r="AW250" i="1"/>
  <c r="BE249" i="1"/>
  <c r="BD249" i="1"/>
  <c r="BC249" i="1"/>
  <c r="BB249" i="1"/>
  <c r="BA249" i="1"/>
  <c r="AZ249" i="1"/>
  <c r="AY249" i="1"/>
  <c r="AX249" i="1"/>
  <c r="AW249" i="1"/>
  <c r="BE248" i="1"/>
  <c r="BD248" i="1"/>
  <c r="BC248" i="1"/>
  <c r="BB248" i="1"/>
  <c r="BA248" i="1"/>
  <c r="AZ248" i="1"/>
  <c r="AY248" i="1"/>
  <c r="AX248" i="1"/>
  <c r="AW248" i="1"/>
  <c r="BE247" i="1"/>
  <c r="BD247" i="1"/>
  <c r="BC247" i="1"/>
  <c r="BB247" i="1"/>
  <c r="BA247" i="1"/>
  <c r="AZ247" i="1"/>
  <c r="AY247" i="1"/>
  <c r="AX247" i="1"/>
  <c r="AW247" i="1"/>
  <c r="BE246" i="1"/>
  <c r="BD246" i="1"/>
  <c r="BC246" i="1"/>
  <c r="BB246" i="1"/>
  <c r="BA246" i="1"/>
  <c r="AZ246" i="1"/>
  <c r="AY246" i="1"/>
  <c r="AX246" i="1"/>
  <c r="AW246" i="1"/>
  <c r="BE245" i="1"/>
  <c r="BD245" i="1"/>
  <c r="BC245" i="1"/>
  <c r="BB245" i="1"/>
  <c r="BA245" i="1"/>
  <c r="AZ245" i="1"/>
  <c r="AY245" i="1"/>
  <c r="AX245" i="1"/>
  <c r="AW245" i="1"/>
  <c r="BE244" i="1"/>
  <c r="BD244" i="1"/>
  <c r="BC244" i="1"/>
  <c r="BB244" i="1"/>
  <c r="BA244" i="1"/>
  <c r="AZ244" i="1"/>
  <c r="AY244" i="1"/>
  <c r="AX244" i="1"/>
  <c r="AW244" i="1"/>
  <c r="BE243" i="1"/>
  <c r="BD243" i="1"/>
  <c r="BC243" i="1"/>
  <c r="BB243" i="1"/>
  <c r="BA243" i="1"/>
  <c r="AZ243" i="1"/>
  <c r="AY243" i="1"/>
  <c r="AX243" i="1"/>
  <c r="AW243" i="1"/>
  <c r="BE242" i="1"/>
  <c r="BD242" i="1"/>
  <c r="BC242" i="1"/>
  <c r="BB242" i="1"/>
  <c r="BA242" i="1"/>
  <c r="AZ242" i="1"/>
  <c r="AY242" i="1"/>
  <c r="AX242" i="1"/>
  <c r="AW242" i="1"/>
  <c r="BE241" i="1"/>
  <c r="BD241" i="1"/>
  <c r="BC241" i="1"/>
  <c r="BB241" i="1"/>
  <c r="BA241" i="1"/>
  <c r="AZ241" i="1"/>
  <c r="AY241" i="1"/>
  <c r="AX241" i="1"/>
  <c r="AW241" i="1"/>
  <c r="BE240" i="1"/>
  <c r="BD240" i="1"/>
  <c r="BC240" i="1"/>
  <c r="BB240" i="1"/>
  <c r="BA240" i="1"/>
  <c r="AZ240" i="1"/>
  <c r="AY240" i="1"/>
  <c r="AX240" i="1"/>
  <c r="AW240" i="1"/>
  <c r="BE239" i="1"/>
  <c r="BD239" i="1"/>
  <c r="BC239" i="1"/>
  <c r="BB239" i="1"/>
  <c r="BA239" i="1"/>
  <c r="AZ239" i="1"/>
  <c r="AY239" i="1"/>
  <c r="AX239" i="1"/>
  <c r="AW239" i="1"/>
  <c r="BE238" i="1"/>
  <c r="BD238" i="1"/>
  <c r="BC238" i="1"/>
  <c r="BB238" i="1"/>
  <c r="BA238" i="1"/>
  <c r="AZ238" i="1"/>
  <c r="AY238" i="1"/>
  <c r="AX238" i="1"/>
  <c r="AW238" i="1"/>
  <c r="BE237" i="1"/>
  <c r="BD237" i="1"/>
  <c r="BC237" i="1"/>
  <c r="BB237" i="1"/>
  <c r="BA237" i="1"/>
  <c r="AZ237" i="1"/>
  <c r="AY237" i="1"/>
  <c r="AX237" i="1"/>
  <c r="AW237" i="1"/>
  <c r="BE236" i="1"/>
  <c r="BD236" i="1"/>
  <c r="BC236" i="1"/>
  <c r="BB236" i="1"/>
  <c r="BA236" i="1"/>
  <c r="AZ236" i="1"/>
  <c r="AY236" i="1"/>
  <c r="AX236" i="1"/>
  <c r="AW236" i="1"/>
  <c r="BE235" i="1"/>
  <c r="BD235" i="1"/>
  <c r="BC235" i="1"/>
  <c r="BB235" i="1"/>
  <c r="BA235" i="1"/>
  <c r="AZ235" i="1"/>
  <c r="AY235" i="1"/>
  <c r="AX235" i="1"/>
  <c r="AW235" i="1"/>
  <c r="BE234" i="1"/>
  <c r="BD234" i="1"/>
  <c r="BC234" i="1"/>
  <c r="BB234" i="1"/>
  <c r="BA234" i="1"/>
  <c r="AZ234" i="1"/>
  <c r="AY234" i="1"/>
  <c r="AX234" i="1"/>
  <c r="AW234" i="1"/>
  <c r="BE233" i="1"/>
  <c r="BD233" i="1"/>
  <c r="BC233" i="1"/>
  <c r="BB233" i="1"/>
  <c r="BA233" i="1"/>
  <c r="AZ233" i="1"/>
  <c r="AY233" i="1"/>
  <c r="AX233" i="1"/>
  <c r="AW233" i="1"/>
  <c r="BE232" i="1"/>
  <c r="BD232" i="1"/>
  <c r="BC232" i="1"/>
  <c r="BB232" i="1"/>
  <c r="BA232" i="1"/>
  <c r="AZ232" i="1"/>
  <c r="AY232" i="1"/>
  <c r="AX232" i="1"/>
  <c r="AW232" i="1"/>
  <c r="BE231" i="1"/>
  <c r="BD231" i="1"/>
  <c r="BC231" i="1"/>
  <c r="BB231" i="1"/>
  <c r="BA231" i="1"/>
  <c r="AZ231" i="1"/>
  <c r="AY231" i="1"/>
  <c r="AX231" i="1"/>
  <c r="AW231" i="1"/>
  <c r="BE230" i="1"/>
  <c r="BD230" i="1"/>
  <c r="BC230" i="1"/>
  <c r="BB230" i="1"/>
  <c r="BA230" i="1"/>
  <c r="AZ230" i="1"/>
  <c r="AY230" i="1"/>
  <c r="AX230" i="1"/>
  <c r="AW230" i="1"/>
  <c r="BE229" i="1"/>
  <c r="BD229" i="1"/>
  <c r="BC229" i="1"/>
  <c r="BB229" i="1"/>
  <c r="BA229" i="1"/>
  <c r="AZ229" i="1"/>
  <c r="AY229" i="1"/>
  <c r="AX229" i="1"/>
  <c r="AW229" i="1"/>
  <c r="BE228" i="1"/>
  <c r="BD228" i="1"/>
  <c r="BC228" i="1"/>
  <c r="BB228" i="1"/>
  <c r="BA228" i="1"/>
  <c r="AZ228" i="1"/>
  <c r="AY228" i="1"/>
  <c r="AX228" i="1"/>
  <c r="AW228" i="1"/>
  <c r="BE227" i="1"/>
  <c r="BD227" i="1"/>
  <c r="BC227" i="1"/>
  <c r="BB227" i="1"/>
  <c r="BA227" i="1"/>
  <c r="AZ227" i="1"/>
  <c r="AY227" i="1"/>
  <c r="AX227" i="1"/>
  <c r="AW227" i="1"/>
  <c r="BE226" i="1"/>
  <c r="BD226" i="1"/>
  <c r="BC226" i="1"/>
  <c r="BB226" i="1"/>
  <c r="BA226" i="1"/>
  <c r="AZ226" i="1"/>
  <c r="AY226" i="1"/>
  <c r="AX226" i="1"/>
  <c r="AW226" i="1"/>
  <c r="BE225" i="1"/>
  <c r="BD225" i="1"/>
  <c r="BC225" i="1"/>
  <c r="BB225" i="1"/>
  <c r="BA225" i="1"/>
  <c r="AZ225" i="1"/>
  <c r="AY225" i="1"/>
  <c r="AX225" i="1"/>
  <c r="AW225" i="1"/>
  <c r="BE224" i="1"/>
  <c r="BD224" i="1"/>
  <c r="BC224" i="1"/>
  <c r="BB224" i="1"/>
  <c r="BA224" i="1"/>
  <c r="AZ224" i="1"/>
  <c r="AY224" i="1"/>
  <c r="AX224" i="1"/>
  <c r="AW224" i="1"/>
  <c r="BE223" i="1"/>
  <c r="BD223" i="1"/>
  <c r="BC223" i="1"/>
  <c r="BB223" i="1"/>
  <c r="BA223" i="1"/>
  <c r="AZ223" i="1"/>
  <c r="AY223" i="1"/>
  <c r="AX223" i="1"/>
  <c r="AW223" i="1"/>
  <c r="BE222" i="1"/>
  <c r="BD222" i="1"/>
  <c r="BC222" i="1"/>
  <c r="BB222" i="1"/>
  <c r="BA222" i="1"/>
  <c r="AZ222" i="1"/>
  <c r="AY222" i="1"/>
  <c r="AX222" i="1"/>
  <c r="AW222" i="1"/>
  <c r="BE221" i="1"/>
  <c r="BD221" i="1"/>
  <c r="BC221" i="1"/>
  <c r="BB221" i="1"/>
  <c r="BA221" i="1"/>
  <c r="AZ221" i="1"/>
  <c r="AY221" i="1"/>
  <c r="AX221" i="1"/>
  <c r="AW221" i="1"/>
  <c r="BE220" i="1"/>
  <c r="BD220" i="1"/>
  <c r="BC220" i="1"/>
  <c r="BB220" i="1"/>
  <c r="BA220" i="1"/>
  <c r="AZ220" i="1"/>
  <c r="AY220" i="1"/>
  <c r="AX220" i="1"/>
  <c r="AW220" i="1"/>
  <c r="BE219" i="1"/>
  <c r="BD219" i="1"/>
  <c r="BC219" i="1"/>
  <c r="BB219" i="1"/>
  <c r="BA219" i="1"/>
  <c r="AZ219" i="1"/>
  <c r="AY219" i="1"/>
  <c r="AX219" i="1"/>
  <c r="AW219" i="1"/>
  <c r="BE218" i="1"/>
  <c r="BD218" i="1"/>
  <c r="BC218" i="1"/>
  <c r="BB218" i="1"/>
  <c r="BA218" i="1"/>
  <c r="AZ218" i="1"/>
  <c r="AY218" i="1"/>
  <c r="AX218" i="1"/>
  <c r="AW218" i="1"/>
  <c r="BE217" i="1"/>
  <c r="BD217" i="1"/>
  <c r="BC217" i="1"/>
  <c r="BB217" i="1"/>
  <c r="BA217" i="1"/>
  <c r="AZ217" i="1"/>
  <c r="AY217" i="1"/>
  <c r="AX217" i="1"/>
  <c r="AW217" i="1"/>
  <c r="BE216" i="1"/>
  <c r="BD216" i="1"/>
  <c r="BC216" i="1"/>
  <c r="BB216" i="1"/>
  <c r="BA216" i="1"/>
  <c r="AZ216" i="1"/>
  <c r="AY216" i="1"/>
  <c r="AX216" i="1"/>
  <c r="AW216" i="1"/>
  <c r="BE215" i="1"/>
  <c r="BD215" i="1"/>
  <c r="BC215" i="1"/>
  <c r="BB215" i="1"/>
  <c r="BA215" i="1"/>
  <c r="AZ215" i="1"/>
  <c r="AY215" i="1"/>
  <c r="AX215" i="1"/>
  <c r="AW215" i="1"/>
  <c r="BE214" i="1"/>
  <c r="BD214" i="1"/>
  <c r="BC214" i="1"/>
  <c r="BB214" i="1"/>
  <c r="BA214" i="1"/>
  <c r="AZ214" i="1"/>
  <c r="AY214" i="1"/>
  <c r="AX214" i="1"/>
  <c r="AW214" i="1"/>
  <c r="BE213" i="1"/>
  <c r="BD213" i="1"/>
  <c r="BC213" i="1"/>
  <c r="BB213" i="1"/>
  <c r="BA213" i="1"/>
  <c r="AZ213" i="1"/>
  <c r="AY213" i="1"/>
  <c r="AX213" i="1"/>
  <c r="AW213" i="1"/>
  <c r="BE212" i="1"/>
  <c r="BD212" i="1"/>
  <c r="BC212" i="1"/>
  <c r="BB212" i="1"/>
  <c r="BA212" i="1"/>
  <c r="AZ212" i="1"/>
  <c r="AY212" i="1"/>
  <c r="AX212" i="1"/>
  <c r="AW212" i="1"/>
  <c r="BE211" i="1"/>
  <c r="BD211" i="1"/>
  <c r="BC211" i="1"/>
  <c r="BB211" i="1"/>
  <c r="BA211" i="1"/>
  <c r="AZ211" i="1"/>
  <c r="AY211" i="1"/>
  <c r="AX211" i="1"/>
  <c r="AW211" i="1"/>
  <c r="BE210" i="1"/>
  <c r="BD210" i="1"/>
  <c r="BC210" i="1"/>
  <c r="BB210" i="1"/>
  <c r="BA210" i="1"/>
  <c r="AZ210" i="1"/>
  <c r="AY210" i="1"/>
  <c r="AX210" i="1"/>
  <c r="AW210" i="1"/>
  <c r="BE209" i="1"/>
  <c r="BD209" i="1"/>
  <c r="BC209" i="1"/>
  <c r="BB209" i="1"/>
  <c r="BA209" i="1"/>
  <c r="AZ209" i="1"/>
  <c r="AY209" i="1"/>
  <c r="AX209" i="1"/>
  <c r="AW209" i="1"/>
  <c r="BE208" i="1"/>
  <c r="BD208" i="1"/>
  <c r="BC208" i="1"/>
  <c r="BB208" i="1"/>
  <c r="BA208" i="1"/>
  <c r="AZ208" i="1"/>
  <c r="AY208" i="1"/>
  <c r="AX208" i="1"/>
  <c r="AW208" i="1"/>
  <c r="BE207" i="1"/>
  <c r="BD207" i="1"/>
  <c r="BC207" i="1"/>
  <c r="BB207" i="1"/>
  <c r="BA207" i="1"/>
  <c r="AZ207" i="1"/>
  <c r="AY207" i="1"/>
  <c r="AX207" i="1"/>
  <c r="AW207" i="1"/>
  <c r="BE206" i="1"/>
  <c r="BD206" i="1"/>
  <c r="BC206" i="1"/>
  <c r="BB206" i="1"/>
  <c r="BA206" i="1"/>
  <c r="AZ206" i="1"/>
  <c r="AY206" i="1"/>
  <c r="AX206" i="1"/>
  <c r="AW206" i="1"/>
  <c r="BE205" i="1"/>
  <c r="BD205" i="1"/>
  <c r="BC205" i="1"/>
  <c r="BB205" i="1"/>
  <c r="BA205" i="1"/>
  <c r="AZ205" i="1"/>
  <c r="AY205" i="1"/>
  <c r="AX205" i="1"/>
  <c r="AW205" i="1"/>
  <c r="BE204" i="1"/>
  <c r="BD204" i="1"/>
  <c r="BC204" i="1"/>
  <c r="BB204" i="1"/>
  <c r="BA204" i="1"/>
  <c r="AZ204" i="1"/>
  <c r="AY204" i="1"/>
  <c r="AX204" i="1"/>
  <c r="AW204" i="1"/>
  <c r="BE203" i="1"/>
  <c r="BD203" i="1"/>
  <c r="BC203" i="1"/>
  <c r="BB203" i="1"/>
  <c r="BA203" i="1"/>
  <c r="AZ203" i="1"/>
  <c r="AY203" i="1"/>
  <c r="AX203" i="1"/>
  <c r="AW203" i="1"/>
  <c r="BE202" i="1"/>
  <c r="BD202" i="1"/>
  <c r="BC202" i="1"/>
  <c r="BB202" i="1"/>
  <c r="BA202" i="1"/>
  <c r="AZ202" i="1"/>
  <c r="AY202" i="1"/>
  <c r="AX202" i="1"/>
  <c r="AW202" i="1"/>
  <c r="BE201" i="1"/>
  <c r="BD201" i="1"/>
  <c r="BC201" i="1"/>
  <c r="BB201" i="1"/>
  <c r="BA201" i="1"/>
  <c r="AZ201" i="1"/>
  <c r="AY201" i="1"/>
  <c r="AX201" i="1"/>
  <c r="AW201" i="1"/>
  <c r="BE200" i="1"/>
  <c r="BD200" i="1"/>
  <c r="BC200" i="1"/>
  <c r="BB200" i="1"/>
  <c r="BA200" i="1"/>
  <c r="AZ200" i="1"/>
  <c r="AY200" i="1"/>
  <c r="AX200" i="1"/>
  <c r="AW200" i="1"/>
  <c r="BE199" i="1"/>
  <c r="BD199" i="1"/>
  <c r="BC199" i="1"/>
  <c r="BB199" i="1"/>
  <c r="BA199" i="1"/>
  <c r="AZ199" i="1"/>
  <c r="AY199" i="1"/>
  <c r="AX199" i="1"/>
  <c r="AW199" i="1"/>
  <c r="BE198" i="1"/>
  <c r="BD198" i="1"/>
  <c r="BC198" i="1"/>
  <c r="BB198" i="1"/>
  <c r="BA198" i="1"/>
  <c r="AZ198" i="1"/>
  <c r="AY198" i="1"/>
  <c r="AX198" i="1"/>
  <c r="AW198" i="1"/>
  <c r="BE197" i="1"/>
  <c r="BD197" i="1"/>
  <c r="BC197" i="1"/>
  <c r="BB197" i="1"/>
  <c r="BA197" i="1"/>
  <c r="AZ197" i="1"/>
  <c r="AY197" i="1"/>
  <c r="AX197" i="1"/>
  <c r="AW197" i="1"/>
  <c r="BE196" i="1"/>
  <c r="BD196" i="1"/>
  <c r="BC196" i="1"/>
  <c r="BB196" i="1"/>
  <c r="BA196" i="1"/>
  <c r="AZ196" i="1"/>
  <c r="AY196" i="1"/>
  <c r="AX196" i="1"/>
  <c r="AW196" i="1"/>
  <c r="BE195" i="1"/>
  <c r="BD195" i="1"/>
  <c r="BC195" i="1"/>
  <c r="BB195" i="1"/>
  <c r="BA195" i="1"/>
  <c r="AZ195" i="1"/>
  <c r="AY195" i="1"/>
  <c r="AX195" i="1"/>
  <c r="AW195" i="1"/>
  <c r="BE194" i="1"/>
  <c r="BD194" i="1"/>
  <c r="BC194" i="1"/>
  <c r="BB194" i="1"/>
  <c r="BA194" i="1"/>
  <c r="AZ194" i="1"/>
  <c r="AY194" i="1"/>
  <c r="AX194" i="1"/>
  <c r="AW194" i="1"/>
  <c r="BE193" i="1"/>
  <c r="BD193" i="1"/>
  <c r="BC193" i="1"/>
  <c r="BB193" i="1"/>
  <c r="BA193" i="1"/>
  <c r="AZ193" i="1"/>
  <c r="AY193" i="1"/>
  <c r="AX193" i="1"/>
  <c r="AW193" i="1"/>
  <c r="BE192" i="1"/>
  <c r="BD192" i="1"/>
  <c r="BC192" i="1"/>
  <c r="BB192" i="1"/>
  <c r="BA192" i="1"/>
  <c r="AZ192" i="1"/>
  <c r="AY192" i="1"/>
  <c r="AX192" i="1"/>
  <c r="AW192" i="1"/>
  <c r="BE191" i="1"/>
  <c r="BD191" i="1"/>
  <c r="BC191" i="1"/>
  <c r="BB191" i="1"/>
  <c r="BA191" i="1"/>
  <c r="AZ191" i="1"/>
  <c r="AY191" i="1"/>
  <c r="AX191" i="1"/>
  <c r="AW191" i="1"/>
  <c r="BE190" i="1"/>
  <c r="BD190" i="1"/>
  <c r="BC190" i="1"/>
  <c r="BB190" i="1"/>
  <c r="BA190" i="1"/>
  <c r="AZ190" i="1"/>
  <c r="AY190" i="1"/>
  <c r="AX190" i="1"/>
  <c r="AW190" i="1"/>
  <c r="BE189" i="1"/>
  <c r="BD189" i="1"/>
  <c r="BC189" i="1"/>
  <c r="BB189" i="1"/>
  <c r="BA189" i="1"/>
  <c r="AZ189" i="1"/>
  <c r="AY189" i="1"/>
  <c r="AX189" i="1"/>
  <c r="AW189" i="1"/>
  <c r="BE188" i="1"/>
  <c r="BD188" i="1"/>
  <c r="BC188" i="1"/>
  <c r="BB188" i="1"/>
  <c r="BA188" i="1"/>
  <c r="AZ188" i="1"/>
  <c r="AY188" i="1"/>
  <c r="AX188" i="1"/>
  <c r="AW188" i="1"/>
  <c r="BE187" i="1"/>
  <c r="BD187" i="1"/>
  <c r="BC187" i="1"/>
  <c r="BB187" i="1"/>
  <c r="BA187" i="1"/>
  <c r="AZ187" i="1"/>
  <c r="AY187" i="1"/>
  <c r="AX187" i="1"/>
  <c r="AW187" i="1"/>
  <c r="BE186" i="1"/>
  <c r="BD186" i="1"/>
  <c r="BC186" i="1"/>
  <c r="BB186" i="1"/>
  <c r="BA186" i="1"/>
  <c r="AZ186" i="1"/>
  <c r="AY186" i="1"/>
  <c r="AX186" i="1"/>
  <c r="AW186" i="1"/>
  <c r="BE185" i="1"/>
  <c r="BD185" i="1"/>
  <c r="BC185" i="1"/>
  <c r="BB185" i="1"/>
  <c r="BA185" i="1"/>
  <c r="AZ185" i="1"/>
  <c r="AY185" i="1"/>
  <c r="AX185" i="1"/>
  <c r="AW185" i="1"/>
  <c r="BE184" i="1"/>
  <c r="BD184" i="1"/>
  <c r="BC184" i="1"/>
  <c r="BB184" i="1"/>
  <c r="BA184" i="1"/>
  <c r="AZ184" i="1"/>
  <c r="AY184" i="1"/>
  <c r="AX184" i="1"/>
  <c r="AW184" i="1"/>
  <c r="BE183" i="1"/>
  <c r="BD183" i="1"/>
  <c r="BC183" i="1"/>
  <c r="BB183" i="1"/>
  <c r="BA183" i="1"/>
  <c r="AZ183" i="1"/>
  <c r="AY183" i="1"/>
  <c r="AX183" i="1"/>
  <c r="AW183" i="1"/>
  <c r="BE182" i="1"/>
  <c r="BD182" i="1"/>
  <c r="BC182" i="1"/>
  <c r="BB182" i="1"/>
  <c r="BA182" i="1"/>
  <c r="AZ182" i="1"/>
  <c r="AY182" i="1"/>
  <c r="AX182" i="1"/>
  <c r="AW182" i="1"/>
  <c r="BE181" i="1"/>
  <c r="BD181" i="1"/>
  <c r="BC181" i="1"/>
  <c r="BB181" i="1"/>
  <c r="BA181" i="1"/>
  <c r="AZ181" i="1"/>
  <c r="AY181" i="1"/>
  <c r="AX181" i="1"/>
  <c r="AW181" i="1"/>
  <c r="BE180" i="1"/>
  <c r="BD180" i="1"/>
  <c r="BC180" i="1"/>
  <c r="BB180" i="1"/>
  <c r="BA180" i="1"/>
  <c r="AZ180" i="1"/>
  <c r="AY180" i="1"/>
  <c r="AX180" i="1"/>
  <c r="AW180" i="1"/>
  <c r="BE179" i="1"/>
  <c r="BD179" i="1"/>
  <c r="BC179" i="1"/>
  <c r="BB179" i="1"/>
  <c r="BA179" i="1"/>
  <c r="AZ179" i="1"/>
  <c r="AY179" i="1"/>
  <c r="AX179" i="1"/>
  <c r="AW179" i="1"/>
  <c r="BE178" i="1"/>
  <c r="BD178" i="1"/>
  <c r="BC178" i="1"/>
  <c r="BB178" i="1"/>
  <c r="BA178" i="1"/>
  <c r="AZ178" i="1"/>
  <c r="AY178" i="1"/>
  <c r="AX178" i="1"/>
  <c r="AW178" i="1"/>
  <c r="BE177" i="1"/>
  <c r="BD177" i="1"/>
  <c r="BC177" i="1"/>
  <c r="BB177" i="1"/>
  <c r="BA177" i="1"/>
  <c r="AZ177" i="1"/>
  <c r="AY177" i="1"/>
  <c r="AX177" i="1"/>
  <c r="AW177" i="1"/>
  <c r="BE176" i="1"/>
  <c r="BD176" i="1"/>
  <c r="BC176" i="1"/>
  <c r="BB176" i="1"/>
  <c r="BA176" i="1"/>
  <c r="AZ176" i="1"/>
  <c r="AY176" i="1"/>
  <c r="AX176" i="1"/>
  <c r="AW176" i="1"/>
  <c r="BE175" i="1"/>
  <c r="BD175" i="1"/>
  <c r="BC175" i="1"/>
  <c r="BB175" i="1"/>
  <c r="BA175" i="1"/>
  <c r="AZ175" i="1"/>
  <c r="AY175" i="1"/>
  <c r="AX175" i="1"/>
  <c r="AW175" i="1"/>
  <c r="BE174" i="1"/>
  <c r="BD174" i="1"/>
  <c r="BC174" i="1"/>
  <c r="BB174" i="1"/>
  <c r="BA174" i="1"/>
  <c r="AZ174" i="1"/>
  <c r="AY174" i="1"/>
  <c r="AX174" i="1"/>
  <c r="AW174" i="1"/>
  <c r="BE173" i="1"/>
  <c r="BD173" i="1"/>
  <c r="BC173" i="1"/>
  <c r="BB173" i="1"/>
  <c r="BA173" i="1"/>
  <c r="AZ173" i="1"/>
  <c r="AY173" i="1"/>
  <c r="AX173" i="1"/>
  <c r="AW173" i="1"/>
  <c r="BE172" i="1"/>
  <c r="BD172" i="1"/>
  <c r="BC172" i="1"/>
  <c r="BB172" i="1"/>
  <c r="BA172" i="1"/>
  <c r="AZ172" i="1"/>
  <c r="AY172" i="1"/>
  <c r="AX172" i="1"/>
  <c r="AW172" i="1"/>
  <c r="BE171" i="1"/>
  <c r="BD171" i="1"/>
  <c r="BC171" i="1"/>
  <c r="BB171" i="1"/>
  <c r="BA171" i="1"/>
  <c r="AZ171" i="1"/>
  <c r="AY171" i="1"/>
  <c r="AX171" i="1"/>
  <c r="AW171" i="1"/>
  <c r="BE170" i="1"/>
  <c r="BD170" i="1"/>
  <c r="BC170" i="1"/>
  <c r="BB170" i="1"/>
  <c r="BA170" i="1"/>
  <c r="AZ170" i="1"/>
  <c r="AY170" i="1"/>
  <c r="AX170" i="1"/>
  <c r="AW170" i="1"/>
  <c r="BE169" i="1"/>
  <c r="BD169" i="1"/>
  <c r="BC169" i="1"/>
  <c r="BB169" i="1"/>
  <c r="BA169" i="1"/>
  <c r="AZ169" i="1"/>
  <c r="AY169" i="1"/>
  <c r="AX169" i="1"/>
  <c r="AW169" i="1"/>
  <c r="BE168" i="1"/>
  <c r="BD168" i="1"/>
  <c r="BC168" i="1"/>
  <c r="BB168" i="1"/>
  <c r="BA168" i="1"/>
  <c r="AZ168" i="1"/>
  <c r="AY168" i="1"/>
  <c r="AX168" i="1"/>
  <c r="AW168" i="1"/>
  <c r="BE167" i="1"/>
  <c r="BD167" i="1"/>
  <c r="BC167" i="1"/>
  <c r="BB167" i="1"/>
  <c r="BA167" i="1"/>
  <c r="AZ167" i="1"/>
  <c r="AY167" i="1"/>
  <c r="AX167" i="1"/>
  <c r="AW167" i="1"/>
  <c r="BE166" i="1"/>
  <c r="BD166" i="1"/>
  <c r="BC166" i="1"/>
  <c r="BB166" i="1"/>
  <c r="BA166" i="1"/>
  <c r="AZ166" i="1"/>
  <c r="AY166" i="1"/>
  <c r="AX166" i="1"/>
  <c r="AW166" i="1"/>
  <c r="BE165" i="1"/>
  <c r="BD165" i="1"/>
  <c r="BC165" i="1"/>
  <c r="BB165" i="1"/>
  <c r="BA165" i="1"/>
  <c r="AZ165" i="1"/>
  <c r="AY165" i="1"/>
  <c r="AX165" i="1"/>
  <c r="AW165" i="1"/>
  <c r="BE164" i="1"/>
  <c r="BD164" i="1"/>
  <c r="BC164" i="1"/>
  <c r="BB164" i="1"/>
  <c r="BA164" i="1"/>
  <c r="AZ164" i="1"/>
  <c r="AY164" i="1"/>
  <c r="AX164" i="1"/>
  <c r="AW164" i="1"/>
  <c r="BE163" i="1"/>
  <c r="BD163" i="1"/>
  <c r="BC163" i="1"/>
  <c r="BB163" i="1"/>
  <c r="BA163" i="1"/>
  <c r="AZ163" i="1"/>
  <c r="AY163" i="1"/>
  <c r="AX163" i="1"/>
  <c r="AW163" i="1"/>
  <c r="BE162" i="1"/>
  <c r="BD162" i="1"/>
  <c r="BC162" i="1"/>
  <c r="BB162" i="1"/>
  <c r="BA162" i="1"/>
  <c r="AZ162" i="1"/>
  <c r="AY162" i="1"/>
  <c r="AX162" i="1"/>
  <c r="AW162" i="1"/>
  <c r="BE161" i="1"/>
  <c r="BD161" i="1"/>
  <c r="BC161" i="1"/>
  <c r="BB161" i="1"/>
  <c r="BA161" i="1"/>
  <c r="AZ161" i="1"/>
  <c r="AY161" i="1"/>
  <c r="AX161" i="1"/>
  <c r="AW161" i="1"/>
  <c r="BE160" i="1"/>
  <c r="BD160" i="1"/>
  <c r="BC160" i="1"/>
  <c r="BB160" i="1"/>
  <c r="BA160" i="1"/>
  <c r="AZ160" i="1"/>
  <c r="AY160" i="1"/>
  <c r="AX160" i="1"/>
  <c r="AW160" i="1"/>
  <c r="BE159" i="1"/>
  <c r="BD159" i="1"/>
  <c r="BC159" i="1"/>
  <c r="BB159" i="1"/>
  <c r="BA159" i="1"/>
  <c r="AZ159" i="1"/>
  <c r="AY159" i="1"/>
  <c r="AX159" i="1"/>
  <c r="AW159" i="1"/>
  <c r="BE158" i="1"/>
  <c r="BD158" i="1"/>
  <c r="BC158" i="1"/>
  <c r="BB158" i="1"/>
  <c r="BA158" i="1"/>
  <c r="AZ158" i="1"/>
  <c r="AY158" i="1"/>
  <c r="AX158" i="1"/>
  <c r="AW158" i="1"/>
  <c r="BE157" i="1"/>
  <c r="BD157" i="1"/>
  <c r="BC157" i="1"/>
  <c r="BB157" i="1"/>
  <c r="BA157" i="1"/>
  <c r="AZ157" i="1"/>
  <c r="AY157" i="1"/>
  <c r="AX157" i="1"/>
  <c r="AW157" i="1"/>
  <c r="BE156" i="1"/>
  <c r="BD156" i="1"/>
  <c r="BC156" i="1"/>
  <c r="BB156" i="1"/>
  <c r="BA156" i="1"/>
  <c r="AZ156" i="1"/>
  <c r="AY156" i="1"/>
  <c r="AX156" i="1"/>
  <c r="AW156" i="1"/>
  <c r="BE155" i="1"/>
  <c r="BD155" i="1"/>
  <c r="BC155" i="1"/>
  <c r="BB155" i="1"/>
  <c r="BA155" i="1"/>
  <c r="AZ155" i="1"/>
  <c r="AY155" i="1"/>
  <c r="AX155" i="1"/>
  <c r="AW155" i="1"/>
  <c r="BE154" i="1"/>
  <c r="BD154" i="1"/>
  <c r="BC154" i="1"/>
  <c r="BB154" i="1"/>
  <c r="BA154" i="1"/>
  <c r="AZ154" i="1"/>
  <c r="AY154" i="1"/>
  <c r="AX154" i="1"/>
  <c r="AW154" i="1"/>
  <c r="BE153" i="1"/>
  <c r="BD153" i="1"/>
  <c r="BC153" i="1"/>
  <c r="BB153" i="1"/>
  <c r="BA153" i="1"/>
  <c r="AZ153" i="1"/>
  <c r="AY153" i="1"/>
  <c r="AX153" i="1"/>
  <c r="AW153" i="1"/>
  <c r="BE152" i="1"/>
  <c r="BD152" i="1"/>
  <c r="BC152" i="1"/>
  <c r="BB152" i="1"/>
  <c r="BA152" i="1"/>
  <c r="AZ152" i="1"/>
  <c r="AY152" i="1"/>
  <c r="AX152" i="1"/>
  <c r="AW152" i="1"/>
  <c r="BE151" i="1"/>
  <c r="BD151" i="1"/>
  <c r="BC151" i="1"/>
  <c r="BB151" i="1"/>
  <c r="BA151" i="1"/>
  <c r="AZ151" i="1"/>
  <c r="AY151" i="1"/>
  <c r="AX151" i="1"/>
  <c r="AW151" i="1"/>
  <c r="BE150" i="1"/>
  <c r="BD150" i="1"/>
  <c r="BC150" i="1"/>
  <c r="BB150" i="1"/>
  <c r="BA150" i="1"/>
  <c r="AZ150" i="1"/>
  <c r="AY150" i="1"/>
  <c r="AX150" i="1"/>
  <c r="AW150" i="1"/>
  <c r="BE149" i="1"/>
  <c r="BD149" i="1"/>
  <c r="BC149" i="1"/>
  <c r="BB149" i="1"/>
  <c r="BA149" i="1"/>
  <c r="AZ149" i="1"/>
  <c r="AY149" i="1"/>
  <c r="AX149" i="1"/>
  <c r="AW149" i="1"/>
  <c r="BE148" i="1"/>
  <c r="BD148" i="1"/>
  <c r="BC148" i="1"/>
  <c r="BB148" i="1"/>
  <c r="BA148" i="1"/>
  <c r="AZ148" i="1"/>
  <c r="AY148" i="1"/>
  <c r="AX148" i="1"/>
  <c r="AW148" i="1"/>
  <c r="BE147" i="1"/>
  <c r="BD147" i="1"/>
  <c r="BC147" i="1"/>
  <c r="BB147" i="1"/>
  <c r="BA147" i="1"/>
  <c r="AZ147" i="1"/>
  <c r="AY147" i="1"/>
  <c r="AX147" i="1"/>
  <c r="AW147" i="1"/>
  <c r="BE146" i="1"/>
  <c r="BD146" i="1"/>
  <c r="BC146" i="1"/>
  <c r="BB146" i="1"/>
  <c r="BA146" i="1"/>
  <c r="AZ146" i="1"/>
  <c r="AY146" i="1"/>
  <c r="AX146" i="1"/>
  <c r="AW146" i="1"/>
  <c r="BE145" i="1"/>
  <c r="BD145" i="1"/>
  <c r="BC145" i="1"/>
  <c r="BB145" i="1"/>
  <c r="BA145" i="1"/>
  <c r="AZ145" i="1"/>
  <c r="AY145" i="1"/>
  <c r="AX145" i="1"/>
  <c r="AW145" i="1"/>
  <c r="BE144" i="1"/>
  <c r="BD144" i="1"/>
  <c r="BC144" i="1"/>
  <c r="BB144" i="1"/>
  <c r="BA144" i="1"/>
  <c r="AZ144" i="1"/>
  <c r="AY144" i="1"/>
  <c r="AX144" i="1"/>
  <c r="AW144" i="1"/>
  <c r="BE143" i="1"/>
  <c r="BD143" i="1"/>
  <c r="BC143" i="1"/>
  <c r="BB143" i="1"/>
  <c r="BA143" i="1"/>
  <c r="AZ143" i="1"/>
  <c r="AY143" i="1"/>
  <c r="AX143" i="1"/>
  <c r="AW143" i="1"/>
  <c r="BE142" i="1"/>
  <c r="BD142" i="1"/>
  <c r="BC142" i="1"/>
  <c r="BB142" i="1"/>
  <c r="BA142" i="1"/>
  <c r="AZ142" i="1"/>
  <c r="AY142" i="1"/>
  <c r="AX142" i="1"/>
  <c r="AW142" i="1"/>
  <c r="BE141" i="1"/>
  <c r="BD141" i="1"/>
  <c r="BC141" i="1"/>
  <c r="BB141" i="1"/>
  <c r="BA141" i="1"/>
  <c r="AZ141" i="1"/>
  <c r="AY141" i="1"/>
  <c r="AX141" i="1"/>
  <c r="AW141" i="1"/>
  <c r="BE140" i="1"/>
  <c r="BD140" i="1"/>
  <c r="BC140" i="1"/>
  <c r="BB140" i="1"/>
  <c r="BA140" i="1"/>
  <c r="AZ140" i="1"/>
  <c r="AY140" i="1"/>
  <c r="AX140" i="1"/>
  <c r="AW140" i="1"/>
  <c r="BE139" i="1"/>
  <c r="BD139" i="1"/>
  <c r="BC139" i="1"/>
  <c r="BB139" i="1"/>
  <c r="BA139" i="1"/>
  <c r="AZ139" i="1"/>
  <c r="AY139" i="1"/>
  <c r="AX139" i="1"/>
  <c r="AW139" i="1"/>
  <c r="BE138" i="1"/>
  <c r="BD138" i="1"/>
  <c r="BC138" i="1"/>
  <c r="BB138" i="1"/>
  <c r="BA138" i="1"/>
  <c r="AZ138" i="1"/>
  <c r="AY138" i="1"/>
  <c r="AX138" i="1"/>
  <c r="AW138" i="1"/>
  <c r="BE137" i="1"/>
  <c r="BD137" i="1"/>
  <c r="BC137" i="1"/>
  <c r="BB137" i="1"/>
  <c r="BA137" i="1"/>
  <c r="AZ137" i="1"/>
  <c r="AY137" i="1"/>
  <c r="AX137" i="1"/>
  <c r="AW137" i="1"/>
  <c r="BE136" i="1"/>
  <c r="BD136" i="1"/>
  <c r="BC136" i="1"/>
  <c r="BB136" i="1"/>
  <c r="BA136" i="1"/>
  <c r="AZ136" i="1"/>
  <c r="AY136" i="1"/>
  <c r="AX136" i="1"/>
  <c r="AW136" i="1"/>
  <c r="BE135" i="1"/>
  <c r="BD135" i="1"/>
  <c r="BC135" i="1"/>
  <c r="BB135" i="1"/>
  <c r="BA135" i="1"/>
  <c r="AZ135" i="1"/>
  <c r="AY135" i="1"/>
  <c r="AX135" i="1"/>
  <c r="AW135" i="1"/>
  <c r="BE134" i="1"/>
  <c r="BD134" i="1"/>
  <c r="BC134" i="1"/>
  <c r="BB134" i="1"/>
  <c r="BA134" i="1"/>
  <c r="AZ134" i="1"/>
  <c r="AY134" i="1"/>
  <c r="AX134" i="1"/>
  <c r="AW134" i="1"/>
  <c r="BE133" i="1"/>
  <c r="BD133" i="1"/>
  <c r="BC133" i="1"/>
  <c r="BB133" i="1"/>
  <c r="BA133" i="1"/>
  <c r="AZ133" i="1"/>
  <c r="AY133" i="1"/>
  <c r="AX133" i="1"/>
  <c r="AW133" i="1"/>
  <c r="BE132" i="1"/>
  <c r="BD132" i="1"/>
  <c r="BC132" i="1"/>
  <c r="BB132" i="1"/>
  <c r="BA132" i="1"/>
  <c r="AZ132" i="1"/>
  <c r="AY132" i="1"/>
  <c r="AX132" i="1"/>
  <c r="AW132" i="1"/>
  <c r="BE131" i="1"/>
  <c r="BD131" i="1"/>
  <c r="BC131" i="1"/>
  <c r="BB131" i="1"/>
  <c r="BA131" i="1"/>
  <c r="AZ131" i="1"/>
  <c r="AY131" i="1"/>
  <c r="AX131" i="1"/>
  <c r="AW131" i="1"/>
  <c r="BE130" i="1"/>
  <c r="BD130" i="1"/>
  <c r="BC130" i="1"/>
  <c r="BB130" i="1"/>
  <c r="BA130" i="1"/>
  <c r="AZ130" i="1"/>
  <c r="AY130" i="1"/>
  <c r="AX130" i="1"/>
  <c r="AW130" i="1"/>
  <c r="BE129" i="1"/>
  <c r="BD129" i="1"/>
  <c r="BC129" i="1"/>
  <c r="BB129" i="1"/>
  <c r="BA129" i="1"/>
  <c r="AZ129" i="1"/>
  <c r="AY129" i="1"/>
  <c r="AX129" i="1"/>
  <c r="AW129" i="1"/>
  <c r="BE128" i="1"/>
  <c r="BD128" i="1"/>
  <c r="BC128" i="1"/>
  <c r="BB128" i="1"/>
  <c r="BA128" i="1"/>
  <c r="AZ128" i="1"/>
  <c r="AY128" i="1"/>
  <c r="AX128" i="1"/>
  <c r="AW128" i="1"/>
  <c r="BE127" i="1"/>
  <c r="BD127" i="1"/>
  <c r="BC127" i="1"/>
  <c r="BB127" i="1"/>
  <c r="BA127" i="1"/>
  <c r="AZ127" i="1"/>
  <c r="AY127" i="1"/>
  <c r="AX127" i="1"/>
  <c r="AW127" i="1"/>
  <c r="BE126" i="1"/>
  <c r="BD126" i="1"/>
  <c r="BC126" i="1"/>
  <c r="BB126" i="1"/>
  <c r="BA126" i="1"/>
  <c r="AZ126" i="1"/>
  <c r="AY126" i="1"/>
  <c r="AX126" i="1"/>
  <c r="AW126" i="1"/>
  <c r="BE125" i="1"/>
  <c r="BD125" i="1"/>
  <c r="BC125" i="1"/>
  <c r="BB125" i="1"/>
  <c r="BA125" i="1"/>
  <c r="AZ125" i="1"/>
  <c r="AY125" i="1"/>
  <c r="AX125" i="1"/>
  <c r="AW125" i="1"/>
  <c r="BE124" i="1"/>
  <c r="BD124" i="1"/>
  <c r="BC124" i="1"/>
  <c r="BB124" i="1"/>
  <c r="BA124" i="1"/>
  <c r="AZ124" i="1"/>
  <c r="AY124" i="1"/>
  <c r="AX124" i="1"/>
  <c r="AW124" i="1"/>
  <c r="BE123" i="1"/>
  <c r="BD123" i="1"/>
  <c r="BC123" i="1"/>
  <c r="BB123" i="1"/>
  <c r="BA123" i="1"/>
  <c r="AZ123" i="1"/>
  <c r="AY123" i="1"/>
  <c r="AX123" i="1"/>
  <c r="AW123" i="1"/>
  <c r="BE122" i="1"/>
  <c r="BD122" i="1"/>
  <c r="BC122" i="1"/>
  <c r="BB122" i="1"/>
  <c r="BA122" i="1"/>
  <c r="AZ122" i="1"/>
  <c r="AY122" i="1"/>
  <c r="AX122" i="1"/>
  <c r="AW122" i="1"/>
  <c r="BE121" i="1"/>
  <c r="BD121" i="1"/>
  <c r="BC121" i="1"/>
  <c r="BB121" i="1"/>
  <c r="BA121" i="1"/>
  <c r="AZ121" i="1"/>
  <c r="AY121" i="1"/>
  <c r="AX121" i="1"/>
  <c r="AW121" i="1"/>
  <c r="BE120" i="1"/>
  <c r="BD120" i="1"/>
  <c r="BC120" i="1"/>
  <c r="BB120" i="1"/>
  <c r="BA120" i="1"/>
  <c r="AZ120" i="1"/>
  <c r="AY120" i="1"/>
  <c r="AX120" i="1"/>
  <c r="AW120" i="1"/>
  <c r="BE119" i="1"/>
  <c r="BD119" i="1"/>
  <c r="BC119" i="1"/>
  <c r="BB119" i="1"/>
  <c r="BA119" i="1"/>
  <c r="AZ119" i="1"/>
  <c r="AY119" i="1"/>
  <c r="AX119" i="1"/>
  <c r="AW119" i="1"/>
  <c r="BE118" i="1"/>
  <c r="BD118" i="1"/>
  <c r="BC118" i="1"/>
  <c r="BB118" i="1"/>
  <c r="BA118" i="1"/>
  <c r="AZ118" i="1"/>
  <c r="AY118" i="1"/>
  <c r="AX118" i="1"/>
  <c r="AW118" i="1"/>
  <c r="BE117" i="1"/>
  <c r="BD117" i="1"/>
  <c r="BC117" i="1"/>
  <c r="BB117" i="1"/>
  <c r="BA117" i="1"/>
  <c r="AZ117" i="1"/>
  <c r="AY117" i="1"/>
  <c r="AX117" i="1"/>
  <c r="AW117" i="1"/>
  <c r="BE116" i="1"/>
  <c r="BD116" i="1"/>
  <c r="BC116" i="1"/>
  <c r="BB116" i="1"/>
  <c r="BA116" i="1"/>
  <c r="AZ116" i="1"/>
  <c r="AY116" i="1"/>
  <c r="AX116" i="1"/>
  <c r="AW116" i="1"/>
  <c r="BE115" i="1"/>
  <c r="BD115" i="1"/>
  <c r="BC115" i="1"/>
  <c r="BB115" i="1"/>
  <c r="BA115" i="1"/>
  <c r="AZ115" i="1"/>
  <c r="AY115" i="1"/>
  <c r="AX115" i="1"/>
  <c r="AW115" i="1"/>
  <c r="BE114" i="1"/>
  <c r="BD114" i="1"/>
  <c r="BC114" i="1"/>
  <c r="BB114" i="1"/>
  <c r="BA114" i="1"/>
  <c r="AZ114" i="1"/>
  <c r="AY114" i="1"/>
  <c r="AX114" i="1"/>
  <c r="AW114" i="1"/>
  <c r="BE113" i="1"/>
  <c r="BD113" i="1"/>
  <c r="BC113" i="1"/>
  <c r="BB113" i="1"/>
  <c r="BA113" i="1"/>
  <c r="AZ113" i="1"/>
  <c r="AY113" i="1"/>
  <c r="AX113" i="1"/>
  <c r="AW113" i="1"/>
  <c r="BE112" i="1"/>
  <c r="BD112" i="1"/>
  <c r="BC112" i="1"/>
  <c r="BB112" i="1"/>
  <c r="BA112" i="1"/>
  <c r="AZ112" i="1"/>
  <c r="AY112" i="1"/>
  <c r="AX112" i="1"/>
  <c r="AW112" i="1"/>
  <c r="BE111" i="1"/>
  <c r="BD111" i="1"/>
  <c r="BC111" i="1"/>
  <c r="BB111" i="1"/>
  <c r="BA111" i="1"/>
  <c r="AZ111" i="1"/>
  <c r="AY111" i="1"/>
  <c r="AX111" i="1"/>
  <c r="AW111" i="1"/>
  <c r="BE110" i="1"/>
  <c r="BD110" i="1"/>
  <c r="BC110" i="1"/>
  <c r="BB110" i="1"/>
  <c r="BA110" i="1"/>
  <c r="AZ110" i="1"/>
  <c r="AY110" i="1"/>
  <c r="AX110" i="1"/>
  <c r="AW110" i="1"/>
  <c r="BE109" i="1"/>
  <c r="BD109" i="1"/>
  <c r="BC109" i="1"/>
  <c r="BB109" i="1"/>
  <c r="BA109" i="1"/>
  <c r="AZ109" i="1"/>
  <c r="AY109" i="1"/>
  <c r="AX109" i="1"/>
  <c r="AW109" i="1"/>
  <c r="BE108" i="1"/>
  <c r="BD108" i="1"/>
  <c r="BC108" i="1"/>
  <c r="BB108" i="1"/>
  <c r="BA108" i="1"/>
  <c r="AZ108" i="1"/>
  <c r="AY108" i="1"/>
  <c r="AX108" i="1"/>
  <c r="AW108" i="1"/>
  <c r="BE107" i="1"/>
  <c r="BD107" i="1"/>
  <c r="BC107" i="1"/>
  <c r="BB107" i="1"/>
  <c r="BA107" i="1"/>
  <c r="AZ107" i="1"/>
  <c r="AY107" i="1"/>
  <c r="AX107" i="1"/>
  <c r="AW107" i="1"/>
  <c r="BE106" i="1"/>
  <c r="BD106" i="1"/>
  <c r="BC106" i="1"/>
  <c r="BB106" i="1"/>
  <c r="BA106" i="1"/>
  <c r="AZ106" i="1"/>
  <c r="AY106" i="1"/>
  <c r="AX106" i="1"/>
  <c r="AW106" i="1"/>
  <c r="BE105" i="1"/>
  <c r="BD105" i="1"/>
  <c r="BC105" i="1"/>
  <c r="BB105" i="1"/>
  <c r="BA105" i="1"/>
  <c r="AZ105" i="1"/>
  <c r="AY105" i="1"/>
  <c r="AX105" i="1"/>
  <c r="AW105" i="1"/>
  <c r="BE104" i="1"/>
  <c r="BD104" i="1"/>
  <c r="BC104" i="1"/>
  <c r="BB104" i="1"/>
  <c r="BA104" i="1"/>
  <c r="AZ104" i="1"/>
  <c r="AY104" i="1"/>
  <c r="AX104" i="1"/>
  <c r="AW104" i="1"/>
  <c r="BE103" i="1"/>
  <c r="BD103" i="1"/>
  <c r="BC103" i="1"/>
  <c r="BB103" i="1"/>
  <c r="BA103" i="1"/>
  <c r="AZ103" i="1"/>
  <c r="AY103" i="1"/>
  <c r="AX103" i="1"/>
  <c r="AW103" i="1"/>
  <c r="BE102" i="1"/>
  <c r="BD102" i="1"/>
  <c r="BC102" i="1"/>
  <c r="BB102" i="1"/>
  <c r="BA102" i="1"/>
  <c r="AZ102" i="1"/>
  <c r="AY102" i="1"/>
  <c r="AX102" i="1"/>
  <c r="AW102" i="1"/>
  <c r="BE101" i="1"/>
  <c r="BD101" i="1"/>
  <c r="BC101" i="1"/>
  <c r="BB101" i="1"/>
  <c r="BA101" i="1"/>
  <c r="AZ101" i="1"/>
  <c r="AY101" i="1"/>
  <c r="AX101" i="1"/>
  <c r="AW101" i="1"/>
  <c r="BE100" i="1"/>
  <c r="BD100" i="1"/>
  <c r="BC100" i="1"/>
  <c r="BB100" i="1"/>
  <c r="BA100" i="1"/>
  <c r="AZ100" i="1"/>
  <c r="AY100" i="1"/>
  <c r="AX100" i="1"/>
  <c r="AW100" i="1"/>
  <c r="BE99" i="1"/>
  <c r="BD99" i="1"/>
  <c r="BC99" i="1"/>
  <c r="BB99" i="1"/>
  <c r="BA99" i="1"/>
  <c r="AZ99" i="1"/>
  <c r="AY99" i="1"/>
  <c r="AX99" i="1"/>
  <c r="AW99" i="1"/>
  <c r="BE98" i="1"/>
  <c r="BD98" i="1"/>
  <c r="BC98" i="1"/>
  <c r="BB98" i="1"/>
  <c r="BA98" i="1"/>
  <c r="AZ98" i="1"/>
  <c r="AY98" i="1"/>
  <c r="AX98" i="1"/>
  <c r="AW98" i="1"/>
  <c r="BE97" i="1"/>
  <c r="BD97" i="1"/>
  <c r="BC97" i="1"/>
  <c r="BB97" i="1"/>
  <c r="BA97" i="1"/>
  <c r="AZ97" i="1"/>
  <c r="AY97" i="1"/>
  <c r="AX97" i="1"/>
  <c r="AW97" i="1"/>
  <c r="BE96" i="1"/>
  <c r="BD96" i="1"/>
  <c r="BC96" i="1"/>
  <c r="BB96" i="1"/>
  <c r="BA96" i="1"/>
  <c r="AZ96" i="1"/>
  <c r="AY96" i="1"/>
  <c r="AX96" i="1"/>
  <c r="AW96" i="1"/>
  <c r="BE95" i="1"/>
  <c r="BD95" i="1"/>
  <c r="BC95" i="1"/>
  <c r="BB95" i="1"/>
  <c r="BA95" i="1"/>
  <c r="AZ95" i="1"/>
  <c r="AY95" i="1"/>
  <c r="AX95" i="1"/>
  <c r="AW95" i="1"/>
  <c r="BE94" i="1"/>
  <c r="BD94" i="1"/>
  <c r="BC94" i="1"/>
  <c r="BB94" i="1"/>
  <c r="BA94" i="1"/>
  <c r="AZ94" i="1"/>
  <c r="AY94" i="1"/>
  <c r="AX94" i="1"/>
  <c r="AW94" i="1"/>
  <c r="BE93" i="1"/>
  <c r="BD93" i="1"/>
  <c r="BC93" i="1"/>
  <c r="BB93" i="1"/>
  <c r="BA93" i="1"/>
  <c r="AZ93" i="1"/>
  <c r="AY93" i="1"/>
  <c r="AX93" i="1"/>
  <c r="AW93" i="1"/>
  <c r="BE92" i="1"/>
  <c r="BD92" i="1"/>
  <c r="BC92" i="1"/>
  <c r="BB92" i="1"/>
  <c r="BA92" i="1"/>
  <c r="AZ92" i="1"/>
  <c r="AY92" i="1"/>
  <c r="AX92" i="1"/>
  <c r="AW92" i="1"/>
  <c r="BE91" i="1"/>
  <c r="BD91" i="1"/>
  <c r="BC91" i="1"/>
  <c r="BB91" i="1"/>
  <c r="BA91" i="1"/>
  <c r="AZ91" i="1"/>
  <c r="AY91" i="1"/>
  <c r="AX91" i="1"/>
  <c r="AW91" i="1"/>
  <c r="BE90" i="1"/>
  <c r="BD90" i="1"/>
  <c r="BC90" i="1"/>
  <c r="BB90" i="1"/>
  <c r="BA90" i="1"/>
  <c r="AZ90" i="1"/>
  <c r="AY90" i="1"/>
  <c r="AX90" i="1"/>
  <c r="AW90" i="1"/>
  <c r="BE89" i="1"/>
  <c r="BD89" i="1"/>
  <c r="BC89" i="1"/>
  <c r="BB89" i="1"/>
  <c r="BA89" i="1"/>
  <c r="AZ89" i="1"/>
  <c r="AY89" i="1"/>
  <c r="AX89" i="1"/>
  <c r="AW89" i="1"/>
  <c r="BE88" i="1"/>
  <c r="BD88" i="1"/>
  <c r="BC88" i="1"/>
  <c r="BB88" i="1"/>
  <c r="BA88" i="1"/>
  <c r="AZ88" i="1"/>
  <c r="AY88" i="1"/>
  <c r="AX88" i="1"/>
  <c r="AW88" i="1"/>
  <c r="BE87" i="1"/>
  <c r="BD87" i="1"/>
  <c r="BC87" i="1"/>
  <c r="BB87" i="1"/>
  <c r="BA87" i="1"/>
  <c r="AZ87" i="1"/>
  <c r="AY87" i="1"/>
  <c r="AX87" i="1"/>
  <c r="AW87" i="1"/>
  <c r="BE86" i="1"/>
  <c r="BD86" i="1"/>
  <c r="BC86" i="1"/>
  <c r="BB86" i="1"/>
  <c r="BA86" i="1"/>
  <c r="AZ86" i="1"/>
  <c r="AY86" i="1"/>
  <c r="AX86" i="1"/>
  <c r="AW86" i="1"/>
  <c r="BE85" i="1"/>
  <c r="BD85" i="1"/>
  <c r="BC85" i="1"/>
  <c r="BB85" i="1"/>
  <c r="BA85" i="1"/>
  <c r="AZ85" i="1"/>
  <c r="AY85" i="1"/>
  <c r="AX85" i="1"/>
  <c r="AW85" i="1"/>
  <c r="BE84" i="1"/>
  <c r="BD84" i="1"/>
  <c r="BC84" i="1"/>
  <c r="BB84" i="1"/>
  <c r="BA84" i="1"/>
  <c r="AZ84" i="1"/>
  <c r="AY84" i="1"/>
  <c r="AX84" i="1"/>
  <c r="AW84" i="1"/>
  <c r="BE83" i="1"/>
  <c r="BD83" i="1"/>
  <c r="BC83" i="1"/>
  <c r="BB83" i="1"/>
  <c r="BA83" i="1"/>
  <c r="AZ83" i="1"/>
  <c r="AY83" i="1"/>
  <c r="AX83" i="1"/>
  <c r="AW83" i="1"/>
  <c r="BE82" i="1"/>
  <c r="BD82" i="1"/>
  <c r="BC82" i="1"/>
  <c r="BB82" i="1"/>
  <c r="BA82" i="1"/>
  <c r="AZ82" i="1"/>
  <c r="AY82" i="1"/>
  <c r="AX82" i="1"/>
  <c r="AW82" i="1"/>
  <c r="BE81" i="1"/>
  <c r="BD81" i="1"/>
  <c r="BC81" i="1"/>
  <c r="BB81" i="1"/>
  <c r="BA81" i="1"/>
  <c r="AZ81" i="1"/>
  <c r="AY81" i="1"/>
  <c r="AX81" i="1"/>
  <c r="AW81" i="1"/>
  <c r="BE80" i="1"/>
  <c r="BD80" i="1"/>
  <c r="BC80" i="1"/>
  <c r="BB80" i="1"/>
  <c r="BA80" i="1"/>
  <c r="AZ80" i="1"/>
  <c r="AY80" i="1"/>
  <c r="AX80" i="1"/>
  <c r="AW80" i="1"/>
  <c r="BE79" i="1"/>
  <c r="BD79" i="1"/>
  <c r="BC79" i="1"/>
  <c r="BB79" i="1"/>
  <c r="BA79" i="1"/>
  <c r="AZ79" i="1"/>
  <c r="AY79" i="1"/>
  <c r="AX79" i="1"/>
  <c r="AW79" i="1"/>
  <c r="BE78" i="1"/>
  <c r="BD78" i="1"/>
  <c r="BC78" i="1"/>
  <c r="BB78" i="1"/>
  <c r="BA78" i="1"/>
  <c r="AZ78" i="1"/>
  <c r="AY78" i="1"/>
  <c r="AX78" i="1"/>
  <c r="AW78" i="1"/>
  <c r="BE77" i="1"/>
  <c r="BD77" i="1"/>
  <c r="BC77" i="1"/>
  <c r="BB77" i="1"/>
  <c r="BA77" i="1"/>
  <c r="AZ77" i="1"/>
  <c r="AY77" i="1"/>
  <c r="AX77" i="1"/>
  <c r="AW77" i="1"/>
  <c r="BE76" i="1"/>
  <c r="BD76" i="1"/>
  <c r="BC76" i="1"/>
  <c r="BB76" i="1"/>
  <c r="BA76" i="1"/>
  <c r="AZ76" i="1"/>
  <c r="AY76" i="1"/>
  <c r="AX76" i="1"/>
  <c r="AW76" i="1"/>
  <c r="BE75" i="1"/>
  <c r="BD75" i="1"/>
  <c r="BC75" i="1"/>
  <c r="BB75" i="1"/>
  <c r="BA75" i="1"/>
  <c r="AZ75" i="1"/>
  <c r="AY75" i="1"/>
  <c r="AX75" i="1"/>
  <c r="AW75" i="1"/>
  <c r="BE74" i="1"/>
  <c r="BD74" i="1"/>
  <c r="BC74" i="1"/>
  <c r="BB74" i="1"/>
  <c r="BA74" i="1"/>
  <c r="AZ74" i="1"/>
  <c r="AY74" i="1"/>
  <c r="AX74" i="1"/>
  <c r="AW74" i="1"/>
  <c r="BE73" i="1"/>
  <c r="BD73" i="1"/>
  <c r="BC73" i="1"/>
  <c r="BB73" i="1"/>
  <c r="BA73" i="1"/>
  <c r="AZ73" i="1"/>
  <c r="AY73" i="1"/>
  <c r="AX73" i="1"/>
  <c r="AW73" i="1"/>
  <c r="BE72" i="1"/>
  <c r="BD72" i="1"/>
  <c r="BC72" i="1"/>
  <c r="BB72" i="1"/>
  <c r="BA72" i="1"/>
  <c r="AZ72" i="1"/>
  <c r="AY72" i="1"/>
  <c r="AX72" i="1"/>
  <c r="AW72" i="1"/>
  <c r="BE71" i="1"/>
  <c r="BD71" i="1"/>
  <c r="BC71" i="1"/>
  <c r="BB71" i="1"/>
  <c r="BA71" i="1"/>
  <c r="AZ71" i="1"/>
  <c r="AY71" i="1"/>
  <c r="AX71" i="1"/>
  <c r="AW71" i="1"/>
  <c r="BE70" i="1"/>
  <c r="BD70" i="1"/>
  <c r="BC70" i="1"/>
  <c r="BB70" i="1"/>
  <c r="BA70" i="1"/>
  <c r="AZ70" i="1"/>
  <c r="AY70" i="1"/>
  <c r="AX70" i="1"/>
  <c r="AW70" i="1"/>
  <c r="BE69" i="1"/>
  <c r="BD69" i="1"/>
  <c r="BC69" i="1"/>
  <c r="BB69" i="1"/>
  <c r="BA69" i="1"/>
  <c r="AZ69" i="1"/>
  <c r="AY69" i="1"/>
  <c r="AX69" i="1"/>
  <c r="AW69" i="1"/>
  <c r="BE68" i="1"/>
  <c r="BD68" i="1"/>
  <c r="BC68" i="1"/>
  <c r="BB68" i="1"/>
  <c r="BA68" i="1"/>
  <c r="AZ68" i="1"/>
  <c r="AY68" i="1"/>
  <c r="AX68" i="1"/>
  <c r="AW68" i="1"/>
  <c r="BE67" i="1"/>
  <c r="BD67" i="1"/>
  <c r="BC67" i="1"/>
  <c r="BB67" i="1"/>
  <c r="BA67" i="1"/>
  <c r="AZ67" i="1"/>
  <c r="AY67" i="1"/>
  <c r="AX67" i="1"/>
  <c r="AW67" i="1"/>
  <c r="BE66" i="1"/>
  <c r="BD66" i="1"/>
  <c r="BC66" i="1"/>
  <c r="BB66" i="1"/>
  <c r="BA66" i="1"/>
  <c r="AZ66" i="1"/>
  <c r="AY66" i="1"/>
  <c r="AX66" i="1"/>
  <c r="AW66" i="1"/>
  <c r="BE65" i="1"/>
  <c r="BD65" i="1"/>
  <c r="BC65" i="1"/>
  <c r="BB65" i="1"/>
  <c r="BA65" i="1"/>
  <c r="AZ65" i="1"/>
  <c r="AY65" i="1"/>
  <c r="AX65" i="1"/>
  <c r="AW65" i="1"/>
  <c r="BE64" i="1"/>
  <c r="BD64" i="1"/>
  <c r="BC64" i="1"/>
  <c r="BB64" i="1"/>
  <c r="BA64" i="1"/>
  <c r="AZ64" i="1"/>
  <c r="AY64" i="1"/>
  <c r="AX64" i="1"/>
  <c r="AW64" i="1"/>
  <c r="BE63" i="1"/>
  <c r="BD63" i="1"/>
  <c r="BC63" i="1"/>
  <c r="BB63" i="1"/>
  <c r="BA63" i="1"/>
  <c r="AZ63" i="1"/>
  <c r="AY63" i="1"/>
  <c r="AX63" i="1"/>
  <c r="AW63" i="1"/>
  <c r="BE62" i="1"/>
  <c r="BD62" i="1"/>
  <c r="BC62" i="1"/>
  <c r="BB62" i="1"/>
  <c r="BA62" i="1"/>
  <c r="AZ62" i="1"/>
  <c r="AY62" i="1"/>
  <c r="AX62" i="1"/>
  <c r="AW62" i="1"/>
  <c r="BE61" i="1"/>
  <c r="BD61" i="1"/>
  <c r="BC61" i="1"/>
  <c r="BB61" i="1"/>
  <c r="BA61" i="1"/>
  <c r="AZ61" i="1"/>
  <c r="AY61" i="1"/>
  <c r="AX61" i="1"/>
  <c r="AW61" i="1"/>
  <c r="BE60" i="1"/>
  <c r="BD60" i="1"/>
  <c r="BC60" i="1"/>
  <c r="BB60" i="1"/>
  <c r="BA60" i="1"/>
  <c r="AZ60" i="1"/>
  <c r="AY60" i="1"/>
  <c r="AX60" i="1"/>
  <c r="AW60" i="1"/>
  <c r="BE59" i="1"/>
  <c r="BD59" i="1"/>
  <c r="BC59" i="1"/>
  <c r="BB59" i="1"/>
  <c r="BA59" i="1"/>
  <c r="AZ59" i="1"/>
  <c r="AY59" i="1"/>
  <c r="AX59" i="1"/>
  <c r="AW59" i="1"/>
  <c r="BE58" i="1"/>
  <c r="BD58" i="1"/>
  <c r="BC58" i="1"/>
  <c r="BB58" i="1"/>
  <c r="BA58" i="1"/>
  <c r="AZ58" i="1"/>
  <c r="AY58" i="1"/>
  <c r="AX58" i="1"/>
  <c r="AW58" i="1"/>
  <c r="BE57" i="1"/>
  <c r="BD57" i="1"/>
  <c r="BC57" i="1"/>
  <c r="BB57" i="1"/>
  <c r="BA57" i="1"/>
  <c r="AZ57" i="1"/>
  <c r="AY57" i="1"/>
  <c r="AX57" i="1"/>
  <c r="AW57" i="1"/>
  <c r="BE56" i="1"/>
  <c r="BD56" i="1"/>
  <c r="BC56" i="1"/>
  <c r="BB56" i="1"/>
  <c r="BA56" i="1"/>
  <c r="AZ56" i="1"/>
  <c r="AY56" i="1"/>
  <c r="AX56" i="1"/>
  <c r="AW56" i="1"/>
  <c r="BE55" i="1"/>
  <c r="BD55" i="1"/>
  <c r="BC55" i="1"/>
  <c r="BB55" i="1"/>
  <c r="BA55" i="1"/>
  <c r="AZ55" i="1"/>
  <c r="AY55" i="1"/>
  <c r="AX55" i="1"/>
  <c r="AW55" i="1"/>
  <c r="BE54" i="1"/>
  <c r="BD54" i="1"/>
  <c r="BC54" i="1"/>
  <c r="BB54" i="1"/>
  <c r="BA54" i="1"/>
  <c r="AZ54" i="1"/>
  <c r="AY54" i="1"/>
  <c r="AX54" i="1"/>
  <c r="AW54" i="1"/>
  <c r="BE53" i="1"/>
  <c r="BD53" i="1"/>
  <c r="BC53" i="1"/>
  <c r="BB53" i="1"/>
  <c r="BA53" i="1"/>
  <c r="AZ53" i="1"/>
  <c r="AY53" i="1"/>
  <c r="AX53" i="1"/>
  <c r="AW53" i="1"/>
  <c r="BE52" i="1"/>
  <c r="BD52" i="1"/>
  <c r="BC52" i="1"/>
  <c r="BB52" i="1"/>
  <c r="BA52" i="1"/>
  <c r="AZ52" i="1"/>
  <c r="AY52" i="1"/>
  <c r="AX52" i="1"/>
  <c r="AW52" i="1"/>
  <c r="BE51" i="1"/>
  <c r="BD51" i="1"/>
  <c r="BC51" i="1"/>
  <c r="BB51" i="1"/>
  <c r="BA51" i="1"/>
  <c r="AZ51" i="1"/>
  <c r="AY51" i="1"/>
  <c r="AX51" i="1"/>
  <c r="AW51" i="1"/>
  <c r="BE50" i="1"/>
  <c r="BD50" i="1"/>
  <c r="BC50" i="1"/>
  <c r="BB50" i="1"/>
  <c r="BA50" i="1"/>
  <c r="AZ50" i="1"/>
  <c r="AY50" i="1"/>
  <c r="AX50" i="1"/>
  <c r="AW50" i="1"/>
  <c r="BE49" i="1"/>
  <c r="BD49" i="1"/>
  <c r="BC49" i="1"/>
  <c r="BB49" i="1"/>
  <c r="BA49" i="1"/>
  <c r="AZ49" i="1"/>
  <c r="AY49" i="1"/>
  <c r="AX49" i="1"/>
  <c r="AW49" i="1"/>
  <c r="BE48" i="1"/>
  <c r="BD48" i="1"/>
  <c r="BC48" i="1"/>
  <c r="BB48" i="1"/>
  <c r="BA48" i="1"/>
  <c r="AZ48" i="1"/>
  <c r="AY48" i="1"/>
  <c r="AX48" i="1"/>
  <c r="AW48" i="1"/>
  <c r="BE47" i="1"/>
  <c r="BD47" i="1"/>
  <c r="BC47" i="1"/>
  <c r="BB47" i="1"/>
  <c r="BA47" i="1"/>
  <c r="AZ47" i="1"/>
  <c r="AY47" i="1"/>
  <c r="AX47" i="1"/>
  <c r="AW47" i="1"/>
  <c r="BE46" i="1"/>
  <c r="BD46" i="1"/>
  <c r="BC46" i="1"/>
  <c r="BB46" i="1"/>
  <c r="BA46" i="1"/>
  <c r="AZ46" i="1"/>
  <c r="AY46" i="1"/>
  <c r="AX46" i="1"/>
  <c r="AW46" i="1"/>
  <c r="BE45" i="1"/>
  <c r="BD45" i="1"/>
  <c r="BC45" i="1"/>
  <c r="BB45" i="1"/>
  <c r="BA45" i="1"/>
  <c r="AZ45" i="1"/>
  <c r="AY45" i="1"/>
  <c r="AX45" i="1"/>
  <c r="AW45" i="1"/>
  <c r="BE44" i="1"/>
  <c r="BD44" i="1"/>
  <c r="BC44" i="1"/>
  <c r="BB44" i="1"/>
  <c r="BA44" i="1"/>
  <c r="AZ44" i="1"/>
  <c r="AY44" i="1"/>
  <c r="AX44" i="1"/>
  <c r="AW44" i="1"/>
  <c r="BE43" i="1"/>
  <c r="BD43" i="1"/>
  <c r="BC43" i="1"/>
  <c r="BB43" i="1"/>
  <c r="BA43" i="1"/>
  <c r="AZ43" i="1"/>
  <c r="AY43" i="1"/>
  <c r="AX43" i="1"/>
  <c r="AW43" i="1"/>
  <c r="BE42" i="1"/>
  <c r="BD42" i="1"/>
  <c r="BC42" i="1"/>
  <c r="BB42" i="1"/>
  <c r="BA42" i="1"/>
  <c r="AZ42" i="1"/>
  <c r="AY42" i="1"/>
  <c r="AX42" i="1"/>
  <c r="AW42" i="1"/>
  <c r="BE41" i="1"/>
  <c r="BD41" i="1"/>
  <c r="BC41" i="1"/>
  <c r="BB41" i="1"/>
  <c r="BA41" i="1"/>
  <c r="AZ41" i="1"/>
  <c r="AY41" i="1"/>
  <c r="AX41" i="1"/>
  <c r="AW41" i="1"/>
  <c r="BE40" i="1"/>
  <c r="BD40" i="1"/>
  <c r="BC40" i="1"/>
  <c r="BB40" i="1"/>
  <c r="BA40" i="1"/>
  <c r="AZ40" i="1"/>
  <c r="AY40" i="1"/>
  <c r="AX40" i="1"/>
  <c r="AW40" i="1"/>
  <c r="BE39" i="1"/>
  <c r="BD39" i="1"/>
  <c r="BC39" i="1"/>
  <c r="BB39" i="1"/>
  <c r="BA39" i="1"/>
  <c r="AZ39" i="1"/>
  <c r="AY39" i="1"/>
  <c r="AX39" i="1"/>
  <c r="AW39" i="1"/>
  <c r="BE38" i="1"/>
  <c r="BD38" i="1"/>
  <c r="BC38" i="1"/>
  <c r="BB38" i="1"/>
  <c r="BA38" i="1"/>
  <c r="AZ38" i="1"/>
  <c r="AY38" i="1"/>
  <c r="AX38" i="1"/>
  <c r="AW38" i="1"/>
  <c r="BE37" i="1"/>
  <c r="BD37" i="1"/>
  <c r="BC37" i="1"/>
  <c r="BB37" i="1"/>
  <c r="BA37" i="1"/>
  <c r="AZ37" i="1"/>
  <c r="AY37" i="1"/>
  <c r="AX37" i="1"/>
  <c r="AW37" i="1"/>
  <c r="BE36" i="1"/>
  <c r="BD36" i="1"/>
  <c r="BC36" i="1"/>
  <c r="BB36" i="1"/>
  <c r="BA36" i="1"/>
  <c r="AZ36" i="1"/>
  <c r="AY36" i="1"/>
  <c r="AX36" i="1"/>
  <c r="AW36" i="1"/>
  <c r="BE35" i="1"/>
  <c r="BD35" i="1"/>
  <c r="BC35" i="1"/>
  <c r="BB35" i="1"/>
  <c r="BA35" i="1"/>
  <c r="AZ35" i="1"/>
  <c r="AY35" i="1"/>
  <c r="AX35" i="1"/>
  <c r="AW35" i="1"/>
  <c r="BE34" i="1"/>
  <c r="BD34" i="1"/>
  <c r="BC34" i="1"/>
  <c r="BB34" i="1"/>
  <c r="BA34" i="1"/>
  <c r="AZ34" i="1"/>
  <c r="AY34" i="1"/>
  <c r="AX34" i="1"/>
  <c r="AW34" i="1"/>
  <c r="BE33" i="1"/>
  <c r="BD33" i="1"/>
  <c r="BC33" i="1"/>
  <c r="BB33" i="1"/>
  <c r="BA33" i="1"/>
  <c r="AZ33" i="1"/>
  <c r="AY33" i="1"/>
  <c r="AX33" i="1"/>
  <c r="AW33" i="1"/>
  <c r="BE32" i="1"/>
  <c r="BD32" i="1"/>
  <c r="BC32" i="1"/>
  <c r="BB32" i="1"/>
  <c r="BA32" i="1"/>
  <c r="AZ32" i="1"/>
  <c r="AY32" i="1"/>
  <c r="AX32" i="1"/>
  <c r="AW32" i="1"/>
  <c r="BE31" i="1"/>
  <c r="BD31" i="1"/>
  <c r="BC31" i="1"/>
  <c r="BB31" i="1"/>
  <c r="BA31" i="1"/>
  <c r="AZ31" i="1"/>
  <c r="AY31" i="1"/>
  <c r="AX31" i="1"/>
  <c r="AW31" i="1"/>
  <c r="BE30" i="1"/>
  <c r="BD30" i="1"/>
  <c r="BC30" i="1"/>
  <c r="BB30" i="1"/>
  <c r="BA30" i="1"/>
  <c r="AZ30" i="1"/>
  <c r="AY30" i="1"/>
  <c r="AX30" i="1"/>
  <c r="AW30" i="1"/>
  <c r="BE29" i="1"/>
  <c r="BD29" i="1"/>
  <c r="BC29" i="1"/>
  <c r="BB29" i="1"/>
  <c r="BA29" i="1"/>
  <c r="AZ29" i="1"/>
  <c r="AY29" i="1"/>
  <c r="AX29" i="1"/>
  <c r="AW29" i="1"/>
  <c r="BE28" i="1"/>
  <c r="BD28" i="1"/>
  <c r="BC28" i="1"/>
  <c r="BB28" i="1"/>
  <c r="BA28" i="1"/>
  <c r="AZ28" i="1"/>
  <c r="AY28" i="1"/>
  <c r="AX28" i="1"/>
  <c r="AW28" i="1"/>
  <c r="BE27" i="1"/>
  <c r="BD27" i="1"/>
  <c r="BC27" i="1"/>
  <c r="BB27" i="1"/>
  <c r="BA27" i="1"/>
  <c r="AZ27" i="1"/>
  <c r="AY27" i="1"/>
  <c r="AX27" i="1"/>
  <c r="AW27" i="1"/>
  <c r="BE26" i="1"/>
  <c r="BD26" i="1"/>
  <c r="BC26" i="1"/>
  <c r="BB26" i="1"/>
  <c r="BA26" i="1"/>
  <c r="AZ26" i="1"/>
  <c r="AY26" i="1"/>
  <c r="AX26" i="1"/>
  <c r="AW26" i="1"/>
  <c r="BE25" i="1"/>
  <c r="BD25" i="1"/>
  <c r="BC25" i="1"/>
  <c r="BB25" i="1"/>
  <c r="BA25" i="1"/>
  <c r="AZ25" i="1"/>
  <c r="AY25" i="1"/>
  <c r="AX25" i="1"/>
  <c r="AW25" i="1"/>
  <c r="BE24" i="1"/>
  <c r="BD24" i="1"/>
  <c r="BC24" i="1"/>
  <c r="BB24" i="1"/>
  <c r="BA24" i="1"/>
  <c r="AZ24" i="1"/>
  <c r="AY24" i="1"/>
  <c r="AX24" i="1"/>
  <c r="AW24" i="1"/>
  <c r="BE23" i="1"/>
  <c r="BD23" i="1"/>
  <c r="BC23" i="1"/>
  <c r="BB23" i="1"/>
  <c r="BA23" i="1"/>
  <c r="AZ23" i="1"/>
  <c r="AY23" i="1"/>
  <c r="AX23" i="1"/>
  <c r="AW23" i="1"/>
  <c r="BE22" i="1"/>
  <c r="BD22" i="1"/>
  <c r="BC22" i="1"/>
  <c r="BB22" i="1"/>
  <c r="BA22" i="1"/>
  <c r="AZ22" i="1"/>
  <c r="AY22" i="1"/>
  <c r="AX22" i="1"/>
  <c r="AW22" i="1"/>
  <c r="BE21" i="1"/>
  <c r="BD21" i="1"/>
  <c r="BC21" i="1"/>
  <c r="BB21" i="1"/>
  <c r="BA21" i="1"/>
  <c r="AZ21" i="1"/>
  <c r="AY21" i="1"/>
  <c r="AX21" i="1"/>
  <c r="AW21" i="1"/>
  <c r="BE20" i="1"/>
  <c r="BD20" i="1"/>
  <c r="BC20" i="1"/>
  <c r="BB20" i="1"/>
  <c r="BA20" i="1"/>
  <c r="AZ20" i="1"/>
  <c r="AY20" i="1"/>
  <c r="AX20" i="1"/>
  <c r="AW20" i="1"/>
  <c r="BE19" i="1"/>
  <c r="BD19" i="1"/>
  <c r="BC19" i="1"/>
  <c r="BB19" i="1"/>
  <c r="BA19" i="1"/>
  <c r="AZ19" i="1"/>
  <c r="AY19" i="1"/>
  <c r="AX19" i="1"/>
  <c r="AW19" i="1"/>
  <c r="BE18" i="1"/>
  <c r="BD18" i="1"/>
  <c r="BC18" i="1"/>
  <c r="BB18" i="1"/>
  <c r="BA18" i="1"/>
  <c r="AZ18" i="1"/>
  <c r="AY18" i="1"/>
  <c r="AX18" i="1"/>
  <c r="AW18" i="1"/>
  <c r="BE17" i="1"/>
  <c r="BD17" i="1"/>
  <c r="BC17" i="1"/>
  <c r="BB17" i="1"/>
  <c r="BA17" i="1"/>
  <c r="AZ17" i="1"/>
  <c r="AY17" i="1"/>
  <c r="AX17" i="1"/>
  <c r="AW17" i="1"/>
  <c r="BE16" i="1"/>
  <c r="BD16" i="1"/>
  <c r="BC16" i="1"/>
  <c r="BB16" i="1"/>
  <c r="BA16" i="1"/>
  <c r="AZ16" i="1"/>
  <c r="AY16" i="1"/>
  <c r="AX16" i="1"/>
  <c r="AW16" i="1"/>
  <c r="BE15" i="1"/>
  <c r="BD15" i="1"/>
  <c r="BC15" i="1"/>
  <c r="BB15" i="1"/>
  <c r="BA15" i="1"/>
  <c r="AZ15" i="1"/>
  <c r="AY15" i="1"/>
  <c r="AX15" i="1"/>
  <c r="AW15" i="1"/>
  <c r="BE14" i="1"/>
  <c r="BD14" i="1"/>
  <c r="BC14" i="1"/>
  <c r="BB14" i="1"/>
  <c r="BA14" i="1"/>
  <c r="AZ14" i="1"/>
  <c r="AY14" i="1"/>
  <c r="AX14" i="1"/>
  <c r="AW14" i="1"/>
  <c r="BE13" i="1"/>
  <c r="BD13" i="1"/>
  <c r="BC13" i="1"/>
  <c r="BB13" i="1"/>
  <c r="BA13" i="1"/>
  <c r="AZ13" i="1"/>
  <c r="AY13" i="1"/>
  <c r="AX13" i="1"/>
  <c r="AW13" i="1"/>
  <c r="BE12" i="1"/>
  <c r="BD12" i="1"/>
  <c r="BC12" i="1"/>
  <c r="BB12" i="1"/>
  <c r="BA12" i="1"/>
  <c r="AZ12" i="1"/>
  <c r="AY12" i="1"/>
  <c r="AX12" i="1"/>
  <c r="AW12" i="1"/>
  <c r="BE11" i="1"/>
  <c r="BD11" i="1"/>
  <c r="BC11" i="1"/>
  <c r="BB11" i="1"/>
  <c r="BA11" i="1"/>
  <c r="AZ11" i="1"/>
  <c r="AY11" i="1"/>
  <c r="AX11" i="1"/>
  <c r="AW11" i="1"/>
  <c r="BE10" i="1"/>
  <c r="BD10" i="1"/>
  <c r="BC10" i="1"/>
  <c r="BB10" i="1"/>
  <c r="BA10" i="1"/>
  <c r="AZ10" i="1"/>
  <c r="AY10" i="1"/>
  <c r="AX10" i="1"/>
  <c r="AW10" i="1"/>
  <c r="BE9" i="1"/>
  <c r="BD9" i="1"/>
  <c r="BC9" i="1"/>
  <c r="BB9" i="1"/>
  <c r="BA9" i="1"/>
  <c r="AZ9" i="1"/>
  <c r="AY9" i="1"/>
  <c r="AX9" i="1"/>
  <c r="AW9" i="1"/>
  <c r="BE8" i="1"/>
  <c r="BD8" i="1"/>
  <c r="BC8" i="1"/>
  <c r="BB8" i="1"/>
  <c r="BA8" i="1"/>
  <c r="AZ8" i="1"/>
  <c r="AY8" i="1"/>
  <c r="AX8" i="1"/>
  <c r="AW8" i="1"/>
  <c r="BE7" i="1"/>
  <c r="BD7" i="1"/>
  <c r="BC7" i="1"/>
  <c r="BB7" i="1"/>
  <c r="BA7" i="1"/>
  <c r="AZ7" i="1"/>
  <c r="AY7" i="1"/>
  <c r="AX7" i="1"/>
  <c r="AW7" i="1"/>
  <c r="BE6" i="1"/>
  <c r="BD6" i="1"/>
  <c r="BC6" i="1"/>
  <c r="BB6" i="1"/>
  <c r="BA6" i="1"/>
  <c r="AZ6" i="1"/>
  <c r="AY6" i="1"/>
  <c r="AX6" i="1"/>
  <c r="AW6" i="1"/>
  <c r="AV605" i="1"/>
  <c r="AU605" i="1"/>
  <c r="AT605" i="1"/>
  <c r="AV604" i="1"/>
  <c r="AU604" i="1"/>
  <c r="AT604" i="1"/>
  <c r="AV603" i="1"/>
  <c r="AU603" i="1"/>
  <c r="AT603" i="1"/>
  <c r="AV602" i="1"/>
  <c r="AU602" i="1"/>
  <c r="AT602" i="1"/>
  <c r="AV601" i="1"/>
  <c r="AU601" i="1"/>
  <c r="AT601" i="1"/>
  <c r="AV600" i="1"/>
  <c r="AU600" i="1"/>
  <c r="AT600" i="1"/>
  <c r="AV599" i="1"/>
  <c r="AU599" i="1"/>
  <c r="AT599" i="1"/>
  <c r="AV598" i="1"/>
  <c r="AU598" i="1"/>
  <c r="AT598" i="1"/>
  <c r="AV597" i="1"/>
  <c r="AU597" i="1"/>
  <c r="AT597" i="1"/>
  <c r="AV596" i="1"/>
  <c r="AU596" i="1"/>
  <c r="AT596" i="1"/>
  <c r="AV595" i="1"/>
  <c r="AU595" i="1"/>
  <c r="AT595" i="1"/>
  <c r="AV594" i="1"/>
  <c r="AU594" i="1"/>
  <c r="AT594" i="1"/>
  <c r="AV593" i="1"/>
  <c r="AU593" i="1"/>
  <c r="AT593" i="1"/>
  <c r="AV592" i="1"/>
  <c r="AU592" i="1"/>
  <c r="AT592" i="1"/>
  <c r="AV591" i="1"/>
  <c r="AU591" i="1"/>
  <c r="AT591" i="1"/>
  <c r="AV590" i="1"/>
  <c r="AU590" i="1"/>
  <c r="AT590" i="1"/>
  <c r="AV589" i="1"/>
  <c r="AU589" i="1"/>
  <c r="AT589" i="1"/>
  <c r="AV588" i="1"/>
  <c r="AU588" i="1"/>
  <c r="AT588" i="1"/>
  <c r="AV587" i="1"/>
  <c r="AU587" i="1"/>
  <c r="AT587" i="1"/>
  <c r="AV586" i="1"/>
  <c r="AU586" i="1"/>
  <c r="AT586" i="1"/>
  <c r="AV585" i="1"/>
  <c r="AU585" i="1"/>
  <c r="AT585" i="1"/>
  <c r="AV584" i="1"/>
  <c r="AU584" i="1"/>
  <c r="AT584" i="1"/>
  <c r="AV583" i="1"/>
  <c r="AU583" i="1"/>
  <c r="AT583" i="1"/>
  <c r="AV582" i="1"/>
  <c r="AU582" i="1"/>
  <c r="AT582" i="1"/>
  <c r="AV581" i="1"/>
  <c r="AU581" i="1"/>
  <c r="AT581" i="1"/>
  <c r="AV580" i="1"/>
  <c r="AU580" i="1"/>
  <c r="AT580" i="1"/>
  <c r="AV579" i="1"/>
  <c r="AU579" i="1"/>
  <c r="AT579" i="1"/>
  <c r="AV578" i="1"/>
  <c r="AU578" i="1"/>
  <c r="AT578" i="1"/>
  <c r="AV577" i="1"/>
  <c r="AU577" i="1"/>
  <c r="AT577" i="1"/>
  <c r="AV576" i="1"/>
  <c r="AU576" i="1"/>
  <c r="AT576" i="1"/>
  <c r="AV575" i="1"/>
  <c r="AU575" i="1"/>
  <c r="AT575" i="1"/>
  <c r="AV574" i="1"/>
  <c r="AU574" i="1"/>
  <c r="AT574" i="1"/>
  <c r="AV573" i="1"/>
  <c r="AU573" i="1"/>
  <c r="AT573" i="1"/>
  <c r="AV572" i="1"/>
  <c r="AU572" i="1"/>
  <c r="AT572" i="1"/>
  <c r="AV571" i="1"/>
  <c r="AU571" i="1"/>
  <c r="AT571" i="1"/>
  <c r="AV570" i="1"/>
  <c r="AU570" i="1"/>
  <c r="AT570" i="1"/>
  <c r="AV569" i="1"/>
  <c r="AU569" i="1"/>
  <c r="AT569" i="1"/>
  <c r="AV568" i="1"/>
  <c r="AU568" i="1"/>
  <c r="AT568" i="1"/>
  <c r="AV567" i="1"/>
  <c r="AU567" i="1"/>
  <c r="AT567" i="1"/>
  <c r="AV566" i="1"/>
  <c r="AU566" i="1"/>
  <c r="AT566" i="1"/>
  <c r="AV565" i="1"/>
  <c r="AU565" i="1"/>
  <c r="AT565" i="1"/>
  <c r="AV564" i="1"/>
  <c r="AU564" i="1"/>
  <c r="AT564" i="1"/>
  <c r="AV563" i="1"/>
  <c r="AU563" i="1"/>
  <c r="AT563" i="1"/>
  <c r="AV562" i="1"/>
  <c r="AU562" i="1"/>
  <c r="AT562" i="1"/>
  <c r="AV561" i="1"/>
  <c r="AU561" i="1"/>
  <c r="AT561" i="1"/>
  <c r="AV560" i="1"/>
  <c r="AU560" i="1"/>
  <c r="AT560" i="1"/>
  <c r="AV559" i="1"/>
  <c r="AU559" i="1"/>
  <c r="AT559" i="1"/>
  <c r="AV558" i="1"/>
  <c r="AU558" i="1"/>
  <c r="AT558" i="1"/>
  <c r="AV557" i="1"/>
  <c r="AU557" i="1"/>
  <c r="AT557" i="1"/>
  <c r="AV556" i="1"/>
  <c r="AU556" i="1"/>
  <c r="AT556" i="1"/>
  <c r="AV555" i="1"/>
  <c r="AU555" i="1"/>
  <c r="AT555" i="1"/>
  <c r="AV554" i="1"/>
  <c r="AU554" i="1"/>
  <c r="AT554" i="1"/>
  <c r="AV553" i="1"/>
  <c r="AU553" i="1"/>
  <c r="AT553" i="1"/>
  <c r="AV552" i="1"/>
  <c r="AU552" i="1"/>
  <c r="AT552" i="1"/>
  <c r="AV551" i="1"/>
  <c r="AU551" i="1"/>
  <c r="AT551" i="1"/>
  <c r="AV550" i="1"/>
  <c r="AU550" i="1"/>
  <c r="AT550" i="1"/>
  <c r="AV549" i="1"/>
  <c r="AU549" i="1"/>
  <c r="AT549" i="1"/>
  <c r="AV548" i="1"/>
  <c r="AU548" i="1"/>
  <c r="AT548" i="1"/>
  <c r="AV547" i="1"/>
  <c r="AU547" i="1"/>
  <c r="AT547" i="1"/>
  <c r="AV546" i="1"/>
  <c r="AU546" i="1"/>
  <c r="AT546" i="1"/>
  <c r="AV545" i="1"/>
  <c r="AU545" i="1"/>
  <c r="AT545" i="1"/>
  <c r="AV544" i="1"/>
  <c r="AU544" i="1"/>
  <c r="AT544" i="1"/>
  <c r="AV543" i="1"/>
  <c r="AU543" i="1"/>
  <c r="AT543" i="1"/>
  <c r="AV542" i="1"/>
  <c r="AU542" i="1"/>
  <c r="AT542" i="1"/>
  <c r="AV541" i="1"/>
  <c r="AU541" i="1"/>
  <c r="AT541" i="1"/>
  <c r="AV540" i="1"/>
  <c r="AU540" i="1"/>
  <c r="AT540" i="1"/>
  <c r="AV539" i="1"/>
  <c r="AU539" i="1"/>
  <c r="AT539" i="1"/>
  <c r="AV538" i="1"/>
  <c r="AU538" i="1"/>
  <c r="AT538" i="1"/>
  <c r="AV537" i="1"/>
  <c r="AU537" i="1"/>
  <c r="AT537" i="1"/>
  <c r="AV536" i="1"/>
  <c r="AU536" i="1"/>
  <c r="AT536" i="1"/>
  <c r="AV535" i="1"/>
  <c r="AU535" i="1"/>
  <c r="AT535" i="1"/>
  <c r="AV534" i="1"/>
  <c r="AU534" i="1"/>
  <c r="AT534" i="1"/>
  <c r="AV533" i="1"/>
  <c r="AU533" i="1"/>
  <c r="AT533" i="1"/>
  <c r="AV532" i="1"/>
  <c r="AU532" i="1"/>
  <c r="AT532" i="1"/>
  <c r="AV531" i="1"/>
  <c r="AU531" i="1"/>
  <c r="AT531" i="1"/>
  <c r="AV530" i="1"/>
  <c r="AU530" i="1"/>
  <c r="AT530" i="1"/>
  <c r="AV529" i="1"/>
  <c r="AU529" i="1"/>
  <c r="AT529" i="1"/>
  <c r="AV528" i="1"/>
  <c r="AU528" i="1"/>
  <c r="AT528" i="1"/>
  <c r="AV527" i="1"/>
  <c r="AU527" i="1"/>
  <c r="AT527" i="1"/>
  <c r="AV526" i="1"/>
  <c r="AU526" i="1"/>
  <c r="AT526" i="1"/>
  <c r="AV525" i="1"/>
  <c r="AU525" i="1"/>
  <c r="AT525" i="1"/>
  <c r="AV524" i="1"/>
  <c r="AU524" i="1"/>
  <c r="AT524" i="1"/>
  <c r="AV523" i="1"/>
  <c r="AU523" i="1"/>
  <c r="AT523" i="1"/>
  <c r="AV522" i="1"/>
  <c r="AU522" i="1"/>
  <c r="AT522" i="1"/>
  <c r="AV521" i="1"/>
  <c r="AU521" i="1"/>
  <c r="AT521" i="1"/>
  <c r="AV520" i="1"/>
  <c r="AU520" i="1"/>
  <c r="AT520" i="1"/>
  <c r="AV519" i="1"/>
  <c r="AU519" i="1"/>
  <c r="AT519" i="1"/>
  <c r="AV518" i="1"/>
  <c r="AU518" i="1"/>
  <c r="AT518" i="1"/>
  <c r="AV517" i="1"/>
  <c r="AU517" i="1"/>
  <c r="AT517" i="1"/>
  <c r="AV516" i="1"/>
  <c r="AU516" i="1"/>
  <c r="AT516" i="1"/>
  <c r="AV515" i="1"/>
  <c r="AU515" i="1"/>
  <c r="AT515" i="1"/>
  <c r="AV514" i="1"/>
  <c r="AU514" i="1"/>
  <c r="AT514" i="1"/>
  <c r="AV513" i="1"/>
  <c r="AU513" i="1"/>
  <c r="AT513" i="1"/>
  <c r="AV512" i="1"/>
  <c r="AU512" i="1"/>
  <c r="AT512" i="1"/>
  <c r="AV511" i="1"/>
  <c r="AU511" i="1"/>
  <c r="AT511" i="1"/>
  <c r="AV510" i="1"/>
  <c r="AU510" i="1"/>
  <c r="AT510" i="1"/>
  <c r="AV509" i="1"/>
  <c r="AU509" i="1"/>
  <c r="AT509" i="1"/>
  <c r="AV508" i="1"/>
  <c r="AU508" i="1"/>
  <c r="AT508" i="1"/>
  <c r="AV507" i="1"/>
  <c r="AU507" i="1"/>
  <c r="AT507" i="1"/>
  <c r="AV506" i="1"/>
  <c r="AU506" i="1"/>
  <c r="AT506" i="1"/>
  <c r="AV505" i="1"/>
  <c r="AU505" i="1"/>
  <c r="AT505" i="1"/>
  <c r="AV504" i="1"/>
  <c r="AU504" i="1"/>
  <c r="AT504" i="1"/>
  <c r="AV503" i="1"/>
  <c r="AU503" i="1"/>
  <c r="AT503" i="1"/>
  <c r="AV502" i="1"/>
  <c r="AU502" i="1"/>
  <c r="AT502" i="1"/>
  <c r="AV501" i="1"/>
  <c r="AU501" i="1"/>
  <c r="AT501" i="1"/>
  <c r="AV500" i="1"/>
  <c r="AU500" i="1"/>
  <c r="AT500" i="1"/>
  <c r="AV499" i="1"/>
  <c r="AU499" i="1"/>
  <c r="AT499" i="1"/>
  <c r="AV498" i="1"/>
  <c r="AU498" i="1"/>
  <c r="AT498" i="1"/>
  <c r="AV497" i="1"/>
  <c r="AU497" i="1"/>
  <c r="AT497" i="1"/>
  <c r="AV496" i="1"/>
  <c r="AU496" i="1"/>
  <c r="AT496" i="1"/>
  <c r="AV495" i="1"/>
  <c r="AU495" i="1"/>
  <c r="AT495" i="1"/>
  <c r="AV494" i="1"/>
  <c r="AU494" i="1"/>
  <c r="AT494" i="1"/>
  <c r="AV493" i="1"/>
  <c r="AU493" i="1"/>
  <c r="AT493" i="1"/>
  <c r="AV492" i="1"/>
  <c r="AU492" i="1"/>
  <c r="AT492" i="1"/>
  <c r="AV491" i="1"/>
  <c r="AU491" i="1"/>
  <c r="AT491" i="1"/>
  <c r="AV490" i="1"/>
  <c r="AU490" i="1"/>
  <c r="AT490" i="1"/>
  <c r="AV489" i="1"/>
  <c r="AU489" i="1"/>
  <c r="AT489" i="1"/>
  <c r="AV488" i="1"/>
  <c r="AU488" i="1"/>
  <c r="AT488" i="1"/>
  <c r="AV487" i="1"/>
  <c r="AU487" i="1"/>
  <c r="AT487" i="1"/>
  <c r="AV486" i="1"/>
  <c r="AU486" i="1"/>
  <c r="AT486" i="1"/>
  <c r="AV485" i="1"/>
  <c r="AU485" i="1"/>
  <c r="AT485" i="1"/>
  <c r="AV484" i="1"/>
  <c r="AU484" i="1"/>
  <c r="AT484" i="1"/>
  <c r="AV483" i="1"/>
  <c r="AU483" i="1"/>
  <c r="AT483" i="1"/>
  <c r="AV482" i="1"/>
  <c r="AU482" i="1"/>
  <c r="AT482" i="1"/>
  <c r="AV481" i="1"/>
  <c r="AU481" i="1"/>
  <c r="AT481" i="1"/>
  <c r="AV480" i="1"/>
  <c r="AU480" i="1"/>
  <c r="AT480" i="1"/>
  <c r="AV479" i="1"/>
  <c r="AU479" i="1"/>
  <c r="AT479" i="1"/>
  <c r="AV478" i="1"/>
  <c r="AU478" i="1"/>
  <c r="AT478" i="1"/>
  <c r="AV477" i="1"/>
  <c r="AU477" i="1"/>
  <c r="AT477" i="1"/>
  <c r="AV476" i="1"/>
  <c r="AU476" i="1"/>
  <c r="AT476" i="1"/>
  <c r="AV475" i="1"/>
  <c r="AU475" i="1"/>
  <c r="AT475" i="1"/>
  <c r="AV474" i="1"/>
  <c r="AU474" i="1"/>
  <c r="AT474" i="1"/>
  <c r="AV473" i="1"/>
  <c r="AU473" i="1"/>
  <c r="AT473" i="1"/>
  <c r="AV472" i="1"/>
  <c r="AU472" i="1"/>
  <c r="AT472" i="1"/>
  <c r="AV471" i="1"/>
  <c r="AU471" i="1"/>
  <c r="AT471" i="1"/>
  <c r="AV470" i="1"/>
  <c r="AU470" i="1"/>
  <c r="AT470" i="1"/>
  <c r="AV469" i="1"/>
  <c r="AU469" i="1"/>
  <c r="AT469" i="1"/>
  <c r="AV468" i="1"/>
  <c r="AU468" i="1"/>
  <c r="AT468" i="1"/>
  <c r="AV467" i="1"/>
  <c r="AU467" i="1"/>
  <c r="AT467" i="1"/>
  <c r="AV466" i="1"/>
  <c r="AU466" i="1"/>
  <c r="AT466" i="1"/>
  <c r="AV465" i="1"/>
  <c r="AU465" i="1"/>
  <c r="AT465" i="1"/>
  <c r="AV464" i="1"/>
  <c r="AU464" i="1"/>
  <c r="AT464" i="1"/>
  <c r="AV463" i="1"/>
  <c r="AU463" i="1"/>
  <c r="AT463" i="1"/>
  <c r="AV462" i="1"/>
  <c r="AU462" i="1"/>
  <c r="AT462" i="1"/>
  <c r="AV461" i="1"/>
  <c r="AU461" i="1"/>
  <c r="AT461" i="1"/>
  <c r="AV460" i="1"/>
  <c r="AU460" i="1"/>
  <c r="AT460" i="1"/>
  <c r="AV459" i="1"/>
  <c r="AU459" i="1"/>
  <c r="AT459" i="1"/>
  <c r="AV458" i="1"/>
  <c r="AU458" i="1"/>
  <c r="AT458" i="1"/>
  <c r="AV457" i="1"/>
  <c r="AU457" i="1"/>
  <c r="AT457" i="1"/>
  <c r="AV456" i="1"/>
  <c r="AU456" i="1"/>
  <c r="AT456" i="1"/>
  <c r="AV455" i="1"/>
  <c r="AU455" i="1"/>
  <c r="AT455" i="1"/>
  <c r="AV454" i="1"/>
  <c r="AU454" i="1"/>
  <c r="AT454" i="1"/>
  <c r="AV453" i="1"/>
  <c r="AU453" i="1"/>
  <c r="AT453" i="1"/>
  <c r="AV452" i="1"/>
  <c r="AU452" i="1"/>
  <c r="AT452" i="1"/>
  <c r="AV451" i="1"/>
  <c r="AU451" i="1"/>
  <c r="AT451" i="1"/>
  <c r="AV450" i="1"/>
  <c r="AU450" i="1"/>
  <c r="AT450" i="1"/>
  <c r="AV449" i="1"/>
  <c r="AU449" i="1"/>
  <c r="AT449" i="1"/>
  <c r="AV448" i="1"/>
  <c r="AU448" i="1"/>
  <c r="AT448" i="1"/>
  <c r="AV447" i="1"/>
  <c r="AU447" i="1"/>
  <c r="AT447" i="1"/>
  <c r="AV446" i="1"/>
  <c r="AU446" i="1"/>
  <c r="AT446" i="1"/>
  <c r="AV445" i="1"/>
  <c r="AU445" i="1"/>
  <c r="AT445" i="1"/>
  <c r="AV444" i="1"/>
  <c r="AU444" i="1"/>
  <c r="AT444" i="1"/>
  <c r="AV443" i="1"/>
  <c r="AU443" i="1"/>
  <c r="AT443" i="1"/>
  <c r="AV442" i="1"/>
  <c r="AU442" i="1"/>
  <c r="AT442" i="1"/>
  <c r="AV441" i="1"/>
  <c r="AU441" i="1"/>
  <c r="AT441" i="1"/>
  <c r="AV440" i="1"/>
  <c r="AU440" i="1"/>
  <c r="AT440" i="1"/>
  <c r="AV439" i="1"/>
  <c r="AU439" i="1"/>
  <c r="AT439" i="1"/>
  <c r="AV438" i="1"/>
  <c r="AU438" i="1"/>
  <c r="AT438" i="1"/>
  <c r="AV437" i="1"/>
  <c r="AU437" i="1"/>
  <c r="AT437" i="1"/>
  <c r="AV436" i="1"/>
  <c r="AU436" i="1"/>
  <c r="AT436" i="1"/>
  <c r="AV435" i="1"/>
  <c r="AU435" i="1"/>
  <c r="AT435" i="1"/>
  <c r="AV434" i="1"/>
  <c r="AU434" i="1"/>
  <c r="AT434" i="1"/>
  <c r="AV433" i="1"/>
  <c r="AU433" i="1"/>
  <c r="AT433" i="1"/>
  <c r="AV432" i="1"/>
  <c r="AU432" i="1"/>
  <c r="AT432" i="1"/>
  <c r="AV431" i="1"/>
  <c r="AU431" i="1"/>
  <c r="AT431" i="1"/>
  <c r="AV430" i="1"/>
  <c r="AU430" i="1"/>
  <c r="AT430" i="1"/>
  <c r="AV429" i="1"/>
  <c r="AU429" i="1"/>
  <c r="AT429" i="1"/>
  <c r="AV428" i="1"/>
  <c r="AU428" i="1"/>
  <c r="AT428" i="1"/>
  <c r="AV427" i="1"/>
  <c r="AU427" i="1"/>
  <c r="AT427" i="1"/>
  <c r="AV426" i="1"/>
  <c r="AU426" i="1"/>
  <c r="AT426" i="1"/>
  <c r="AV425" i="1"/>
  <c r="AU425" i="1"/>
  <c r="AT425" i="1"/>
  <c r="AV424" i="1"/>
  <c r="AU424" i="1"/>
  <c r="AT424" i="1"/>
  <c r="AV423" i="1"/>
  <c r="AU423" i="1"/>
  <c r="AT423" i="1"/>
  <c r="AV422" i="1"/>
  <c r="AU422" i="1"/>
  <c r="AT422" i="1"/>
  <c r="AV421" i="1"/>
  <c r="AU421" i="1"/>
  <c r="AT421" i="1"/>
  <c r="AV420" i="1"/>
  <c r="AU420" i="1"/>
  <c r="AT420" i="1"/>
  <c r="AV419" i="1"/>
  <c r="AU419" i="1"/>
  <c r="AT419" i="1"/>
  <c r="AV418" i="1"/>
  <c r="AU418" i="1"/>
  <c r="AT418" i="1"/>
  <c r="AV417" i="1"/>
  <c r="AU417" i="1"/>
  <c r="AT417" i="1"/>
  <c r="AV416" i="1"/>
  <c r="AU416" i="1"/>
  <c r="AT416" i="1"/>
  <c r="AV415" i="1"/>
  <c r="AU415" i="1"/>
  <c r="AT415" i="1"/>
  <c r="AV414" i="1"/>
  <c r="AU414" i="1"/>
  <c r="AT414" i="1"/>
  <c r="AV413" i="1"/>
  <c r="AU413" i="1"/>
  <c r="AT413" i="1"/>
  <c r="AV412" i="1"/>
  <c r="AU412" i="1"/>
  <c r="AT412" i="1"/>
  <c r="AV411" i="1"/>
  <c r="AU411" i="1"/>
  <c r="AT411" i="1"/>
  <c r="AV410" i="1"/>
  <c r="AU410" i="1"/>
  <c r="AT410" i="1"/>
  <c r="AV409" i="1"/>
  <c r="AU409" i="1"/>
  <c r="AT409" i="1"/>
  <c r="AV408" i="1"/>
  <c r="AU408" i="1"/>
  <c r="AT408" i="1"/>
  <c r="AV407" i="1"/>
  <c r="AU407" i="1"/>
  <c r="AT407" i="1"/>
  <c r="AV406" i="1"/>
  <c r="AU406" i="1"/>
  <c r="AT406" i="1"/>
  <c r="AV405" i="1"/>
  <c r="AU405" i="1"/>
  <c r="AT405" i="1"/>
  <c r="AV404" i="1"/>
  <c r="AU404" i="1"/>
  <c r="AT404" i="1"/>
  <c r="AV403" i="1"/>
  <c r="AU403" i="1"/>
  <c r="AT403" i="1"/>
  <c r="AV402" i="1"/>
  <c r="AU402" i="1"/>
  <c r="AT402" i="1"/>
  <c r="AV401" i="1"/>
  <c r="AU401" i="1"/>
  <c r="AT401" i="1"/>
  <c r="AV400" i="1"/>
  <c r="AU400" i="1"/>
  <c r="AT400" i="1"/>
  <c r="AV399" i="1"/>
  <c r="AU399" i="1"/>
  <c r="AT399" i="1"/>
  <c r="AV398" i="1"/>
  <c r="AU398" i="1"/>
  <c r="AT398" i="1"/>
  <c r="AV397" i="1"/>
  <c r="AU397" i="1"/>
  <c r="AT397" i="1"/>
  <c r="AV396" i="1"/>
  <c r="AU396" i="1"/>
  <c r="AT396" i="1"/>
  <c r="AV395" i="1"/>
  <c r="AU395" i="1"/>
  <c r="AT395" i="1"/>
  <c r="AV394" i="1"/>
  <c r="AU394" i="1"/>
  <c r="AT394" i="1"/>
  <c r="AV393" i="1"/>
  <c r="AU393" i="1"/>
  <c r="AT393" i="1"/>
  <c r="AV392" i="1"/>
  <c r="AU392" i="1"/>
  <c r="AT392" i="1"/>
  <c r="AV391" i="1"/>
  <c r="AU391" i="1"/>
  <c r="AT391" i="1"/>
  <c r="AV390" i="1"/>
  <c r="AU390" i="1"/>
  <c r="AT390" i="1"/>
  <c r="AV389" i="1"/>
  <c r="AU389" i="1"/>
  <c r="AT389" i="1"/>
  <c r="AV388" i="1"/>
  <c r="AU388" i="1"/>
  <c r="AT388" i="1"/>
  <c r="AV387" i="1"/>
  <c r="AU387" i="1"/>
  <c r="AT387" i="1"/>
  <c r="AV386" i="1"/>
  <c r="AU386" i="1"/>
  <c r="AT386" i="1"/>
  <c r="AV385" i="1"/>
  <c r="AU385" i="1"/>
  <c r="AT385" i="1"/>
  <c r="AV384" i="1"/>
  <c r="AU384" i="1"/>
  <c r="AT384" i="1"/>
  <c r="AV383" i="1"/>
  <c r="AU383" i="1"/>
  <c r="AT383" i="1"/>
  <c r="AV382" i="1"/>
  <c r="AU382" i="1"/>
  <c r="AT382" i="1"/>
  <c r="AV381" i="1"/>
  <c r="AU381" i="1"/>
  <c r="AT381" i="1"/>
  <c r="AV380" i="1"/>
  <c r="AU380" i="1"/>
  <c r="AT380" i="1"/>
  <c r="AV379" i="1"/>
  <c r="AU379" i="1"/>
  <c r="AT379" i="1"/>
  <c r="AV378" i="1"/>
  <c r="AU378" i="1"/>
  <c r="AT378" i="1"/>
  <c r="AV377" i="1"/>
  <c r="AU377" i="1"/>
  <c r="AT377" i="1"/>
  <c r="AV376" i="1"/>
  <c r="AU376" i="1"/>
  <c r="AT376" i="1"/>
  <c r="AV375" i="1"/>
  <c r="AU375" i="1"/>
  <c r="AT375" i="1"/>
  <c r="AV374" i="1"/>
  <c r="AU374" i="1"/>
  <c r="AT374" i="1"/>
  <c r="AV373" i="1"/>
  <c r="AU373" i="1"/>
  <c r="AT373" i="1"/>
  <c r="AV372" i="1"/>
  <c r="AU372" i="1"/>
  <c r="AT372" i="1"/>
  <c r="AV371" i="1"/>
  <c r="AU371" i="1"/>
  <c r="AT371" i="1"/>
  <c r="AV370" i="1"/>
  <c r="AU370" i="1"/>
  <c r="AT370" i="1"/>
  <c r="AV369" i="1"/>
  <c r="AU369" i="1"/>
  <c r="AT369" i="1"/>
  <c r="AV368" i="1"/>
  <c r="AU368" i="1"/>
  <c r="AT368" i="1"/>
  <c r="AV367" i="1"/>
  <c r="AU367" i="1"/>
  <c r="AT367" i="1"/>
  <c r="AV366" i="1"/>
  <c r="AU366" i="1"/>
  <c r="AT366" i="1"/>
  <c r="AV365" i="1"/>
  <c r="AU365" i="1"/>
  <c r="AT365" i="1"/>
  <c r="AV364" i="1"/>
  <c r="AU364" i="1"/>
  <c r="AT364" i="1"/>
  <c r="AV363" i="1"/>
  <c r="AU363" i="1"/>
  <c r="AT363" i="1"/>
  <c r="AV362" i="1"/>
  <c r="AU362" i="1"/>
  <c r="AT362" i="1"/>
  <c r="AV361" i="1"/>
  <c r="AU361" i="1"/>
  <c r="AT361" i="1"/>
  <c r="AV360" i="1"/>
  <c r="AU360" i="1"/>
  <c r="AT360" i="1"/>
  <c r="AV359" i="1"/>
  <c r="AU359" i="1"/>
  <c r="AT359" i="1"/>
  <c r="AV358" i="1"/>
  <c r="AU358" i="1"/>
  <c r="AT358" i="1"/>
  <c r="AV357" i="1"/>
  <c r="AU357" i="1"/>
  <c r="AT357" i="1"/>
  <c r="AV356" i="1"/>
  <c r="AU356" i="1"/>
  <c r="AT356" i="1"/>
  <c r="AV355" i="1"/>
  <c r="AU355" i="1"/>
  <c r="AT355" i="1"/>
  <c r="AV354" i="1"/>
  <c r="AU354" i="1"/>
  <c r="AT354" i="1"/>
  <c r="AV353" i="1"/>
  <c r="AU353" i="1"/>
  <c r="AT353" i="1"/>
  <c r="AV352" i="1"/>
  <c r="AU352" i="1"/>
  <c r="AT352" i="1"/>
  <c r="AV351" i="1"/>
  <c r="AU351" i="1"/>
  <c r="AT351" i="1"/>
  <c r="AV350" i="1"/>
  <c r="AU350" i="1"/>
  <c r="AT350" i="1"/>
  <c r="AV349" i="1"/>
  <c r="AU349" i="1"/>
  <c r="AT349" i="1"/>
  <c r="AV348" i="1"/>
  <c r="AU348" i="1"/>
  <c r="AT348" i="1"/>
  <c r="AV347" i="1"/>
  <c r="AU347" i="1"/>
  <c r="AT347" i="1"/>
  <c r="AV346" i="1"/>
  <c r="AU346" i="1"/>
  <c r="AT346" i="1"/>
  <c r="AV345" i="1"/>
  <c r="AU345" i="1"/>
  <c r="AT345" i="1"/>
  <c r="AV344" i="1"/>
  <c r="AU344" i="1"/>
  <c r="AT344" i="1"/>
  <c r="AV343" i="1"/>
  <c r="AU343" i="1"/>
  <c r="AT343" i="1"/>
  <c r="AV342" i="1"/>
  <c r="AU342" i="1"/>
  <c r="AT342" i="1"/>
  <c r="AV341" i="1"/>
  <c r="AU341" i="1"/>
  <c r="AT341" i="1"/>
  <c r="AV340" i="1"/>
  <c r="AU340" i="1"/>
  <c r="AT340" i="1"/>
  <c r="AV339" i="1"/>
  <c r="AU339" i="1"/>
  <c r="AT339" i="1"/>
  <c r="AV338" i="1"/>
  <c r="AU338" i="1"/>
  <c r="AT338" i="1"/>
  <c r="AV337" i="1"/>
  <c r="AU337" i="1"/>
  <c r="AT337" i="1"/>
  <c r="AV336" i="1"/>
  <c r="AU336" i="1"/>
  <c r="AT336" i="1"/>
  <c r="AV335" i="1"/>
  <c r="AU335" i="1"/>
  <c r="AT335" i="1"/>
  <c r="AV334" i="1"/>
  <c r="AU334" i="1"/>
  <c r="AT334" i="1"/>
  <c r="AV333" i="1"/>
  <c r="AU333" i="1"/>
  <c r="AT333" i="1"/>
  <c r="AV332" i="1"/>
  <c r="AU332" i="1"/>
  <c r="AT332" i="1"/>
  <c r="AV331" i="1"/>
  <c r="AU331" i="1"/>
  <c r="AT331" i="1"/>
  <c r="AV330" i="1"/>
  <c r="AU330" i="1"/>
  <c r="AT330" i="1"/>
  <c r="AV329" i="1"/>
  <c r="AU329" i="1"/>
  <c r="AT329" i="1"/>
  <c r="AV328" i="1"/>
  <c r="AU328" i="1"/>
  <c r="AT328" i="1"/>
  <c r="AV327" i="1"/>
  <c r="AU327" i="1"/>
  <c r="AT327" i="1"/>
  <c r="AV326" i="1"/>
  <c r="AU326" i="1"/>
  <c r="AT326" i="1"/>
  <c r="AV325" i="1"/>
  <c r="AU325" i="1"/>
  <c r="AT325" i="1"/>
  <c r="AV324" i="1"/>
  <c r="AU324" i="1"/>
  <c r="AT324" i="1"/>
  <c r="AV323" i="1"/>
  <c r="AU323" i="1"/>
  <c r="AT323" i="1"/>
  <c r="AV322" i="1"/>
  <c r="AU322" i="1"/>
  <c r="AT322" i="1"/>
  <c r="AV321" i="1"/>
  <c r="AU321" i="1"/>
  <c r="AT321" i="1"/>
  <c r="AV320" i="1"/>
  <c r="AU320" i="1"/>
  <c r="AT320" i="1"/>
  <c r="AV319" i="1"/>
  <c r="AU319" i="1"/>
  <c r="AT319" i="1"/>
  <c r="AV318" i="1"/>
  <c r="AU318" i="1"/>
  <c r="AT318" i="1"/>
  <c r="AV317" i="1"/>
  <c r="AU317" i="1"/>
  <c r="AT317" i="1"/>
  <c r="AV316" i="1"/>
  <c r="AU316" i="1"/>
  <c r="AT316" i="1"/>
  <c r="AV315" i="1"/>
  <c r="AU315" i="1"/>
  <c r="AT315" i="1"/>
  <c r="AV314" i="1"/>
  <c r="AU314" i="1"/>
  <c r="AT314" i="1"/>
  <c r="AV313" i="1"/>
  <c r="AU313" i="1"/>
  <c r="AT313" i="1"/>
  <c r="AV312" i="1"/>
  <c r="AU312" i="1"/>
  <c r="AT312" i="1"/>
  <c r="AV311" i="1"/>
  <c r="AU311" i="1"/>
  <c r="AT311" i="1"/>
  <c r="AV310" i="1"/>
  <c r="AU310" i="1"/>
  <c r="AT310" i="1"/>
  <c r="AV309" i="1"/>
  <c r="AU309" i="1"/>
  <c r="AT309" i="1"/>
  <c r="AV308" i="1"/>
  <c r="AU308" i="1"/>
  <c r="AT308" i="1"/>
  <c r="AV307" i="1"/>
  <c r="AU307" i="1"/>
  <c r="AT307" i="1"/>
  <c r="AV306" i="1"/>
  <c r="AU306" i="1"/>
  <c r="AT306" i="1"/>
  <c r="AV305" i="1"/>
  <c r="AU305" i="1"/>
  <c r="AT305" i="1"/>
  <c r="AV304" i="1"/>
  <c r="AU304" i="1"/>
  <c r="AT304" i="1"/>
  <c r="AV303" i="1"/>
  <c r="AU303" i="1"/>
  <c r="AT303" i="1"/>
  <c r="AV302" i="1"/>
  <c r="AU302" i="1"/>
  <c r="AT302" i="1"/>
  <c r="AV301" i="1"/>
  <c r="AU301" i="1"/>
  <c r="AT301" i="1"/>
  <c r="AV300" i="1"/>
  <c r="AU300" i="1"/>
  <c r="AT300" i="1"/>
  <c r="AV299" i="1"/>
  <c r="AU299" i="1"/>
  <c r="AT299" i="1"/>
  <c r="AV298" i="1"/>
  <c r="AU298" i="1"/>
  <c r="AT298" i="1"/>
  <c r="AV297" i="1"/>
  <c r="AU297" i="1"/>
  <c r="AT297" i="1"/>
  <c r="AV296" i="1"/>
  <c r="AU296" i="1"/>
  <c r="AT296" i="1"/>
  <c r="AV295" i="1"/>
  <c r="AU295" i="1"/>
  <c r="AT295" i="1"/>
  <c r="AV294" i="1"/>
  <c r="AU294" i="1"/>
  <c r="AT294" i="1"/>
  <c r="AV293" i="1"/>
  <c r="AU293" i="1"/>
  <c r="AT293" i="1"/>
  <c r="AV292" i="1"/>
  <c r="AU292" i="1"/>
  <c r="AT292" i="1"/>
  <c r="AV291" i="1"/>
  <c r="AU291" i="1"/>
  <c r="AT291" i="1"/>
  <c r="AV290" i="1"/>
  <c r="AU290" i="1"/>
  <c r="AT290" i="1"/>
  <c r="AV289" i="1"/>
  <c r="AU289" i="1"/>
  <c r="AT289" i="1"/>
  <c r="AV288" i="1"/>
  <c r="AU288" i="1"/>
  <c r="AT288" i="1"/>
  <c r="AV287" i="1"/>
  <c r="AU287" i="1"/>
  <c r="AT287" i="1"/>
  <c r="AV286" i="1"/>
  <c r="AU286" i="1"/>
  <c r="AT286" i="1"/>
  <c r="AV285" i="1"/>
  <c r="AU285" i="1"/>
  <c r="AT285" i="1"/>
  <c r="AV284" i="1"/>
  <c r="AU284" i="1"/>
  <c r="AT284" i="1"/>
  <c r="AV283" i="1"/>
  <c r="AU283" i="1"/>
  <c r="AT283" i="1"/>
  <c r="AV282" i="1"/>
  <c r="AU282" i="1"/>
  <c r="AT282" i="1"/>
  <c r="AV281" i="1"/>
  <c r="AU281" i="1"/>
  <c r="AT281" i="1"/>
  <c r="AV280" i="1"/>
  <c r="AU280" i="1"/>
  <c r="AT280" i="1"/>
  <c r="AV279" i="1"/>
  <c r="AU279" i="1"/>
  <c r="AT279" i="1"/>
  <c r="AV278" i="1"/>
  <c r="AU278" i="1"/>
  <c r="AT278" i="1"/>
  <c r="AV277" i="1"/>
  <c r="AU277" i="1"/>
  <c r="AT277" i="1"/>
  <c r="AV276" i="1"/>
  <c r="AU276" i="1"/>
  <c r="AT276" i="1"/>
  <c r="AV275" i="1"/>
  <c r="AU275" i="1"/>
  <c r="AT275" i="1"/>
  <c r="AV274" i="1"/>
  <c r="AU274" i="1"/>
  <c r="AT274" i="1"/>
  <c r="AV273" i="1"/>
  <c r="AU273" i="1"/>
  <c r="AT273" i="1"/>
  <c r="AV272" i="1"/>
  <c r="AU272" i="1"/>
  <c r="AT272" i="1"/>
  <c r="AV271" i="1"/>
  <c r="AU271" i="1"/>
  <c r="AT271" i="1"/>
  <c r="AV270" i="1"/>
  <c r="AU270" i="1"/>
  <c r="AT270" i="1"/>
  <c r="AV269" i="1"/>
  <c r="AU269" i="1"/>
  <c r="AT269" i="1"/>
  <c r="AV268" i="1"/>
  <c r="AU268" i="1"/>
  <c r="AT268" i="1"/>
  <c r="AV267" i="1"/>
  <c r="AU267" i="1"/>
  <c r="AT267" i="1"/>
  <c r="AV266" i="1"/>
  <c r="AU266" i="1"/>
  <c r="AT266" i="1"/>
  <c r="AV265" i="1"/>
  <c r="AU265" i="1"/>
  <c r="AT265" i="1"/>
  <c r="AV264" i="1"/>
  <c r="AU264" i="1"/>
  <c r="AT264" i="1"/>
  <c r="AV263" i="1"/>
  <c r="AU263" i="1"/>
  <c r="AT263" i="1"/>
  <c r="AV262" i="1"/>
  <c r="AU262" i="1"/>
  <c r="AT262" i="1"/>
  <c r="AV261" i="1"/>
  <c r="AU261" i="1"/>
  <c r="AT261" i="1"/>
  <c r="AV260" i="1"/>
  <c r="AU260" i="1"/>
  <c r="AT260" i="1"/>
  <c r="AV259" i="1"/>
  <c r="AU259" i="1"/>
  <c r="AT259" i="1"/>
  <c r="AV258" i="1"/>
  <c r="AU258" i="1"/>
  <c r="AT258" i="1"/>
  <c r="AV257" i="1"/>
  <c r="AU257" i="1"/>
  <c r="AT257" i="1"/>
  <c r="AV256" i="1"/>
  <c r="AU256" i="1"/>
  <c r="AT256" i="1"/>
  <c r="AV255" i="1"/>
  <c r="AU255" i="1"/>
  <c r="AT255" i="1"/>
  <c r="AV254" i="1"/>
  <c r="AU254" i="1"/>
  <c r="AT254" i="1"/>
  <c r="AV253" i="1"/>
  <c r="AU253" i="1"/>
  <c r="AT253" i="1"/>
  <c r="AV252" i="1"/>
  <c r="AU252" i="1"/>
  <c r="AT252" i="1"/>
  <c r="AV251" i="1"/>
  <c r="AU251" i="1"/>
  <c r="AT251" i="1"/>
  <c r="AV250" i="1"/>
  <c r="AU250" i="1"/>
  <c r="AT250" i="1"/>
  <c r="AV249" i="1"/>
  <c r="AU249" i="1"/>
  <c r="AT249" i="1"/>
  <c r="AV248" i="1"/>
  <c r="AU248" i="1"/>
  <c r="AT248" i="1"/>
  <c r="AV247" i="1"/>
  <c r="AU247" i="1"/>
  <c r="AT247" i="1"/>
  <c r="AV246" i="1"/>
  <c r="AU246" i="1"/>
  <c r="AT246" i="1"/>
  <c r="AV245" i="1"/>
  <c r="AU245" i="1"/>
  <c r="AT245" i="1"/>
  <c r="AV244" i="1"/>
  <c r="AU244" i="1"/>
  <c r="AT244" i="1"/>
  <c r="AV243" i="1"/>
  <c r="AU243" i="1"/>
  <c r="AT243" i="1"/>
  <c r="AV242" i="1"/>
  <c r="AU242" i="1"/>
  <c r="AT242" i="1"/>
  <c r="AV241" i="1"/>
  <c r="AU241" i="1"/>
  <c r="AT241" i="1"/>
  <c r="AV240" i="1"/>
  <c r="AU240" i="1"/>
  <c r="AT240" i="1"/>
  <c r="AV239" i="1"/>
  <c r="AU239" i="1"/>
  <c r="AT239" i="1"/>
  <c r="AV238" i="1"/>
  <c r="AU238" i="1"/>
  <c r="AT238" i="1"/>
  <c r="AV237" i="1"/>
  <c r="AU237" i="1"/>
  <c r="AT237" i="1"/>
  <c r="AV236" i="1"/>
  <c r="AU236" i="1"/>
  <c r="AT236" i="1"/>
  <c r="AV235" i="1"/>
  <c r="AU235" i="1"/>
  <c r="AT235" i="1"/>
  <c r="AV234" i="1"/>
  <c r="AU234" i="1"/>
  <c r="AT234" i="1"/>
  <c r="AV233" i="1"/>
  <c r="AU233" i="1"/>
  <c r="AT233" i="1"/>
  <c r="AV232" i="1"/>
  <c r="AU232" i="1"/>
  <c r="AT232" i="1"/>
  <c r="AV231" i="1"/>
  <c r="AU231" i="1"/>
  <c r="AT231" i="1"/>
  <c r="AV230" i="1"/>
  <c r="AU230" i="1"/>
  <c r="AT230" i="1"/>
  <c r="AV229" i="1"/>
  <c r="AU229" i="1"/>
  <c r="AT229" i="1"/>
  <c r="AV228" i="1"/>
  <c r="AU228" i="1"/>
  <c r="AT228" i="1"/>
  <c r="AV227" i="1"/>
  <c r="AU227" i="1"/>
  <c r="AT227" i="1"/>
  <c r="AV226" i="1"/>
  <c r="AU226" i="1"/>
  <c r="AT226" i="1"/>
  <c r="AV225" i="1"/>
  <c r="AU225" i="1"/>
  <c r="AT225" i="1"/>
  <c r="AV224" i="1"/>
  <c r="AU224" i="1"/>
  <c r="AT224" i="1"/>
  <c r="AV223" i="1"/>
  <c r="AU223" i="1"/>
  <c r="AT223" i="1"/>
  <c r="AV222" i="1"/>
  <c r="AU222" i="1"/>
  <c r="AT222" i="1"/>
  <c r="AV221" i="1"/>
  <c r="AU221" i="1"/>
  <c r="AT221" i="1"/>
  <c r="AV220" i="1"/>
  <c r="AU220" i="1"/>
  <c r="AT220" i="1"/>
  <c r="AV219" i="1"/>
  <c r="AU219" i="1"/>
  <c r="AT219" i="1"/>
  <c r="AV218" i="1"/>
  <c r="AU218" i="1"/>
  <c r="AT218" i="1"/>
  <c r="AV217" i="1"/>
  <c r="AU217" i="1"/>
  <c r="AT217" i="1"/>
  <c r="AV216" i="1"/>
  <c r="AU216" i="1"/>
  <c r="AT216" i="1"/>
  <c r="AV215" i="1"/>
  <c r="AU215" i="1"/>
  <c r="AT215" i="1"/>
  <c r="AV214" i="1"/>
  <c r="AU214" i="1"/>
  <c r="AT214" i="1"/>
  <c r="AV213" i="1"/>
  <c r="AU213" i="1"/>
  <c r="AT213" i="1"/>
  <c r="AV212" i="1"/>
  <c r="AU212" i="1"/>
  <c r="AT212" i="1"/>
  <c r="AV211" i="1"/>
  <c r="AU211" i="1"/>
  <c r="AT211" i="1"/>
  <c r="AV210" i="1"/>
  <c r="AU210" i="1"/>
  <c r="AT210" i="1"/>
  <c r="AV209" i="1"/>
  <c r="AU209" i="1"/>
  <c r="AT209" i="1"/>
  <c r="AV208" i="1"/>
  <c r="AU208" i="1"/>
  <c r="AT208" i="1"/>
  <c r="AV207" i="1"/>
  <c r="AU207" i="1"/>
  <c r="AT207" i="1"/>
  <c r="AV206" i="1"/>
  <c r="AU206" i="1"/>
  <c r="AT206" i="1"/>
  <c r="AV205" i="1"/>
  <c r="AU205" i="1"/>
  <c r="AT205" i="1"/>
  <c r="AV204" i="1"/>
  <c r="AU204" i="1"/>
  <c r="AT204" i="1"/>
  <c r="AV203" i="1"/>
  <c r="AU203" i="1"/>
  <c r="AT203" i="1"/>
  <c r="AV202" i="1"/>
  <c r="AU202" i="1"/>
  <c r="AT202" i="1"/>
  <c r="AV201" i="1"/>
  <c r="AU201" i="1"/>
  <c r="AT201" i="1"/>
  <c r="AV200" i="1"/>
  <c r="AU200" i="1"/>
  <c r="AT200" i="1"/>
  <c r="AV199" i="1"/>
  <c r="AU199" i="1"/>
  <c r="AT199" i="1"/>
  <c r="AV198" i="1"/>
  <c r="AU198" i="1"/>
  <c r="AT198" i="1"/>
  <c r="AV197" i="1"/>
  <c r="AU197" i="1"/>
  <c r="AT197" i="1"/>
  <c r="AV196" i="1"/>
  <c r="AU196" i="1"/>
  <c r="AT196" i="1"/>
  <c r="AV195" i="1"/>
  <c r="AU195" i="1"/>
  <c r="AT195" i="1"/>
  <c r="AV194" i="1"/>
  <c r="AU194" i="1"/>
  <c r="AT194" i="1"/>
  <c r="AV193" i="1"/>
  <c r="AU193" i="1"/>
  <c r="AT193" i="1"/>
  <c r="AV192" i="1"/>
  <c r="AU192" i="1"/>
  <c r="AT192" i="1"/>
  <c r="AV191" i="1"/>
  <c r="AU191" i="1"/>
  <c r="AT191" i="1"/>
  <c r="AV190" i="1"/>
  <c r="AU190" i="1"/>
  <c r="AT190" i="1"/>
  <c r="AV189" i="1"/>
  <c r="AU189" i="1"/>
  <c r="AT189" i="1"/>
  <c r="AV188" i="1"/>
  <c r="AU188" i="1"/>
  <c r="AT188" i="1"/>
  <c r="AV187" i="1"/>
  <c r="AU187" i="1"/>
  <c r="AT187" i="1"/>
  <c r="AV186" i="1"/>
  <c r="AU186" i="1"/>
  <c r="AT186" i="1"/>
  <c r="AV185" i="1"/>
  <c r="AU185" i="1"/>
  <c r="AT185" i="1"/>
  <c r="AV184" i="1"/>
  <c r="AU184" i="1"/>
  <c r="AT184" i="1"/>
  <c r="AV183" i="1"/>
  <c r="AU183" i="1"/>
  <c r="AT183" i="1"/>
  <c r="AV182" i="1"/>
  <c r="AU182" i="1"/>
  <c r="AT182" i="1"/>
  <c r="AV181" i="1"/>
  <c r="AU181" i="1"/>
  <c r="AT181" i="1"/>
  <c r="AV180" i="1"/>
  <c r="AU180" i="1"/>
  <c r="AT180" i="1"/>
  <c r="AV179" i="1"/>
  <c r="AU179" i="1"/>
  <c r="AT179" i="1"/>
  <c r="AV178" i="1"/>
  <c r="AU178" i="1"/>
  <c r="AT178" i="1"/>
  <c r="AV177" i="1"/>
  <c r="AU177" i="1"/>
  <c r="AT177" i="1"/>
  <c r="AV176" i="1"/>
  <c r="AU176" i="1"/>
  <c r="AT176" i="1"/>
  <c r="AV175" i="1"/>
  <c r="AU175" i="1"/>
  <c r="AT175" i="1"/>
  <c r="AV174" i="1"/>
  <c r="AU174" i="1"/>
  <c r="AT174" i="1"/>
  <c r="AV173" i="1"/>
  <c r="AU173" i="1"/>
  <c r="AT173" i="1"/>
  <c r="AV172" i="1"/>
  <c r="AU172" i="1"/>
  <c r="AT172" i="1"/>
  <c r="AV171" i="1"/>
  <c r="AU171" i="1"/>
  <c r="AT171" i="1"/>
  <c r="AV170" i="1"/>
  <c r="AU170" i="1"/>
  <c r="AT170" i="1"/>
  <c r="AV169" i="1"/>
  <c r="AU169" i="1"/>
  <c r="AT169" i="1"/>
  <c r="AV168" i="1"/>
  <c r="AU168" i="1"/>
  <c r="AT168" i="1"/>
  <c r="AV167" i="1"/>
  <c r="AU167" i="1"/>
  <c r="AT167" i="1"/>
  <c r="AV166" i="1"/>
  <c r="AU166" i="1"/>
  <c r="AT166" i="1"/>
  <c r="AV165" i="1"/>
  <c r="AU165" i="1"/>
  <c r="AT165" i="1"/>
  <c r="AV164" i="1"/>
  <c r="AU164" i="1"/>
  <c r="AT164" i="1"/>
  <c r="AV163" i="1"/>
  <c r="AU163" i="1"/>
  <c r="AT163" i="1"/>
  <c r="AV162" i="1"/>
  <c r="AU162" i="1"/>
  <c r="AT162" i="1"/>
  <c r="AV161" i="1"/>
  <c r="AU161" i="1"/>
  <c r="AT161" i="1"/>
  <c r="AV160" i="1"/>
  <c r="AU160" i="1"/>
  <c r="AT160" i="1"/>
  <c r="AV159" i="1"/>
  <c r="AU159" i="1"/>
  <c r="AT159" i="1"/>
  <c r="AV158" i="1"/>
  <c r="AU158" i="1"/>
  <c r="AT158" i="1"/>
  <c r="AV157" i="1"/>
  <c r="AU157" i="1"/>
  <c r="AT157" i="1"/>
  <c r="AV156" i="1"/>
  <c r="AU156" i="1"/>
  <c r="AT156" i="1"/>
  <c r="AV155" i="1"/>
  <c r="AU155" i="1"/>
  <c r="AT155" i="1"/>
  <c r="AV154" i="1"/>
  <c r="AU154" i="1"/>
  <c r="AT154" i="1"/>
  <c r="AV153" i="1"/>
  <c r="AU153" i="1"/>
  <c r="AT153" i="1"/>
  <c r="AV152" i="1"/>
  <c r="AU152" i="1"/>
  <c r="AT152" i="1"/>
  <c r="AV151" i="1"/>
  <c r="AU151" i="1"/>
  <c r="AT151" i="1"/>
  <c r="AV150" i="1"/>
  <c r="AU150" i="1"/>
  <c r="AT150" i="1"/>
  <c r="AV149" i="1"/>
  <c r="AU149" i="1"/>
  <c r="AT149" i="1"/>
  <c r="AV148" i="1"/>
  <c r="AU148" i="1"/>
  <c r="AT148" i="1"/>
  <c r="AV147" i="1"/>
  <c r="AU147" i="1"/>
  <c r="AT147" i="1"/>
  <c r="AV146" i="1"/>
  <c r="AU146" i="1"/>
  <c r="AT146" i="1"/>
  <c r="AV145" i="1"/>
  <c r="AU145" i="1"/>
  <c r="AT145" i="1"/>
  <c r="AV144" i="1"/>
  <c r="AU144" i="1"/>
  <c r="AT144" i="1"/>
  <c r="AV143" i="1"/>
  <c r="AU143" i="1"/>
  <c r="AT143" i="1"/>
  <c r="AV142" i="1"/>
  <c r="AU142" i="1"/>
  <c r="AT142" i="1"/>
  <c r="AV141" i="1"/>
  <c r="AU141" i="1"/>
  <c r="AT141" i="1"/>
  <c r="AV140" i="1"/>
  <c r="AU140" i="1"/>
  <c r="AT140" i="1"/>
  <c r="AV139" i="1"/>
  <c r="AU139" i="1"/>
  <c r="AT139" i="1"/>
  <c r="AV138" i="1"/>
  <c r="AU138" i="1"/>
  <c r="AT138" i="1"/>
  <c r="AV137" i="1"/>
  <c r="AU137" i="1"/>
  <c r="AT137" i="1"/>
  <c r="AV136" i="1"/>
  <c r="AU136" i="1"/>
  <c r="AT136" i="1"/>
  <c r="AV135" i="1"/>
  <c r="AU135" i="1"/>
  <c r="AT135" i="1"/>
  <c r="AV134" i="1"/>
  <c r="AU134" i="1"/>
  <c r="AT134" i="1"/>
  <c r="AV133" i="1"/>
  <c r="AU133" i="1"/>
  <c r="AT133" i="1"/>
  <c r="AV132" i="1"/>
  <c r="AU132" i="1"/>
  <c r="AT132" i="1"/>
  <c r="AV131" i="1"/>
  <c r="AU131" i="1"/>
  <c r="AT131" i="1"/>
  <c r="AV130" i="1"/>
  <c r="AU130" i="1"/>
  <c r="AT130" i="1"/>
  <c r="AV129" i="1"/>
  <c r="AU129" i="1"/>
  <c r="AT129" i="1"/>
  <c r="AV128" i="1"/>
  <c r="AU128" i="1"/>
  <c r="AT128" i="1"/>
  <c r="AV127" i="1"/>
  <c r="AU127" i="1"/>
  <c r="AT127" i="1"/>
  <c r="AV126" i="1"/>
  <c r="AU126" i="1"/>
  <c r="AT126" i="1"/>
  <c r="AV125" i="1"/>
  <c r="AU125" i="1"/>
  <c r="AT125" i="1"/>
  <c r="AV124" i="1"/>
  <c r="AU124" i="1"/>
  <c r="AT124" i="1"/>
  <c r="AV123" i="1"/>
  <c r="AU123" i="1"/>
  <c r="AT123" i="1"/>
  <c r="AV122" i="1"/>
  <c r="AU122" i="1"/>
  <c r="AT122" i="1"/>
  <c r="AV121" i="1"/>
  <c r="AU121" i="1"/>
  <c r="AT121" i="1"/>
  <c r="AV120" i="1"/>
  <c r="AU120" i="1"/>
  <c r="AT120" i="1"/>
  <c r="AV119" i="1"/>
  <c r="AU119" i="1"/>
  <c r="AT119" i="1"/>
  <c r="AV118" i="1"/>
  <c r="AU118" i="1"/>
  <c r="AT118" i="1"/>
  <c r="AV117" i="1"/>
  <c r="AU117" i="1"/>
  <c r="AT117" i="1"/>
  <c r="AV116" i="1"/>
  <c r="AU116" i="1"/>
  <c r="AT116" i="1"/>
  <c r="AV115" i="1"/>
  <c r="AU115" i="1"/>
  <c r="AT115" i="1"/>
  <c r="AV114" i="1"/>
  <c r="AU114" i="1"/>
  <c r="AT114" i="1"/>
  <c r="AV113" i="1"/>
  <c r="AU113" i="1"/>
  <c r="AT113" i="1"/>
  <c r="AV112" i="1"/>
  <c r="AU112" i="1"/>
  <c r="AT112" i="1"/>
  <c r="AV111" i="1"/>
  <c r="AU111" i="1"/>
  <c r="AT111" i="1"/>
  <c r="AV110" i="1"/>
  <c r="AU110" i="1"/>
  <c r="AT110" i="1"/>
  <c r="AV109" i="1"/>
  <c r="AU109" i="1"/>
  <c r="AT109" i="1"/>
  <c r="AV108" i="1"/>
  <c r="AU108" i="1"/>
  <c r="AT108" i="1"/>
  <c r="AV107" i="1"/>
  <c r="AU107" i="1"/>
  <c r="AT107" i="1"/>
  <c r="AV106" i="1"/>
  <c r="AU106" i="1"/>
  <c r="AT106" i="1"/>
  <c r="AV105" i="1"/>
  <c r="AU105" i="1"/>
  <c r="AT105" i="1"/>
  <c r="AV104" i="1"/>
  <c r="AU104" i="1"/>
  <c r="AT104" i="1"/>
  <c r="AV103" i="1"/>
  <c r="AU103" i="1"/>
  <c r="AT103" i="1"/>
  <c r="AV102" i="1"/>
  <c r="AU102" i="1"/>
  <c r="AT102" i="1"/>
  <c r="AV101" i="1"/>
  <c r="AU101" i="1"/>
  <c r="AT101" i="1"/>
  <c r="AV100" i="1"/>
  <c r="AU100" i="1"/>
  <c r="AT100" i="1"/>
  <c r="AV99" i="1"/>
  <c r="AU99" i="1"/>
  <c r="AT99" i="1"/>
  <c r="AV98" i="1"/>
  <c r="AU98" i="1"/>
  <c r="AT98" i="1"/>
  <c r="AV97" i="1"/>
  <c r="AU97" i="1"/>
  <c r="AT97" i="1"/>
  <c r="AV96" i="1"/>
  <c r="AU96" i="1"/>
  <c r="AT96" i="1"/>
  <c r="AV95" i="1"/>
  <c r="AU95" i="1"/>
  <c r="AT95" i="1"/>
  <c r="AV94" i="1"/>
  <c r="AU94" i="1"/>
  <c r="AT94" i="1"/>
  <c r="AV93" i="1"/>
  <c r="AU93" i="1"/>
  <c r="AT93" i="1"/>
  <c r="AV92" i="1"/>
  <c r="AU92" i="1"/>
  <c r="AT92" i="1"/>
  <c r="AV91" i="1"/>
  <c r="AU91" i="1"/>
  <c r="AT91" i="1"/>
  <c r="AV90" i="1"/>
  <c r="AU90" i="1"/>
  <c r="AT90" i="1"/>
  <c r="AV89" i="1"/>
  <c r="AU89" i="1"/>
  <c r="AT89" i="1"/>
  <c r="AV88" i="1"/>
  <c r="AU88" i="1"/>
  <c r="AT88" i="1"/>
  <c r="AV87" i="1"/>
  <c r="AU87" i="1"/>
  <c r="AT87" i="1"/>
  <c r="AV86" i="1"/>
  <c r="AU86" i="1"/>
  <c r="AT86" i="1"/>
  <c r="AV85" i="1"/>
  <c r="AU85" i="1"/>
  <c r="AT85" i="1"/>
  <c r="AV84" i="1"/>
  <c r="AU84" i="1"/>
  <c r="AT84" i="1"/>
  <c r="AV83" i="1"/>
  <c r="AU83" i="1"/>
  <c r="AT83" i="1"/>
  <c r="AV82" i="1"/>
  <c r="AU82" i="1"/>
  <c r="AT82" i="1"/>
  <c r="AV81" i="1"/>
  <c r="AU81" i="1"/>
  <c r="AT81" i="1"/>
  <c r="AV80" i="1"/>
  <c r="AU80" i="1"/>
  <c r="AT80" i="1"/>
  <c r="AV79" i="1"/>
  <c r="AU79" i="1"/>
  <c r="AT79" i="1"/>
  <c r="AV78" i="1"/>
  <c r="AU78" i="1"/>
  <c r="AT78" i="1"/>
  <c r="AV77" i="1"/>
  <c r="AU77" i="1"/>
  <c r="AT77" i="1"/>
  <c r="AV76" i="1"/>
  <c r="AU76" i="1"/>
  <c r="AT76" i="1"/>
  <c r="AV75" i="1"/>
  <c r="AU75" i="1"/>
  <c r="AT75" i="1"/>
  <c r="AV74" i="1"/>
  <c r="AU74" i="1"/>
  <c r="AT74" i="1"/>
  <c r="AV73" i="1"/>
  <c r="AU73" i="1"/>
  <c r="AT73" i="1"/>
  <c r="AV72" i="1"/>
  <c r="AU72" i="1"/>
  <c r="AT72" i="1"/>
  <c r="AV71" i="1"/>
  <c r="AU71" i="1"/>
  <c r="AT71" i="1"/>
  <c r="AV70" i="1"/>
  <c r="AU70" i="1"/>
  <c r="AT70" i="1"/>
  <c r="AV69" i="1"/>
  <c r="AU69" i="1"/>
  <c r="AT69" i="1"/>
  <c r="AV68" i="1"/>
  <c r="AU68" i="1"/>
  <c r="AT68" i="1"/>
  <c r="AV67" i="1"/>
  <c r="AU67" i="1"/>
  <c r="AT67" i="1"/>
  <c r="AV66" i="1"/>
  <c r="AU66" i="1"/>
  <c r="AT66" i="1"/>
  <c r="AV65" i="1"/>
  <c r="AU65" i="1"/>
  <c r="AT65" i="1"/>
  <c r="AV64" i="1"/>
  <c r="AU64" i="1"/>
  <c r="AT64" i="1"/>
  <c r="AV63" i="1"/>
  <c r="AU63" i="1"/>
  <c r="AT63" i="1"/>
  <c r="AV62" i="1"/>
  <c r="AU62" i="1"/>
  <c r="AT62" i="1"/>
  <c r="AV61" i="1"/>
  <c r="AU61" i="1"/>
  <c r="AT61" i="1"/>
  <c r="AV60" i="1"/>
  <c r="AU60" i="1"/>
  <c r="AT60" i="1"/>
  <c r="AV59" i="1"/>
  <c r="AU59" i="1"/>
  <c r="AT59" i="1"/>
  <c r="AV58" i="1"/>
  <c r="AU58" i="1"/>
  <c r="AT58" i="1"/>
  <c r="AV57" i="1"/>
  <c r="AU57" i="1"/>
  <c r="AT57" i="1"/>
  <c r="AV56" i="1"/>
  <c r="AU56" i="1"/>
  <c r="AT56" i="1"/>
  <c r="AV55" i="1"/>
  <c r="AU55" i="1"/>
  <c r="AT55" i="1"/>
  <c r="AV54" i="1"/>
  <c r="AU54" i="1"/>
  <c r="AT54" i="1"/>
  <c r="AV53" i="1"/>
  <c r="AU53" i="1"/>
  <c r="AT53" i="1"/>
  <c r="AV52" i="1"/>
  <c r="AU52" i="1"/>
  <c r="AT52" i="1"/>
  <c r="AV51" i="1"/>
  <c r="AU51" i="1"/>
  <c r="AT51" i="1"/>
  <c r="AV50" i="1"/>
  <c r="AU50" i="1"/>
  <c r="AT50" i="1"/>
  <c r="AV49" i="1"/>
  <c r="AU49" i="1"/>
  <c r="AT49" i="1"/>
  <c r="AV48" i="1"/>
  <c r="AU48" i="1"/>
  <c r="AT48" i="1"/>
  <c r="AV47" i="1"/>
  <c r="AU47" i="1"/>
  <c r="AT47" i="1"/>
  <c r="AV46" i="1"/>
  <c r="AU46" i="1"/>
  <c r="AT46" i="1"/>
  <c r="AV45" i="1"/>
  <c r="AU45" i="1"/>
  <c r="AT45" i="1"/>
  <c r="AV44" i="1"/>
  <c r="AU44" i="1"/>
  <c r="AT44" i="1"/>
  <c r="AV43" i="1"/>
  <c r="AU43" i="1"/>
  <c r="AT43" i="1"/>
  <c r="AV42" i="1"/>
  <c r="AU42" i="1"/>
  <c r="AT42" i="1"/>
  <c r="AV41" i="1"/>
  <c r="AU41" i="1"/>
  <c r="AT41" i="1"/>
  <c r="AV40" i="1"/>
  <c r="AU40" i="1"/>
  <c r="AT40" i="1"/>
  <c r="AV39" i="1"/>
  <c r="AU39" i="1"/>
  <c r="AT39" i="1"/>
  <c r="AV38" i="1"/>
  <c r="AU38" i="1"/>
  <c r="AT38" i="1"/>
  <c r="AV37" i="1"/>
  <c r="AU37" i="1"/>
  <c r="AT37" i="1"/>
  <c r="AV36" i="1"/>
  <c r="AU36" i="1"/>
  <c r="AT36" i="1"/>
  <c r="AV35" i="1"/>
  <c r="AU35" i="1"/>
  <c r="AT35" i="1"/>
  <c r="AV34" i="1"/>
  <c r="AU34" i="1"/>
  <c r="AT34" i="1"/>
  <c r="AV33" i="1"/>
  <c r="AU33" i="1"/>
  <c r="AT33" i="1"/>
  <c r="AV32" i="1"/>
  <c r="AU32" i="1"/>
  <c r="AT32" i="1"/>
  <c r="AV31" i="1"/>
  <c r="AU31" i="1"/>
  <c r="AT31" i="1"/>
  <c r="AV30" i="1"/>
  <c r="AU30" i="1"/>
  <c r="AT30" i="1"/>
  <c r="AV29" i="1"/>
  <c r="AU29" i="1"/>
  <c r="AT29" i="1"/>
  <c r="AV28" i="1"/>
  <c r="AU28" i="1"/>
  <c r="AT28" i="1"/>
  <c r="AV27" i="1"/>
  <c r="AU27" i="1"/>
  <c r="AT27" i="1"/>
  <c r="AV26" i="1"/>
  <c r="AU26" i="1"/>
  <c r="AT26" i="1"/>
  <c r="AV25" i="1"/>
  <c r="AU25" i="1"/>
  <c r="AT25" i="1"/>
  <c r="AV24" i="1"/>
  <c r="AU24" i="1"/>
  <c r="AT24" i="1"/>
  <c r="AV23" i="1"/>
  <c r="AU23" i="1"/>
  <c r="AT23" i="1"/>
  <c r="AV22" i="1"/>
  <c r="AU22" i="1"/>
  <c r="AT22" i="1"/>
  <c r="AV21" i="1"/>
  <c r="AU21" i="1"/>
  <c r="AT21" i="1"/>
  <c r="AV20" i="1"/>
  <c r="AU20" i="1"/>
  <c r="AT20" i="1"/>
  <c r="AV19" i="1"/>
  <c r="AU19" i="1"/>
  <c r="AT19" i="1"/>
  <c r="AV18" i="1"/>
  <c r="AU18" i="1"/>
  <c r="AT18" i="1"/>
  <c r="AV17" i="1"/>
  <c r="AU17" i="1"/>
  <c r="AT17" i="1"/>
  <c r="AV16" i="1"/>
  <c r="AU16" i="1"/>
  <c r="AT16" i="1"/>
  <c r="AV15" i="1"/>
  <c r="AU15" i="1"/>
  <c r="AT15" i="1"/>
  <c r="AV14" i="1"/>
  <c r="AU14" i="1"/>
  <c r="AT14" i="1"/>
  <c r="AV13" i="1"/>
  <c r="AU13" i="1"/>
  <c r="AT13" i="1"/>
  <c r="AV12" i="1"/>
  <c r="AU12" i="1"/>
  <c r="AT12" i="1"/>
  <c r="AV11" i="1"/>
  <c r="AU11" i="1"/>
  <c r="AT11" i="1"/>
  <c r="AV10" i="1"/>
  <c r="AU10" i="1"/>
  <c r="AT10" i="1"/>
  <c r="AV9" i="1"/>
  <c r="AU9" i="1"/>
  <c r="AT9" i="1"/>
  <c r="AV8" i="1"/>
  <c r="AU8" i="1"/>
  <c r="AT8" i="1"/>
  <c r="AV7" i="1"/>
  <c r="AU7" i="1"/>
  <c r="AT7" i="1"/>
  <c r="AV6" i="1"/>
  <c r="AU6" i="1"/>
  <c r="AT6" i="1"/>
  <c r="AS605" i="1"/>
  <c r="AR605" i="1"/>
  <c r="AP605" i="1"/>
  <c r="AO605" i="1"/>
  <c r="AN605" i="1"/>
  <c r="AM605" i="1"/>
  <c r="AL605" i="1"/>
  <c r="AS604" i="1"/>
  <c r="AR604" i="1"/>
  <c r="AP604" i="1"/>
  <c r="AO604" i="1"/>
  <c r="AN604" i="1"/>
  <c r="AM604" i="1"/>
  <c r="AL604" i="1"/>
  <c r="AS603" i="1"/>
  <c r="AR603" i="1"/>
  <c r="AP603" i="1"/>
  <c r="AO603" i="1"/>
  <c r="AN603" i="1"/>
  <c r="AM603" i="1"/>
  <c r="AL603" i="1"/>
  <c r="AS602" i="1"/>
  <c r="AR602" i="1"/>
  <c r="AP602" i="1"/>
  <c r="AO602" i="1"/>
  <c r="AN602" i="1"/>
  <c r="AM602" i="1"/>
  <c r="AL602" i="1"/>
  <c r="AS601" i="1"/>
  <c r="AR601" i="1"/>
  <c r="AP601" i="1"/>
  <c r="AO601" i="1"/>
  <c r="AN601" i="1"/>
  <c r="AM601" i="1"/>
  <c r="AL601" i="1"/>
  <c r="AS600" i="1"/>
  <c r="AR600" i="1"/>
  <c r="AP600" i="1"/>
  <c r="AO600" i="1"/>
  <c r="AN600" i="1"/>
  <c r="AM600" i="1"/>
  <c r="AL600" i="1"/>
  <c r="AS599" i="1"/>
  <c r="AR599" i="1"/>
  <c r="AP599" i="1"/>
  <c r="AO599" i="1"/>
  <c r="AN599" i="1"/>
  <c r="AM599" i="1"/>
  <c r="AL599" i="1"/>
  <c r="AS598" i="1"/>
  <c r="AR598" i="1"/>
  <c r="AP598" i="1"/>
  <c r="AO598" i="1"/>
  <c r="AN598" i="1"/>
  <c r="AM598" i="1"/>
  <c r="AL598" i="1"/>
  <c r="AS597" i="1"/>
  <c r="AR597" i="1"/>
  <c r="AP597" i="1"/>
  <c r="AO597" i="1"/>
  <c r="AN597" i="1"/>
  <c r="AM597" i="1"/>
  <c r="AL597" i="1"/>
  <c r="AS596" i="1"/>
  <c r="AR596" i="1"/>
  <c r="AP596" i="1"/>
  <c r="AO596" i="1"/>
  <c r="AN596" i="1"/>
  <c r="AM596" i="1"/>
  <c r="AL596" i="1"/>
  <c r="AS595" i="1"/>
  <c r="AR595" i="1"/>
  <c r="AP595" i="1"/>
  <c r="AO595" i="1"/>
  <c r="AN595" i="1"/>
  <c r="AM595" i="1"/>
  <c r="AL595" i="1"/>
  <c r="AS594" i="1"/>
  <c r="AR594" i="1"/>
  <c r="AP594" i="1"/>
  <c r="AO594" i="1"/>
  <c r="AN594" i="1"/>
  <c r="AM594" i="1"/>
  <c r="AL594" i="1"/>
  <c r="AS593" i="1"/>
  <c r="AR593" i="1"/>
  <c r="AP593" i="1"/>
  <c r="AO593" i="1"/>
  <c r="AN593" i="1"/>
  <c r="AM593" i="1"/>
  <c r="AL593" i="1"/>
  <c r="AS592" i="1"/>
  <c r="AR592" i="1"/>
  <c r="AP592" i="1"/>
  <c r="AO592" i="1"/>
  <c r="AN592" i="1"/>
  <c r="AM592" i="1"/>
  <c r="AL592" i="1"/>
  <c r="AS591" i="1"/>
  <c r="AR591" i="1"/>
  <c r="AP591" i="1"/>
  <c r="AO591" i="1"/>
  <c r="AN591" i="1"/>
  <c r="AM591" i="1"/>
  <c r="AL591" i="1"/>
  <c r="AS590" i="1"/>
  <c r="AR590" i="1"/>
  <c r="AP590" i="1"/>
  <c r="AO590" i="1"/>
  <c r="AN590" i="1"/>
  <c r="AM590" i="1"/>
  <c r="AL590" i="1"/>
  <c r="AS589" i="1"/>
  <c r="AR589" i="1"/>
  <c r="AP589" i="1"/>
  <c r="AO589" i="1"/>
  <c r="AN589" i="1"/>
  <c r="AM589" i="1"/>
  <c r="AL589" i="1"/>
  <c r="AS588" i="1"/>
  <c r="AR588" i="1"/>
  <c r="AP588" i="1"/>
  <c r="AO588" i="1"/>
  <c r="AN588" i="1"/>
  <c r="AM588" i="1"/>
  <c r="AL588" i="1"/>
  <c r="AS587" i="1"/>
  <c r="AR587" i="1"/>
  <c r="AP587" i="1"/>
  <c r="AO587" i="1"/>
  <c r="AN587" i="1"/>
  <c r="AM587" i="1"/>
  <c r="AL587" i="1"/>
  <c r="AS586" i="1"/>
  <c r="AR586" i="1"/>
  <c r="AP586" i="1"/>
  <c r="AO586" i="1"/>
  <c r="AN586" i="1"/>
  <c r="AM586" i="1"/>
  <c r="AL586" i="1"/>
  <c r="AS585" i="1"/>
  <c r="AR585" i="1"/>
  <c r="AP585" i="1"/>
  <c r="AO585" i="1"/>
  <c r="AN585" i="1"/>
  <c r="AM585" i="1"/>
  <c r="AL585" i="1"/>
  <c r="AS584" i="1"/>
  <c r="AR584" i="1"/>
  <c r="AP584" i="1"/>
  <c r="AO584" i="1"/>
  <c r="AN584" i="1"/>
  <c r="AM584" i="1"/>
  <c r="AL584" i="1"/>
  <c r="AS583" i="1"/>
  <c r="AR583" i="1"/>
  <c r="AP583" i="1"/>
  <c r="AO583" i="1"/>
  <c r="AN583" i="1"/>
  <c r="AM583" i="1"/>
  <c r="AL583" i="1"/>
  <c r="AS582" i="1"/>
  <c r="AR582" i="1"/>
  <c r="AP582" i="1"/>
  <c r="AO582" i="1"/>
  <c r="AN582" i="1"/>
  <c r="AM582" i="1"/>
  <c r="AL582" i="1"/>
  <c r="AS581" i="1"/>
  <c r="AR581" i="1"/>
  <c r="AP581" i="1"/>
  <c r="AO581" i="1"/>
  <c r="AN581" i="1"/>
  <c r="AM581" i="1"/>
  <c r="AL581" i="1"/>
  <c r="AS580" i="1"/>
  <c r="AR580" i="1"/>
  <c r="AP580" i="1"/>
  <c r="AO580" i="1"/>
  <c r="AN580" i="1"/>
  <c r="AM580" i="1"/>
  <c r="AL580" i="1"/>
  <c r="AS579" i="1"/>
  <c r="AR579" i="1"/>
  <c r="AP579" i="1"/>
  <c r="AO579" i="1"/>
  <c r="AN579" i="1"/>
  <c r="AM579" i="1"/>
  <c r="AL579" i="1"/>
  <c r="AS578" i="1"/>
  <c r="AR578" i="1"/>
  <c r="AP578" i="1"/>
  <c r="AO578" i="1"/>
  <c r="AN578" i="1"/>
  <c r="AM578" i="1"/>
  <c r="AL578" i="1"/>
  <c r="AS577" i="1"/>
  <c r="AR577" i="1"/>
  <c r="AP577" i="1"/>
  <c r="AO577" i="1"/>
  <c r="AN577" i="1"/>
  <c r="AM577" i="1"/>
  <c r="AL577" i="1"/>
  <c r="AS576" i="1"/>
  <c r="AR576" i="1"/>
  <c r="AP576" i="1"/>
  <c r="AO576" i="1"/>
  <c r="AN576" i="1"/>
  <c r="AM576" i="1"/>
  <c r="AL576" i="1"/>
  <c r="AS575" i="1"/>
  <c r="AR575" i="1"/>
  <c r="AP575" i="1"/>
  <c r="AO575" i="1"/>
  <c r="AN575" i="1"/>
  <c r="AM575" i="1"/>
  <c r="AL575" i="1"/>
  <c r="AS574" i="1"/>
  <c r="AR574" i="1"/>
  <c r="AP574" i="1"/>
  <c r="AO574" i="1"/>
  <c r="AN574" i="1"/>
  <c r="AM574" i="1"/>
  <c r="AL574" i="1"/>
  <c r="AS573" i="1"/>
  <c r="AR573" i="1"/>
  <c r="AP573" i="1"/>
  <c r="AO573" i="1"/>
  <c r="AN573" i="1"/>
  <c r="AM573" i="1"/>
  <c r="AL573" i="1"/>
  <c r="AS572" i="1"/>
  <c r="AR572" i="1"/>
  <c r="AP572" i="1"/>
  <c r="AO572" i="1"/>
  <c r="AN572" i="1"/>
  <c r="AM572" i="1"/>
  <c r="AL572" i="1"/>
  <c r="AS571" i="1"/>
  <c r="AR571" i="1"/>
  <c r="AP571" i="1"/>
  <c r="AO571" i="1"/>
  <c r="AN571" i="1"/>
  <c r="AM571" i="1"/>
  <c r="AL571" i="1"/>
  <c r="AS570" i="1"/>
  <c r="AR570" i="1"/>
  <c r="AP570" i="1"/>
  <c r="AO570" i="1"/>
  <c r="AN570" i="1"/>
  <c r="AM570" i="1"/>
  <c r="AL570" i="1"/>
  <c r="AS569" i="1"/>
  <c r="AR569" i="1"/>
  <c r="AP569" i="1"/>
  <c r="AO569" i="1"/>
  <c r="AN569" i="1"/>
  <c r="AM569" i="1"/>
  <c r="AL569" i="1"/>
  <c r="AS568" i="1"/>
  <c r="AR568" i="1"/>
  <c r="AP568" i="1"/>
  <c r="AO568" i="1"/>
  <c r="AN568" i="1"/>
  <c r="AM568" i="1"/>
  <c r="AL568" i="1"/>
  <c r="AS567" i="1"/>
  <c r="AR567" i="1"/>
  <c r="AP567" i="1"/>
  <c r="AO567" i="1"/>
  <c r="AN567" i="1"/>
  <c r="AM567" i="1"/>
  <c r="AL567" i="1"/>
  <c r="AS566" i="1"/>
  <c r="AR566" i="1"/>
  <c r="AP566" i="1"/>
  <c r="AO566" i="1"/>
  <c r="AN566" i="1"/>
  <c r="AM566" i="1"/>
  <c r="AL566" i="1"/>
  <c r="AS565" i="1"/>
  <c r="AR565" i="1"/>
  <c r="AP565" i="1"/>
  <c r="AO565" i="1"/>
  <c r="AN565" i="1"/>
  <c r="AM565" i="1"/>
  <c r="AL565" i="1"/>
  <c r="AS564" i="1"/>
  <c r="AR564" i="1"/>
  <c r="AP564" i="1"/>
  <c r="AO564" i="1"/>
  <c r="AN564" i="1"/>
  <c r="AM564" i="1"/>
  <c r="AL564" i="1"/>
  <c r="AS563" i="1"/>
  <c r="AR563" i="1"/>
  <c r="AP563" i="1"/>
  <c r="AO563" i="1"/>
  <c r="AN563" i="1"/>
  <c r="AM563" i="1"/>
  <c r="AL563" i="1"/>
  <c r="AS562" i="1"/>
  <c r="AR562" i="1"/>
  <c r="AP562" i="1"/>
  <c r="AO562" i="1"/>
  <c r="AN562" i="1"/>
  <c r="AM562" i="1"/>
  <c r="AL562" i="1"/>
  <c r="AS561" i="1"/>
  <c r="AR561" i="1"/>
  <c r="AP561" i="1"/>
  <c r="AO561" i="1"/>
  <c r="AN561" i="1"/>
  <c r="AM561" i="1"/>
  <c r="AL561" i="1"/>
  <c r="AS560" i="1"/>
  <c r="AR560" i="1"/>
  <c r="AP560" i="1"/>
  <c r="AO560" i="1"/>
  <c r="AN560" i="1"/>
  <c r="AM560" i="1"/>
  <c r="AL560" i="1"/>
  <c r="AS559" i="1"/>
  <c r="AR559" i="1"/>
  <c r="AP559" i="1"/>
  <c r="AO559" i="1"/>
  <c r="AN559" i="1"/>
  <c r="AM559" i="1"/>
  <c r="AL559" i="1"/>
  <c r="AS558" i="1"/>
  <c r="AR558" i="1"/>
  <c r="AP558" i="1"/>
  <c r="AO558" i="1"/>
  <c r="AN558" i="1"/>
  <c r="AM558" i="1"/>
  <c r="AL558" i="1"/>
  <c r="AS557" i="1"/>
  <c r="AR557" i="1"/>
  <c r="AP557" i="1"/>
  <c r="AO557" i="1"/>
  <c r="AN557" i="1"/>
  <c r="AM557" i="1"/>
  <c r="AL557" i="1"/>
  <c r="AS556" i="1"/>
  <c r="AR556" i="1"/>
  <c r="AP556" i="1"/>
  <c r="AO556" i="1"/>
  <c r="AN556" i="1"/>
  <c r="AM556" i="1"/>
  <c r="AL556" i="1"/>
  <c r="AS555" i="1"/>
  <c r="AR555" i="1"/>
  <c r="AP555" i="1"/>
  <c r="AO555" i="1"/>
  <c r="AN555" i="1"/>
  <c r="AM555" i="1"/>
  <c r="AL555" i="1"/>
  <c r="AS554" i="1"/>
  <c r="AR554" i="1"/>
  <c r="AP554" i="1"/>
  <c r="AO554" i="1"/>
  <c r="AN554" i="1"/>
  <c r="AM554" i="1"/>
  <c r="AL554" i="1"/>
  <c r="AS553" i="1"/>
  <c r="AR553" i="1"/>
  <c r="AP553" i="1"/>
  <c r="AO553" i="1"/>
  <c r="AN553" i="1"/>
  <c r="AM553" i="1"/>
  <c r="AL553" i="1"/>
  <c r="AS552" i="1"/>
  <c r="AR552" i="1"/>
  <c r="AP552" i="1"/>
  <c r="AO552" i="1"/>
  <c r="AN552" i="1"/>
  <c r="AM552" i="1"/>
  <c r="AL552" i="1"/>
  <c r="AS551" i="1"/>
  <c r="AR551" i="1"/>
  <c r="AP551" i="1"/>
  <c r="AO551" i="1"/>
  <c r="AN551" i="1"/>
  <c r="AM551" i="1"/>
  <c r="AL551" i="1"/>
  <c r="AS550" i="1"/>
  <c r="AR550" i="1"/>
  <c r="AP550" i="1"/>
  <c r="AO550" i="1"/>
  <c r="AN550" i="1"/>
  <c r="AM550" i="1"/>
  <c r="AL550" i="1"/>
  <c r="AS549" i="1"/>
  <c r="AR549" i="1"/>
  <c r="AP549" i="1"/>
  <c r="AO549" i="1"/>
  <c r="AN549" i="1"/>
  <c r="AM549" i="1"/>
  <c r="AL549" i="1"/>
  <c r="AS548" i="1"/>
  <c r="AR548" i="1"/>
  <c r="AP548" i="1"/>
  <c r="AO548" i="1"/>
  <c r="AN548" i="1"/>
  <c r="AM548" i="1"/>
  <c r="AL548" i="1"/>
  <c r="AS547" i="1"/>
  <c r="AR547" i="1"/>
  <c r="AP547" i="1"/>
  <c r="AO547" i="1"/>
  <c r="AN547" i="1"/>
  <c r="AM547" i="1"/>
  <c r="AL547" i="1"/>
  <c r="AS546" i="1"/>
  <c r="AR546" i="1"/>
  <c r="AP546" i="1"/>
  <c r="AO546" i="1"/>
  <c r="AN546" i="1"/>
  <c r="AM546" i="1"/>
  <c r="AL546" i="1"/>
  <c r="AS545" i="1"/>
  <c r="AR545" i="1"/>
  <c r="AP545" i="1"/>
  <c r="AO545" i="1"/>
  <c r="AN545" i="1"/>
  <c r="AM545" i="1"/>
  <c r="AL545" i="1"/>
  <c r="AS544" i="1"/>
  <c r="AR544" i="1"/>
  <c r="AP544" i="1"/>
  <c r="AO544" i="1"/>
  <c r="AN544" i="1"/>
  <c r="AM544" i="1"/>
  <c r="AL544" i="1"/>
  <c r="AS543" i="1"/>
  <c r="AR543" i="1"/>
  <c r="AP543" i="1"/>
  <c r="AO543" i="1"/>
  <c r="AN543" i="1"/>
  <c r="AM543" i="1"/>
  <c r="AL543" i="1"/>
  <c r="AS542" i="1"/>
  <c r="AR542" i="1"/>
  <c r="AP542" i="1"/>
  <c r="AO542" i="1"/>
  <c r="AN542" i="1"/>
  <c r="AM542" i="1"/>
  <c r="AL542" i="1"/>
  <c r="AS541" i="1"/>
  <c r="AR541" i="1"/>
  <c r="AP541" i="1"/>
  <c r="AO541" i="1"/>
  <c r="AN541" i="1"/>
  <c r="AM541" i="1"/>
  <c r="AL541" i="1"/>
  <c r="AS540" i="1"/>
  <c r="AR540" i="1"/>
  <c r="AP540" i="1"/>
  <c r="AO540" i="1"/>
  <c r="AN540" i="1"/>
  <c r="AM540" i="1"/>
  <c r="AL540" i="1"/>
  <c r="AS539" i="1"/>
  <c r="AR539" i="1"/>
  <c r="AP539" i="1"/>
  <c r="AO539" i="1"/>
  <c r="AN539" i="1"/>
  <c r="AM539" i="1"/>
  <c r="AL539" i="1"/>
  <c r="AS538" i="1"/>
  <c r="AR538" i="1"/>
  <c r="AP538" i="1"/>
  <c r="AO538" i="1"/>
  <c r="AN538" i="1"/>
  <c r="AM538" i="1"/>
  <c r="AL538" i="1"/>
  <c r="AS537" i="1"/>
  <c r="AR537" i="1"/>
  <c r="AP537" i="1"/>
  <c r="AO537" i="1"/>
  <c r="AN537" i="1"/>
  <c r="AM537" i="1"/>
  <c r="AL537" i="1"/>
  <c r="AS536" i="1"/>
  <c r="AR536" i="1"/>
  <c r="AP536" i="1"/>
  <c r="AO536" i="1"/>
  <c r="AN536" i="1"/>
  <c r="AM536" i="1"/>
  <c r="AL536" i="1"/>
  <c r="AS535" i="1"/>
  <c r="AR535" i="1"/>
  <c r="AP535" i="1"/>
  <c r="AO535" i="1"/>
  <c r="AN535" i="1"/>
  <c r="AM535" i="1"/>
  <c r="AL535" i="1"/>
  <c r="AS534" i="1"/>
  <c r="AR534" i="1"/>
  <c r="AP534" i="1"/>
  <c r="AO534" i="1"/>
  <c r="AN534" i="1"/>
  <c r="AM534" i="1"/>
  <c r="AL534" i="1"/>
  <c r="AS533" i="1"/>
  <c r="AR533" i="1"/>
  <c r="AP533" i="1"/>
  <c r="AO533" i="1"/>
  <c r="AN533" i="1"/>
  <c r="AM533" i="1"/>
  <c r="AL533" i="1"/>
  <c r="AS532" i="1"/>
  <c r="AR532" i="1"/>
  <c r="AP532" i="1"/>
  <c r="AO532" i="1"/>
  <c r="AN532" i="1"/>
  <c r="AM532" i="1"/>
  <c r="AL532" i="1"/>
  <c r="AS531" i="1"/>
  <c r="AR531" i="1"/>
  <c r="AP531" i="1"/>
  <c r="AO531" i="1"/>
  <c r="AN531" i="1"/>
  <c r="AM531" i="1"/>
  <c r="AL531" i="1"/>
  <c r="AS530" i="1"/>
  <c r="AR530" i="1"/>
  <c r="AP530" i="1"/>
  <c r="AO530" i="1"/>
  <c r="AN530" i="1"/>
  <c r="AM530" i="1"/>
  <c r="AL530" i="1"/>
  <c r="AS529" i="1"/>
  <c r="AR529" i="1"/>
  <c r="AP529" i="1"/>
  <c r="AO529" i="1"/>
  <c r="AN529" i="1"/>
  <c r="AM529" i="1"/>
  <c r="AL529" i="1"/>
  <c r="AS528" i="1"/>
  <c r="AR528" i="1"/>
  <c r="AP528" i="1"/>
  <c r="AO528" i="1"/>
  <c r="AN528" i="1"/>
  <c r="AM528" i="1"/>
  <c r="AL528" i="1"/>
  <c r="AS527" i="1"/>
  <c r="AR527" i="1"/>
  <c r="AP527" i="1"/>
  <c r="AO527" i="1"/>
  <c r="AN527" i="1"/>
  <c r="AM527" i="1"/>
  <c r="AL527" i="1"/>
  <c r="AS526" i="1"/>
  <c r="AR526" i="1"/>
  <c r="AP526" i="1"/>
  <c r="AO526" i="1"/>
  <c r="AN526" i="1"/>
  <c r="AM526" i="1"/>
  <c r="AL526" i="1"/>
  <c r="AS525" i="1"/>
  <c r="AR525" i="1"/>
  <c r="AP525" i="1"/>
  <c r="AO525" i="1"/>
  <c r="AN525" i="1"/>
  <c r="AM525" i="1"/>
  <c r="AL525" i="1"/>
  <c r="AS524" i="1"/>
  <c r="AR524" i="1"/>
  <c r="AP524" i="1"/>
  <c r="AO524" i="1"/>
  <c r="AN524" i="1"/>
  <c r="AM524" i="1"/>
  <c r="AL524" i="1"/>
  <c r="AS523" i="1"/>
  <c r="AR523" i="1"/>
  <c r="AP523" i="1"/>
  <c r="AO523" i="1"/>
  <c r="AN523" i="1"/>
  <c r="AM523" i="1"/>
  <c r="AL523" i="1"/>
  <c r="AS522" i="1"/>
  <c r="AR522" i="1"/>
  <c r="AP522" i="1"/>
  <c r="AO522" i="1"/>
  <c r="AN522" i="1"/>
  <c r="AM522" i="1"/>
  <c r="AL522" i="1"/>
  <c r="AS521" i="1"/>
  <c r="AR521" i="1"/>
  <c r="AP521" i="1"/>
  <c r="AO521" i="1"/>
  <c r="AN521" i="1"/>
  <c r="AM521" i="1"/>
  <c r="AL521" i="1"/>
  <c r="AS520" i="1"/>
  <c r="AR520" i="1"/>
  <c r="AP520" i="1"/>
  <c r="AO520" i="1"/>
  <c r="AN520" i="1"/>
  <c r="AM520" i="1"/>
  <c r="AL520" i="1"/>
  <c r="AS519" i="1"/>
  <c r="AR519" i="1"/>
  <c r="AP519" i="1"/>
  <c r="AO519" i="1"/>
  <c r="AN519" i="1"/>
  <c r="AM519" i="1"/>
  <c r="AL519" i="1"/>
  <c r="AS518" i="1"/>
  <c r="AR518" i="1"/>
  <c r="AP518" i="1"/>
  <c r="AO518" i="1"/>
  <c r="AN518" i="1"/>
  <c r="AM518" i="1"/>
  <c r="AL518" i="1"/>
  <c r="AS517" i="1"/>
  <c r="AR517" i="1"/>
  <c r="AP517" i="1"/>
  <c r="AO517" i="1"/>
  <c r="AN517" i="1"/>
  <c r="AM517" i="1"/>
  <c r="AL517" i="1"/>
  <c r="AS516" i="1"/>
  <c r="AR516" i="1"/>
  <c r="AP516" i="1"/>
  <c r="AO516" i="1"/>
  <c r="AN516" i="1"/>
  <c r="AM516" i="1"/>
  <c r="AL516" i="1"/>
  <c r="AS515" i="1"/>
  <c r="AR515" i="1"/>
  <c r="AP515" i="1"/>
  <c r="AO515" i="1"/>
  <c r="AN515" i="1"/>
  <c r="AM515" i="1"/>
  <c r="AL515" i="1"/>
  <c r="AS514" i="1"/>
  <c r="AR514" i="1"/>
  <c r="AP514" i="1"/>
  <c r="AO514" i="1"/>
  <c r="AN514" i="1"/>
  <c r="AM514" i="1"/>
  <c r="AL514" i="1"/>
  <c r="AS513" i="1"/>
  <c r="AR513" i="1"/>
  <c r="AP513" i="1"/>
  <c r="AO513" i="1"/>
  <c r="AN513" i="1"/>
  <c r="AM513" i="1"/>
  <c r="AL513" i="1"/>
  <c r="AS512" i="1"/>
  <c r="AR512" i="1"/>
  <c r="AP512" i="1"/>
  <c r="AO512" i="1"/>
  <c r="AN512" i="1"/>
  <c r="AM512" i="1"/>
  <c r="AL512" i="1"/>
  <c r="AS511" i="1"/>
  <c r="AR511" i="1"/>
  <c r="AP511" i="1"/>
  <c r="AO511" i="1"/>
  <c r="AN511" i="1"/>
  <c r="AM511" i="1"/>
  <c r="AL511" i="1"/>
  <c r="AS510" i="1"/>
  <c r="AR510" i="1"/>
  <c r="AP510" i="1"/>
  <c r="AO510" i="1"/>
  <c r="AN510" i="1"/>
  <c r="AM510" i="1"/>
  <c r="AL510" i="1"/>
  <c r="AS509" i="1"/>
  <c r="AR509" i="1"/>
  <c r="AP509" i="1"/>
  <c r="AO509" i="1"/>
  <c r="AN509" i="1"/>
  <c r="AM509" i="1"/>
  <c r="AL509" i="1"/>
  <c r="AS508" i="1"/>
  <c r="AR508" i="1"/>
  <c r="AP508" i="1"/>
  <c r="AO508" i="1"/>
  <c r="AN508" i="1"/>
  <c r="AM508" i="1"/>
  <c r="AL508" i="1"/>
  <c r="AS507" i="1"/>
  <c r="AR507" i="1"/>
  <c r="AP507" i="1"/>
  <c r="AO507" i="1"/>
  <c r="AN507" i="1"/>
  <c r="AM507" i="1"/>
  <c r="AL507" i="1"/>
  <c r="AS506" i="1"/>
  <c r="AR506" i="1"/>
  <c r="AP506" i="1"/>
  <c r="AO506" i="1"/>
  <c r="AN506" i="1"/>
  <c r="AM506" i="1"/>
  <c r="AL506" i="1"/>
  <c r="AS505" i="1"/>
  <c r="AR505" i="1"/>
  <c r="AP505" i="1"/>
  <c r="AO505" i="1"/>
  <c r="AN505" i="1"/>
  <c r="AM505" i="1"/>
  <c r="AL505" i="1"/>
  <c r="AS504" i="1"/>
  <c r="AR504" i="1"/>
  <c r="AP504" i="1"/>
  <c r="AO504" i="1"/>
  <c r="AN504" i="1"/>
  <c r="AM504" i="1"/>
  <c r="AL504" i="1"/>
  <c r="AS503" i="1"/>
  <c r="AR503" i="1"/>
  <c r="AP503" i="1"/>
  <c r="AO503" i="1"/>
  <c r="AN503" i="1"/>
  <c r="AM503" i="1"/>
  <c r="AL503" i="1"/>
  <c r="AS502" i="1"/>
  <c r="AR502" i="1"/>
  <c r="AP502" i="1"/>
  <c r="AO502" i="1"/>
  <c r="AN502" i="1"/>
  <c r="AM502" i="1"/>
  <c r="AL502" i="1"/>
  <c r="AS501" i="1"/>
  <c r="AR501" i="1"/>
  <c r="AP501" i="1"/>
  <c r="AO501" i="1"/>
  <c r="AN501" i="1"/>
  <c r="AM501" i="1"/>
  <c r="AL501" i="1"/>
  <c r="AS500" i="1"/>
  <c r="AR500" i="1"/>
  <c r="AP500" i="1"/>
  <c r="AO500" i="1"/>
  <c r="AN500" i="1"/>
  <c r="AM500" i="1"/>
  <c r="AL500" i="1"/>
  <c r="AS499" i="1"/>
  <c r="AR499" i="1"/>
  <c r="AP499" i="1"/>
  <c r="AO499" i="1"/>
  <c r="AN499" i="1"/>
  <c r="AM499" i="1"/>
  <c r="AL499" i="1"/>
  <c r="AS498" i="1"/>
  <c r="AR498" i="1"/>
  <c r="AP498" i="1"/>
  <c r="AO498" i="1"/>
  <c r="AN498" i="1"/>
  <c r="AM498" i="1"/>
  <c r="AL498" i="1"/>
  <c r="AS497" i="1"/>
  <c r="AR497" i="1"/>
  <c r="AP497" i="1"/>
  <c r="AO497" i="1"/>
  <c r="AN497" i="1"/>
  <c r="AM497" i="1"/>
  <c r="AL497" i="1"/>
  <c r="AS496" i="1"/>
  <c r="AR496" i="1"/>
  <c r="AP496" i="1"/>
  <c r="AO496" i="1"/>
  <c r="AN496" i="1"/>
  <c r="AM496" i="1"/>
  <c r="AL496" i="1"/>
  <c r="AS495" i="1"/>
  <c r="AR495" i="1"/>
  <c r="AP495" i="1"/>
  <c r="AO495" i="1"/>
  <c r="AN495" i="1"/>
  <c r="AM495" i="1"/>
  <c r="AL495" i="1"/>
  <c r="AS494" i="1"/>
  <c r="AR494" i="1"/>
  <c r="AP494" i="1"/>
  <c r="AO494" i="1"/>
  <c r="AN494" i="1"/>
  <c r="AM494" i="1"/>
  <c r="AL494" i="1"/>
  <c r="AS493" i="1"/>
  <c r="AR493" i="1"/>
  <c r="AP493" i="1"/>
  <c r="AO493" i="1"/>
  <c r="AN493" i="1"/>
  <c r="AM493" i="1"/>
  <c r="AL493" i="1"/>
  <c r="AS492" i="1"/>
  <c r="AR492" i="1"/>
  <c r="AP492" i="1"/>
  <c r="AO492" i="1"/>
  <c r="AN492" i="1"/>
  <c r="AM492" i="1"/>
  <c r="AL492" i="1"/>
  <c r="AS491" i="1"/>
  <c r="AR491" i="1"/>
  <c r="AP491" i="1"/>
  <c r="AO491" i="1"/>
  <c r="AN491" i="1"/>
  <c r="AM491" i="1"/>
  <c r="AL491" i="1"/>
  <c r="AS490" i="1"/>
  <c r="AR490" i="1"/>
  <c r="AP490" i="1"/>
  <c r="AO490" i="1"/>
  <c r="AN490" i="1"/>
  <c r="AM490" i="1"/>
  <c r="AL490" i="1"/>
  <c r="AS489" i="1"/>
  <c r="AR489" i="1"/>
  <c r="AP489" i="1"/>
  <c r="AO489" i="1"/>
  <c r="AN489" i="1"/>
  <c r="AM489" i="1"/>
  <c r="AL489" i="1"/>
  <c r="AS488" i="1"/>
  <c r="AR488" i="1"/>
  <c r="AP488" i="1"/>
  <c r="AO488" i="1"/>
  <c r="AN488" i="1"/>
  <c r="AM488" i="1"/>
  <c r="AL488" i="1"/>
  <c r="AS487" i="1"/>
  <c r="AR487" i="1"/>
  <c r="AP487" i="1"/>
  <c r="AO487" i="1"/>
  <c r="AN487" i="1"/>
  <c r="AM487" i="1"/>
  <c r="AL487" i="1"/>
  <c r="AS486" i="1"/>
  <c r="AR486" i="1"/>
  <c r="AP486" i="1"/>
  <c r="AO486" i="1"/>
  <c r="AN486" i="1"/>
  <c r="AM486" i="1"/>
  <c r="AL486" i="1"/>
  <c r="AS485" i="1"/>
  <c r="AR485" i="1"/>
  <c r="AP485" i="1"/>
  <c r="AO485" i="1"/>
  <c r="AN485" i="1"/>
  <c r="AM485" i="1"/>
  <c r="AL485" i="1"/>
  <c r="AS484" i="1"/>
  <c r="AR484" i="1"/>
  <c r="AP484" i="1"/>
  <c r="AO484" i="1"/>
  <c r="AN484" i="1"/>
  <c r="AM484" i="1"/>
  <c r="AL484" i="1"/>
  <c r="AS483" i="1"/>
  <c r="AR483" i="1"/>
  <c r="AP483" i="1"/>
  <c r="AO483" i="1"/>
  <c r="AN483" i="1"/>
  <c r="AM483" i="1"/>
  <c r="AL483" i="1"/>
  <c r="AS482" i="1"/>
  <c r="AR482" i="1"/>
  <c r="AP482" i="1"/>
  <c r="AO482" i="1"/>
  <c r="AN482" i="1"/>
  <c r="AM482" i="1"/>
  <c r="AL482" i="1"/>
  <c r="AS481" i="1"/>
  <c r="AR481" i="1"/>
  <c r="AP481" i="1"/>
  <c r="AO481" i="1"/>
  <c r="AN481" i="1"/>
  <c r="AM481" i="1"/>
  <c r="AL481" i="1"/>
  <c r="AS480" i="1"/>
  <c r="AR480" i="1"/>
  <c r="AP480" i="1"/>
  <c r="AO480" i="1"/>
  <c r="AN480" i="1"/>
  <c r="AM480" i="1"/>
  <c r="AL480" i="1"/>
  <c r="AS479" i="1"/>
  <c r="AR479" i="1"/>
  <c r="AP479" i="1"/>
  <c r="AO479" i="1"/>
  <c r="AN479" i="1"/>
  <c r="AM479" i="1"/>
  <c r="AL479" i="1"/>
  <c r="AS478" i="1"/>
  <c r="AR478" i="1"/>
  <c r="AP478" i="1"/>
  <c r="AO478" i="1"/>
  <c r="AN478" i="1"/>
  <c r="AM478" i="1"/>
  <c r="AL478" i="1"/>
  <c r="AS477" i="1"/>
  <c r="AR477" i="1"/>
  <c r="AP477" i="1"/>
  <c r="AO477" i="1"/>
  <c r="AN477" i="1"/>
  <c r="AM477" i="1"/>
  <c r="AL477" i="1"/>
  <c r="AS476" i="1"/>
  <c r="AR476" i="1"/>
  <c r="AP476" i="1"/>
  <c r="AO476" i="1"/>
  <c r="AN476" i="1"/>
  <c r="AM476" i="1"/>
  <c r="AL476" i="1"/>
  <c r="AS475" i="1"/>
  <c r="AR475" i="1"/>
  <c r="AP475" i="1"/>
  <c r="AO475" i="1"/>
  <c r="AN475" i="1"/>
  <c r="AM475" i="1"/>
  <c r="AL475" i="1"/>
  <c r="AS474" i="1"/>
  <c r="AR474" i="1"/>
  <c r="AP474" i="1"/>
  <c r="AO474" i="1"/>
  <c r="AN474" i="1"/>
  <c r="AM474" i="1"/>
  <c r="AL474" i="1"/>
  <c r="AS473" i="1"/>
  <c r="AR473" i="1"/>
  <c r="AP473" i="1"/>
  <c r="AO473" i="1"/>
  <c r="AN473" i="1"/>
  <c r="AM473" i="1"/>
  <c r="AL473" i="1"/>
  <c r="AS472" i="1"/>
  <c r="AR472" i="1"/>
  <c r="AP472" i="1"/>
  <c r="AO472" i="1"/>
  <c r="AN472" i="1"/>
  <c r="AM472" i="1"/>
  <c r="AL472" i="1"/>
  <c r="AS471" i="1"/>
  <c r="AR471" i="1"/>
  <c r="AP471" i="1"/>
  <c r="AO471" i="1"/>
  <c r="AN471" i="1"/>
  <c r="AM471" i="1"/>
  <c r="AL471" i="1"/>
  <c r="AS470" i="1"/>
  <c r="AR470" i="1"/>
  <c r="AP470" i="1"/>
  <c r="AO470" i="1"/>
  <c r="AN470" i="1"/>
  <c r="AM470" i="1"/>
  <c r="AL470" i="1"/>
  <c r="AS469" i="1"/>
  <c r="AR469" i="1"/>
  <c r="AP469" i="1"/>
  <c r="AO469" i="1"/>
  <c r="AN469" i="1"/>
  <c r="AM469" i="1"/>
  <c r="AL469" i="1"/>
  <c r="AS468" i="1"/>
  <c r="AR468" i="1"/>
  <c r="AP468" i="1"/>
  <c r="AO468" i="1"/>
  <c r="AN468" i="1"/>
  <c r="AM468" i="1"/>
  <c r="AL468" i="1"/>
  <c r="AS467" i="1"/>
  <c r="AR467" i="1"/>
  <c r="AP467" i="1"/>
  <c r="AO467" i="1"/>
  <c r="AN467" i="1"/>
  <c r="AM467" i="1"/>
  <c r="AL467" i="1"/>
  <c r="AS466" i="1"/>
  <c r="AR466" i="1"/>
  <c r="AP466" i="1"/>
  <c r="AO466" i="1"/>
  <c r="AN466" i="1"/>
  <c r="AM466" i="1"/>
  <c r="AL466" i="1"/>
  <c r="AS465" i="1"/>
  <c r="AR465" i="1"/>
  <c r="AP465" i="1"/>
  <c r="AO465" i="1"/>
  <c r="AN465" i="1"/>
  <c r="AM465" i="1"/>
  <c r="AL465" i="1"/>
  <c r="AS464" i="1"/>
  <c r="AR464" i="1"/>
  <c r="AP464" i="1"/>
  <c r="AO464" i="1"/>
  <c r="AN464" i="1"/>
  <c r="AM464" i="1"/>
  <c r="AL464" i="1"/>
  <c r="AS463" i="1"/>
  <c r="AR463" i="1"/>
  <c r="AP463" i="1"/>
  <c r="AO463" i="1"/>
  <c r="AN463" i="1"/>
  <c r="AM463" i="1"/>
  <c r="AL463" i="1"/>
  <c r="AS462" i="1"/>
  <c r="AR462" i="1"/>
  <c r="AP462" i="1"/>
  <c r="AO462" i="1"/>
  <c r="AN462" i="1"/>
  <c r="AM462" i="1"/>
  <c r="AL462" i="1"/>
  <c r="AS461" i="1"/>
  <c r="AR461" i="1"/>
  <c r="AP461" i="1"/>
  <c r="AO461" i="1"/>
  <c r="AN461" i="1"/>
  <c r="AM461" i="1"/>
  <c r="AL461" i="1"/>
  <c r="AS460" i="1"/>
  <c r="AR460" i="1"/>
  <c r="AP460" i="1"/>
  <c r="AO460" i="1"/>
  <c r="AN460" i="1"/>
  <c r="AM460" i="1"/>
  <c r="AL460" i="1"/>
  <c r="AS459" i="1"/>
  <c r="AR459" i="1"/>
  <c r="AP459" i="1"/>
  <c r="AO459" i="1"/>
  <c r="AN459" i="1"/>
  <c r="AM459" i="1"/>
  <c r="AL459" i="1"/>
  <c r="AS458" i="1"/>
  <c r="AR458" i="1"/>
  <c r="AP458" i="1"/>
  <c r="AO458" i="1"/>
  <c r="AN458" i="1"/>
  <c r="AM458" i="1"/>
  <c r="AL458" i="1"/>
  <c r="AS457" i="1"/>
  <c r="AR457" i="1"/>
  <c r="AP457" i="1"/>
  <c r="AO457" i="1"/>
  <c r="AN457" i="1"/>
  <c r="AM457" i="1"/>
  <c r="AL457" i="1"/>
  <c r="AS456" i="1"/>
  <c r="AR456" i="1"/>
  <c r="AP456" i="1"/>
  <c r="AO456" i="1"/>
  <c r="AN456" i="1"/>
  <c r="AM456" i="1"/>
  <c r="AL456" i="1"/>
  <c r="AS455" i="1"/>
  <c r="AR455" i="1"/>
  <c r="AP455" i="1"/>
  <c r="AO455" i="1"/>
  <c r="AN455" i="1"/>
  <c r="AM455" i="1"/>
  <c r="AL455" i="1"/>
  <c r="AS454" i="1"/>
  <c r="AR454" i="1"/>
  <c r="AP454" i="1"/>
  <c r="AO454" i="1"/>
  <c r="AN454" i="1"/>
  <c r="AM454" i="1"/>
  <c r="AL454" i="1"/>
  <c r="AS453" i="1"/>
  <c r="AR453" i="1"/>
  <c r="AP453" i="1"/>
  <c r="AO453" i="1"/>
  <c r="AN453" i="1"/>
  <c r="AM453" i="1"/>
  <c r="AL453" i="1"/>
  <c r="AS452" i="1"/>
  <c r="AR452" i="1"/>
  <c r="AP452" i="1"/>
  <c r="AO452" i="1"/>
  <c r="AN452" i="1"/>
  <c r="AM452" i="1"/>
  <c r="AL452" i="1"/>
  <c r="AS451" i="1"/>
  <c r="AR451" i="1"/>
  <c r="AP451" i="1"/>
  <c r="AO451" i="1"/>
  <c r="AN451" i="1"/>
  <c r="AM451" i="1"/>
  <c r="AL451" i="1"/>
  <c r="AS450" i="1"/>
  <c r="AR450" i="1"/>
  <c r="AP450" i="1"/>
  <c r="AO450" i="1"/>
  <c r="AN450" i="1"/>
  <c r="AM450" i="1"/>
  <c r="AL450" i="1"/>
  <c r="AS449" i="1"/>
  <c r="AR449" i="1"/>
  <c r="AP449" i="1"/>
  <c r="AO449" i="1"/>
  <c r="AN449" i="1"/>
  <c r="AM449" i="1"/>
  <c r="AL449" i="1"/>
  <c r="AS448" i="1"/>
  <c r="AR448" i="1"/>
  <c r="AP448" i="1"/>
  <c r="AO448" i="1"/>
  <c r="AN448" i="1"/>
  <c r="AM448" i="1"/>
  <c r="AL448" i="1"/>
  <c r="AS447" i="1"/>
  <c r="AR447" i="1"/>
  <c r="AP447" i="1"/>
  <c r="AO447" i="1"/>
  <c r="AN447" i="1"/>
  <c r="AM447" i="1"/>
  <c r="AL447" i="1"/>
  <c r="AS446" i="1"/>
  <c r="AR446" i="1"/>
  <c r="AP446" i="1"/>
  <c r="AO446" i="1"/>
  <c r="AN446" i="1"/>
  <c r="AM446" i="1"/>
  <c r="AL446" i="1"/>
  <c r="AS445" i="1"/>
  <c r="AR445" i="1"/>
  <c r="AP445" i="1"/>
  <c r="AO445" i="1"/>
  <c r="AN445" i="1"/>
  <c r="AM445" i="1"/>
  <c r="AL445" i="1"/>
  <c r="AS444" i="1"/>
  <c r="AR444" i="1"/>
  <c r="AP444" i="1"/>
  <c r="AO444" i="1"/>
  <c r="AN444" i="1"/>
  <c r="AM444" i="1"/>
  <c r="AL444" i="1"/>
  <c r="AS443" i="1"/>
  <c r="AR443" i="1"/>
  <c r="AP443" i="1"/>
  <c r="AO443" i="1"/>
  <c r="AN443" i="1"/>
  <c r="AM443" i="1"/>
  <c r="AL443" i="1"/>
  <c r="AS442" i="1"/>
  <c r="AR442" i="1"/>
  <c r="AP442" i="1"/>
  <c r="AO442" i="1"/>
  <c r="AN442" i="1"/>
  <c r="AM442" i="1"/>
  <c r="AL442" i="1"/>
  <c r="AS441" i="1"/>
  <c r="AR441" i="1"/>
  <c r="AP441" i="1"/>
  <c r="AO441" i="1"/>
  <c r="AN441" i="1"/>
  <c r="AM441" i="1"/>
  <c r="AL441" i="1"/>
  <c r="AS440" i="1"/>
  <c r="AR440" i="1"/>
  <c r="AP440" i="1"/>
  <c r="AO440" i="1"/>
  <c r="AN440" i="1"/>
  <c r="AM440" i="1"/>
  <c r="AL440" i="1"/>
  <c r="AS439" i="1"/>
  <c r="AR439" i="1"/>
  <c r="AP439" i="1"/>
  <c r="AO439" i="1"/>
  <c r="AN439" i="1"/>
  <c r="AM439" i="1"/>
  <c r="AL439" i="1"/>
  <c r="AS438" i="1"/>
  <c r="AR438" i="1"/>
  <c r="AP438" i="1"/>
  <c r="AO438" i="1"/>
  <c r="AN438" i="1"/>
  <c r="AM438" i="1"/>
  <c r="AL438" i="1"/>
  <c r="AS437" i="1"/>
  <c r="AR437" i="1"/>
  <c r="AP437" i="1"/>
  <c r="AO437" i="1"/>
  <c r="AN437" i="1"/>
  <c r="AM437" i="1"/>
  <c r="AL437" i="1"/>
  <c r="AS436" i="1"/>
  <c r="AR436" i="1"/>
  <c r="AP436" i="1"/>
  <c r="AO436" i="1"/>
  <c r="AN436" i="1"/>
  <c r="AM436" i="1"/>
  <c r="AL436" i="1"/>
  <c r="AS435" i="1"/>
  <c r="AR435" i="1"/>
  <c r="AP435" i="1"/>
  <c r="AO435" i="1"/>
  <c r="AN435" i="1"/>
  <c r="AM435" i="1"/>
  <c r="AL435" i="1"/>
  <c r="AS434" i="1"/>
  <c r="AR434" i="1"/>
  <c r="AP434" i="1"/>
  <c r="AO434" i="1"/>
  <c r="AN434" i="1"/>
  <c r="AM434" i="1"/>
  <c r="AL434" i="1"/>
  <c r="AS433" i="1"/>
  <c r="AR433" i="1"/>
  <c r="AP433" i="1"/>
  <c r="AO433" i="1"/>
  <c r="AN433" i="1"/>
  <c r="AM433" i="1"/>
  <c r="AL433" i="1"/>
  <c r="AS432" i="1"/>
  <c r="AR432" i="1"/>
  <c r="AP432" i="1"/>
  <c r="AO432" i="1"/>
  <c r="AN432" i="1"/>
  <c r="AM432" i="1"/>
  <c r="AL432" i="1"/>
  <c r="AS431" i="1"/>
  <c r="AR431" i="1"/>
  <c r="AP431" i="1"/>
  <c r="AO431" i="1"/>
  <c r="AN431" i="1"/>
  <c r="AM431" i="1"/>
  <c r="AL431" i="1"/>
  <c r="AS430" i="1"/>
  <c r="AR430" i="1"/>
  <c r="AP430" i="1"/>
  <c r="AO430" i="1"/>
  <c r="AN430" i="1"/>
  <c r="AM430" i="1"/>
  <c r="AL430" i="1"/>
  <c r="AS429" i="1"/>
  <c r="AR429" i="1"/>
  <c r="AP429" i="1"/>
  <c r="AO429" i="1"/>
  <c r="AN429" i="1"/>
  <c r="AM429" i="1"/>
  <c r="AL429" i="1"/>
  <c r="AS428" i="1"/>
  <c r="AR428" i="1"/>
  <c r="AP428" i="1"/>
  <c r="AO428" i="1"/>
  <c r="AN428" i="1"/>
  <c r="AM428" i="1"/>
  <c r="AL428" i="1"/>
  <c r="AS427" i="1"/>
  <c r="AR427" i="1"/>
  <c r="AP427" i="1"/>
  <c r="AO427" i="1"/>
  <c r="AN427" i="1"/>
  <c r="AM427" i="1"/>
  <c r="AL427" i="1"/>
  <c r="AS426" i="1"/>
  <c r="AR426" i="1"/>
  <c r="AP426" i="1"/>
  <c r="AO426" i="1"/>
  <c r="AN426" i="1"/>
  <c r="AM426" i="1"/>
  <c r="AL426" i="1"/>
  <c r="AS425" i="1"/>
  <c r="AR425" i="1"/>
  <c r="AP425" i="1"/>
  <c r="AO425" i="1"/>
  <c r="AN425" i="1"/>
  <c r="AM425" i="1"/>
  <c r="AL425" i="1"/>
  <c r="AS424" i="1"/>
  <c r="AR424" i="1"/>
  <c r="AP424" i="1"/>
  <c r="AO424" i="1"/>
  <c r="AN424" i="1"/>
  <c r="AM424" i="1"/>
  <c r="AL424" i="1"/>
  <c r="AS423" i="1"/>
  <c r="AR423" i="1"/>
  <c r="AP423" i="1"/>
  <c r="AO423" i="1"/>
  <c r="AN423" i="1"/>
  <c r="AM423" i="1"/>
  <c r="AL423" i="1"/>
  <c r="AS422" i="1"/>
  <c r="AR422" i="1"/>
  <c r="AP422" i="1"/>
  <c r="AO422" i="1"/>
  <c r="AN422" i="1"/>
  <c r="AM422" i="1"/>
  <c r="AL422" i="1"/>
  <c r="AS421" i="1"/>
  <c r="AR421" i="1"/>
  <c r="AP421" i="1"/>
  <c r="AO421" i="1"/>
  <c r="AN421" i="1"/>
  <c r="AM421" i="1"/>
  <c r="AL421" i="1"/>
  <c r="AS420" i="1"/>
  <c r="AR420" i="1"/>
  <c r="AP420" i="1"/>
  <c r="AO420" i="1"/>
  <c r="AN420" i="1"/>
  <c r="AM420" i="1"/>
  <c r="AL420" i="1"/>
  <c r="AS419" i="1"/>
  <c r="AR419" i="1"/>
  <c r="AP419" i="1"/>
  <c r="AO419" i="1"/>
  <c r="AN419" i="1"/>
  <c r="AM419" i="1"/>
  <c r="AL419" i="1"/>
  <c r="AS418" i="1"/>
  <c r="AR418" i="1"/>
  <c r="AP418" i="1"/>
  <c r="AO418" i="1"/>
  <c r="AN418" i="1"/>
  <c r="AM418" i="1"/>
  <c r="AL418" i="1"/>
  <c r="AS417" i="1"/>
  <c r="AR417" i="1"/>
  <c r="AP417" i="1"/>
  <c r="AO417" i="1"/>
  <c r="AN417" i="1"/>
  <c r="AM417" i="1"/>
  <c r="AL417" i="1"/>
  <c r="AS416" i="1"/>
  <c r="AR416" i="1"/>
  <c r="AP416" i="1"/>
  <c r="AO416" i="1"/>
  <c r="AN416" i="1"/>
  <c r="AM416" i="1"/>
  <c r="AL416" i="1"/>
  <c r="AS415" i="1"/>
  <c r="AR415" i="1"/>
  <c r="AP415" i="1"/>
  <c r="AO415" i="1"/>
  <c r="AN415" i="1"/>
  <c r="AM415" i="1"/>
  <c r="AL415" i="1"/>
  <c r="AS414" i="1"/>
  <c r="AR414" i="1"/>
  <c r="AP414" i="1"/>
  <c r="AO414" i="1"/>
  <c r="AN414" i="1"/>
  <c r="AM414" i="1"/>
  <c r="AL414" i="1"/>
  <c r="AS413" i="1"/>
  <c r="AR413" i="1"/>
  <c r="AP413" i="1"/>
  <c r="AO413" i="1"/>
  <c r="AN413" i="1"/>
  <c r="AM413" i="1"/>
  <c r="AL413" i="1"/>
  <c r="AS412" i="1"/>
  <c r="AR412" i="1"/>
  <c r="AP412" i="1"/>
  <c r="AO412" i="1"/>
  <c r="AN412" i="1"/>
  <c r="AM412" i="1"/>
  <c r="AL412" i="1"/>
  <c r="AS411" i="1"/>
  <c r="AR411" i="1"/>
  <c r="AP411" i="1"/>
  <c r="AO411" i="1"/>
  <c r="AN411" i="1"/>
  <c r="AM411" i="1"/>
  <c r="AL411" i="1"/>
  <c r="AS410" i="1"/>
  <c r="AR410" i="1"/>
  <c r="AP410" i="1"/>
  <c r="AO410" i="1"/>
  <c r="AN410" i="1"/>
  <c r="AM410" i="1"/>
  <c r="AL410" i="1"/>
  <c r="AS409" i="1"/>
  <c r="AR409" i="1"/>
  <c r="AP409" i="1"/>
  <c r="AO409" i="1"/>
  <c r="AN409" i="1"/>
  <c r="AM409" i="1"/>
  <c r="AL409" i="1"/>
  <c r="AS408" i="1"/>
  <c r="AR408" i="1"/>
  <c r="AP408" i="1"/>
  <c r="AO408" i="1"/>
  <c r="AN408" i="1"/>
  <c r="AM408" i="1"/>
  <c r="AL408" i="1"/>
  <c r="AS407" i="1"/>
  <c r="AR407" i="1"/>
  <c r="AP407" i="1"/>
  <c r="AO407" i="1"/>
  <c r="AN407" i="1"/>
  <c r="AM407" i="1"/>
  <c r="AL407" i="1"/>
  <c r="AS406" i="1"/>
  <c r="AR406" i="1"/>
  <c r="AP406" i="1"/>
  <c r="AO406" i="1"/>
  <c r="AN406" i="1"/>
  <c r="AM406" i="1"/>
  <c r="AL406" i="1"/>
  <c r="AS405" i="1"/>
  <c r="AR405" i="1"/>
  <c r="AP405" i="1"/>
  <c r="AO405" i="1"/>
  <c r="AN405" i="1"/>
  <c r="AM405" i="1"/>
  <c r="AL405" i="1"/>
  <c r="AS404" i="1"/>
  <c r="AR404" i="1"/>
  <c r="AP404" i="1"/>
  <c r="AO404" i="1"/>
  <c r="AN404" i="1"/>
  <c r="AM404" i="1"/>
  <c r="AL404" i="1"/>
  <c r="AS403" i="1"/>
  <c r="AR403" i="1"/>
  <c r="AP403" i="1"/>
  <c r="AO403" i="1"/>
  <c r="AN403" i="1"/>
  <c r="AM403" i="1"/>
  <c r="AL403" i="1"/>
  <c r="AS402" i="1"/>
  <c r="AR402" i="1"/>
  <c r="AP402" i="1"/>
  <c r="AO402" i="1"/>
  <c r="AN402" i="1"/>
  <c r="AM402" i="1"/>
  <c r="AL402" i="1"/>
  <c r="AS401" i="1"/>
  <c r="AR401" i="1"/>
  <c r="AP401" i="1"/>
  <c r="AO401" i="1"/>
  <c r="AN401" i="1"/>
  <c r="AM401" i="1"/>
  <c r="AL401" i="1"/>
  <c r="AS400" i="1"/>
  <c r="AR400" i="1"/>
  <c r="AP400" i="1"/>
  <c r="AO400" i="1"/>
  <c r="AN400" i="1"/>
  <c r="AM400" i="1"/>
  <c r="AL400" i="1"/>
  <c r="AS399" i="1"/>
  <c r="AR399" i="1"/>
  <c r="AP399" i="1"/>
  <c r="AO399" i="1"/>
  <c r="AN399" i="1"/>
  <c r="AM399" i="1"/>
  <c r="AL399" i="1"/>
  <c r="AS398" i="1"/>
  <c r="AR398" i="1"/>
  <c r="AP398" i="1"/>
  <c r="AO398" i="1"/>
  <c r="AN398" i="1"/>
  <c r="AM398" i="1"/>
  <c r="AL398" i="1"/>
  <c r="AS397" i="1"/>
  <c r="AR397" i="1"/>
  <c r="AP397" i="1"/>
  <c r="AO397" i="1"/>
  <c r="AN397" i="1"/>
  <c r="AM397" i="1"/>
  <c r="AL397" i="1"/>
  <c r="AS396" i="1"/>
  <c r="AR396" i="1"/>
  <c r="AP396" i="1"/>
  <c r="AO396" i="1"/>
  <c r="AN396" i="1"/>
  <c r="AM396" i="1"/>
  <c r="AL396" i="1"/>
  <c r="AS395" i="1"/>
  <c r="AR395" i="1"/>
  <c r="AP395" i="1"/>
  <c r="AO395" i="1"/>
  <c r="AN395" i="1"/>
  <c r="AM395" i="1"/>
  <c r="AL395" i="1"/>
  <c r="AS394" i="1"/>
  <c r="AR394" i="1"/>
  <c r="AP394" i="1"/>
  <c r="AO394" i="1"/>
  <c r="AN394" i="1"/>
  <c r="AM394" i="1"/>
  <c r="AL394" i="1"/>
  <c r="AS393" i="1"/>
  <c r="AR393" i="1"/>
  <c r="AP393" i="1"/>
  <c r="AO393" i="1"/>
  <c r="AN393" i="1"/>
  <c r="AM393" i="1"/>
  <c r="AL393" i="1"/>
  <c r="AS392" i="1"/>
  <c r="AR392" i="1"/>
  <c r="AP392" i="1"/>
  <c r="AO392" i="1"/>
  <c r="AN392" i="1"/>
  <c r="AM392" i="1"/>
  <c r="AL392" i="1"/>
  <c r="AS391" i="1"/>
  <c r="AR391" i="1"/>
  <c r="AP391" i="1"/>
  <c r="AO391" i="1"/>
  <c r="AN391" i="1"/>
  <c r="AM391" i="1"/>
  <c r="AL391" i="1"/>
  <c r="AS390" i="1"/>
  <c r="AR390" i="1"/>
  <c r="AP390" i="1"/>
  <c r="AO390" i="1"/>
  <c r="AN390" i="1"/>
  <c r="AM390" i="1"/>
  <c r="AL390" i="1"/>
  <c r="AS389" i="1"/>
  <c r="AR389" i="1"/>
  <c r="AP389" i="1"/>
  <c r="AO389" i="1"/>
  <c r="AN389" i="1"/>
  <c r="AM389" i="1"/>
  <c r="AL389" i="1"/>
  <c r="AS388" i="1"/>
  <c r="AR388" i="1"/>
  <c r="AP388" i="1"/>
  <c r="AO388" i="1"/>
  <c r="AN388" i="1"/>
  <c r="AM388" i="1"/>
  <c r="AL388" i="1"/>
  <c r="AS387" i="1"/>
  <c r="AR387" i="1"/>
  <c r="AP387" i="1"/>
  <c r="AO387" i="1"/>
  <c r="AN387" i="1"/>
  <c r="AM387" i="1"/>
  <c r="AL387" i="1"/>
  <c r="AS386" i="1"/>
  <c r="AR386" i="1"/>
  <c r="AP386" i="1"/>
  <c r="AO386" i="1"/>
  <c r="AN386" i="1"/>
  <c r="AM386" i="1"/>
  <c r="AL386" i="1"/>
  <c r="AS385" i="1"/>
  <c r="AR385" i="1"/>
  <c r="AP385" i="1"/>
  <c r="AO385" i="1"/>
  <c r="AN385" i="1"/>
  <c r="AM385" i="1"/>
  <c r="AL385" i="1"/>
  <c r="AS384" i="1"/>
  <c r="AR384" i="1"/>
  <c r="AP384" i="1"/>
  <c r="AO384" i="1"/>
  <c r="AN384" i="1"/>
  <c r="AM384" i="1"/>
  <c r="AL384" i="1"/>
  <c r="AS383" i="1"/>
  <c r="AR383" i="1"/>
  <c r="AP383" i="1"/>
  <c r="AO383" i="1"/>
  <c r="AN383" i="1"/>
  <c r="AM383" i="1"/>
  <c r="AL383" i="1"/>
  <c r="AS382" i="1"/>
  <c r="AR382" i="1"/>
  <c r="AP382" i="1"/>
  <c r="AO382" i="1"/>
  <c r="AN382" i="1"/>
  <c r="AM382" i="1"/>
  <c r="AL382" i="1"/>
  <c r="AS381" i="1"/>
  <c r="AR381" i="1"/>
  <c r="AP381" i="1"/>
  <c r="AO381" i="1"/>
  <c r="AN381" i="1"/>
  <c r="AM381" i="1"/>
  <c r="AL381" i="1"/>
  <c r="AS380" i="1"/>
  <c r="AR380" i="1"/>
  <c r="AP380" i="1"/>
  <c r="AO380" i="1"/>
  <c r="AN380" i="1"/>
  <c r="AM380" i="1"/>
  <c r="AL380" i="1"/>
  <c r="AS379" i="1"/>
  <c r="AR379" i="1"/>
  <c r="AP379" i="1"/>
  <c r="AO379" i="1"/>
  <c r="AN379" i="1"/>
  <c r="AM379" i="1"/>
  <c r="AL379" i="1"/>
  <c r="AS378" i="1"/>
  <c r="AR378" i="1"/>
  <c r="AP378" i="1"/>
  <c r="AO378" i="1"/>
  <c r="AN378" i="1"/>
  <c r="AM378" i="1"/>
  <c r="AL378" i="1"/>
  <c r="AS377" i="1"/>
  <c r="AR377" i="1"/>
  <c r="AP377" i="1"/>
  <c r="AO377" i="1"/>
  <c r="AN377" i="1"/>
  <c r="AM377" i="1"/>
  <c r="AL377" i="1"/>
  <c r="AS376" i="1"/>
  <c r="AR376" i="1"/>
  <c r="AP376" i="1"/>
  <c r="AO376" i="1"/>
  <c r="AN376" i="1"/>
  <c r="AM376" i="1"/>
  <c r="AL376" i="1"/>
  <c r="AS375" i="1"/>
  <c r="AR375" i="1"/>
  <c r="AP375" i="1"/>
  <c r="AO375" i="1"/>
  <c r="AN375" i="1"/>
  <c r="AM375" i="1"/>
  <c r="AL375" i="1"/>
  <c r="AS374" i="1"/>
  <c r="AR374" i="1"/>
  <c r="AP374" i="1"/>
  <c r="AO374" i="1"/>
  <c r="AN374" i="1"/>
  <c r="AM374" i="1"/>
  <c r="AL374" i="1"/>
  <c r="AS373" i="1"/>
  <c r="AR373" i="1"/>
  <c r="AP373" i="1"/>
  <c r="AO373" i="1"/>
  <c r="AN373" i="1"/>
  <c r="AM373" i="1"/>
  <c r="AL373" i="1"/>
  <c r="AS372" i="1"/>
  <c r="AR372" i="1"/>
  <c r="AP372" i="1"/>
  <c r="AO372" i="1"/>
  <c r="AN372" i="1"/>
  <c r="AM372" i="1"/>
  <c r="AL372" i="1"/>
  <c r="AS371" i="1"/>
  <c r="AR371" i="1"/>
  <c r="AP371" i="1"/>
  <c r="AO371" i="1"/>
  <c r="AN371" i="1"/>
  <c r="AM371" i="1"/>
  <c r="AL371" i="1"/>
  <c r="AS370" i="1"/>
  <c r="AR370" i="1"/>
  <c r="AP370" i="1"/>
  <c r="AO370" i="1"/>
  <c r="AN370" i="1"/>
  <c r="AM370" i="1"/>
  <c r="AL370" i="1"/>
  <c r="AS369" i="1"/>
  <c r="AR369" i="1"/>
  <c r="AP369" i="1"/>
  <c r="AO369" i="1"/>
  <c r="AN369" i="1"/>
  <c r="AM369" i="1"/>
  <c r="AL369" i="1"/>
  <c r="AS368" i="1"/>
  <c r="AR368" i="1"/>
  <c r="AP368" i="1"/>
  <c r="AO368" i="1"/>
  <c r="AN368" i="1"/>
  <c r="AM368" i="1"/>
  <c r="AL368" i="1"/>
  <c r="AS367" i="1"/>
  <c r="AR367" i="1"/>
  <c r="AP367" i="1"/>
  <c r="AO367" i="1"/>
  <c r="AN367" i="1"/>
  <c r="AM367" i="1"/>
  <c r="AL367" i="1"/>
  <c r="AS366" i="1"/>
  <c r="AR366" i="1"/>
  <c r="AP366" i="1"/>
  <c r="AO366" i="1"/>
  <c r="AN366" i="1"/>
  <c r="AM366" i="1"/>
  <c r="AL366" i="1"/>
  <c r="AS365" i="1"/>
  <c r="AR365" i="1"/>
  <c r="AP365" i="1"/>
  <c r="AO365" i="1"/>
  <c r="AN365" i="1"/>
  <c r="AM365" i="1"/>
  <c r="AL365" i="1"/>
  <c r="AS364" i="1"/>
  <c r="AR364" i="1"/>
  <c r="AP364" i="1"/>
  <c r="AO364" i="1"/>
  <c r="AN364" i="1"/>
  <c r="AM364" i="1"/>
  <c r="AL364" i="1"/>
  <c r="AS363" i="1"/>
  <c r="AR363" i="1"/>
  <c r="AP363" i="1"/>
  <c r="AO363" i="1"/>
  <c r="AN363" i="1"/>
  <c r="AM363" i="1"/>
  <c r="AL363" i="1"/>
  <c r="AS362" i="1"/>
  <c r="AR362" i="1"/>
  <c r="AP362" i="1"/>
  <c r="AO362" i="1"/>
  <c r="AN362" i="1"/>
  <c r="AM362" i="1"/>
  <c r="AL362" i="1"/>
  <c r="AS361" i="1"/>
  <c r="AR361" i="1"/>
  <c r="AP361" i="1"/>
  <c r="AO361" i="1"/>
  <c r="AN361" i="1"/>
  <c r="AM361" i="1"/>
  <c r="AL361" i="1"/>
  <c r="AS360" i="1"/>
  <c r="AR360" i="1"/>
  <c r="AP360" i="1"/>
  <c r="AO360" i="1"/>
  <c r="AN360" i="1"/>
  <c r="AM360" i="1"/>
  <c r="AL360" i="1"/>
  <c r="AS359" i="1"/>
  <c r="AR359" i="1"/>
  <c r="AP359" i="1"/>
  <c r="AO359" i="1"/>
  <c r="AN359" i="1"/>
  <c r="AM359" i="1"/>
  <c r="AL359" i="1"/>
  <c r="AS358" i="1"/>
  <c r="AR358" i="1"/>
  <c r="AP358" i="1"/>
  <c r="AO358" i="1"/>
  <c r="AN358" i="1"/>
  <c r="AM358" i="1"/>
  <c r="AL358" i="1"/>
  <c r="AS357" i="1"/>
  <c r="AR357" i="1"/>
  <c r="AP357" i="1"/>
  <c r="AO357" i="1"/>
  <c r="AN357" i="1"/>
  <c r="AM357" i="1"/>
  <c r="AL357" i="1"/>
  <c r="AS356" i="1"/>
  <c r="AR356" i="1"/>
  <c r="AP356" i="1"/>
  <c r="AO356" i="1"/>
  <c r="AN356" i="1"/>
  <c r="AM356" i="1"/>
  <c r="AL356" i="1"/>
  <c r="AS355" i="1"/>
  <c r="AR355" i="1"/>
  <c r="AP355" i="1"/>
  <c r="AO355" i="1"/>
  <c r="AN355" i="1"/>
  <c r="AM355" i="1"/>
  <c r="AL355" i="1"/>
  <c r="AS354" i="1"/>
  <c r="AR354" i="1"/>
  <c r="AP354" i="1"/>
  <c r="AO354" i="1"/>
  <c r="AN354" i="1"/>
  <c r="AM354" i="1"/>
  <c r="AL354" i="1"/>
  <c r="AS353" i="1"/>
  <c r="AR353" i="1"/>
  <c r="AP353" i="1"/>
  <c r="AO353" i="1"/>
  <c r="AN353" i="1"/>
  <c r="AM353" i="1"/>
  <c r="AL353" i="1"/>
  <c r="AS352" i="1"/>
  <c r="AR352" i="1"/>
  <c r="AP352" i="1"/>
  <c r="AO352" i="1"/>
  <c r="AN352" i="1"/>
  <c r="AM352" i="1"/>
  <c r="AL352" i="1"/>
  <c r="AS351" i="1"/>
  <c r="AR351" i="1"/>
  <c r="AP351" i="1"/>
  <c r="AO351" i="1"/>
  <c r="AN351" i="1"/>
  <c r="AM351" i="1"/>
  <c r="AL351" i="1"/>
  <c r="AS350" i="1"/>
  <c r="AR350" i="1"/>
  <c r="AP350" i="1"/>
  <c r="AO350" i="1"/>
  <c r="AN350" i="1"/>
  <c r="AM350" i="1"/>
  <c r="AL350" i="1"/>
  <c r="AS349" i="1"/>
  <c r="AR349" i="1"/>
  <c r="AP349" i="1"/>
  <c r="AO349" i="1"/>
  <c r="AN349" i="1"/>
  <c r="AM349" i="1"/>
  <c r="AL349" i="1"/>
  <c r="AS348" i="1"/>
  <c r="AR348" i="1"/>
  <c r="AP348" i="1"/>
  <c r="AO348" i="1"/>
  <c r="AN348" i="1"/>
  <c r="AM348" i="1"/>
  <c r="AL348" i="1"/>
  <c r="AS347" i="1"/>
  <c r="AR347" i="1"/>
  <c r="AP347" i="1"/>
  <c r="AO347" i="1"/>
  <c r="AN347" i="1"/>
  <c r="AM347" i="1"/>
  <c r="AL347" i="1"/>
  <c r="AS346" i="1"/>
  <c r="AR346" i="1"/>
  <c r="AP346" i="1"/>
  <c r="AO346" i="1"/>
  <c r="AN346" i="1"/>
  <c r="AM346" i="1"/>
  <c r="AL346" i="1"/>
  <c r="AS345" i="1"/>
  <c r="AR345" i="1"/>
  <c r="AP345" i="1"/>
  <c r="AO345" i="1"/>
  <c r="AN345" i="1"/>
  <c r="AM345" i="1"/>
  <c r="AL345" i="1"/>
  <c r="AS344" i="1"/>
  <c r="AR344" i="1"/>
  <c r="AP344" i="1"/>
  <c r="AO344" i="1"/>
  <c r="AN344" i="1"/>
  <c r="AM344" i="1"/>
  <c r="AL344" i="1"/>
  <c r="AS343" i="1"/>
  <c r="AR343" i="1"/>
  <c r="AP343" i="1"/>
  <c r="AO343" i="1"/>
  <c r="AN343" i="1"/>
  <c r="AM343" i="1"/>
  <c r="AL343" i="1"/>
  <c r="AS342" i="1"/>
  <c r="AR342" i="1"/>
  <c r="AP342" i="1"/>
  <c r="AO342" i="1"/>
  <c r="AN342" i="1"/>
  <c r="AM342" i="1"/>
  <c r="AL342" i="1"/>
  <c r="AS341" i="1"/>
  <c r="AR341" i="1"/>
  <c r="AP341" i="1"/>
  <c r="AO341" i="1"/>
  <c r="AN341" i="1"/>
  <c r="AM341" i="1"/>
  <c r="AL341" i="1"/>
  <c r="AS340" i="1"/>
  <c r="AR340" i="1"/>
  <c r="AP340" i="1"/>
  <c r="AO340" i="1"/>
  <c r="AN340" i="1"/>
  <c r="AM340" i="1"/>
  <c r="AL340" i="1"/>
  <c r="AS339" i="1"/>
  <c r="AR339" i="1"/>
  <c r="AP339" i="1"/>
  <c r="AO339" i="1"/>
  <c r="AN339" i="1"/>
  <c r="AM339" i="1"/>
  <c r="AL339" i="1"/>
  <c r="AS338" i="1"/>
  <c r="AR338" i="1"/>
  <c r="AP338" i="1"/>
  <c r="AO338" i="1"/>
  <c r="AN338" i="1"/>
  <c r="AM338" i="1"/>
  <c r="AL338" i="1"/>
  <c r="AS337" i="1"/>
  <c r="AR337" i="1"/>
  <c r="AP337" i="1"/>
  <c r="AO337" i="1"/>
  <c r="AN337" i="1"/>
  <c r="AM337" i="1"/>
  <c r="AL337" i="1"/>
  <c r="AS336" i="1"/>
  <c r="AR336" i="1"/>
  <c r="AP336" i="1"/>
  <c r="AO336" i="1"/>
  <c r="AN336" i="1"/>
  <c r="AM336" i="1"/>
  <c r="AL336" i="1"/>
  <c r="AS335" i="1"/>
  <c r="AR335" i="1"/>
  <c r="AP335" i="1"/>
  <c r="AO335" i="1"/>
  <c r="AN335" i="1"/>
  <c r="AM335" i="1"/>
  <c r="AL335" i="1"/>
  <c r="AS334" i="1"/>
  <c r="AR334" i="1"/>
  <c r="AP334" i="1"/>
  <c r="AO334" i="1"/>
  <c r="AN334" i="1"/>
  <c r="AM334" i="1"/>
  <c r="AL334" i="1"/>
  <c r="AS333" i="1"/>
  <c r="AR333" i="1"/>
  <c r="AP333" i="1"/>
  <c r="AO333" i="1"/>
  <c r="AN333" i="1"/>
  <c r="AM333" i="1"/>
  <c r="AL333" i="1"/>
  <c r="AS332" i="1"/>
  <c r="AR332" i="1"/>
  <c r="AP332" i="1"/>
  <c r="AO332" i="1"/>
  <c r="AN332" i="1"/>
  <c r="AM332" i="1"/>
  <c r="AL332" i="1"/>
  <c r="AS331" i="1"/>
  <c r="AR331" i="1"/>
  <c r="AP331" i="1"/>
  <c r="AO331" i="1"/>
  <c r="AN331" i="1"/>
  <c r="AM331" i="1"/>
  <c r="AL331" i="1"/>
  <c r="AS330" i="1"/>
  <c r="AR330" i="1"/>
  <c r="AP330" i="1"/>
  <c r="AO330" i="1"/>
  <c r="AN330" i="1"/>
  <c r="AM330" i="1"/>
  <c r="AL330" i="1"/>
  <c r="AS329" i="1"/>
  <c r="AR329" i="1"/>
  <c r="AP329" i="1"/>
  <c r="AO329" i="1"/>
  <c r="AN329" i="1"/>
  <c r="AM329" i="1"/>
  <c r="AL329" i="1"/>
  <c r="AS328" i="1"/>
  <c r="AR328" i="1"/>
  <c r="AP328" i="1"/>
  <c r="AO328" i="1"/>
  <c r="AN328" i="1"/>
  <c r="AM328" i="1"/>
  <c r="AL328" i="1"/>
  <c r="AS327" i="1"/>
  <c r="AR327" i="1"/>
  <c r="AP327" i="1"/>
  <c r="AO327" i="1"/>
  <c r="AN327" i="1"/>
  <c r="AM327" i="1"/>
  <c r="AL327" i="1"/>
  <c r="AS326" i="1"/>
  <c r="AR326" i="1"/>
  <c r="AP326" i="1"/>
  <c r="AO326" i="1"/>
  <c r="AN326" i="1"/>
  <c r="AM326" i="1"/>
  <c r="AL326" i="1"/>
  <c r="AS325" i="1"/>
  <c r="AR325" i="1"/>
  <c r="AP325" i="1"/>
  <c r="AO325" i="1"/>
  <c r="AN325" i="1"/>
  <c r="AM325" i="1"/>
  <c r="AL325" i="1"/>
  <c r="AS324" i="1"/>
  <c r="AR324" i="1"/>
  <c r="AP324" i="1"/>
  <c r="AO324" i="1"/>
  <c r="AN324" i="1"/>
  <c r="AM324" i="1"/>
  <c r="AL324" i="1"/>
  <c r="AS323" i="1"/>
  <c r="AR323" i="1"/>
  <c r="AP323" i="1"/>
  <c r="AO323" i="1"/>
  <c r="AN323" i="1"/>
  <c r="AM323" i="1"/>
  <c r="AL323" i="1"/>
  <c r="AS322" i="1"/>
  <c r="AR322" i="1"/>
  <c r="AP322" i="1"/>
  <c r="AO322" i="1"/>
  <c r="AN322" i="1"/>
  <c r="AM322" i="1"/>
  <c r="AL322" i="1"/>
  <c r="AS321" i="1"/>
  <c r="AR321" i="1"/>
  <c r="AP321" i="1"/>
  <c r="AO321" i="1"/>
  <c r="AN321" i="1"/>
  <c r="AM321" i="1"/>
  <c r="AL321" i="1"/>
  <c r="AS320" i="1"/>
  <c r="AR320" i="1"/>
  <c r="AP320" i="1"/>
  <c r="AO320" i="1"/>
  <c r="AN320" i="1"/>
  <c r="AM320" i="1"/>
  <c r="AL320" i="1"/>
  <c r="AS319" i="1"/>
  <c r="AR319" i="1"/>
  <c r="AP319" i="1"/>
  <c r="AO319" i="1"/>
  <c r="AN319" i="1"/>
  <c r="AM319" i="1"/>
  <c r="AL319" i="1"/>
  <c r="AS318" i="1"/>
  <c r="AR318" i="1"/>
  <c r="AP318" i="1"/>
  <c r="AO318" i="1"/>
  <c r="AN318" i="1"/>
  <c r="AM318" i="1"/>
  <c r="AL318" i="1"/>
  <c r="AS317" i="1"/>
  <c r="AR317" i="1"/>
  <c r="AP317" i="1"/>
  <c r="AO317" i="1"/>
  <c r="AN317" i="1"/>
  <c r="AM317" i="1"/>
  <c r="AL317" i="1"/>
  <c r="AS316" i="1"/>
  <c r="AR316" i="1"/>
  <c r="AP316" i="1"/>
  <c r="AO316" i="1"/>
  <c r="AN316" i="1"/>
  <c r="AM316" i="1"/>
  <c r="AL316" i="1"/>
  <c r="AS315" i="1"/>
  <c r="AR315" i="1"/>
  <c r="AP315" i="1"/>
  <c r="AO315" i="1"/>
  <c r="AN315" i="1"/>
  <c r="AM315" i="1"/>
  <c r="AL315" i="1"/>
  <c r="AS314" i="1"/>
  <c r="AR314" i="1"/>
  <c r="AP314" i="1"/>
  <c r="AO314" i="1"/>
  <c r="AN314" i="1"/>
  <c r="AM314" i="1"/>
  <c r="AL314" i="1"/>
  <c r="AS313" i="1"/>
  <c r="AR313" i="1"/>
  <c r="AP313" i="1"/>
  <c r="AO313" i="1"/>
  <c r="AN313" i="1"/>
  <c r="AM313" i="1"/>
  <c r="AL313" i="1"/>
  <c r="AS312" i="1"/>
  <c r="AR312" i="1"/>
  <c r="AP312" i="1"/>
  <c r="AO312" i="1"/>
  <c r="AN312" i="1"/>
  <c r="AM312" i="1"/>
  <c r="AL312" i="1"/>
  <c r="AS311" i="1"/>
  <c r="AR311" i="1"/>
  <c r="AP311" i="1"/>
  <c r="AO311" i="1"/>
  <c r="AN311" i="1"/>
  <c r="AM311" i="1"/>
  <c r="AL311" i="1"/>
  <c r="AS310" i="1"/>
  <c r="AR310" i="1"/>
  <c r="AP310" i="1"/>
  <c r="AO310" i="1"/>
  <c r="AN310" i="1"/>
  <c r="AM310" i="1"/>
  <c r="AL310" i="1"/>
  <c r="AS309" i="1"/>
  <c r="AR309" i="1"/>
  <c r="AP309" i="1"/>
  <c r="AO309" i="1"/>
  <c r="AN309" i="1"/>
  <c r="AM309" i="1"/>
  <c r="AL309" i="1"/>
  <c r="AS308" i="1"/>
  <c r="AR308" i="1"/>
  <c r="AP308" i="1"/>
  <c r="AO308" i="1"/>
  <c r="AN308" i="1"/>
  <c r="AM308" i="1"/>
  <c r="AL308" i="1"/>
  <c r="AS307" i="1"/>
  <c r="AR307" i="1"/>
  <c r="AP307" i="1"/>
  <c r="AO307" i="1"/>
  <c r="AN307" i="1"/>
  <c r="AM307" i="1"/>
  <c r="AL307" i="1"/>
  <c r="AS306" i="1"/>
  <c r="AR306" i="1"/>
  <c r="AP306" i="1"/>
  <c r="AO306" i="1"/>
  <c r="AN306" i="1"/>
  <c r="AM306" i="1"/>
  <c r="AL306" i="1"/>
  <c r="AS305" i="1"/>
  <c r="AR305" i="1"/>
  <c r="AP305" i="1"/>
  <c r="AO305" i="1"/>
  <c r="AN305" i="1"/>
  <c r="AM305" i="1"/>
  <c r="AL305" i="1"/>
  <c r="AS304" i="1"/>
  <c r="AR304" i="1"/>
  <c r="AP304" i="1"/>
  <c r="AO304" i="1"/>
  <c r="AN304" i="1"/>
  <c r="AM304" i="1"/>
  <c r="AL304" i="1"/>
  <c r="AS303" i="1"/>
  <c r="AR303" i="1"/>
  <c r="AP303" i="1"/>
  <c r="AO303" i="1"/>
  <c r="AN303" i="1"/>
  <c r="AM303" i="1"/>
  <c r="AL303" i="1"/>
  <c r="AS302" i="1"/>
  <c r="AR302" i="1"/>
  <c r="AP302" i="1"/>
  <c r="AO302" i="1"/>
  <c r="AN302" i="1"/>
  <c r="AM302" i="1"/>
  <c r="AL302" i="1"/>
  <c r="AS301" i="1"/>
  <c r="AR301" i="1"/>
  <c r="AP301" i="1"/>
  <c r="AO301" i="1"/>
  <c r="AN301" i="1"/>
  <c r="AM301" i="1"/>
  <c r="AL301" i="1"/>
  <c r="AS300" i="1"/>
  <c r="AR300" i="1"/>
  <c r="AP300" i="1"/>
  <c r="AO300" i="1"/>
  <c r="AN300" i="1"/>
  <c r="AM300" i="1"/>
  <c r="AL300" i="1"/>
  <c r="AS299" i="1"/>
  <c r="AR299" i="1"/>
  <c r="AP299" i="1"/>
  <c r="AO299" i="1"/>
  <c r="AN299" i="1"/>
  <c r="AM299" i="1"/>
  <c r="AL299" i="1"/>
  <c r="AS298" i="1"/>
  <c r="AR298" i="1"/>
  <c r="AP298" i="1"/>
  <c r="AO298" i="1"/>
  <c r="AN298" i="1"/>
  <c r="AM298" i="1"/>
  <c r="AL298" i="1"/>
  <c r="AS297" i="1"/>
  <c r="AR297" i="1"/>
  <c r="AP297" i="1"/>
  <c r="AO297" i="1"/>
  <c r="AN297" i="1"/>
  <c r="AM297" i="1"/>
  <c r="AL297" i="1"/>
  <c r="AS296" i="1"/>
  <c r="AR296" i="1"/>
  <c r="AP296" i="1"/>
  <c r="AO296" i="1"/>
  <c r="AN296" i="1"/>
  <c r="AM296" i="1"/>
  <c r="AL296" i="1"/>
  <c r="AS295" i="1"/>
  <c r="AR295" i="1"/>
  <c r="AP295" i="1"/>
  <c r="AO295" i="1"/>
  <c r="AN295" i="1"/>
  <c r="AM295" i="1"/>
  <c r="AL295" i="1"/>
  <c r="AS294" i="1"/>
  <c r="AR294" i="1"/>
  <c r="AP294" i="1"/>
  <c r="AO294" i="1"/>
  <c r="AN294" i="1"/>
  <c r="AM294" i="1"/>
  <c r="AL294" i="1"/>
  <c r="AS293" i="1"/>
  <c r="AR293" i="1"/>
  <c r="AP293" i="1"/>
  <c r="AO293" i="1"/>
  <c r="AN293" i="1"/>
  <c r="AM293" i="1"/>
  <c r="AL293" i="1"/>
  <c r="AS292" i="1"/>
  <c r="AR292" i="1"/>
  <c r="AP292" i="1"/>
  <c r="AO292" i="1"/>
  <c r="AN292" i="1"/>
  <c r="AM292" i="1"/>
  <c r="AL292" i="1"/>
  <c r="AS291" i="1"/>
  <c r="AR291" i="1"/>
  <c r="AP291" i="1"/>
  <c r="AO291" i="1"/>
  <c r="AN291" i="1"/>
  <c r="AM291" i="1"/>
  <c r="AL291" i="1"/>
  <c r="AS290" i="1"/>
  <c r="AR290" i="1"/>
  <c r="AP290" i="1"/>
  <c r="AO290" i="1"/>
  <c r="AN290" i="1"/>
  <c r="AM290" i="1"/>
  <c r="AL290" i="1"/>
  <c r="AS289" i="1"/>
  <c r="AR289" i="1"/>
  <c r="AP289" i="1"/>
  <c r="AO289" i="1"/>
  <c r="AN289" i="1"/>
  <c r="AM289" i="1"/>
  <c r="AL289" i="1"/>
  <c r="AS288" i="1"/>
  <c r="AR288" i="1"/>
  <c r="AP288" i="1"/>
  <c r="AO288" i="1"/>
  <c r="AN288" i="1"/>
  <c r="AM288" i="1"/>
  <c r="AL288" i="1"/>
  <c r="AS287" i="1"/>
  <c r="AR287" i="1"/>
  <c r="AP287" i="1"/>
  <c r="AO287" i="1"/>
  <c r="AN287" i="1"/>
  <c r="AM287" i="1"/>
  <c r="AL287" i="1"/>
  <c r="AS286" i="1"/>
  <c r="AR286" i="1"/>
  <c r="AP286" i="1"/>
  <c r="AO286" i="1"/>
  <c r="AN286" i="1"/>
  <c r="AM286" i="1"/>
  <c r="AL286" i="1"/>
  <c r="AS285" i="1"/>
  <c r="AR285" i="1"/>
  <c r="AP285" i="1"/>
  <c r="AO285" i="1"/>
  <c r="AN285" i="1"/>
  <c r="AM285" i="1"/>
  <c r="AL285" i="1"/>
  <c r="AS284" i="1"/>
  <c r="AR284" i="1"/>
  <c r="AP284" i="1"/>
  <c r="AO284" i="1"/>
  <c r="AN284" i="1"/>
  <c r="AM284" i="1"/>
  <c r="AL284" i="1"/>
  <c r="AS283" i="1"/>
  <c r="AR283" i="1"/>
  <c r="AP283" i="1"/>
  <c r="AO283" i="1"/>
  <c r="AN283" i="1"/>
  <c r="AM283" i="1"/>
  <c r="AL283" i="1"/>
  <c r="AS282" i="1"/>
  <c r="AR282" i="1"/>
  <c r="AP282" i="1"/>
  <c r="AO282" i="1"/>
  <c r="AN282" i="1"/>
  <c r="AM282" i="1"/>
  <c r="AL282" i="1"/>
  <c r="AS281" i="1"/>
  <c r="AR281" i="1"/>
  <c r="AP281" i="1"/>
  <c r="AO281" i="1"/>
  <c r="AN281" i="1"/>
  <c r="AM281" i="1"/>
  <c r="AL281" i="1"/>
  <c r="AS280" i="1"/>
  <c r="AR280" i="1"/>
  <c r="AP280" i="1"/>
  <c r="AO280" i="1"/>
  <c r="AN280" i="1"/>
  <c r="AM280" i="1"/>
  <c r="AL280" i="1"/>
  <c r="AS279" i="1"/>
  <c r="AR279" i="1"/>
  <c r="AP279" i="1"/>
  <c r="AO279" i="1"/>
  <c r="AN279" i="1"/>
  <c r="AM279" i="1"/>
  <c r="AL279" i="1"/>
  <c r="AS278" i="1"/>
  <c r="AR278" i="1"/>
  <c r="AP278" i="1"/>
  <c r="AO278" i="1"/>
  <c r="AN278" i="1"/>
  <c r="AM278" i="1"/>
  <c r="AL278" i="1"/>
  <c r="AS277" i="1"/>
  <c r="AR277" i="1"/>
  <c r="AP277" i="1"/>
  <c r="AO277" i="1"/>
  <c r="AN277" i="1"/>
  <c r="AM277" i="1"/>
  <c r="AL277" i="1"/>
  <c r="AS276" i="1"/>
  <c r="AR276" i="1"/>
  <c r="AP276" i="1"/>
  <c r="AO276" i="1"/>
  <c r="AN276" i="1"/>
  <c r="AM276" i="1"/>
  <c r="AL276" i="1"/>
  <c r="AS275" i="1"/>
  <c r="AR275" i="1"/>
  <c r="AP275" i="1"/>
  <c r="AO275" i="1"/>
  <c r="AN275" i="1"/>
  <c r="AM275" i="1"/>
  <c r="AL275" i="1"/>
  <c r="AS274" i="1"/>
  <c r="AR274" i="1"/>
  <c r="AP274" i="1"/>
  <c r="AO274" i="1"/>
  <c r="AN274" i="1"/>
  <c r="AM274" i="1"/>
  <c r="AL274" i="1"/>
  <c r="AS273" i="1"/>
  <c r="AR273" i="1"/>
  <c r="AP273" i="1"/>
  <c r="AO273" i="1"/>
  <c r="AN273" i="1"/>
  <c r="AM273" i="1"/>
  <c r="AL273" i="1"/>
  <c r="AS272" i="1"/>
  <c r="AR272" i="1"/>
  <c r="AP272" i="1"/>
  <c r="AO272" i="1"/>
  <c r="AN272" i="1"/>
  <c r="AM272" i="1"/>
  <c r="AL272" i="1"/>
  <c r="AS271" i="1"/>
  <c r="AR271" i="1"/>
  <c r="AP271" i="1"/>
  <c r="AO271" i="1"/>
  <c r="AN271" i="1"/>
  <c r="AM271" i="1"/>
  <c r="AL271" i="1"/>
  <c r="AS270" i="1"/>
  <c r="AR270" i="1"/>
  <c r="AP270" i="1"/>
  <c r="AO270" i="1"/>
  <c r="AN270" i="1"/>
  <c r="AM270" i="1"/>
  <c r="AL270" i="1"/>
  <c r="AS269" i="1"/>
  <c r="AR269" i="1"/>
  <c r="AP269" i="1"/>
  <c r="AO269" i="1"/>
  <c r="AN269" i="1"/>
  <c r="AM269" i="1"/>
  <c r="AL269" i="1"/>
  <c r="AS268" i="1"/>
  <c r="AR268" i="1"/>
  <c r="AP268" i="1"/>
  <c r="AO268" i="1"/>
  <c r="AN268" i="1"/>
  <c r="AM268" i="1"/>
  <c r="AL268" i="1"/>
  <c r="AS267" i="1"/>
  <c r="AR267" i="1"/>
  <c r="AP267" i="1"/>
  <c r="AO267" i="1"/>
  <c r="AN267" i="1"/>
  <c r="AM267" i="1"/>
  <c r="AL267" i="1"/>
  <c r="AS266" i="1"/>
  <c r="AR266" i="1"/>
  <c r="AP266" i="1"/>
  <c r="AO266" i="1"/>
  <c r="AN266" i="1"/>
  <c r="AM266" i="1"/>
  <c r="AL266" i="1"/>
  <c r="AS265" i="1"/>
  <c r="AR265" i="1"/>
  <c r="AP265" i="1"/>
  <c r="AO265" i="1"/>
  <c r="AN265" i="1"/>
  <c r="AM265" i="1"/>
  <c r="AL265" i="1"/>
  <c r="AS264" i="1"/>
  <c r="AR264" i="1"/>
  <c r="AP264" i="1"/>
  <c r="AO264" i="1"/>
  <c r="AN264" i="1"/>
  <c r="AM264" i="1"/>
  <c r="AL264" i="1"/>
  <c r="AS263" i="1"/>
  <c r="AR263" i="1"/>
  <c r="AP263" i="1"/>
  <c r="AO263" i="1"/>
  <c r="AN263" i="1"/>
  <c r="AM263" i="1"/>
  <c r="AL263" i="1"/>
  <c r="AS262" i="1"/>
  <c r="AR262" i="1"/>
  <c r="AP262" i="1"/>
  <c r="AO262" i="1"/>
  <c r="AN262" i="1"/>
  <c r="AM262" i="1"/>
  <c r="AL262" i="1"/>
  <c r="AS261" i="1"/>
  <c r="AR261" i="1"/>
  <c r="AP261" i="1"/>
  <c r="AO261" i="1"/>
  <c r="AN261" i="1"/>
  <c r="AM261" i="1"/>
  <c r="AL261" i="1"/>
  <c r="AS260" i="1"/>
  <c r="AR260" i="1"/>
  <c r="AP260" i="1"/>
  <c r="AO260" i="1"/>
  <c r="AN260" i="1"/>
  <c r="AM260" i="1"/>
  <c r="AL260" i="1"/>
  <c r="AS259" i="1"/>
  <c r="AR259" i="1"/>
  <c r="AP259" i="1"/>
  <c r="AO259" i="1"/>
  <c r="AN259" i="1"/>
  <c r="AM259" i="1"/>
  <c r="AL259" i="1"/>
  <c r="AS258" i="1"/>
  <c r="AR258" i="1"/>
  <c r="AP258" i="1"/>
  <c r="AO258" i="1"/>
  <c r="AN258" i="1"/>
  <c r="AM258" i="1"/>
  <c r="AL258" i="1"/>
  <c r="AS257" i="1"/>
  <c r="AR257" i="1"/>
  <c r="AP257" i="1"/>
  <c r="AO257" i="1"/>
  <c r="AN257" i="1"/>
  <c r="AM257" i="1"/>
  <c r="AL257" i="1"/>
  <c r="AS256" i="1"/>
  <c r="AR256" i="1"/>
  <c r="AP256" i="1"/>
  <c r="AO256" i="1"/>
  <c r="AN256" i="1"/>
  <c r="AM256" i="1"/>
  <c r="AL256" i="1"/>
  <c r="AS255" i="1"/>
  <c r="AR255" i="1"/>
  <c r="AP255" i="1"/>
  <c r="AO255" i="1"/>
  <c r="AN255" i="1"/>
  <c r="AM255" i="1"/>
  <c r="AL255" i="1"/>
  <c r="AS254" i="1"/>
  <c r="AR254" i="1"/>
  <c r="AP254" i="1"/>
  <c r="AO254" i="1"/>
  <c r="AN254" i="1"/>
  <c r="AM254" i="1"/>
  <c r="AL254" i="1"/>
  <c r="AS253" i="1"/>
  <c r="AR253" i="1"/>
  <c r="AP253" i="1"/>
  <c r="AO253" i="1"/>
  <c r="AN253" i="1"/>
  <c r="AM253" i="1"/>
  <c r="AL253" i="1"/>
  <c r="AS252" i="1"/>
  <c r="AR252" i="1"/>
  <c r="AP252" i="1"/>
  <c r="AO252" i="1"/>
  <c r="AN252" i="1"/>
  <c r="AM252" i="1"/>
  <c r="AL252" i="1"/>
  <c r="AS251" i="1"/>
  <c r="AR251" i="1"/>
  <c r="AP251" i="1"/>
  <c r="AO251" i="1"/>
  <c r="AN251" i="1"/>
  <c r="AM251" i="1"/>
  <c r="AL251" i="1"/>
  <c r="AS250" i="1"/>
  <c r="AR250" i="1"/>
  <c r="AP250" i="1"/>
  <c r="AO250" i="1"/>
  <c r="AN250" i="1"/>
  <c r="AM250" i="1"/>
  <c r="AL250" i="1"/>
  <c r="AS249" i="1"/>
  <c r="AR249" i="1"/>
  <c r="AP249" i="1"/>
  <c r="AO249" i="1"/>
  <c r="AN249" i="1"/>
  <c r="AM249" i="1"/>
  <c r="AL249" i="1"/>
  <c r="AS248" i="1"/>
  <c r="AR248" i="1"/>
  <c r="AP248" i="1"/>
  <c r="AO248" i="1"/>
  <c r="AN248" i="1"/>
  <c r="AM248" i="1"/>
  <c r="AL248" i="1"/>
  <c r="AS247" i="1"/>
  <c r="AR247" i="1"/>
  <c r="AP247" i="1"/>
  <c r="AO247" i="1"/>
  <c r="AN247" i="1"/>
  <c r="AM247" i="1"/>
  <c r="AL247" i="1"/>
  <c r="AS246" i="1"/>
  <c r="AR246" i="1"/>
  <c r="AP246" i="1"/>
  <c r="AO246" i="1"/>
  <c r="AN246" i="1"/>
  <c r="AM246" i="1"/>
  <c r="AL246" i="1"/>
  <c r="AS245" i="1"/>
  <c r="AR245" i="1"/>
  <c r="AP245" i="1"/>
  <c r="AO245" i="1"/>
  <c r="AN245" i="1"/>
  <c r="AM245" i="1"/>
  <c r="AL245" i="1"/>
  <c r="AS244" i="1"/>
  <c r="AR244" i="1"/>
  <c r="AP244" i="1"/>
  <c r="AO244" i="1"/>
  <c r="AN244" i="1"/>
  <c r="AM244" i="1"/>
  <c r="AL244" i="1"/>
  <c r="AS243" i="1"/>
  <c r="AR243" i="1"/>
  <c r="AP243" i="1"/>
  <c r="AO243" i="1"/>
  <c r="AN243" i="1"/>
  <c r="AM243" i="1"/>
  <c r="AL243" i="1"/>
  <c r="AS242" i="1"/>
  <c r="AR242" i="1"/>
  <c r="AP242" i="1"/>
  <c r="AO242" i="1"/>
  <c r="AN242" i="1"/>
  <c r="AM242" i="1"/>
  <c r="AL242" i="1"/>
  <c r="AS241" i="1"/>
  <c r="AR241" i="1"/>
  <c r="AP241" i="1"/>
  <c r="AO241" i="1"/>
  <c r="AN241" i="1"/>
  <c r="AM241" i="1"/>
  <c r="AL241" i="1"/>
  <c r="AS240" i="1"/>
  <c r="AR240" i="1"/>
  <c r="AP240" i="1"/>
  <c r="AO240" i="1"/>
  <c r="AN240" i="1"/>
  <c r="AM240" i="1"/>
  <c r="AL240" i="1"/>
  <c r="AS239" i="1"/>
  <c r="AR239" i="1"/>
  <c r="AP239" i="1"/>
  <c r="AO239" i="1"/>
  <c r="AN239" i="1"/>
  <c r="AM239" i="1"/>
  <c r="AL239" i="1"/>
  <c r="AS238" i="1"/>
  <c r="AR238" i="1"/>
  <c r="AP238" i="1"/>
  <c r="AO238" i="1"/>
  <c r="AN238" i="1"/>
  <c r="AM238" i="1"/>
  <c r="AL238" i="1"/>
  <c r="AS237" i="1"/>
  <c r="AR237" i="1"/>
  <c r="AP237" i="1"/>
  <c r="AO237" i="1"/>
  <c r="AN237" i="1"/>
  <c r="AM237" i="1"/>
  <c r="AL237" i="1"/>
  <c r="AS236" i="1"/>
  <c r="AR236" i="1"/>
  <c r="AP236" i="1"/>
  <c r="AO236" i="1"/>
  <c r="AN236" i="1"/>
  <c r="AM236" i="1"/>
  <c r="AL236" i="1"/>
  <c r="AS235" i="1"/>
  <c r="AR235" i="1"/>
  <c r="AP235" i="1"/>
  <c r="AO235" i="1"/>
  <c r="AN235" i="1"/>
  <c r="AM235" i="1"/>
  <c r="AL235" i="1"/>
  <c r="AS234" i="1"/>
  <c r="AR234" i="1"/>
  <c r="AP234" i="1"/>
  <c r="AO234" i="1"/>
  <c r="AN234" i="1"/>
  <c r="AM234" i="1"/>
  <c r="AL234" i="1"/>
  <c r="AS233" i="1"/>
  <c r="AR233" i="1"/>
  <c r="AP233" i="1"/>
  <c r="AO233" i="1"/>
  <c r="AN233" i="1"/>
  <c r="AM233" i="1"/>
  <c r="AL233" i="1"/>
  <c r="AS232" i="1"/>
  <c r="AR232" i="1"/>
  <c r="AP232" i="1"/>
  <c r="AO232" i="1"/>
  <c r="AN232" i="1"/>
  <c r="AM232" i="1"/>
  <c r="AL232" i="1"/>
  <c r="AS231" i="1"/>
  <c r="AR231" i="1"/>
  <c r="AP231" i="1"/>
  <c r="AO231" i="1"/>
  <c r="AN231" i="1"/>
  <c r="AM231" i="1"/>
  <c r="AL231" i="1"/>
  <c r="AS230" i="1"/>
  <c r="AR230" i="1"/>
  <c r="AP230" i="1"/>
  <c r="AO230" i="1"/>
  <c r="AN230" i="1"/>
  <c r="AM230" i="1"/>
  <c r="AL230" i="1"/>
  <c r="AS229" i="1"/>
  <c r="AR229" i="1"/>
  <c r="AP229" i="1"/>
  <c r="AO229" i="1"/>
  <c r="AN229" i="1"/>
  <c r="AM229" i="1"/>
  <c r="AL229" i="1"/>
  <c r="AS228" i="1"/>
  <c r="AR228" i="1"/>
  <c r="AP228" i="1"/>
  <c r="AO228" i="1"/>
  <c r="AN228" i="1"/>
  <c r="AM228" i="1"/>
  <c r="AL228" i="1"/>
  <c r="AS227" i="1"/>
  <c r="AR227" i="1"/>
  <c r="AP227" i="1"/>
  <c r="AO227" i="1"/>
  <c r="AN227" i="1"/>
  <c r="AM227" i="1"/>
  <c r="AL227" i="1"/>
  <c r="AS226" i="1"/>
  <c r="AR226" i="1"/>
  <c r="AP226" i="1"/>
  <c r="AO226" i="1"/>
  <c r="AN226" i="1"/>
  <c r="AM226" i="1"/>
  <c r="AL226" i="1"/>
  <c r="AS225" i="1"/>
  <c r="AR225" i="1"/>
  <c r="AP225" i="1"/>
  <c r="AO225" i="1"/>
  <c r="AN225" i="1"/>
  <c r="AM225" i="1"/>
  <c r="AL225" i="1"/>
  <c r="AS224" i="1"/>
  <c r="AR224" i="1"/>
  <c r="AP224" i="1"/>
  <c r="AO224" i="1"/>
  <c r="AN224" i="1"/>
  <c r="AM224" i="1"/>
  <c r="AL224" i="1"/>
  <c r="AS223" i="1"/>
  <c r="AR223" i="1"/>
  <c r="AP223" i="1"/>
  <c r="AO223" i="1"/>
  <c r="AN223" i="1"/>
  <c r="AM223" i="1"/>
  <c r="AL223" i="1"/>
  <c r="AS222" i="1"/>
  <c r="AR222" i="1"/>
  <c r="AP222" i="1"/>
  <c r="AO222" i="1"/>
  <c r="AN222" i="1"/>
  <c r="AM222" i="1"/>
  <c r="AL222" i="1"/>
  <c r="AS221" i="1"/>
  <c r="AR221" i="1"/>
  <c r="AP221" i="1"/>
  <c r="AO221" i="1"/>
  <c r="AN221" i="1"/>
  <c r="AM221" i="1"/>
  <c r="AL221" i="1"/>
  <c r="AS220" i="1"/>
  <c r="AR220" i="1"/>
  <c r="AP220" i="1"/>
  <c r="AO220" i="1"/>
  <c r="AN220" i="1"/>
  <c r="AM220" i="1"/>
  <c r="AL220" i="1"/>
  <c r="AS219" i="1"/>
  <c r="AR219" i="1"/>
  <c r="AP219" i="1"/>
  <c r="AO219" i="1"/>
  <c r="AN219" i="1"/>
  <c r="AM219" i="1"/>
  <c r="AL219" i="1"/>
  <c r="AS218" i="1"/>
  <c r="AR218" i="1"/>
  <c r="AP218" i="1"/>
  <c r="AO218" i="1"/>
  <c r="AN218" i="1"/>
  <c r="AM218" i="1"/>
  <c r="AL218" i="1"/>
  <c r="AS217" i="1"/>
  <c r="AR217" i="1"/>
  <c r="AP217" i="1"/>
  <c r="AO217" i="1"/>
  <c r="AN217" i="1"/>
  <c r="AM217" i="1"/>
  <c r="AL217" i="1"/>
  <c r="AS216" i="1"/>
  <c r="AR216" i="1"/>
  <c r="AP216" i="1"/>
  <c r="AO216" i="1"/>
  <c r="AN216" i="1"/>
  <c r="AM216" i="1"/>
  <c r="AL216" i="1"/>
  <c r="AS215" i="1"/>
  <c r="AR215" i="1"/>
  <c r="AP215" i="1"/>
  <c r="AO215" i="1"/>
  <c r="AN215" i="1"/>
  <c r="AM215" i="1"/>
  <c r="AL215" i="1"/>
  <c r="AS214" i="1"/>
  <c r="AR214" i="1"/>
  <c r="AP214" i="1"/>
  <c r="AO214" i="1"/>
  <c r="AN214" i="1"/>
  <c r="AM214" i="1"/>
  <c r="AL214" i="1"/>
  <c r="AS213" i="1"/>
  <c r="AR213" i="1"/>
  <c r="AP213" i="1"/>
  <c r="AO213" i="1"/>
  <c r="AN213" i="1"/>
  <c r="AM213" i="1"/>
  <c r="AL213" i="1"/>
  <c r="AS212" i="1"/>
  <c r="AR212" i="1"/>
  <c r="AP212" i="1"/>
  <c r="AO212" i="1"/>
  <c r="AN212" i="1"/>
  <c r="AM212" i="1"/>
  <c r="AL212" i="1"/>
  <c r="AS211" i="1"/>
  <c r="AR211" i="1"/>
  <c r="AP211" i="1"/>
  <c r="AO211" i="1"/>
  <c r="AN211" i="1"/>
  <c r="AM211" i="1"/>
  <c r="AL211" i="1"/>
  <c r="AS210" i="1"/>
  <c r="AR210" i="1"/>
  <c r="AP210" i="1"/>
  <c r="AO210" i="1"/>
  <c r="AN210" i="1"/>
  <c r="AM210" i="1"/>
  <c r="AL210" i="1"/>
  <c r="AS209" i="1"/>
  <c r="AR209" i="1"/>
  <c r="AP209" i="1"/>
  <c r="AO209" i="1"/>
  <c r="AN209" i="1"/>
  <c r="AM209" i="1"/>
  <c r="AL209" i="1"/>
  <c r="AS208" i="1"/>
  <c r="AR208" i="1"/>
  <c r="AP208" i="1"/>
  <c r="AO208" i="1"/>
  <c r="AN208" i="1"/>
  <c r="AM208" i="1"/>
  <c r="AL208" i="1"/>
  <c r="AS207" i="1"/>
  <c r="AR207" i="1"/>
  <c r="AP207" i="1"/>
  <c r="AO207" i="1"/>
  <c r="AN207" i="1"/>
  <c r="AM207" i="1"/>
  <c r="AL207" i="1"/>
  <c r="AS206" i="1"/>
  <c r="AR206" i="1"/>
  <c r="AP206" i="1"/>
  <c r="AO206" i="1"/>
  <c r="AN206" i="1"/>
  <c r="AM206" i="1"/>
  <c r="AL206" i="1"/>
  <c r="AS205" i="1"/>
  <c r="AR205" i="1"/>
  <c r="AP205" i="1"/>
  <c r="AO205" i="1"/>
  <c r="AN205" i="1"/>
  <c r="AM205" i="1"/>
  <c r="AL205" i="1"/>
  <c r="AS204" i="1"/>
  <c r="AR204" i="1"/>
  <c r="AP204" i="1"/>
  <c r="AO204" i="1"/>
  <c r="AN204" i="1"/>
  <c r="AM204" i="1"/>
  <c r="AL204" i="1"/>
  <c r="AS203" i="1"/>
  <c r="AR203" i="1"/>
  <c r="AP203" i="1"/>
  <c r="AO203" i="1"/>
  <c r="AN203" i="1"/>
  <c r="AM203" i="1"/>
  <c r="AL203" i="1"/>
  <c r="AS202" i="1"/>
  <c r="AR202" i="1"/>
  <c r="AP202" i="1"/>
  <c r="AO202" i="1"/>
  <c r="AN202" i="1"/>
  <c r="AM202" i="1"/>
  <c r="AL202" i="1"/>
  <c r="AS201" i="1"/>
  <c r="AR201" i="1"/>
  <c r="AP201" i="1"/>
  <c r="AO201" i="1"/>
  <c r="AN201" i="1"/>
  <c r="AM201" i="1"/>
  <c r="AL201" i="1"/>
  <c r="AS200" i="1"/>
  <c r="AR200" i="1"/>
  <c r="AP200" i="1"/>
  <c r="AO200" i="1"/>
  <c r="AN200" i="1"/>
  <c r="AM200" i="1"/>
  <c r="AL200" i="1"/>
  <c r="AS199" i="1"/>
  <c r="AR199" i="1"/>
  <c r="AP199" i="1"/>
  <c r="AO199" i="1"/>
  <c r="AN199" i="1"/>
  <c r="AM199" i="1"/>
  <c r="AL199" i="1"/>
  <c r="AS198" i="1"/>
  <c r="AR198" i="1"/>
  <c r="AP198" i="1"/>
  <c r="AO198" i="1"/>
  <c r="AN198" i="1"/>
  <c r="AM198" i="1"/>
  <c r="AL198" i="1"/>
  <c r="AS197" i="1"/>
  <c r="AR197" i="1"/>
  <c r="AP197" i="1"/>
  <c r="AO197" i="1"/>
  <c r="AN197" i="1"/>
  <c r="AM197" i="1"/>
  <c r="AL197" i="1"/>
  <c r="AS196" i="1"/>
  <c r="AR196" i="1"/>
  <c r="AP196" i="1"/>
  <c r="AO196" i="1"/>
  <c r="AN196" i="1"/>
  <c r="AM196" i="1"/>
  <c r="AL196" i="1"/>
  <c r="AS195" i="1"/>
  <c r="AR195" i="1"/>
  <c r="AP195" i="1"/>
  <c r="AO195" i="1"/>
  <c r="AN195" i="1"/>
  <c r="AM195" i="1"/>
  <c r="AL195" i="1"/>
  <c r="AS194" i="1"/>
  <c r="AR194" i="1"/>
  <c r="AP194" i="1"/>
  <c r="AO194" i="1"/>
  <c r="AN194" i="1"/>
  <c r="AM194" i="1"/>
  <c r="AL194" i="1"/>
  <c r="AS193" i="1"/>
  <c r="AR193" i="1"/>
  <c r="AP193" i="1"/>
  <c r="AO193" i="1"/>
  <c r="AN193" i="1"/>
  <c r="AM193" i="1"/>
  <c r="AL193" i="1"/>
  <c r="AS192" i="1"/>
  <c r="AR192" i="1"/>
  <c r="AP192" i="1"/>
  <c r="AO192" i="1"/>
  <c r="AN192" i="1"/>
  <c r="AM192" i="1"/>
  <c r="AL192" i="1"/>
  <c r="AS191" i="1"/>
  <c r="AR191" i="1"/>
  <c r="AP191" i="1"/>
  <c r="AO191" i="1"/>
  <c r="AN191" i="1"/>
  <c r="AM191" i="1"/>
  <c r="AL191" i="1"/>
  <c r="AS190" i="1"/>
  <c r="AR190" i="1"/>
  <c r="AP190" i="1"/>
  <c r="AO190" i="1"/>
  <c r="AN190" i="1"/>
  <c r="AM190" i="1"/>
  <c r="AL190" i="1"/>
  <c r="AS189" i="1"/>
  <c r="AR189" i="1"/>
  <c r="AP189" i="1"/>
  <c r="AO189" i="1"/>
  <c r="AN189" i="1"/>
  <c r="AM189" i="1"/>
  <c r="AL189" i="1"/>
  <c r="AS188" i="1"/>
  <c r="AR188" i="1"/>
  <c r="AP188" i="1"/>
  <c r="AO188" i="1"/>
  <c r="AN188" i="1"/>
  <c r="AM188" i="1"/>
  <c r="AL188" i="1"/>
  <c r="AS187" i="1"/>
  <c r="AR187" i="1"/>
  <c r="AP187" i="1"/>
  <c r="AO187" i="1"/>
  <c r="AN187" i="1"/>
  <c r="AM187" i="1"/>
  <c r="AL187" i="1"/>
  <c r="AS186" i="1"/>
  <c r="AR186" i="1"/>
  <c r="AP186" i="1"/>
  <c r="AO186" i="1"/>
  <c r="AN186" i="1"/>
  <c r="AM186" i="1"/>
  <c r="AL186" i="1"/>
  <c r="AS185" i="1"/>
  <c r="AR185" i="1"/>
  <c r="AP185" i="1"/>
  <c r="AO185" i="1"/>
  <c r="AN185" i="1"/>
  <c r="AM185" i="1"/>
  <c r="AL185" i="1"/>
  <c r="AS184" i="1"/>
  <c r="AR184" i="1"/>
  <c r="AP184" i="1"/>
  <c r="AO184" i="1"/>
  <c r="AN184" i="1"/>
  <c r="AM184" i="1"/>
  <c r="AL184" i="1"/>
  <c r="AS183" i="1"/>
  <c r="AR183" i="1"/>
  <c r="AP183" i="1"/>
  <c r="AO183" i="1"/>
  <c r="AN183" i="1"/>
  <c r="AM183" i="1"/>
  <c r="AL183" i="1"/>
  <c r="AS182" i="1"/>
  <c r="AR182" i="1"/>
  <c r="AP182" i="1"/>
  <c r="AO182" i="1"/>
  <c r="AN182" i="1"/>
  <c r="AM182" i="1"/>
  <c r="AL182" i="1"/>
  <c r="AS181" i="1"/>
  <c r="AR181" i="1"/>
  <c r="AP181" i="1"/>
  <c r="AO181" i="1"/>
  <c r="AN181" i="1"/>
  <c r="AM181" i="1"/>
  <c r="AL181" i="1"/>
  <c r="AS180" i="1"/>
  <c r="AR180" i="1"/>
  <c r="AP180" i="1"/>
  <c r="AO180" i="1"/>
  <c r="AN180" i="1"/>
  <c r="AM180" i="1"/>
  <c r="AL180" i="1"/>
  <c r="AS179" i="1"/>
  <c r="AR179" i="1"/>
  <c r="AP179" i="1"/>
  <c r="AO179" i="1"/>
  <c r="AN179" i="1"/>
  <c r="AM179" i="1"/>
  <c r="AL179" i="1"/>
  <c r="AS178" i="1"/>
  <c r="AR178" i="1"/>
  <c r="AP178" i="1"/>
  <c r="AO178" i="1"/>
  <c r="AN178" i="1"/>
  <c r="AM178" i="1"/>
  <c r="AL178" i="1"/>
  <c r="AS177" i="1"/>
  <c r="AR177" i="1"/>
  <c r="AP177" i="1"/>
  <c r="AO177" i="1"/>
  <c r="AN177" i="1"/>
  <c r="AM177" i="1"/>
  <c r="AL177" i="1"/>
  <c r="AS176" i="1"/>
  <c r="AR176" i="1"/>
  <c r="AP176" i="1"/>
  <c r="AO176" i="1"/>
  <c r="AN176" i="1"/>
  <c r="AM176" i="1"/>
  <c r="AL176" i="1"/>
  <c r="AS175" i="1"/>
  <c r="AR175" i="1"/>
  <c r="AP175" i="1"/>
  <c r="AO175" i="1"/>
  <c r="AN175" i="1"/>
  <c r="AM175" i="1"/>
  <c r="AL175" i="1"/>
  <c r="AS174" i="1"/>
  <c r="AR174" i="1"/>
  <c r="AP174" i="1"/>
  <c r="AO174" i="1"/>
  <c r="AN174" i="1"/>
  <c r="AM174" i="1"/>
  <c r="AL174" i="1"/>
  <c r="AS173" i="1"/>
  <c r="AR173" i="1"/>
  <c r="AP173" i="1"/>
  <c r="AO173" i="1"/>
  <c r="AN173" i="1"/>
  <c r="AM173" i="1"/>
  <c r="AL173" i="1"/>
  <c r="AS172" i="1"/>
  <c r="AR172" i="1"/>
  <c r="AP172" i="1"/>
  <c r="AO172" i="1"/>
  <c r="AN172" i="1"/>
  <c r="AM172" i="1"/>
  <c r="AL172" i="1"/>
  <c r="AS171" i="1"/>
  <c r="AR171" i="1"/>
  <c r="AP171" i="1"/>
  <c r="AO171" i="1"/>
  <c r="AN171" i="1"/>
  <c r="AM171" i="1"/>
  <c r="AL171" i="1"/>
  <c r="AS170" i="1"/>
  <c r="AR170" i="1"/>
  <c r="AP170" i="1"/>
  <c r="AO170" i="1"/>
  <c r="AN170" i="1"/>
  <c r="AM170" i="1"/>
  <c r="AL170" i="1"/>
  <c r="AS169" i="1"/>
  <c r="AR169" i="1"/>
  <c r="AP169" i="1"/>
  <c r="AO169" i="1"/>
  <c r="AN169" i="1"/>
  <c r="AM169" i="1"/>
  <c r="AL169" i="1"/>
  <c r="AS168" i="1"/>
  <c r="AR168" i="1"/>
  <c r="AP168" i="1"/>
  <c r="AO168" i="1"/>
  <c r="AN168" i="1"/>
  <c r="AM168" i="1"/>
  <c r="AL168" i="1"/>
  <c r="AS167" i="1"/>
  <c r="AR167" i="1"/>
  <c r="AP167" i="1"/>
  <c r="AO167" i="1"/>
  <c r="AN167" i="1"/>
  <c r="AM167" i="1"/>
  <c r="AL167" i="1"/>
  <c r="AS166" i="1"/>
  <c r="AR166" i="1"/>
  <c r="AP166" i="1"/>
  <c r="AO166" i="1"/>
  <c r="AN166" i="1"/>
  <c r="AM166" i="1"/>
  <c r="AL166" i="1"/>
  <c r="AS165" i="1"/>
  <c r="AR165" i="1"/>
  <c r="AP165" i="1"/>
  <c r="AO165" i="1"/>
  <c r="AN165" i="1"/>
  <c r="AM165" i="1"/>
  <c r="AL165" i="1"/>
  <c r="AS164" i="1"/>
  <c r="AR164" i="1"/>
  <c r="AP164" i="1"/>
  <c r="AO164" i="1"/>
  <c r="AN164" i="1"/>
  <c r="AM164" i="1"/>
  <c r="AL164" i="1"/>
  <c r="AS163" i="1"/>
  <c r="AR163" i="1"/>
  <c r="AP163" i="1"/>
  <c r="AO163" i="1"/>
  <c r="AN163" i="1"/>
  <c r="AM163" i="1"/>
  <c r="AL163" i="1"/>
  <c r="AS162" i="1"/>
  <c r="AR162" i="1"/>
  <c r="AP162" i="1"/>
  <c r="AO162" i="1"/>
  <c r="AN162" i="1"/>
  <c r="AM162" i="1"/>
  <c r="AL162" i="1"/>
  <c r="AS161" i="1"/>
  <c r="AR161" i="1"/>
  <c r="AP161" i="1"/>
  <c r="AO161" i="1"/>
  <c r="AN161" i="1"/>
  <c r="AM161" i="1"/>
  <c r="AL161" i="1"/>
  <c r="AS160" i="1"/>
  <c r="AR160" i="1"/>
  <c r="AP160" i="1"/>
  <c r="AO160" i="1"/>
  <c r="AN160" i="1"/>
  <c r="AM160" i="1"/>
  <c r="AL160" i="1"/>
  <c r="AS159" i="1"/>
  <c r="AR159" i="1"/>
  <c r="AP159" i="1"/>
  <c r="AO159" i="1"/>
  <c r="AN159" i="1"/>
  <c r="AM159" i="1"/>
  <c r="AL159" i="1"/>
  <c r="AS158" i="1"/>
  <c r="AR158" i="1"/>
  <c r="AP158" i="1"/>
  <c r="AO158" i="1"/>
  <c r="AN158" i="1"/>
  <c r="AM158" i="1"/>
  <c r="AL158" i="1"/>
  <c r="AS157" i="1"/>
  <c r="AR157" i="1"/>
  <c r="AP157" i="1"/>
  <c r="AO157" i="1"/>
  <c r="AN157" i="1"/>
  <c r="AM157" i="1"/>
  <c r="AL157" i="1"/>
  <c r="AS156" i="1"/>
  <c r="AR156" i="1"/>
  <c r="AP156" i="1"/>
  <c r="AO156" i="1"/>
  <c r="AN156" i="1"/>
  <c r="AM156" i="1"/>
  <c r="AL156" i="1"/>
  <c r="AS155" i="1"/>
  <c r="AR155" i="1"/>
  <c r="AP155" i="1"/>
  <c r="AO155" i="1"/>
  <c r="AN155" i="1"/>
  <c r="AM155" i="1"/>
  <c r="AL155" i="1"/>
  <c r="AS154" i="1"/>
  <c r="AR154" i="1"/>
  <c r="AP154" i="1"/>
  <c r="AO154" i="1"/>
  <c r="AN154" i="1"/>
  <c r="AM154" i="1"/>
  <c r="AL154" i="1"/>
  <c r="AS153" i="1"/>
  <c r="AR153" i="1"/>
  <c r="AP153" i="1"/>
  <c r="AO153" i="1"/>
  <c r="AN153" i="1"/>
  <c r="AM153" i="1"/>
  <c r="AL153" i="1"/>
  <c r="AS152" i="1"/>
  <c r="AR152" i="1"/>
  <c r="AP152" i="1"/>
  <c r="AO152" i="1"/>
  <c r="AN152" i="1"/>
  <c r="AM152" i="1"/>
  <c r="AL152" i="1"/>
  <c r="AS151" i="1"/>
  <c r="AR151" i="1"/>
  <c r="AP151" i="1"/>
  <c r="AO151" i="1"/>
  <c r="AN151" i="1"/>
  <c r="AM151" i="1"/>
  <c r="AL151" i="1"/>
  <c r="AS150" i="1"/>
  <c r="AR150" i="1"/>
  <c r="AP150" i="1"/>
  <c r="AO150" i="1"/>
  <c r="AN150" i="1"/>
  <c r="AM150" i="1"/>
  <c r="AL150" i="1"/>
  <c r="AS149" i="1"/>
  <c r="AR149" i="1"/>
  <c r="AP149" i="1"/>
  <c r="AO149" i="1"/>
  <c r="AN149" i="1"/>
  <c r="AM149" i="1"/>
  <c r="AL149" i="1"/>
  <c r="AS148" i="1"/>
  <c r="AR148" i="1"/>
  <c r="AP148" i="1"/>
  <c r="AO148" i="1"/>
  <c r="AN148" i="1"/>
  <c r="AM148" i="1"/>
  <c r="AL148" i="1"/>
  <c r="AS147" i="1"/>
  <c r="AR147" i="1"/>
  <c r="AP147" i="1"/>
  <c r="AO147" i="1"/>
  <c r="AN147" i="1"/>
  <c r="AM147" i="1"/>
  <c r="AL147" i="1"/>
  <c r="AS146" i="1"/>
  <c r="AR146" i="1"/>
  <c r="AP146" i="1"/>
  <c r="AO146" i="1"/>
  <c r="AN146" i="1"/>
  <c r="AM146" i="1"/>
  <c r="AL146" i="1"/>
  <c r="AS145" i="1"/>
  <c r="AR145" i="1"/>
  <c r="AP145" i="1"/>
  <c r="AO145" i="1"/>
  <c r="AN145" i="1"/>
  <c r="AM145" i="1"/>
  <c r="AL145" i="1"/>
  <c r="AS144" i="1"/>
  <c r="AR144" i="1"/>
  <c r="AP144" i="1"/>
  <c r="AO144" i="1"/>
  <c r="AN144" i="1"/>
  <c r="AM144" i="1"/>
  <c r="AL144" i="1"/>
  <c r="AS143" i="1"/>
  <c r="AR143" i="1"/>
  <c r="AP143" i="1"/>
  <c r="AO143" i="1"/>
  <c r="AN143" i="1"/>
  <c r="AM143" i="1"/>
  <c r="AL143" i="1"/>
  <c r="AS142" i="1"/>
  <c r="AR142" i="1"/>
  <c r="AP142" i="1"/>
  <c r="AO142" i="1"/>
  <c r="AN142" i="1"/>
  <c r="AM142" i="1"/>
  <c r="AL142" i="1"/>
  <c r="AS141" i="1"/>
  <c r="AR141" i="1"/>
  <c r="AP141" i="1"/>
  <c r="AO141" i="1"/>
  <c r="AN141" i="1"/>
  <c r="AM141" i="1"/>
  <c r="AL141" i="1"/>
  <c r="AS140" i="1"/>
  <c r="AR140" i="1"/>
  <c r="AP140" i="1"/>
  <c r="AO140" i="1"/>
  <c r="AN140" i="1"/>
  <c r="AM140" i="1"/>
  <c r="AL140" i="1"/>
  <c r="AS139" i="1"/>
  <c r="AR139" i="1"/>
  <c r="AP139" i="1"/>
  <c r="AO139" i="1"/>
  <c r="AN139" i="1"/>
  <c r="AM139" i="1"/>
  <c r="AL139" i="1"/>
  <c r="AS138" i="1"/>
  <c r="AR138" i="1"/>
  <c r="AP138" i="1"/>
  <c r="AO138" i="1"/>
  <c r="AN138" i="1"/>
  <c r="AM138" i="1"/>
  <c r="AL138" i="1"/>
  <c r="AS137" i="1"/>
  <c r="AR137" i="1"/>
  <c r="AP137" i="1"/>
  <c r="AO137" i="1"/>
  <c r="AN137" i="1"/>
  <c r="AM137" i="1"/>
  <c r="AL137" i="1"/>
  <c r="AS136" i="1"/>
  <c r="AR136" i="1"/>
  <c r="AP136" i="1"/>
  <c r="AO136" i="1"/>
  <c r="AN136" i="1"/>
  <c r="AM136" i="1"/>
  <c r="AL136" i="1"/>
  <c r="AS135" i="1"/>
  <c r="AR135" i="1"/>
  <c r="AP135" i="1"/>
  <c r="AO135" i="1"/>
  <c r="AN135" i="1"/>
  <c r="AM135" i="1"/>
  <c r="AL135" i="1"/>
  <c r="AS134" i="1"/>
  <c r="AR134" i="1"/>
  <c r="AP134" i="1"/>
  <c r="AO134" i="1"/>
  <c r="AN134" i="1"/>
  <c r="AM134" i="1"/>
  <c r="AL134" i="1"/>
  <c r="AS133" i="1"/>
  <c r="AR133" i="1"/>
  <c r="AP133" i="1"/>
  <c r="AO133" i="1"/>
  <c r="AN133" i="1"/>
  <c r="AM133" i="1"/>
  <c r="AL133" i="1"/>
  <c r="AS132" i="1"/>
  <c r="AR132" i="1"/>
  <c r="AP132" i="1"/>
  <c r="AO132" i="1"/>
  <c r="AN132" i="1"/>
  <c r="AM132" i="1"/>
  <c r="AL132" i="1"/>
  <c r="AS131" i="1"/>
  <c r="AR131" i="1"/>
  <c r="AP131" i="1"/>
  <c r="AO131" i="1"/>
  <c r="AN131" i="1"/>
  <c r="AM131" i="1"/>
  <c r="AL131" i="1"/>
  <c r="AS130" i="1"/>
  <c r="AR130" i="1"/>
  <c r="AP130" i="1"/>
  <c r="AO130" i="1"/>
  <c r="AN130" i="1"/>
  <c r="AM130" i="1"/>
  <c r="AL130" i="1"/>
  <c r="AS129" i="1"/>
  <c r="AR129" i="1"/>
  <c r="AP129" i="1"/>
  <c r="AO129" i="1"/>
  <c r="AN129" i="1"/>
  <c r="AM129" i="1"/>
  <c r="AL129" i="1"/>
  <c r="AS128" i="1"/>
  <c r="AR128" i="1"/>
  <c r="AP128" i="1"/>
  <c r="AO128" i="1"/>
  <c r="AN128" i="1"/>
  <c r="AM128" i="1"/>
  <c r="AL128" i="1"/>
  <c r="AS127" i="1"/>
  <c r="AR127" i="1"/>
  <c r="AP127" i="1"/>
  <c r="AO127" i="1"/>
  <c r="AN127" i="1"/>
  <c r="AM127" i="1"/>
  <c r="AL127" i="1"/>
  <c r="AS126" i="1"/>
  <c r="AR126" i="1"/>
  <c r="AP126" i="1"/>
  <c r="AO126" i="1"/>
  <c r="AN126" i="1"/>
  <c r="AM126" i="1"/>
  <c r="AL126" i="1"/>
  <c r="AS125" i="1"/>
  <c r="AR125" i="1"/>
  <c r="AP125" i="1"/>
  <c r="AO125" i="1"/>
  <c r="AN125" i="1"/>
  <c r="AM125" i="1"/>
  <c r="AL125" i="1"/>
  <c r="AS124" i="1"/>
  <c r="AR124" i="1"/>
  <c r="AP124" i="1"/>
  <c r="AO124" i="1"/>
  <c r="AN124" i="1"/>
  <c r="AM124" i="1"/>
  <c r="AL124" i="1"/>
  <c r="AS123" i="1"/>
  <c r="AR123" i="1"/>
  <c r="AP123" i="1"/>
  <c r="AO123" i="1"/>
  <c r="AN123" i="1"/>
  <c r="AM123" i="1"/>
  <c r="AL123" i="1"/>
  <c r="AS122" i="1"/>
  <c r="AR122" i="1"/>
  <c r="AP122" i="1"/>
  <c r="AO122" i="1"/>
  <c r="AN122" i="1"/>
  <c r="AM122" i="1"/>
  <c r="AL122" i="1"/>
  <c r="AS121" i="1"/>
  <c r="AR121" i="1"/>
  <c r="AP121" i="1"/>
  <c r="AO121" i="1"/>
  <c r="AN121" i="1"/>
  <c r="AM121" i="1"/>
  <c r="AL121" i="1"/>
  <c r="AS120" i="1"/>
  <c r="AR120" i="1"/>
  <c r="AP120" i="1"/>
  <c r="AO120" i="1"/>
  <c r="AN120" i="1"/>
  <c r="AM120" i="1"/>
  <c r="AL120" i="1"/>
  <c r="AS119" i="1"/>
  <c r="AR119" i="1"/>
  <c r="AP119" i="1"/>
  <c r="AO119" i="1"/>
  <c r="AN119" i="1"/>
  <c r="AM119" i="1"/>
  <c r="AL119" i="1"/>
  <c r="AS118" i="1"/>
  <c r="AR118" i="1"/>
  <c r="AP118" i="1"/>
  <c r="AO118" i="1"/>
  <c r="AN118" i="1"/>
  <c r="AM118" i="1"/>
  <c r="AL118" i="1"/>
  <c r="AS117" i="1"/>
  <c r="AR117" i="1"/>
  <c r="AP117" i="1"/>
  <c r="AO117" i="1"/>
  <c r="AN117" i="1"/>
  <c r="AM117" i="1"/>
  <c r="AL117" i="1"/>
  <c r="AS116" i="1"/>
  <c r="AR116" i="1"/>
  <c r="AP116" i="1"/>
  <c r="AO116" i="1"/>
  <c r="AN116" i="1"/>
  <c r="AM116" i="1"/>
  <c r="AL116" i="1"/>
  <c r="AS115" i="1"/>
  <c r="AR115" i="1"/>
  <c r="AP115" i="1"/>
  <c r="AO115" i="1"/>
  <c r="AN115" i="1"/>
  <c r="AM115" i="1"/>
  <c r="AL115" i="1"/>
  <c r="AS114" i="1"/>
  <c r="AR114" i="1"/>
  <c r="AP114" i="1"/>
  <c r="AO114" i="1"/>
  <c r="AN114" i="1"/>
  <c r="AM114" i="1"/>
  <c r="AL114" i="1"/>
  <c r="AS113" i="1"/>
  <c r="AR113" i="1"/>
  <c r="AP113" i="1"/>
  <c r="AO113" i="1"/>
  <c r="AN113" i="1"/>
  <c r="AM113" i="1"/>
  <c r="AL113" i="1"/>
  <c r="AS112" i="1"/>
  <c r="AR112" i="1"/>
  <c r="AP112" i="1"/>
  <c r="AO112" i="1"/>
  <c r="AN112" i="1"/>
  <c r="AM112" i="1"/>
  <c r="AL112" i="1"/>
  <c r="AS111" i="1"/>
  <c r="AR111" i="1"/>
  <c r="AP111" i="1"/>
  <c r="AO111" i="1"/>
  <c r="AN111" i="1"/>
  <c r="AM111" i="1"/>
  <c r="AL111" i="1"/>
  <c r="AS110" i="1"/>
  <c r="AR110" i="1"/>
  <c r="AP110" i="1"/>
  <c r="AO110" i="1"/>
  <c r="AN110" i="1"/>
  <c r="AM110" i="1"/>
  <c r="AL110" i="1"/>
  <c r="AS109" i="1"/>
  <c r="AR109" i="1"/>
  <c r="AP109" i="1"/>
  <c r="AO109" i="1"/>
  <c r="AN109" i="1"/>
  <c r="AM109" i="1"/>
  <c r="AL109" i="1"/>
  <c r="AS108" i="1"/>
  <c r="AR108" i="1"/>
  <c r="AP108" i="1"/>
  <c r="AO108" i="1"/>
  <c r="AN108" i="1"/>
  <c r="AM108" i="1"/>
  <c r="AL108" i="1"/>
  <c r="AS107" i="1"/>
  <c r="AR107" i="1"/>
  <c r="AP107" i="1"/>
  <c r="AO107" i="1"/>
  <c r="AN107" i="1"/>
  <c r="AM107" i="1"/>
  <c r="AL107" i="1"/>
  <c r="AS106" i="1"/>
  <c r="AR106" i="1"/>
  <c r="AP106" i="1"/>
  <c r="AO106" i="1"/>
  <c r="AN106" i="1"/>
  <c r="AM106" i="1"/>
  <c r="AL106" i="1"/>
  <c r="AS105" i="1"/>
  <c r="AR105" i="1"/>
  <c r="AP105" i="1"/>
  <c r="AO105" i="1"/>
  <c r="AN105" i="1"/>
  <c r="AM105" i="1"/>
  <c r="AL105" i="1"/>
  <c r="AS104" i="1"/>
  <c r="AR104" i="1"/>
  <c r="AP104" i="1"/>
  <c r="AO104" i="1"/>
  <c r="AN104" i="1"/>
  <c r="AM104" i="1"/>
  <c r="AL104" i="1"/>
  <c r="AS103" i="1"/>
  <c r="AR103" i="1"/>
  <c r="AP103" i="1"/>
  <c r="AO103" i="1"/>
  <c r="AN103" i="1"/>
  <c r="AM103" i="1"/>
  <c r="AL103" i="1"/>
  <c r="AS102" i="1"/>
  <c r="AR102" i="1"/>
  <c r="AP102" i="1"/>
  <c r="AO102" i="1"/>
  <c r="AN102" i="1"/>
  <c r="AM102" i="1"/>
  <c r="AL102" i="1"/>
  <c r="AS101" i="1"/>
  <c r="AR101" i="1"/>
  <c r="AP101" i="1"/>
  <c r="AO101" i="1"/>
  <c r="AN101" i="1"/>
  <c r="AM101" i="1"/>
  <c r="AL101" i="1"/>
  <c r="AS100" i="1"/>
  <c r="AR100" i="1"/>
  <c r="AP100" i="1"/>
  <c r="AO100" i="1"/>
  <c r="AN100" i="1"/>
  <c r="AM100" i="1"/>
  <c r="AL100" i="1"/>
  <c r="AS99" i="1"/>
  <c r="AR99" i="1"/>
  <c r="AP99" i="1"/>
  <c r="AO99" i="1"/>
  <c r="AN99" i="1"/>
  <c r="AM99" i="1"/>
  <c r="AL99" i="1"/>
  <c r="AS98" i="1"/>
  <c r="AR98" i="1"/>
  <c r="AP98" i="1"/>
  <c r="AO98" i="1"/>
  <c r="AN98" i="1"/>
  <c r="AM98" i="1"/>
  <c r="AL98" i="1"/>
  <c r="AS97" i="1"/>
  <c r="AR97" i="1"/>
  <c r="AP97" i="1"/>
  <c r="AO97" i="1"/>
  <c r="AN97" i="1"/>
  <c r="AM97" i="1"/>
  <c r="AL97" i="1"/>
  <c r="AS96" i="1"/>
  <c r="AR96" i="1"/>
  <c r="AP96" i="1"/>
  <c r="AO96" i="1"/>
  <c r="AN96" i="1"/>
  <c r="AM96" i="1"/>
  <c r="AL96" i="1"/>
  <c r="AS95" i="1"/>
  <c r="AR95" i="1"/>
  <c r="AP95" i="1"/>
  <c r="AO95" i="1"/>
  <c r="AN95" i="1"/>
  <c r="AM95" i="1"/>
  <c r="AL95" i="1"/>
  <c r="AS94" i="1"/>
  <c r="AR94" i="1"/>
  <c r="AP94" i="1"/>
  <c r="AO94" i="1"/>
  <c r="AN94" i="1"/>
  <c r="AM94" i="1"/>
  <c r="AL94" i="1"/>
  <c r="AS93" i="1"/>
  <c r="AR93" i="1"/>
  <c r="AP93" i="1"/>
  <c r="AO93" i="1"/>
  <c r="AN93" i="1"/>
  <c r="AM93" i="1"/>
  <c r="AL93" i="1"/>
  <c r="AS92" i="1"/>
  <c r="AR92" i="1"/>
  <c r="AP92" i="1"/>
  <c r="AO92" i="1"/>
  <c r="AN92" i="1"/>
  <c r="AM92" i="1"/>
  <c r="AL92" i="1"/>
  <c r="AS91" i="1"/>
  <c r="AR91" i="1"/>
  <c r="AP91" i="1"/>
  <c r="AO91" i="1"/>
  <c r="AN91" i="1"/>
  <c r="AM91" i="1"/>
  <c r="AL91" i="1"/>
  <c r="AS90" i="1"/>
  <c r="AR90" i="1"/>
  <c r="AP90" i="1"/>
  <c r="AO90" i="1"/>
  <c r="AN90" i="1"/>
  <c r="AM90" i="1"/>
  <c r="AL90" i="1"/>
  <c r="AS89" i="1"/>
  <c r="AR89" i="1"/>
  <c r="AP89" i="1"/>
  <c r="AO89" i="1"/>
  <c r="AN89" i="1"/>
  <c r="AM89" i="1"/>
  <c r="AL89" i="1"/>
  <c r="AS88" i="1"/>
  <c r="AR88" i="1"/>
  <c r="AP88" i="1"/>
  <c r="AO88" i="1"/>
  <c r="AN88" i="1"/>
  <c r="AM88" i="1"/>
  <c r="AL88" i="1"/>
  <c r="AS87" i="1"/>
  <c r="AR87" i="1"/>
  <c r="AP87" i="1"/>
  <c r="AO87" i="1"/>
  <c r="AN87" i="1"/>
  <c r="AM87" i="1"/>
  <c r="AL87" i="1"/>
  <c r="AS86" i="1"/>
  <c r="AR86" i="1"/>
  <c r="AP86" i="1"/>
  <c r="AO86" i="1"/>
  <c r="AN86" i="1"/>
  <c r="AM86" i="1"/>
  <c r="AL86" i="1"/>
  <c r="AS85" i="1"/>
  <c r="AR85" i="1"/>
  <c r="AP85" i="1"/>
  <c r="AO85" i="1"/>
  <c r="AN85" i="1"/>
  <c r="AM85" i="1"/>
  <c r="AL85" i="1"/>
  <c r="AS84" i="1"/>
  <c r="AR84" i="1"/>
  <c r="AP84" i="1"/>
  <c r="AO84" i="1"/>
  <c r="AN84" i="1"/>
  <c r="AM84" i="1"/>
  <c r="AL84" i="1"/>
  <c r="AS83" i="1"/>
  <c r="AR83" i="1"/>
  <c r="AP83" i="1"/>
  <c r="AO83" i="1"/>
  <c r="AN83" i="1"/>
  <c r="AM83" i="1"/>
  <c r="AL83" i="1"/>
  <c r="AS82" i="1"/>
  <c r="AR82" i="1"/>
  <c r="AP82" i="1"/>
  <c r="AO82" i="1"/>
  <c r="AN82" i="1"/>
  <c r="AM82" i="1"/>
  <c r="AL82" i="1"/>
  <c r="AS81" i="1"/>
  <c r="AR81" i="1"/>
  <c r="AP81" i="1"/>
  <c r="AO81" i="1"/>
  <c r="AN81" i="1"/>
  <c r="AM81" i="1"/>
  <c r="AL81" i="1"/>
  <c r="AS80" i="1"/>
  <c r="AR80" i="1"/>
  <c r="AP80" i="1"/>
  <c r="AO80" i="1"/>
  <c r="AN80" i="1"/>
  <c r="AM80" i="1"/>
  <c r="AL80" i="1"/>
  <c r="AS79" i="1"/>
  <c r="AR79" i="1"/>
  <c r="AP79" i="1"/>
  <c r="AO79" i="1"/>
  <c r="AN79" i="1"/>
  <c r="AM79" i="1"/>
  <c r="AL79" i="1"/>
  <c r="AS78" i="1"/>
  <c r="AR78" i="1"/>
  <c r="AP78" i="1"/>
  <c r="AO78" i="1"/>
  <c r="AN78" i="1"/>
  <c r="AM78" i="1"/>
  <c r="AL78" i="1"/>
  <c r="AS77" i="1"/>
  <c r="AR77" i="1"/>
  <c r="AP77" i="1"/>
  <c r="AO77" i="1"/>
  <c r="AN77" i="1"/>
  <c r="AM77" i="1"/>
  <c r="AL77" i="1"/>
  <c r="AS76" i="1"/>
  <c r="AR76" i="1"/>
  <c r="AP76" i="1"/>
  <c r="AO76" i="1"/>
  <c r="AN76" i="1"/>
  <c r="AM76" i="1"/>
  <c r="AL76" i="1"/>
  <c r="AS75" i="1"/>
  <c r="AR75" i="1"/>
  <c r="AP75" i="1"/>
  <c r="AO75" i="1"/>
  <c r="AN75" i="1"/>
  <c r="AM75" i="1"/>
  <c r="AL75" i="1"/>
  <c r="AS74" i="1"/>
  <c r="AR74" i="1"/>
  <c r="AP74" i="1"/>
  <c r="AO74" i="1"/>
  <c r="AN74" i="1"/>
  <c r="AM74" i="1"/>
  <c r="AL74" i="1"/>
  <c r="AS73" i="1"/>
  <c r="AR73" i="1"/>
  <c r="AP73" i="1"/>
  <c r="AO73" i="1"/>
  <c r="AN73" i="1"/>
  <c r="AM73" i="1"/>
  <c r="AL73" i="1"/>
  <c r="AS72" i="1"/>
  <c r="AR72" i="1"/>
  <c r="AP72" i="1"/>
  <c r="AO72" i="1"/>
  <c r="AN72" i="1"/>
  <c r="AM72" i="1"/>
  <c r="AL72" i="1"/>
  <c r="AS71" i="1"/>
  <c r="AR71" i="1"/>
  <c r="AP71" i="1"/>
  <c r="AO71" i="1"/>
  <c r="AN71" i="1"/>
  <c r="AM71" i="1"/>
  <c r="AL71" i="1"/>
  <c r="AS70" i="1"/>
  <c r="AR70" i="1"/>
  <c r="AP70" i="1"/>
  <c r="AO70" i="1"/>
  <c r="AN70" i="1"/>
  <c r="AM70" i="1"/>
  <c r="AL70" i="1"/>
  <c r="AS69" i="1"/>
  <c r="AR69" i="1"/>
  <c r="AP69" i="1"/>
  <c r="AO69" i="1"/>
  <c r="AN69" i="1"/>
  <c r="AM69" i="1"/>
  <c r="AL69" i="1"/>
  <c r="AS68" i="1"/>
  <c r="AR68" i="1"/>
  <c r="AP68" i="1"/>
  <c r="AO68" i="1"/>
  <c r="AN68" i="1"/>
  <c r="AM68" i="1"/>
  <c r="AL68" i="1"/>
  <c r="AS67" i="1"/>
  <c r="AR67" i="1"/>
  <c r="AP67" i="1"/>
  <c r="AO67" i="1"/>
  <c r="AN67" i="1"/>
  <c r="AM67" i="1"/>
  <c r="AL67" i="1"/>
  <c r="AS66" i="1"/>
  <c r="AR66" i="1"/>
  <c r="AP66" i="1"/>
  <c r="AO66" i="1"/>
  <c r="AN66" i="1"/>
  <c r="AM66" i="1"/>
  <c r="AL66" i="1"/>
  <c r="AS65" i="1"/>
  <c r="AR65" i="1"/>
  <c r="AP65" i="1"/>
  <c r="AO65" i="1"/>
  <c r="AN65" i="1"/>
  <c r="AM65" i="1"/>
  <c r="AL65" i="1"/>
  <c r="AS64" i="1"/>
  <c r="AR64" i="1"/>
  <c r="AP64" i="1"/>
  <c r="AO64" i="1"/>
  <c r="AN64" i="1"/>
  <c r="AM64" i="1"/>
  <c r="AL64" i="1"/>
  <c r="AS63" i="1"/>
  <c r="AR63" i="1"/>
  <c r="AP63" i="1"/>
  <c r="AO63" i="1"/>
  <c r="AN63" i="1"/>
  <c r="AM63" i="1"/>
  <c r="AL63" i="1"/>
  <c r="AS62" i="1"/>
  <c r="AR62" i="1"/>
  <c r="AP62" i="1"/>
  <c r="AO62" i="1"/>
  <c r="AN62" i="1"/>
  <c r="AM62" i="1"/>
  <c r="AL62" i="1"/>
  <c r="AS61" i="1"/>
  <c r="AR61" i="1"/>
  <c r="AP61" i="1"/>
  <c r="AO61" i="1"/>
  <c r="AN61" i="1"/>
  <c r="AM61" i="1"/>
  <c r="AL61" i="1"/>
  <c r="AS60" i="1"/>
  <c r="AR60" i="1"/>
  <c r="AP60" i="1"/>
  <c r="AO60" i="1"/>
  <c r="AN60" i="1"/>
  <c r="AM60" i="1"/>
  <c r="AL60" i="1"/>
  <c r="AS59" i="1"/>
  <c r="AR59" i="1"/>
  <c r="AP59" i="1"/>
  <c r="AO59" i="1"/>
  <c r="AN59" i="1"/>
  <c r="AM59" i="1"/>
  <c r="AL59" i="1"/>
  <c r="AS58" i="1"/>
  <c r="AR58" i="1"/>
  <c r="AP58" i="1"/>
  <c r="AO58" i="1"/>
  <c r="AN58" i="1"/>
  <c r="AM58" i="1"/>
  <c r="AL58" i="1"/>
  <c r="AS57" i="1"/>
  <c r="AR57" i="1"/>
  <c r="AP57" i="1"/>
  <c r="AO57" i="1"/>
  <c r="AN57" i="1"/>
  <c r="AM57" i="1"/>
  <c r="AL57" i="1"/>
  <c r="AS56" i="1"/>
  <c r="AR56" i="1"/>
  <c r="AP56" i="1"/>
  <c r="AO56" i="1"/>
  <c r="AN56" i="1"/>
  <c r="AM56" i="1"/>
  <c r="AL56" i="1"/>
  <c r="AS55" i="1"/>
  <c r="AR55" i="1"/>
  <c r="AP55" i="1"/>
  <c r="AO55" i="1"/>
  <c r="AN55" i="1"/>
  <c r="AM55" i="1"/>
  <c r="AL55" i="1"/>
  <c r="AS54" i="1"/>
  <c r="AR54" i="1"/>
  <c r="AP54" i="1"/>
  <c r="AO54" i="1"/>
  <c r="AN54" i="1"/>
  <c r="AM54" i="1"/>
  <c r="AL54" i="1"/>
  <c r="AS53" i="1"/>
  <c r="AR53" i="1"/>
  <c r="AP53" i="1"/>
  <c r="AO53" i="1"/>
  <c r="AN53" i="1"/>
  <c r="AM53" i="1"/>
  <c r="AL53" i="1"/>
  <c r="AS52" i="1"/>
  <c r="AR52" i="1"/>
  <c r="AP52" i="1"/>
  <c r="AO52" i="1"/>
  <c r="AN52" i="1"/>
  <c r="AM52" i="1"/>
  <c r="AL52" i="1"/>
  <c r="AS51" i="1"/>
  <c r="AR51" i="1"/>
  <c r="AP51" i="1"/>
  <c r="AO51" i="1"/>
  <c r="AN51" i="1"/>
  <c r="AM51" i="1"/>
  <c r="AL51" i="1"/>
  <c r="AS50" i="1"/>
  <c r="AR50" i="1"/>
  <c r="AP50" i="1"/>
  <c r="AO50" i="1"/>
  <c r="AN50" i="1"/>
  <c r="AM50" i="1"/>
  <c r="AL50" i="1"/>
  <c r="AS49" i="1"/>
  <c r="AR49" i="1"/>
  <c r="AP49" i="1"/>
  <c r="AO49" i="1"/>
  <c r="AN49" i="1"/>
  <c r="AM49" i="1"/>
  <c r="AL49" i="1"/>
  <c r="AS48" i="1"/>
  <c r="AR48" i="1"/>
  <c r="AP48" i="1"/>
  <c r="AO48" i="1"/>
  <c r="AN48" i="1"/>
  <c r="AM48" i="1"/>
  <c r="AL48" i="1"/>
  <c r="AS47" i="1"/>
  <c r="AR47" i="1"/>
  <c r="AP47" i="1"/>
  <c r="AO47" i="1"/>
  <c r="AN47" i="1"/>
  <c r="AM47" i="1"/>
  <c r="AL47" i="1"/>
  <c r="AS46" i="1"/>
  <c r="AR46" i="1"/>
  <c r="AP46" i="1"/>
  <c r="AO46" i="1"/>
  <c r="AN46" i="1"/>
  <c r="AM46" i="1"/>
  <c r="AL46" i="1"/>
  <c r="AS45" i="1"/>
  <c r="AR45" i="1"/>
  <c r="AP45" i="1"/>
  <c r="AO45" i="1"/>
  <c r="AN45" i="1"/>
  <c r="AM45" i="1"/>
  <c r="AL45" i="1"/>
  <c r="AS44" i="1"/>
  <c r="AR44" i="1"/>
  <c r="AP44" i="1"/>
  <c r="AO44" i="1"/>
  <c r="AN44" i="1"/>
  <c r="AM44" i="1"/>
  <c r="AL44" i="1"/>
  <c r="AS43" i="1"/>
  <c r="AR43" i="1"/>
  <c r="AP43" i="1"/>
  <c r="AO43" i="1"/>
  <c r="AN43" i="1"/>
  <c r="AM43" i="1"/>
  <c r="AL43" i="1"/>
  <c r="AS42" i="1"/>
  <c r="AR42" i="1"/>
  <c r="AP42" i="1"/>
  <c r="AO42" i="1"/>
  <c r="AN42" i="1"/>
  <c r="AM42" i="1"/>
  <c r="AL42" i="1"/>
  <c r="AS41" i="1"/>
  <c r="AR41" i="1"/>
  <c r="AP41" i="1"/>
  <c r="AO41" i="1"/>
  <c r="AN41" i="1"/>
  <c r="AM41" i="1"/>
  <c r="AL41" i="1"/>
  <c r="AS40" i="1"/>
  <c r="AR40" i="1"/>
  <c r="AP40" i="1"/>
  <c r="AO40" i="1"/>
  <c r="AN40" i="1"/>
  <c r="AM40" i="1"/>
  <c r="AL40" i="1"/>
  <c r="AS39" i="1"/>
  <c r="AR39" i="1"/>
  <c r="AP39" i="1"/>
  <c r="AO39" i="1"/>
  <c r="AN39" i="1"/>
  <c r="AM39" i="1"/>
  <c r="AL39" i="1"/>
  <c r="AS38" i="1"/>
  <c r="AR38" i="1"/>
  <c r="AP38" i="1"/>
  <c r="AO38" i="1"/>
  <c r="AN38" i="1"/>
  <c r="AM38" i="1"/>
  <c r="AL38" i="1"/>
  <c r="AS37" i="1"/>
  <c r="AR37" i="1"/>
  <c r="AP37" i="1"/>
  <c r="AO37" i="1"/>
  <c r="AN37" i="1"/>
  <c r="AM37" i="1"/>
  <c r="AL37" i="1"/>
  <c r="AS36" i="1"/>
  <c r="AR36" i="1"/>
  <c r="AP36" i="1"/>
  <c r="AO36" i="1"/>
  <c r="AN36" i="1"/>
  <c r="AM36" i="1"/>
  <c r="AL36" i="1"/>
  <c r="AS35" i="1"/>
  <c r="AR35" i="1"/>
  <c r="AP35" i="1"/>
  <c r="AO35" i="1"/>
  <c r="AN35" i="1"/>
  <c r="AM35" i="1"/>
  <c r="AL35" i="1"/>
  <c r="AS34" i="1"/>
  <c r="AR34" i="1"/>
  <c r="AP34" i="1"/>
  <c r="AO34" i="1"/>
  <c r="AN34" i="1"/>
  <c r="AM34" i="1"/>
  <c r="AL34" i="1"/>
  <c r="AS33" i="1"/>
  <c r="AR33" i="1"/>
  <c r="AP33" i="1"/>
  <c r="AO33" i="1"/>
  <c r="AN33" i="1"/>
  <c r="AM33" i="1"/>
  <c r="AL33" i="1"/>
  <c r="AS32" i="1"/>
  <c r="AR32" i="1"/>
  <c r="AP32" i="1"/>
  <c r="AO32" i="1"/>
  <c r="AN32" i="1"/>
  <c r="AM32" i="1"/>
  <c r="AL32" i="1"/>
  <c r="AS31" i="1"/>
  <c r="AR31" i="1"/>
  <c r="AP31" i="1"/>
  <c r="AO31" i="1"/>
  <c r="AN31" i="1"/>
  <c r="AM31" i="1"/>
  <c r="AL31" i="1"/>
  <c r="AS30" i="1"/>
  <c r="AR30" i="1"/>
  <c r="AP30" i="1"/>
  <c r="AO30" i="1"/>
  <c r="AN30" i="1"/>
  <c r="AM30" i="1"/>
  <c r="AL30" i="1"/>
  <c r="AS29" i="1"/>
  <c r="AR29" i="1"/>
  <c r="AP29" i="1"/>
  <c r="AO29" i="1"/>
  <c r="AN29" i="1"/>
  <c r="AM29" i="1"/>
  <c r="AL29" i="1"/>
  <c r="AS28" i="1"/>
  <c r="AR28" i="1"/>
  <c r="AP28" i="1"/>
  <c r="AO28" i="1"/>
  <c r="AN28" i="1"/>
  <c r="AM28" i="1"/>
  <c r="AL28" i="1"/>
  <c r="AS27" i="1"/>
  <c r="AR27" i="1"/>
  <c r="AP27" i="1"/>
  <c r="AO27" i="1"/>
  <c r="AN27" i="1"/>
  <c r="AM27" i="1"/>
  <c r="AL27" i="1"/>
  <c r="AS26" i="1"/>
  <c r="AR26" i="1"/>
  <c r="AP26" i="1"/>
  <c r="AO26" i="1"/>
  <c r="AN26" i="1"/>
  <c r="AM26" i="1"/>
  <c r="AL26" i="1"/>
  <c r="AS25" i="1"/>
  <c r="AR25" i="1"/>
  <c r="AP25" i="1"/>
  <c r="AO25" i="1"/>
  <c r="AN25" i="1"/>
  <c r="AM25" i="1"/>
  <c r="AL25" i="1"/>
  <c r="AS24" i="1"/>
  <c r="AR24" i="1"/>
  <c r="AP24" i="1"/>
  <c r="AO24" i="1"/>
  <c r="AN24" i="1"/>
  <c r="AM24" i="1"/>
  <c r="AL24" i="1"/>
  <c r="AS23" i="1"/>
  <c r="AR23" i="1"/>
  <c r="AP23" i="1"/>
  <c r="AO23" i="1"/>
  <c r="AN23" i="1"/>
  <c r="AM23" i="1"/>
  <c r="AL23" i="1"/>
  <c r="AS22" i="1"/>
  <c r="AR22" i="1"/>
  <c r="AP22" i="1"/>
  <c r="AO22" i="1"/>
  <c r="AN22" i="1"/>
  <c r="AM22" i="1"/>
  <c r="AL22" i="1"/>
  <c r="AS21" i="1"/>
  <c r="AR21" i="1"/>
  <c r="AP21" i="1"/>
  <c r="AO21" i="1"/>
  <c r="AN21" i="1"/>
  <c r="AM21" i="1"/>
  <c r="AL21" i="1"/>
  <c r="AS20" i="1"/>
  <c r="AR20" i="1"/>
  <c r="AP20" i="1"/>
  <c r="AO20" i="1"/>
  <c r="AN20" i="1"/>
  <c r="AM20" i="1"/>
  <c r="AL20" i="1"/>
  <c r="AS19" i="1"/>
  <c r="AR19" i="1"/>
  <c r="AP19" i="1"/>
  <c r="AO19" i="1"/>
  <c r="AN19" i="1"/>
  <c r="AM19" i="1"/>
  <c r="AL19" i="1"/>
  <c r="AS18" i="1"/>
  <c r="AR18" i="1"/>
  <c r="AP18" i="1"/>
  <c r="AO18" i="1"/>
  <c r="AN18" i="1"/>
  <c r="AM18" i="1"/>
  <c r="AL18" i="1"/>
  <c r="AS17" i="1"/>
  <c r="AR17" i="1"/>
  <c r="AP17" i="1"/>
  <c r="AO17" i="1"/>
  <c r="AN17" i="1"/>
  <c r="AM17" i="1"/>
  <c r="AL17" i="1"/>
  <c r="AS16" i="1"/>
  <c r="AR16" i="1"/>
  <c r="AP16" i="1"/>
  <c r="AO16" i="1"/>
  <c r="AN16" i="1"/>
  <c r="AM16" i="1"/>
  <c r="AL16" i="1"/>
  <c r="AS15" i="1"/>
  <c r="AR15" i="1"/>
  <c r="AP15" i="1"/>
  <c r="AO15" i="1"/>
  <c r="AN15" i="1"/>
  <c r="AM15" i="1"/>
  <c r="AL15" i="1"/>
  <c r="AS14" i="1"/>
  <c r="AR14" i="1"/>
  <c r="AP14" i="1"/>
  <c r="AO14" i="1"/>
  <c r="AN14" i="1"/>
  <c r="AM14" i="1"/>
  <c r="AL14" i="1"/>
  <c r="AS13" i="1"/>
  <c r="AR13" i="1"/>
  <c r="AP13" i="1"/>
  <c r="AO13" i="1"/>
  <c r="AN13" i="1"/>
  <c r="AM13" i="1"/>
  <c r="AL13" i="1"/>
  <c r="AS12" i="1"/>
  <c r="AR12" i="1"/>
  <c r="AP12" i="1"/>
  <c r="AO12" i="1"/>
  <c r="AN12" i="1"/>
  <c r="AM12" i="1"/>
  <c r="AL12" i="1"/>
  <c r="AS11" i="1"/>
  <c r="AR11" i="1"/>
  <c r="AP11" i="1"/>
  <c r="AO11" i="1"/>
  <c r="AN11" i="1"/>
  <c r="AM11" i="1"/>
  <c r="AL11" i="1"/>
  <c r="AS10" i="1"/>
  <c r="AR10" i="1"/>
  <c r="AP10" i="1"/>
  <c r="AO10" i="1"/>
  <c r="AN10" i="1"/>
  <c r="AM10" i="1"/>
  <c r="AL10" i="1"/>
  <c r="AS9" i="1"/>
  <c r="AR9" i="1"/>
  <c r="AP9" i="1"/>
  <c r="AO9" i="1"/>
  <c r="AN9" i="1"/>
  <c r="AM9" i="1"/>
  <c r="AL9" i="1"/>
  <c r="AS8" i="1"/>
  <c r="AR8" i="1"/>
  <c r="AP8" i="1"/>
  <c r="AO8" i="1"/>
  <c r="AN8" i="1"/>
  <c r="AM8" i="1"/>
  <c r="AL8" i="1"/>
  <c r="AS7" i="1"/>
  <c r="AR7" i="1"/>
  <c r="AP7" i="1"/>
  <c r="AO7" i="1"/>
  <c r="AN7" i="1"/>
  <c r="AM7" i="1"/>
  <c r="AL7" i="1"/>
  <c r="AS6" i="1"/>
  <c r="AR6" i="1"/>
  <c r="AP6" i="1"/>
  <c r="AO6" i="1"/>
  <c r="AN6" i="1"/>
  <c r="AM6" i="1"/>
  <c r="AL6" i="1"/>
  <c r="BF606" i="1" l="1"/>
  <c r="AM606" i="1"/>
  <c r="BJ606" i="1"/>
  <c r="AP606" i="1"/>
  <c r="AT606" i="1"/>
  <c r="AU606" i="1"/>
  <c r="BG606" i="1"/>
  <c r="AV606" i="1"/>
  <c r="BH606" i="1"/>
  <c r="BI606" i="1"/>
  <c r="BK606" i="1"/>
  <c r="BL606" i="1"/>
  <c r="BM606" i="1"/>
  <c r="AW606" i="1"/>
  <c r="AR606" i="1"/>
  <c r="AX606" i="1"/>
  <c r="AY606" i="1"/>
  <c r="AO606" i="1"/>
  <c r="AZ606" i="1"/>
  <c r="AS606" i="1"/>
  <c r="BA606" i="1"/>
  <c r="BB606" i="1"/>
  <c r="BC606" i="1"/>
  <c r="BD606" i="1"/>
  <c r="BE606" i="1"/>
  <c r="AN606" i="1"/>
  <c r="AL606" i="1"/>
  <c r="AZ610" i="1"/>
  <c r="AZ611" i="1" s="1"/>
  <c r="BB610" i="1"/>
  <c r="BB611" i="1" s="1"/>
  <c r="BF610" i="1"/>
  <c r="BF611" i="1" s="1"/>
  <c r="AN610" i="1"/>
  <c r="AN612" i="1" s="1"/>
  <c r="AN613" i="1" s="1"/>
  <c r="AY610" i="1"/>
  <c r="AY614" i="1" s="1"/>
  <c r="AY615" i="1" s="1"/>
  <c r="BA610" i="1"/>
  <c r="BA614" i="1" s="1"/>
  <c r="BA615" i="1" s="1"/>
  <c r="AX610" i="1"/>
  <c r="AX611" i="1" s="1"/>
  <c r="BH610" i="1"/>
  <c r="BH611" i="1" s="1"/>
  <c r="BI610" i="1"/>
  <c r="BI614" i="1" s="1"/>
  <c r="BI615" i="1" s="1"/>
  <c r="AW610" i="1"/>
  <c r="AW611" i="1" s="1"/>
  <c r="AL610" i="1"/>
  <c r="AL612" i="1" s="1"/>
  <c r="AL613" i="1" s="1"/>
  <c r="AM610" i="1"/>
  <c r="AM612" i="1" s="1"/>
  <c r="AM613" i="1" s="1"/>
  <c r="AQ610" i="1"/>
  <c r="AQ611" i="1" s="1"/>
  <c r="BC610" i="1"/>
  <c r="BC614" i="1" s="1"/>
  <c r="BC615" i="1" s="1"/>
  <c r="BD610" i="1"/>
  <c r="BD614" i="1" s="1"/>
  <c r="BD615" i="1" s="1"/>
  <c r="BE610" i="1"/>
  <c r="BE614" i="1" s="1"/>
  <c r="BE615" i="1" s="1"/>
  <c r="AT610" i="1"/>
  <c r="AT612" i="1" s="1"/>
  <c r="AT613" i="1" s="1"/>
  <c r="AU610" i="1"/>
  <c r="AU611" i="1" s="1"/>
  <c r="AV610" i="1"/>
  <c r="AV611" i="1" s="1"/>
  <c r="BG610" i="1"/>
  <c r="BG611" i="1" s="1"/>
  <c r="AO610" i="1"/>
  <c r="AO611" i="1" s="1"/>
  <c r="AP610" i="1"/>
  <c r="AP611" i="1" s="1"/>
  <c r="BJ610" i="1"/>
  <c r="BJ611" i="1" s="1"/>
  <c r="BK610" i="1"/>
  <c r="BK614" i="1" s="1"/>
  <c r="BK615" i="1" s="1"/>
  <c r="AR610" i="1"/>
  <c r="AR611" i="1" s="1"/>
  <c r="BL610" i="1"/>
  <c r="BL614" i="1" s="1"/>
  <c r="BL615" i="1" s="1"/>
  <c r="AS610" i="1"/>
  <c r="AS612" i="1" s="1"/>
  <c r="AS613" i="1" s="1"/>
  <c r="BM610" i="1"/>
  <c r="BM614" i="1" s="1"/>
  <c r="BM615" i="1" s="1"/>
  <c r="BS10" i="1"/>
  <c r="BS26" i="1"/>
  <c r="BS30" i="1"/>
  <c r="BS34" i="1"/>
  <c r="BS28" i="1"/>
  <c r="BS14" i="1"/>
  <c r="BS7" i="1"/>
  <c r="BS11" i="1"/>
  <c r="BS19" i="1"/>
  <c r="BS23" i="1"/>
  <c r="BS18" i="1"/>
  <c r="BS16" i="1"/>
  <c r="BS8" i="1"/>
  <c r="BS22" i="1"/>
  <c r="BS32" i="1"/>
  <c r="BS36" i="1"/>
  <c r="BS27" i="1"/>
  <c r="BS31" i="1"/>
  <c r="BS35" i="1"/>
  <c r="BS47" i="1"/>
  <c r="BS51" i="1"/>
  <c r="BS59" i="1"/>
  <c r="BS63" i="1"/>
  <c r="BS79" i="1"/>
  <c r="BS83" i="1"/>
  <c r="BS91" i="1"/>
  <c r="BS21" i="1"/>
  <c r="BS29" i="1"/>
  <c r="BS33" i="1"/>
  <c r="BS41" i="1"/>
  <c r="BS49" i="1"/>
  <c r="BS61" i="1"/>
  <c r="BS65" i="1"/>
  <c r="BS69" i="1"/>
  <c r="BS73" i="1"/>
  <c r="BS81" i="1"/>
  <c r="BS93" i="1"/>
  <c r="BS97" i="1"/>
  <c r="BS101" i="1"/>
  <c r="BS105" i="1"/>
  <c r="BS113" i="1"/>
  <c r="BS125" i="1"/>
  <c r="BS129" i="1"/>
  <c r="BS133" i="1"/>
  <c r="BS137" i="1"/>
  <c r="BS145" i="1"/>
  <c r="BS157" i="1"/>
  <c r="BS161" i="1"/>
  <c r="BS165" i="1"/>
  <c r="BS169" i="1"/>
  <c r="BS177" i="1"/>
  <c r="BS189" i="1"/>
  <c r="BS193" i="1"/>
  <c r="BS197" i="1"/>
  <c r="BS201" i="1"/>
  <c r="BS209" i="1"/>
  <c r="BS221" i="1"/>
  <c r="BS225" i="1"/>
  <c r="BS229" i="1"/>
  <c r="BS297" i="1"/>
  <c r="BS15" i="1"/>
  <c r="BS13" i="1"/>
  <c r="BS12" i="1"/>
  <c r="BS20" i="1"/>
  <c r="BS24" i="1"/>
  <c r="BS25" i="1"/>
  <c r="BS57" i="1"/>
  <c r="BS305" i="1"/>
  <c r="BS309" i="1"/>
  <c r="BS313" i="1"/>
  <c r="BS317" i="1"/>
  <c r="BS321" i="1"/>
  <c r="BS325" i="1"/>
  <c r="BS329" i="1"/>
  <c r="BS337" i="1"/>
  <c r="BS341" i="1"/>
  <c r="BS345" i="1"/>
  <c r="BS349" i="1"/>
  <c r="BS353" i="1"/>
  <c r="BS357" i="1"/>
  <c r="BS361" i="1"/>
  <c r="BS369" i="1"/>
  <c r="BS373" i="1"/>
  <c r="BS377" i="1"/>
  <c r="BS381" i="1"/>
  <c r="BS385" i="1"/>
  <c r="BS389" i="1"/>
  <c r="BS393" i="1"/>
  <c r="BS401" i="1"/>
  <c r="BS405" i="1"/>
  <c r="BS409" i="1"/>
  <c r="BS413" i="1"/>
  <c r="BS417" i="1"/>
  <c r="BS421" i="1"/>
  <c r="BS605" i="1"/>
  <c r="BS213" i="1"/>
  <c r="BS217" i="1"/>
  <c r="BS233" i="1"/>
  <c r="BS241" i="1"/>
  <c r="BS245" i="1"/>
  <c r="BS249" i="1"/>
  <c r="BS253" i="1"/>
  <c r="BS257" i="1"/>
  <c r="BS261" i="1"/>
  <c r="BS265" i="1"/>
  <c r="BS273" i="1"/>
  <c r="BS277" i="1"/>
  <c r="BS281" i="1"/>
  <c r="BS285" i="1"/>
  <c r="BS289" i="1"/>
  <c r="BS293" i="1"/>
  <c r="BS149" i="1"/>
  <c r="BS153" i="1"/>
  <c r="BS121" i="1"/>
  <c r="BS75" i="1"/>
  <c r="BS99" i="1"/>
  <c r="BS107" i="1"/>
  <c r="BS115" i="1"/>
  <c r="BS123" i="1"/>
  <c r="BS131" i="1"/>
  <c r="BS139" i="1"/>
  <c r="BS147" i="1"/>
  <c r="BS159" i="1"/>
  <c r="BS171" i="1"/>
  <c r="BS179" i="1"/>
  <c r="BS187" i="1"/>
  <c r="BS191" i="1"/>
  <c r="BS199" i="1"/>
  <c r="BS203" i="1"/>
  <c r="BS207" i="1"/>
  <c r="BS211" i="1"/>
  <c r="BS215" i="1"/>
  <c r="BS219" i="1"/>
  <c r="BS223" i="1"/>
  <c r="BS227" i="1"/>
  <c r="BS231" i="1"/>
  <c r="BS235" i="1"/>
  <c r="BS239" i="1"/>
  <c r="BS243" i="1"/>
  <c r="BS247" i="1"/>
  <c r="BS251" i="1"/>
  <c r="BS255" i="1"/>
  <c r="BS259" i="1"/>
  <c r="BS263" i="1"/>
  <c r="BS267" i="1"/>
  <c r="BS275" i="1"/>
  <c r="BS283" i="1"/>
  <c r="BS287" i="1"/>
  <c r="BS291" i="1"/>
  <c r="BS299" i="1"/>
  <c r="BS303" i="1"/>
  <c r="BS307" i="1"/>
  <c r="BS311" i="1"/>
  <c r="BS315" i="1"/>
  <c r="BS319" i="1"/>
  <c r="BS323" i="1"/>
  <c r="BS327" i="1"/>
  <c r="BS331" i="1"/>
  <c r="BS335" i="1"/>
  <c r="BS339" i="1"/>
  <c r="BS347" i="1"/>
  <c r="BS351" i="1"/>
  <c r="BS355" i="1"/>
  <c r="BS359" i="1"/>
  <c r="BS363" i="1"/>
  <c r="BS367" i="1"/>
  <c r="BS371" i="1"/>
  <c r="BS379" i="1"/>
  <c r="BS383" i="1"/>
  <c r="BS391" i="1"/>
  <c r="BS395" i="1"/>
  <c r="BS411" i="1"/>
  <c r="BS117" i="1"/>
  <c r="BS71" i="1"/>
  <c r="BS87" i="1"/>
  <c r="BS95" i="1"/>
  <c r="BS103" i="1"/>
  <c r="BS111" i="1"/>
  <c r="BS119" i="1"/>
  <c r="BS127" i="1"/>
  <c r="BS135" i="1"/>
  <c r="BS143" i="1"/>
  <c r="BS155" i="1"/>
  <c r="BS167" i="1"/>
  <c r="BS175" i="1"/>
  <c r="BS195" i="1"/>
  <c r="BS271" i="1"/>
  <c r="BS295" i="1"/>
  <c r="BS89" i="1"/>
  <c r="BS55" i="1"/>
  <c r="BS85" i="1"/>
  <c r="BS67" i="1"/>
  <c r="BS53" i="1"/>
  <c r="BS181" i="1"/>
  <c r="BS185" i="1"/>
  <c r="BS397" i="1"/>
  <c r="BS425" i="1"/>
  <c r="BS429" i="1"/>
  <c r="BS433" i="1"/>
  <c r="BS437" i="1"/>
  <c r="BS441" i="1"/>
  <c r="BS445" i="1"/>
  <c r="BS449" i="1"/>
  <c r="BS453" i="1"/>
  <c r="BS457" i="1"/>
  <c r="BS461" i="1"/>
  <c r="BS465" i="1"/>
  <c r="BS469" i="1"/>
  <c r="BS473" i="1"/>
  <c r="BS477" i="1"/>
  <c r="BS481" i="1"/>
  <c r="BS485" i="1"/>
  <c r="BS489" i="1"/>
  <c r="BS493" i="1"/>
  <c r="BS497" i="1"/>
  <c r="BS501" i="1"/>
  <c r="BS505" i="1"/>
  <c r="BS509" i="1"/>
  <c r="BS513" i="1"/>
  <c r="BS517" i="1"/>
  <c r="BS521" i="1"/>
  <c r="BS525" i="1"/>
  <c r="BS529" i="1"/>
  <c r="BS533" i="1"/>
  <c r="BS237" i="1"/>
  <c r="BS301" i="1"/>
  <c r="BS365" i="1"/>
  <c r="BS269" i="1"/>
  <c r="BS109" i="1"/>
  <c r="BS77" i="1"/>
  <c r="BS173" i="1"/>
  <c r="BS333" i="1"/>
  <c r="BS205" i="1"/>
  <c r="BS141" i="1"/>
  <c r="BS279" i="1"/>
  <c r="BS343" i="1"/>
  <c r="BS375" i="1"/>
  <c r="BS387" i="1"/>
  <c r="BS399" i="1"/>
  <c r="BS403" i="1"/>
  <c r="BS407" i="1"/>
  <c r="BS415" i="1"/>
  <c r="BS419" i="1"/>
  <c r="BS423" i="1"/>
  <c r="BS427" i="1"/>
  <c r="BS431" i="1"/>
  <c r="BS435" i="1"/>
  <c r="BS439" i="1"/>
  <c r="BS443" i="1"/>
  <c r="BS447" i="1"/>
  <c r="BS451" i="1"/>
  <c r="BS455" i="1"/>
  <c r="BS459" i="1"/>
  <c r="BS463" i="1"/>
  <c r="BS467" i="1"/>
  <c r="BS471" i="1"/>
  <c r="BS475" i="1"/>
  <c r="BS479" i="1"/>
  <c r="BS483" i="1"/>
  <c r="BS487" i="1"/>
  <c r="BS491" i="1"/>
  <c r="BS495" i="1"/>
  <c r="BS499" i="1"/>
  <c r="BS503" i="1"/>
  <c r="BS507" i="1"/>
  <c r="BS511" i="1"/>
  <c r="BS515" i="1"/>
  <c r="BS519" i="1"/>
  <c r="BS523" i="1"/>
  <c r="BS527" i="1"/>
  <c r="BS531" i="1"/>
  <c r="BS535" i="1"/>
  <c r="BS151" i="1"/>
  <c r="BS60" i="1"/>
  <c r="BS56" i="1"/>
  <c r="BS64" i="1"/>
  <c r="BS183" i="1"/>
  <c r="BS48" i="1"/>
  <c r="BS163" i="1"/>
  <c r="BS52" i="1"/>
  <c r="BS537" i="1"/>
  <c r="BS541" i="1"/>
  <c r="BS545" i="1"/>
  <c r="BS549" i="1"/>
  <c r="BS553" i="1"/>
  <c r="BS557" i="1"/>
  <c r="BS561" i="1"/>
  <c r="BS565" i="1"/>
  <c r="BS569" i="1"/>
  <c r="BS573" i="1"/>
  <c r="BS577" i="1"/>
  <c r="BS581" i="1"/>
  <c r="BS585" i="1"/>
  <c r="BS589" i="1"/>
  <c r="BS593" i="1"/>
  <c r="BS597" i="1"/>
  <c r="BS601" i="1"/>
  <c r="BS74" i="1"/>
  <c r="BS106" i="1"/>
  <c r="BS138" i="1"/>
  <c r="BS166" i="1"/>
  <c r="BS194" i="1"/>
  <c r="BS226" i="1"/>
  <c r="BS254" i="1"/>
  <c r="BS274" i="1"/>
  <c r="BS294" i="1"/>
  <c r="BS314" i="1"/>
  <c r="BS322" i="1"/>
  <c r="BS326" i="1"/>
  <c r="BS330" i="1"/>
  <c r="BS334" i="1"/>
  <c r="BS338" i="1"/>
  <c r="BS342" i="1"/>
  <c r="BS366" i="1"/>
  <c r="BS374" i="1"/>
  <c r="BS378" i="1"/>
  <c r="BS382" i="1"/>
  <c r="BS386" i="1"/>
  <c r="BS390" i="1"/>
  <c r="BS394" i="1"/>
  <c r="BS398" i="1"/>
  <c r="BS402" i="1"/>
  <c r="BS406" i="1"/>
  <c r="BS410" i="1"/>
  <c r="BS414" i="1"/>
  <c r="BS418" i="1"/>
  <c r="BS422" i="1"/>
  <c r="BS426" i="1"/>
  <c r="BS430" i="1"/>
  <c r="BS434" i="1"/>
  <c r="BS438" i="1"/>
  <c r="BS442" i="1"/>
  <c r="BS446" i="1"/>
  <c r="BS450" i="1"/>
  <c r="BS454" i="1"/>
  <c r="BS458" i="1"/>
  <c r="BS462" i="1"/>
  <c r="BS466" i="1"/>
  <c r="BS470" i="1"/>
  <c r="BS474" i="1"/>
  <c r="BS478" i="1"/>
  <c r="BS482" i="1"/>
  <c r="BS486" i="1"/>
  <c r="BS490" i="1"/>
  <c r="BS494" i="1"/>
  <c r="BS498" i="1"/>
  <c r="BS502" i="1"/>
  <c r="BS506" i="1"/>
  <c r="BS510" i="1"/>
  <c r="BS514" i="1"/>
  <c r="BS518" i="1"/>
  <c r="BS522" i="1"/>
  <c r="BS526" i="1"/>
  <c r="BS530" i="1"/>
  <c r="BS534" i="1"/>
  <c r="BS538" i="1"/>
  <c r="BS542" i="1"/>
  <c r="BS546" i="1"/>
  <c r="BS550" i="1"/>
  <c r="BS554" i="1"/>
  <c r="BS558" i="1"/>
  <c r="BS562" i="1"/>
  <c r="BS566" i="1"/>
  <c r="BS570" i="1"/>
  <c r="BS574" i="1"/>
  <c r="BS578" i="1"/>
  <c r="BS582" i="1"/>
  <c r="BS586" i="1"/>
  <c r="BS590" i="1"/>
  <c r="BS594" i="1"/>
  <c r="BS598" i="1"/>
  <c r="BS602" i="1"/>
  <c r="BS70" i="1"/>
  <c r="BS98" i="1"/>
  <c r="BS130" i="1"/>
  <c r="BS162" i="1"/>
  <c r="BS190" i="1"/>
  <c r="BS218" i="1"/>
  <c r="BS242" i="1"/>
  <c r="BS270" i="1"/>
  <c r="BS302" i="1"/>
  <c r="BS370" i="1"/>
  <c r="BS62" i="1"/>
  <c r="BS90" i="1"/>
  <c r="BS126" i="1"/>
  <c r="BS158" i="1"/>
  <c r="BS186" i="1"/>
  <c r="BS210" i="1"/>
  <c r="BS234" i="1"/>
  <c r="BS262" i="1"/>
  <c r="BS290" i="1"/>
  <c r="BS318" i="1"/>
  <c r="BS350" i="1"/>
  <c r="BS54" i="1"/>
  <c r="BS82" i="1"/>
  <c r="BS110" i="1"/>
  <c r="BS134" i="1"/>
  <c r="BS154" i="1"/>
  <c r="BS178" i="1"/>
  <c r="BS206" i="1"/>
  <c r="BS238" i="1"/>
  <c r="BS266" i="1"/>
  <c r="BS298" i="1"/>
  <c r="BS358" i="1"/>
  <c r="BS50" i="1"/>
  <c r="BS78" i="1"/>
  <c r="BS102" i="1"/>
  <c r="BS118" i="1"/>
  <c r="BS142" i="1"/>
  <c r="BS170" i="1"/>
  <c r="BS202" i="1"/>
  <c r="BS230" i="1"/>
  <c r="BS258" i="1"/>
  <c r="BS282" i="1"/>
  <c r="BS310" i="1"/>
  <c r="BS346" i="1"/>
  <c r="BS66" i="1"/>
  <c r="BS94" i="1"/>
  <c r="BS122" i="1"/>
  <c r="BS150" i="1"/>
  <c r="BS174" i="1"/>
  <c r="BS198" i="1"/>
  <c r="BS222" i="1"/>
  <c r="BS250" i="1"/>
  <c r="BS278" i="1"/>
  <c r="BS306" i="1"/>
  <c r="BS354" i="1"/>
  <c r="BS58" i="1"/>
  <c r="BS86" i="1"/>
  <c r="BS114" i="1"/>
  <c r="BS146" i="1"/>
  <c r="BS182" i="1"/>
  <c r="BS214" i="1"/>
  <c r="BS246" i="1"/>
  <c r="BS286" i="1"/>
  <c r="BS362" i="1"/>
  <c r="BS539" i="1"/>
  <c r="BS543" i="1"/>
  <c r="BS547" i="1"/>
  <c r="BS551" i="1"/>
  <c r="BS555" i="1"/>
  <c r="BS559" i="1"/>
  <c r="BS563" i="1"/>
  <c r="BS567" i="1"/>
  <c r="BS571" i="1"/>
  <c r="BS575" i="1"/>
  <c r="BS579" i="1"/>
  <c r="BS583" i="1"/>
  <c r="BS587" i="1"/>
  <c r="BS591" i="1"/>
  <c r="BS595" i="1"/>
  <c r="BS599" i="1"/>
  <c r="BS603" i="1"/>
  <c r="BS80" i="1"/>
  <c r="BS100" i="1"/>
  <c r="BS120" i="1"/>
  <c r="BS136" i="1"/>
  <c r="BS148" i="1"/>
  <c r="BS168" i="1"/>
  <c r="BS188" i="1"/>
  <c r="BS208" i="1"/>
  <c r="BS228" i="1"/>
  <c r="BS248" i="1"/>
  <c r="BS268" i="1"/>
  <c r="BS280" i="1"/>
  <c r="BS292" i="1"/>
  <c r="BS300" i="1"/>
  <c r="BS308" i="1"/>
  <c r="BS312" i="1"/>
  <c r="BS316" i="1"/>
  <c r="BS320" i="1"/>
  <c r="BS324" i="1"/>
  <c r="BS328" i="1"/>
  <c r="BS332" i="1"/>
  <c r="BS352" i="1"/>
  <c r="BS356" i="1"/>
  <c r="BS360" i="1"/>
  <c r="BS364" i="1"/>
  <c r="BS368" i="1"/>
  <c r="BS372" i="1"/>
  <c r="BS376" i="1"/>
  <c r="BS380" i="1"/>
  <c r="BS384" i="1"/>
  <c r="BS388" i="1"/>
  <c r="BS392" i="1"/>
  <c r="BS396" i="1"/>
  <c r="BS400" i="1"/>
  <c r="BS404" i="1"/>
  <c r="BS408" i="1"/>
  <c r="BS412" i="1"/>
  <c r="BS416" i="1"/>
  <c r="BS420" i="1"/>
  <c r="BS424" i="1"/>
  <c r="BS428" i="1"/>
  <c r="BS432" i="1"/>
  <c r="BS436" i="1"/>
  <c r="BS440" i="1"/>
  <c r="BS444" i="1"/>
  <c r="BS448" i="1"/>
  <c r="BS452" i="1"/>
  <c r="BS456" i="1"/>
  <c r="BS460" i="1"/>
  <c r="BS464" i="1"/>
  <c r="BS468" i="1"/>
  <c r="BS472" i="1"/>
  <c r="BS476" i="1"/>
  <c r="BS480" i="1"/>
  <c r="BS484" i="1"/>
  <c r="BS488" i="1"/>
  <c r="BS492" i="1"/>
  <c r="BS496" i="1"/>
  <c r="BS500" i="1"/>
  <c r="BS504" i="1"/>
  <c r="BS508" i="1"/>
  <c r="BS512" i="1"/>
  <c r="BS516" i="1"/>
  <c r="BS520" i="1"/>
  <c r="BS524" i="1"/>
  <c r="BS528" i="1"/>
  <c r="BS532" i="1"/>
  <c r="BS536" i="1"/>
  <c r="BS540" i="1"/>
  <c r="BS544" i="1"/>
  <c r="BS548" i="1"/>
  <c r="BS552" i="1"/>
  <c r="BS556" i="1"/>
  <c r="BS560" i="1"/>
  <c r="BS564" i="1"/>
  <c r="BS568" i="1"/>
  <c r="BS572" i="1"/>
  <c r="BS576" i="1"/>
  <c r="BS580" i="1"/>
  <c r="BS584" i="1"/>
  <c r="BS588" i="1"/>
  <c r="BS592" i="1"/>
  <c r="BS596" i="1"/>
  <c r="BS600" i="1"/>
  <c r="BS604" i="1"/>
  <c r="BS76" i="1"/>
  <c r="BS96" i="1"/>
  <c r="BS116" i="1"/>
  <c r="BS140" i="1"/>
  <c r="BS160" i="1"/>
  <c r="BS176" i="1"/>
  <c r="BS200" i="1"/>
  <c r="BS224" i="1"/>
  <c r="BS244" i="1"/>
  <c r="BS264" i="1"/>
  <c r="BS288" i="1"/>
  <c r="BS336" i="1"/>
  <c r="BS88" i="1"/>
  <c r="BS104" i="1"/>
  <c r="BS124" i="1"/>
  <c r="BS144" i="1"/>
  <c r="BS164" i="1"/>
  <c r="BS184" i="1"/>
  <c r="BS204" i="1"/>
  <c r="BS220" i="1"/>
  <c r="BS240" i="1"/>
  <c r="BS256" i="1"/>
  <c r="BS276" i="1"/>
  <c r="BS304" i="1"/>
  <c r="BS348" i="1"/>
  <c r="BS68" i="1"/>
  <c r="BS84" i="1"/>
  <c r="BS108" i="1"/>
  <c r="BS128" i="1"/>
  <c r="BS156" i="1"/>
  <c r="BS180" i="1"/>
  <c r="BS196" i="1"/>
  <c r="BS216" i="1"/>
  <c r="BS236" i="1"/>
  <c r="BS260" i="1"/>
  <c r="BS284" i="1"/>
  <c r="BS340" i="1"/>
  <c r="BS72" i="1"/>
  <c r="BS92" i="1"/>
  <c r="BS112" i="1"/>
  <c r="BS132" i="1"/>
  <c r="BS152" i="1"/>
  <c r="BS172" i="1"/>
  <c r="BS192" i="1"/>
  <c r="BS212" i="1"/>
  <c r="BS232" i="1"/>
  <c r="BS252" i="1"/>
  <c r="BS272" i="1"/>
  <c r="BS296" i="1"/>
  <c r="BS344" i="1"/>
  <c r="BS38" i="1"/>
  <c r="BS46" i="1"/>
  <c r="BS45" i="1"/>
  <c r="BS37" i="1"/>
  <c r="BS42" i="1"/>
  <c r="BS39" i="1"/>
  <c r="BS44" i="1"/>
  <c r="BS43" i="1"/>
  <c r="BS40" i="1"/>
  <c r="BS9" i="1"/>
  <c r="BS6" i="1"/>
  <c r="BS17" i="1"/>
  <c r="BF614" i="1" l="1"/>
  <c r="BF615" i="1" s="1"/>
  <c r="BB614" i="1"/>
  <c r="BB615" i="1" s="1"/>
  <c r="AZ614" i="1"/>
  <c r="AZ615" i="1" s="1"/>
  <c r="BI611" i="1"/>
  <c r="AQ612" i="1"/>
  <c r="AQ613" i="1" s="1"/>
  <c r="AM611" i="1"/>
  <c r="AN611" i="1"/>
  <c r="AX614" i="1"/>
  <c r="AX615" i="1" s="1"/>
  <c r="AW614" i="1"/>
  <c r="AW615" i="1" s="1"/>
  <c r="BH614" i="1"/>
  <c r="BH615" i="1" s="1"/>
  <c r="BA611" i="1"/>
  <c r="AO612" i="1"/>
  <c r="AO613" i="1" s="1"/>
  <c r="AY611" i="1"/>
  <c r="BK611" i="1"/>
  <c r="BJ614" i="1"/>
  <c r="BJ615" i="1" s="1"/>
  <c r="AP612" i="1"/>
  <c r="AP613" i="1" s="1"/>
  <c r="AL611" i="1"/>
  <c r="BG614" i="1"/>
  <c r="BG615" i="1" s="1"/>
  <c r="BC611" i="1"/>
  <c r="AV612" i="1"/>
  <c r="AV613" i="1" s="1"/>
  <c r="AU612" i="1"/>
  <c r="AU613" i="1" s="1"/>
  <c r="BD611" i="1"/>
  <c r="E36" i="76"/>
  <c r="BM611" i="1"/>
  <c r="AS611" i="1"/>
  <c r="BL611" i="1"/>
  <c r="AT611" i="1"/>
  <c r="AR612" i="1"/>
  <c r="AR613" i="1" s="1"/>
  <c r="BE611" i="1"/>
  <c r="E20" i="76"/>
  <c r="H20" i="76" s="1"/>
  <c r="Q36" i="76" l="1"/>
  <c r="A106" i="71" s="1"/>
  <c r="H36" i="76"/>
  <c r="Q20" i="76"/>
  <c r="BP605" i="1"/>
  <c r="BP604" i="1"/>
  <c r="BP603" i="1"/>
  <c r="BP602" i="1"/>
  <c r="BP601" i="1"/>
  <c r="BP600" i="1"/>
  <c r="BP599" i="1"/>
  <c r="BP598" i="1"/>
  <c r="BP597" i="1"/>
  <c r="BP596" i="1"/>
  <c r="BP595" i="1"/>
  <c r="BP594" i="1"/>
  <c r="BP593" i="1"/>
  <c r="BP592" i="1"/>
  <c r="BP591" i="1"/>
  <c r="BP590" i="1"/>
  <c r="BP589" i="1"/>
  <c r="BP588" i="1"/>
  <c r="BP587" i="1"/>
  <c r="BP586" i="1"/>
  <c r="BP585" i="1"/>
  <c r="BP584" i="1"/>
  <c r="BP583" i="1"/>
  <c r="BP582" i="1"/>
  <c r="BP581" i="1"/>
  <c r="BP580" i="1"/>
  <c r="BP579" i="1"/>
  <c r="BP578" i="1"/>
  <c r="BP577" i="1"/>
  <c r="BP576" i="1"/>
  <c r="BP575" i="1"/>
  <c r="BP574" i="1"/>
  <c r="BP573" i="1"/>
  <c r="BP572" i="1"/>
  <c r="BP571" i="1"/>
  <c r="BP570" i="1"/>
  <c r="BP569" i="1"/>
  <c r="BP568" i="1"/>
  <c r="BP567" i="1"/>
  <c r="BP566" i="1"/>
  <c r="BP565" i="1"/>
  <c r="BP564" i="1"/>
  <c r="BP563" i="1"/>
  <c r="BP562" i="1"/>
  <c r="BP561" i="1"/>
  <c r="BP560" i="1"/>
  <c r="BP559" i="1"/>
  <c r="BP558" i="1"/>
  <c r="BP557" i="1"/>
  <c r="BP556" i="1"/>
  <c r="BP555" i="1"/>
  <c r="BP554" i="1"/>
  <c r="BP553" i="1"/>
  <c r="BP552" i="1"/>
  <c r="BP551" i="1"/>
  <c r="BP550" i="1"/>
  <c r="BP549" i="1"/>
  <c r="BP548" i="1"/>
  <c r="BP547" i="1"/>
  <c r="BP546" i="1"/>
  <c r="BP545" i="1"/>
  <c r="BP544" i="1"/>
  <c r="BP543" i="1"/>
  <c r="BP542" i="1"/>
  <c r="BP541" i="1"/>
  <c r="BP540" i="1"/>
  <c r="BP539" i="1"/>
  <c r="BP538" i="1"/>
  <c r="BP537" i="1"/>
  <c r="BP536" i="1"/>
  <c r="BP535" i="1"/>
  <c r="BP534" i="1"/>
  <c r="BP533" i="1"/>
  <c r="BP532" i="1"/>
  <c r="BP531" i="1"/>
  <c r="BP530" i="1"/>
  <c r="BP529" i="1"/>
  <c r="BP528" i="1"/>
  <c r="BP527" i="1"/>
  <c r="BP526" i="1"/>
  <c r="BP525" i="1"/>
  <c r="BP524" i="1"/>
  <c r="BP523" i="1"/>
  <c r="BP522" i="1"/>
  <c r="BP521" i="1"/>
  <c r="BP520" i="1"/>
  <c r="BP519" i="1"/>
  <c r="BP518" i="1"/>
  <c r="BP517" i="1"/>
  <c r="BP516" i="1"/>
  <c r="BP515" i="1"/>
  <c r="BP514" i="1"/>
  <c r="BP513" i="1"/>
  <c r="BP512" i="1"/>
  <c r="BP511" i="1"/>
  <c r="BP510" i="1"/>
  <c r="BP509" i="1"/>
  <c r="BP508" i="1"/>
  <c r="BP507" i="1"/>
  <c r="BP506" i="1"/>
  <c r="BP505" i="1"/>
  <c r="BP504" i="1"/>
  <c r="BP503" i="1"/>
  <c r="BP502" i="1"/>
  <c r="BP501" i="1"/>
  <c r="BP500" i="1"/>
  <c r="BP499" i="1"/>
  <c r="BP498" i="1"/>
  <c r="BP497" i="1"/>
  <c r="BP496" i="1"/>
  <c r="BP495" i="1"/>
  <c r="BP494" i="1"/>
  <c r="BP493" i="1"/>
  <c r="BP492" i="1"/>
  <c r="BP491" i="1"/>
  <c r="BP490" i="1"/>
  <c r="BP489" i="1"/>
  <c r="BP488" i="1"/>
  <c r="BP487" i="1"/>
  <c r="BP486" i="1"/>
  <c r="BP485" i="1"/>
  <c r="BP484" i="1"/>
  <c r="BP483" i="1"/>
  <c r="BP482" i="1"/>
  <c r="BP481" i="1"/>
  <c r="BP480" i="1"/>
  <c r="BP479" i="1"/>
  <c r="BP478" i="1"/>
  <c r="BP477" i="1"/>
  <c r="BP476" i="1"/>
  <c r="BP475" i="1"/>
  <c r="BP474" i="1"/>
  <c r="BP473" i="1"/>
  <c r="BP472" i="1"/>
  <c r="BP471" i="1"/>
  <c r="BP470" i="1"/>
  <c r="BP469" i="1"/>
  <c r="BP468" i="1"/>
  <c r="BP467" i="1"/>
  <c r="BP466" i="1"/>
  <c r="BP465" i="1"/>
  <c r="BP464" i="1"/>
  <c r="BP463" i="1"/>
  <c r="BP462" i="1"/>
  <c r="BP461" i="1"/>
  <c r="BP460" i="1"/>
  <c r="BP459" i="1"/>
  <c r="BP458" i="1"/>
  <c r="BP457" i="1"/>
  <c r="BP456" i="1"/>
  <c r="BP455" i="1"/>
  <c r="BP454" i="1"/>
  <c r="BP453" i="1"/>
  <c r="BP452" i="1"/>
  <c r="BP451" i="1"/>
  <c r="BP450" i="1"/>
  <c r="BP449" i="1"/>
  <c r="BP448" i="1"/>
  <c r="BP447" i="1"/>
  <c r="BP446" i="1"/>
  <c r="BP445" i="1"/>
  <c r="BP444" i="1"/>
  <c r="BP443" i="1"/>
  <c r="BP442" i="1"/>
  <c r="BP441" i="1"/>
  <c r="BP440" i="1"/>
  <c r="BP439" i="1"/>
  <c r="BP438" i="1"/>
  <c r="BP437" i="1"/>
  <c r="BP436" i="1"/>
  <c r="BP435" i="1"/>
  <c r="BP434" i="1"/>
  <c r="BP433" i="1"/>
  <c r="BP432" i="1"/>
  <c r="BP431" i="1"/>
  <c r="BP430" i="1"/>
  <c r="BP429" i="1"/>
  <c r="BP428" i="1"/>
  <c r="BP427" i="1"/>
  <c r="BP426" i="1"/>
  <c r="BP425" i="1"/>
  <c r="BP424" i="1"/>
  <c r="BP423" i="1"/>
  <c r="BP422" i="1"/>
  <c r="BP421" i="1"/>
  <c r="BP420" i="1"/>
  <c r="BP419" i="1"/>
  <c r="BP418" i="1"/>
  <c r="BP417" i="1"/>
  <c r="BP416" i="1"/>
  <c r="BP415" i="1"/>
  <c r="BP414" i="1"/>
  <c r="BP413" i="1"/>
  <c r="BP412" i="1"/>
  <c r="BP411" i="1"/>
  <c r="BP410" i="1"/>
  <c r="BP409" i="1"/>
  <c r="BP408" i="1"/>
  <c r="BP407" i="1"/>
  <c r="BP406" i="1"/>
  <c r="BP405" i="1"/>
  <c r="BP404" i="1"/>
  <c r="BP403" i="1"/>
  <c r="BP402" i="1"/>
  <c r="BP401" i="1"/>
  <c r="BP400" i="1"/>
  <c r="BP399" i="1"/>
  <c r="BP398" i="1"/>
  <c r="BP397" i="1"/>
  <c r="BP396" i="1"/>
  <c r="BP395" i="1"/>
  <c r="BP394" i="1"/>
  <c r="BP393" i="1"/>
  <c r="BP392" i="1"/>
  <c r="BP391" i="1"/>
  <c r="BP390" i="1"/>
  <c r="BP389" i="1"/>
  <c r="BP388" i="1"/>
  <c r="BP387" i="1"/>
  <c r="BP386" i="1"/>
  <c r="BP385" i="1"/>
  <c r="BP384" i="1"/>
  <c r="BP383" i="1"/>
  <c r="BP382" i="1"/>
  <c r="BP381" i="1"/>
  <c r="BP380" i="1"/>
  <c r="BP379" i="1"/>
  <c r="BP378" i="1"/>
  <c r="BP377" i="1"/>
  <c r="BP376" i="1"/>
  <c r="BP375" i="1"/>
  <c r="BP374" i="1"/>
  <c r="BP373" i="1"/>
  <c r="BP372" i="1"/>
  <c r="BP371" i="1"/>
  <c r="BP370" i="1"/>
  <c r="BP369" i="1"/>
  <c r="BP368" i="1"/>
  <c r="BP367" i="1"/>
  <c r="BP366" i="1"/>
  <c r="BP365" i="1"/>
  <c r="BP364" i="1"/>
  <c r="BP363" i="1"/>
  <c r="BP362" i="1"/>
  <c r="BP361" i="1"/>
  <c r="BP360" i="1"/>
  <c r="BP359" i="1"/>
  <c r="BP358" i="1"/>
  <c r="BP357" i="1"/>
  <c r="BP356" i="1"/>
  <c r="BP355" i="1"/>
  <c r="BP354" i="1"/>
  <c r="BP353" i="1"/>
  <c r="BP352" i="1"/>
  <c r="BP351" i="1"/>
  <c r="BP350" i="1"/>
  <c r="BP349" i="1"/>
  <c r="BP348" i="1"/>
  <c r="BP347" i="1"/>
  <c r="BP346" i="1"/>
  <c r="BP345" i="1"/>
  <c r="BP344" i="1"/>
  <c r="BP343" i="1"/>
  <c r="BP342" i="1"/>
  <c r="BP341" i="1"/>
  <c r="BP340" i="1"/>
  <c r="BP339" i="1"/>
  <c r="BP338" i="1"/>
  <c r="BP337" i="1"/>
  <c r="BP336" i="1"/>
  <c r="BP335" i="1"/>
  <c r="BP334" i="1"/>
  <c r="BP333" i="1"/>
  <c r="BP332" i="1"/>
  <c r="BP331" i="1"/>
  <c r="BP330" i="1"/>
  <c r="BP329" i="1"/>
  <c r="BP328" i="1"/>
  <c r="BP327" i="1"/>
  <c r="BP326" i="1"/>
  <c r="BP325" i="1"/>
  <c r="BP324" i="1"/>
  <c r="BP323" i="1"/>
  <c r="BP322" i="1"/>
  <c r="BP321" i="1"/>
  <c r="BP320" i="1"/>
  <c r="BP319" i="1"/>
  <c r="BP318" i="1"/>
  <c r="BP317" i="1"/>
  <c r="BP316" i="1"/>
  <c r="BP315" i="1"/>
  <c r="BP314" i="1"/>
  <c r="BP313" i="1"/>
  <c r="BP312" i="1"/>
  <c r="BP311" i="1"/>
  <c r="BP310" i="1"/>
  <c r="BP309" i="1"/>
  <c r="BP308" i="1"/>
  <c r="BP307" i="1"/>
  <c r="BP306" i="1"/>
  <c r="BP305" i="1"/>
  <c r="BP304" i="1"/>
  <c r="BP303" i="1"/>
  <c r="BP302" i="1"/>
  <c r="BP301" i="1"/>
  <c r="BP300" i="1"/>
  <c r="BP299" i="1"/>
  <c r="BP298" i="1"/>
  <c r="BP297" i="1"/>
  <c r="BP296" i="1"/>
  <c r="BP295" i="1"/>
  <c r="BP294" i="1"/>
  <c r="BP293" i="1"/>
  <c r="BP292" i="1"/>
  <c r="BP291" i="1"/>
  <c r="BP290" i="1"/>
  <c r="BP289" i="1"/>
  <c r="BP288" i="1"/>
  <c r="BP287" i="1"/>
  <c r="BP286" i="1"/>
  <c r="BP285" i="1"/>
  <c r="BP284" i="1"/>
  <c r="BP283" i="1"/>
  <c r="BP282" i="1"/>
  <c r="BP281" i="1"/>
  <c r="BP280" i="1"/>
  <c r="BP279" i="1"/>
  <c r="BP278" i="1"/>
  <c r="BP277" i="1"/>
  <c r="BP276" i="1"/>
  <c r="BP275" i="1"/>
  <c r="BP274" i="1"/>
  <c r="BP273" i="1"/>
  <c r="BP272" i="1"/>
  <c r="BP271" i="1"/>
  <c r="BP270" i="1"/>
  <c r="BP269" i="1"/>
  <c r="BP268" i="1"/>
  <c r="BP267" i="1"/>
  <c r="BP266" i="1"/>
  <c r="BP265" i="1"/>
  <c r="BP264" i="1"/>
  <c r="BP263" i="1"/>
  <c r="BP262" i="1"/>
  <c r="BP261" i="1"/>
  <c r="BP260" i="1"/>
  <c r="BP259" i="1"/>
  <c r="BP258" i="1"/>
  <c r="BP257" i="1"/>
  <c r="BP256" i="1"/>
  <c r="BP255" i="1"/>
  <c r="BP254" i="1"/>
  <c r="BP253" i="1"/>
  <c r="BP252" i="1"/>
  <c r="BP251" i="1"/>
  <c r="BP250" i="1"/>
  <c r="BP249" i="1"/>
  <c r="BP248" i="1"/>
  <c r="BP247" i="1"/>
  <c r="BP246" i="1"/>
  <c r="BP245" i="1"/>
  <c r="BP244" i="1"/>
  <c r="BP243" i="1"/>
  <c r="BP242" i="1"/>
  <c r="BP241" i="1"/>
  <c r="BP240" i="1"/>
  <c r="BP239" i="1"/>
  <c r="BP238" i="1"/>
  <c r="BP237" i="1"/>
  <c r="BP236" i="1"/>
  <c r="BP235" i="1"/>
  <c r="BP234" i="1"/>
  <c r="BP233" i="1"/>
  <c r="BP232" i="1"/>
  <c r="BP231" i="1"/>
  <c r="BP230" i="1"/>
  <c r="BP229" i="1"/>
  <c r="BP228" i="1"/>
  <c r="BP227" i="1"/>
  <c r="BP226" i="1"/>
  <c r="BP225" i="1"/>
  <c r="BP224" i="1"/>
  <c r="BP223" i="1"/>
  <c r="BP222" i="1"/>
  <c r="BP221" i="1"/>
  <c r="BP220" i="1"/>
  <c r="BP219" i="1"/>
  <c r="BP218" i="1"/>
  <c r="BP217" i="1"/>
  <c r="BP216" i="1"/>
  <c r="BP215" i="1"/>
  <c r="BP214" i="1"/>
  <c r="BP213" i="1"/>
  <c r="BP212" i="1"/>
  <c r="BP211" i="1"/>
  <c r="BP210" i="1"/>
  <c r="BP209" i="1"/>
  <c r="BP208" i="1"/>
  <c r="BP207" i="1"/>
  <c r="BP206" i="1"/>
  <c r="BP205" i="1"/>
  <c r="BP204" i="1"/>
  <c r="BP203" i="1"/>
  <c r="BP202" i="1"/>
  <c r="BP201" i="1"/>
  <c r="BP200" i="1"/>
  <c r="BP199" i="1"/>
  <c r="BP198" i="1"/>
  <c r="BP197" i="1"/>
  <c r="BP196" i="1"/>
  <c r="BP195" i="1"/>
  <c r="BP194" i="1"/>
  <c r="BP193" i="1"/>
  <c r="BP192" i="1"/>
  <c r="BP191" i="1"/>
  <c r="BP190" i="1"/>
  <c r="BP189" i="1"/>
  <c r="BP188" i="1"/>
  <c r="BP187" i="1"/>
  <c r="BP186" i="1"/>
  <c r="BP185" i="1"/>
  <c r="BP184" i="1"/>
  <c r="BP183" i="1"/>
  <c r="BP182" i="1"/>
  <c r="BP181" i="1"/>
  <c r="BP180" i="1"/>
  <c r="BP179" i="1"/>
  <c r="BP178" i="1"/>
  <c r="BP177" i="1"/>
  <c r="BP176" i="1"/>
  <c r="BP175" i="1"/>
  <c r="BP174" i="1"/>
  <c r="BP173" i="1"/>
  <c r="BP172" i="1"/>
  <c r="BP171" i="1"/>
  <c r="BP170" i="1"/>
  <c r="BP169" i="1"/>
  <c r="BP168" i="1"/>
  <c r="BP167" i="1"/>
  <c r="BP166" i="1"/>
  <c r="BP165" i="1"/>
  <c r="BP164" i="1"/>
  <c r="BP163" i="1"/>
  <c r="BP162" i="1"/>
  <c r="BP161" i="1"/>
  <c r="BP160" i="1"/>
  <c r="BP159" i="1"/>
  <c r="BP158" i="1"/>
  <c r="BP157" i="1"/>
  <c r="BP156" i="1"/>
  <c r="BP155" i="1"/>
  <c r="BP154" i="1"/>
  <c r="BP153" i="1"/>
  <c r="BP152" i="1"/>
  <c r="BP151" i="1"/>
  <c r="BP150" i="1"/>
  <c r="BP149" i="1"/>
  <c r="BP148" i="1"/>
  <c r="BP147" i="1"/>
  <c r="BP146" i="1"/>
  <c r="BP145" i="1"/>
  <c r="BP144" i="1"/>
  <c r="BP143" i="1"/>
  <c r="BP142" i="1"/>
  <c r="BP141" i="1"/>
  <c r="BP140" i="1"/>
  <c r="BP139" i="1"/>
  <c r="BP138" i="1"/>
  <c r="BP137" i="1"/>
  <c r="BP136" i="1"/>
  <c r="BP135" i="1"/>
  <c r="BP134" i="1"/>
  <c r="BP133" i="1"/>
  <c r="BP132" i="1"/>
  <c r="BP131" i="1"/>
  <c r="BP130" i="1"/>
  <c r="BP129" i="1"/>
  <c r="BP128" i="1"/>
  <c r="BP127" i="1"/>
  <c r="BP126" i="1"/>
  <c r="BP125" i="1"/>
  <c r="BP124" i="1"/>
  <c r="BP123" i="1"/>
  <c r="BP122" i="1"/>
  <c r="BP121" i="1"/>
  <c r="BP120" i="1"/>
  <c r="BP119" i="1"/>
  <c r="BP118" i="1"/>
  <c r="BP117" i="1"/>
  <c r="BP116" i="1"/>
  <c r="BP115" i="1"/>
  <c r="BP114" i="1"/>
  <c r="BP113" i="1"/>
  <c r="BP112" i="1"/>
  <c r="BP111" i="1"/>
  <c r="BP110" i="1"/>
  <c r="BP109" i="1"/>
  <c r="BP108" i="1"/>
  <c r="BP107" i="1"/>
  <c r="BP106" i="1"/>
  <c r="BP105" i="1"/>
  <c r="BP104" i="1"/>
  <c r="BP103" i="1"/>
  <c r="BP102" i="1"/>
  <c r="BP101" i="1"/>
  <c r="BP100" i="1"/>
  <c r="BP99" i="1"/>
  <c r="BP98" i="1"/>
  <c r="BP97" i="1"/>
  <c r="BP96" i="1"/>
  <c r="BP95" i="1"/>
  <c r="BP94" i="1"/>
  <c r="BP93" i="1"/>
  <c r="BP92" i="1"/>
  <c r="BP91" i="1"/>
  <c r="BP90" i="1"/>
  <c r="BP89" i="1"/>
  <c r="BP88" i="1"/>
  <c r="BP87" i="1"/>
  <c r="BP86" i="1"/>
  <c r="BP85" i="1"/>
  <c r="BP84" i="1"/>
  <c r="BP83" i="1"/>
  <c r="BP82" i="1"/>
  <c r="BP81" i="1"/>
  <c r="BP80" i="1"/>
  <c r="BP79" i="1"/>
  <c r="BP78" i="1"/>
  <c r="BP77" i="1"/>
  <c r="BP76" i="1"/>
  <c r="BP75" i="1"/>
  <c r="BP74" i="1"/>
  <c r="BP73" i="1"/>
  <c r="BP72" i="1"/>
  <c r="BP71" i="1"/>
  <c r="BP70" i="1"/>
  <c r="BP69" i="1"/>
  <c r="BP68" i="1"/>
  <c r="BP67" i="1"/>
  <c r="BP66" i="1"/>
  <c r="BP65" i="1"/>
  <c r="BP64" i="1"/>
  <c r="BP63" i="1"/>
  <c r="BP62" i="1"/>
  <c r="BP61" i="1"/>
  <c r="BP60" i="1"/>
  <c r="BP59" i="1"/>
  <c r="BP58" i="1"/>
  <c r="BP57" i="1"/>
  <c r="BP56" i="1"/>
  <c r="BP55" i="1"/>
  <c r="BP54" i="1"/>
  <c r="BP53" i="1"/>
  <c r="BP52" i="1"/>
  <c r="BP51" i="1"/>
  <c r="BP50" i="1"/>
  <c r="BP49" i="1"/>
  <c r="BP48" i="1"/>
  <c r="BP47" i="1"/>
  <c r="BP46" i="1"/>
  <c r="BP45" i="1"/>
  <c r="BP44" i="1"/>
  <c r="BP43" i="1"/>
  <c r="BP42" i="1"/>
  <c r="BP41" i="1"/>
  <c r="BP40" i="1"/>
  <c r="BP39" i="1"/>
  <c r="BP38" i="1"/>
  <c r="BP37" i="1"/>
  <c r="BP36" i="1"/>
  <c r="BP35" i="1"/>
  <c r="BP34" i="1"/>
  <c r="BP33" i="1"/>
  <c r="BP32" i="1"/>
  <c r="BP31" i="1"/>
  <c r="BP30" i="1"/>
  <c r="BP29" i="1"/>
  <c r="BP28" i="1"/>
  <c r="BP27" i="1"/>
  <c r="BP26" i="1"/>
  <c r="BP25" i="1"/>
  <c r="BP24" i="1"/>
  <c r="BP23" i="1"/>
  <c r="BP22" i="1"/>
  <c r="BP21" i="1"/>
  <c r="BP20" i="1"/>
  <c r="BP19" i="1"/>
  <c r="BP18" i="1"/>
  <c r="BP17" i="1"/>
  <c r="BP16" i="1"/>
  <c r="BP15" i="1"/>
  <c r="BP14" i="1"/>
  <c r="BP13" i="1"/>
  <c r="BP12" i="1"/>
  <c r="BP11" i="1"/>
  <c r="BP10" i="1"/>
  <c r="BP9" i="1"/>
  <c r="BP8" i="1"/>
  <c r="BP7" i="1"/>
  <c r="BP6" i="1"/>
  <c r="C40" i="52"/>
  <c r="J40" i="52"/>
  <c r="T39" i="52"/>
  <c r="Q39" i="52"/>
  <c r="T3" i="52"/>
  <c r="Q3" i="52"/>
  <c r="N39" i="52"/>
  <c r="N3" i="52"/>
  <c r="R607" i="1"/>
  <c r="O607" i="1"/>
  <c r="L607" i="1"/>
  <c r="R2" i="1"/>
  <c r="O2" i="1"/>
  <c r="L2" i="1"/>
  <c r="E20" i="51"/>
  <c r="E17" i="51"/>
  <c r="E16" i="51"/>
  <c r="E14" i="51"/>
  <c r="J611" i="1"/>
  <c r="AK605" i="1"/>
  <c r="AJ605" i="1"/>
  <c r="AI605" i="1"/>
  <c r="AH605" i="1"/>
  <c r="AG605" i="1"/>
  <c r="AF605" i="1"/>
  <c r="AE605" i="1"/>
  <c r="AD605" i="1"/>
  <c r="AC605" i="1"/>
  <c r="AB605" i="1"/>
  <c r="AA605" i="1"/>
  <c r="Z605" i="1"/>
  <c r="Y605" i="1"/>
  <c r="X605" i="1"/>
  <c r="W605" i="1"/>
  <c r="AK604" i="1"/>
  <c r="AJ604" i="1"/>
  <c r="AI604" i="1"/>
  <c r="AH604" i="1"/>
  <c r="AG604" i="1"/>
  <c r="AF604" i="1"/>
  <c r="AE604" i="1"/>
  <c r="AD604" i="1"/>
  <c r="AC604" i="1"/>
  <c r="AB604" i="1"/>
  <c r="AA604" i="1"/>
  <c r="Z604" i="1"/>
  <c r="Y604" i="1"/>
  <c r="X604" i="1"/>
  <c r="W604" i="1"/>
  <c r="AK603" i="1"/>
  <c r="AJ603" i="1"/>
  <c r="AI603" i="1"/>
  <c r="AH603" i="1"/>
  <c r="AG603" i="1"/>
  <c r="AF603" i="1"/>
  <c r="AE603" i="1"/>
  <c r="AD603" i="1"/>
  <c r="AC603" i="1"/>
  <c r="AB603" i="1"/>
  <c r="AA603" i="1"/>
  <c r="Z603" i="1"/>
  <c r="Y603" i="1"/>
  <c r="X603" i="1"/>
  <c r="W603" i="1"/>
  <c r="AK602" i="1"/>
  <c r="AJ602" i="1"/>
  <c r="AI602" i="1"/>
  <c r="AH602" i="1"/>
  <c r="AG602" i="1"/>
  <c r="AF602" i="1"/>
  <c r="AE602" i="1"/>
  <c r="AD602" i="1"/>
  <c r="AC602" i="1"/>
  <c r="AB602" i="1"/>
  <c r="AA602" i="1"/>
  <c r="Z602" i="1"/>
  <c r="Y602" i="1"/>
  <c r="X602" i="1"/>
  <c r="W602" i="1"/>
  <c r="AK601" i="1"/>
  <c r="AJ601" i="1"/>
  <c r="AI601" i="1"/>
  <c r="AH601" i="1"/>
  <c r="AG601" i="1"/>
  <c r="AF601" i="1"/>
  <c r="AE601" i="1"/>
  <c r="AD601" i="1"/>
  <c r="AC601" i="1"/>
  <c r="AB601" i="1"/>
  <c r="AA601" i="1"/>
  <c r="Z601" i="1"/>
  <c r="Y601" i="1"/>
  <c r="X601" i="1"/>
  <c r="W601" i="1"/>
  <c r="AK600" i="1"/>
  <c r="AJ600" i="1"/>
  <c r="AI600" i="1"/>
  <c r="AH600" i="1"/>
  <c r="AG600" i="1"/>
  <c r="AF600" i="1"/>
  <c r="AE600" i="1"/>
  <c r="AD600" i="1"/>
  <c r="AC600" i="1"/>
  <c r="AB600" i="1"/>
  <c r="AA600" i="1"/>
  <c r="Z600" i="1"/>
  <c r="Y600" i="1"/>
  <c r="X600" i="1"/>
  <c r="W600" i="1"/>
  <c r="AK599" i="1"/>
  <c r="AJ599" i="1"/>
  <c r="AI599" i="1"/>
  <c r="AH599" i="1"/>
  <c r="AG599" i="1"/>
  <c r="AF599" i="1"/>
  <c r="AE599" i="1"/>
  <c r="AD599" i="1"/>
  <c r="AC599" i="1"/>
  <c r="AB599" i="1"/>
  <c r="AA599" i="1"/>
  <c r="Z599" i="1"/>
  <c r="Y599" i="1"/>
  <c r="X599" i="1"/>
  <c r="W599" i="1"/>
  <c r="AK598" i="1"/>
  <c r="AJ598" i="1"/>
  <c r="AI598" i="1"/>
  <c r="AH598" i="1"/>
  <c r="AG598" i="1"/>
  <c r="AF598" i="1"/>
  <c r="AE598" i="1"/>
  <c r="AD598" i="1"/>
  <c r="AC598" i="1"/>
  <c r="AB598" i="1"/>
  <c r="AA598" i="1"/>
  <c r="Z598" i="1"/>
  <c r="Y598" i="1"/>
  <c r="X598" i="1"/>
  <c r="W598" i="1"/>
  <c r="AK597" i="1"/>
  <c r="AJ597" i="1"/>
  <c r="AI597" i="1"/>
  <c r="AH597" i="1"/>
  <c r="AG597" i="1"/>
  <c r="AF597" i="1"/>
  <c r="AE597" i="1"/>
  <c r="AD597" i="1"/>
  <c r="AC597" i="1"/>
  <c r="AB597" i="1"/>
  <c r="AA597" i="1"/>
  <c r="Z597" i="1"/>
  <c r="Y597" i="1"/>
  <c r="X597" i="1"/>
  <c r="W597" i="1"/>
  <c r="AK596" i="1"/>
  <c r="AJ596" i="1"/>
  <c r="AI596" i="1"/>
  <c r="AH596" i="1"/>
  <c r="AG596" i="1"/>
  <c r="AF596" i="1"/>
  <c r="AE596" i="1"/>
  <c r="AD596" i="1"/>
  <c r="AC596" i="1"/>
  <c r="AB596" i="1"/>
  <c r="AA596" i="1"/>
  <c r="Z596" i="1"/>
  <c r="Y596" i="1"/>
  <c r="X596" i="1"/>
  <c r="W596" i="1"/>
  <c r="AK595" i="1"/>
  <c r="AJ595" i="1"/>
  <c r="AI595" i="1"/>
  <c r="AH595" i="1"/>
  <c r="AG595" i="1"/>
  <c r="AF595" i="1"/>
  <c r="AE595" i="1"/>
  <c r="AD595" i="1"/>
  <c r="AC595" i="1"/>
  <c r="AB595" i="1"/>
  <c r="AA595" i="1"/>
  <c r="Z595" i="1"/>
  <c r="Y595" i="1"/>
  <c r="X595" i="1"/>
  <c r="W595" i="1"/>
  <c r="AK594" i="1"/>
  <c r="AJ594" i="1"/>
  <c r="AI594" i="1"/>
  <c r="AH594" i="1"/>
  <c r="AG594" i="1"/>
  <c r="AF594" i="1"/>
  <c r="AE594" i="1"/>
  <c r="AD594" i="1"/>
  <c r="AC594" i="1"/>
  <c r="AB594" i="1"/>
  <c r="AA594" i="1"/>
  <c r="Z594" i="1"/>
  <c r="Y594" i="1"/>
  <c r="X594" i="1"/>
  <c r="W594" i="1"/>
  <c r="AK593" i="1"/>
  <c r="AJ593" i="1"/>
  <c r="AI593" i="1"/>
  <c r="AH593" i="1"/>
  <c r="AG593" i="1"/>
  <c r="AF593" i="1"/>
  <c r="AE593" i="1"/>
  <c r="AD593" i="1"/>
  <c r="AC593" i="1"/>
  <c r="AB593" i="1"/>
  <c r="AA593" i="1"/>
  <c r="Z593" i="1"/>
  <c r="Y593" i="1"/>
  <c r="X593" i="1"/>
  <c r="W593" i="1"/>
  <c r="AK592" i="1"/>
  <c r="AJ592" i="1"/>
  <c r="AI592" i="1"/>
  <c r="AH592" i="1"/>
  <c r="AG592" i="1"/>
  <c r="AF592" i="1"/>
  <c r="AE592" i="1"/>
  <c r="AD592" i="1"/>
  <c r="AC592" i="1"/>
  <c r="AB592" i="1"/>
  <c r="AA592" i="1"/>
  <c r="Z592" i="1"/>
  <c r="Y592" i="1"/>
  <c r="X592" i="1"/>
  <c r="W592" i="1"/>
  <c r="AK591" i="1"/>
  <c r="AJ591" i="1"/>
  <c r="AI591" i="1"/>
  <c r="AH591" i="1"/>
  <c r="AG591" i="1"/>
  <c r="AF591" i="1"/>
  <c r="AE591" i="1"/>
  <c r="AD591" i="1"/>
  <c r="AC591" i="1"/>
  <c r="AB591" i="1"/>
  <c r="AA591" i="1"/>
  <c r="Z591" i="1"/>
  <c r="Y591" i="1"/>
  <c r="X591" i="1"/>
  <c r="W591" i="1"/>
  <c r="AK590" i="1"/>
  <c r="AJ590" i="1"/>
  <c r="AI590" i="1"/>
  <c r="AH590" i="1"/>
  <c r="AG590" i="1"/>
  <c r="AF590" i="1"/>
  <c r="AE590" i="1"/>
  <c r="AD590" i="1"/>
  <c r="AC590" i="1"/>
  <c r="AB590" i="1"/>
  <c r="AA590" i="1"/>
  <c r="Z590" i="1"/>
  <c r="Y590" i="1"/>
  <c r="X590" i="1"/>
  <c r="W590" i="1"/>
  <c r="AK589" i="1"/>
  <c r="AJ589" i="1"/>
  <c r="AI589" i="1"/>
  <c r="AH589" i="1"/>
  <c r="AG589" i="1"/>
  <c r="AF589" i="1"/>
  <c r="AE589" i="1"/>
  <c r="AD589" i="1"/>
  <c r="AC589" i="1"/>
  <c r="AB589" i="1"/>
  <c r="AA589" i="1"/>
  <c r="Z589" i="1"/>
  <c r="Y589" i="1"/>
  <c r="X589" i="1"/>
  <c r="W589" i="1"/>
  <c r="AK588" i="1"/>
  <c r="AJ588" i="1"/>
  <c r="AI588" i="1"/>
  <c r="AH588" i="1"/>
  <c r="AG588" i="1"/>
  <c r="AF588" i="1"/>
  <c r="AE588" i="1"/>
  <c r="AD588" i="1"/>
  <c r="AC588" i="1"/>
  <c r="AB588" i="1"/>
  <c r="AA588" i="1"/>
  <c r="Z588" i="1"/>
  <c r="Y588" i="1"/>
  <c r="X588" i="1"/>
  <c r="W588" i="1"/>
  <c r="AK587" i="1"/>
  <c r="AJ587" i="1"/>
  <c r="AI587" i="1"/>
  <c r="AH587" i="1"/>
  <c r="AG587" i="1"/>
  <c r="AF587" i="1"/>
  <c r="AE587" i="1"/>
  <c r="AD587" i="1"/>
  <c r="AC587" i="1"/>
  <c r="AB587" i="1"/>
  <c r="AA587" i="1"/>
  <c r="Z587" i="1"/>
  <c r="Y587" i="1"/>
  <c r="X587" i="1"/>
  <c r="W587" i="1"/>
  <c r="AK586" i="1"/>
  <c r="AJ586" i="1"/>
  <c r="AI586" i="1"/>
  <c r="AH586" i="1"/>
  <c r="AG586" i="1"/>
  <c r="AF586" i="1"/>
  <c r="AE586" i="1"/>
  <c r="AD586" i="1"/>
  <c r="AC586" i="1"/>
  <c r="AB586" i="1"/>
  <c r="AA586" i="1"/>
  <c r="Z586" i="1"/>
  <c r="Y586" i="1"/>
  <c r="X586" i="1"/>
  <c r="W586" i="1"/>
  <c r="AK585" i="1"/>
  <c r="AJ585" i="1"/>
  <c r="AI585" i="1"/>
  <c r="AH585" i="1"/>
  <c r="AG585" i="1"/>
  <c r="AF585" i="1"/>
  <c r="AE585" i="1"/>
  <c r="AD585" i="1"/>
  <c r="AC585" i="1"/>
  <c r="AB585" i="1"/>
  <c r="AA585" i="1"/>
  <c r="Z585" i="1"/>
  <c r="Y585" i="1"/>
  <c r="X585" i="1"/>
  <c r="W585" i="1"/>
  <c r="AK584" i="1"/>
  <c r="AJ584" i="1"/>
  <c r="AI584" i="1"/>
  <c r="AH584" i="1"/>
  <c r="AG584" i="1"/>
  <c r="AF584" i="1"/>
  <c r="AE584" i="1"/>
  <c r="AD584" i="1"/>
  <c r="AC584" i="1"/>
  <c r="AB584" i="1"/>
  <c r="AA584" i="1"/>
  <c r="Z584" i="1"/>
  <c r="Y584" i="1"/>
  <c r="X584" i="1"/>
  <c r="W584" i="1"/>
  <c r="AK583" i="1"/>
  <c r="AJ583" i="1"/>
  <c r="AI583" i="1"/>
  <c r="AH583" i="1"/>
  <c r="AG583" i="1"/>
  <c r="AF583" i="1"/>
  <c r="AE583" i="1"/>
  <c r="AD583" i="1"/>
  <c r="AC583" i="1"/>
  <c r="AB583" i="1"/>
  <c r="AA583" i="1"/>
  <c r="Z583" i="1"/>
  <c r="Y583" i="1"/>
  <c r="X583" i="1"/>
  <c r="W583" i="1"/>
  <c r="AK582" i="1"/>
  <c r="AJ582" i="1"/>
  <c r="AI582" i="1"/>
  <c r="AH582" i="1"/>
  <c r="AG582" i="1"/>
  <c r="AF582" i="1"/>
  <c r="AE582" i="1"/>
  <c r="AD582" i="1"/>
  <c r="AC582" i="1"/>
  <c r="AB582" i="1"/>
  <c r="AA582" i="1"/>
  <c r="Z582" i="1"/>
  <c r="Y582" i="1"/>
  <c r="X582" i="1"/>
  <c r="W582" i="1"/>
  <c r="AK581" i="1"/>
  <c r="AJ581" i="1"/>
  <c r="AI581" i="1"/>
  <c r="AH581" i="1"/>
  <c r="AG581" i="1"/>
  <c r="AF581" i="1"/>
  <c r="AE581" i="1"/>
  <c r="AD581" i="1"/>
  <c r="AC581" i="1"/>
  <c r="AB581" i="1"/>
  <c r="AA581" i="1"/>
  <c r="Z581" i="1"/>
  <c r="Y581" i="1"/>
  <c r="X581" i="1"/>
  <c r="W581" i="1"/>
  <c r="AK580" i="1"/>
  <c r="AJ580" i="1"/>
  <c r="AI580" i="1"/>
  <c r="AH580" i="1"/>
  <c r="AG580" i="1"/>
  <c r="AF580" i="1"/>
  <c r="AE580" i="1"/>
  <c r="AD580" i="1"/>
  <c r="AC580" i="1"/>
  <c r="AB580" i="1"/>
  <c r="AA580" i="1"/>
  <c r="Z580" i="1"/>
  <c r="Y580" i="1"/>
  <c r="X580" i="1"/>
  <c r="W580" i="1"/>
  <c r="AK579" i="1"/>
  <c r="AJ579" i="1"/>
  <c r="AI579" i="1"/>
  <c r="AH579" i="1"/>
  <c r="AG579" i="1"/>
  <c r="AF579" i="1"/>
  <c r="AE579" i="1"/>
  <c r="AD579" i="1"/>
  <c r="AC579" i="1"/>
  <c r="AB579" i="1"/>
  <c r="AA579" i="1"/>
  <c r="Z579" i="1"/>
  <c r="Y579" i="1"/>
  <c r="X579" i="1"/>
  <c r="W579" i="1"/>
  <c r="AK578" i="1"/>
  <c r="AJ578" i="1"/>
  <c r="AI578" i="1"/>
  <c r="AH578" i="1"/>
  <c r="AG578" i="1"/>
  <c r="AF578" i="1"/>
  <c r="AE578" i="1"/>
  <c r="AD578" i="1"/>
  <c r="AC578" i="1"/>
  <c r="AB578" i="1"/>
  <c r="AA578" i="1"/>
  <c r="Z578" i="1"/>
  <c r="Y578" i="1"/>
  <c r="X578" i="1"/>
  <c r="W578" i="1"/>
  <c r="AK577" i="1"/>
  <c r="AJ577" i="1"/>
  <c r="AI577" i="1"/>
  <c r="AH577" i="1"/>
  <c r="AG577" i="1"/>
  <c r="AF577" i="1"/>
  <c r="AE577" i="1"/>
  <c r="AD577" i="1"/>
  <c r="AC577" i="1"/>
  <c r="AB577" i="1"/>
  <c r="AA577" i="1"/>
  <c r="Z577" i="1"/>
  <c r="Y577" i="1"/>
  <c r="X577" i="1"/>
  <c r="W577" i="1"/>
  <c r="AK576" i="1"/>
  <c r="AJ576" i="1"/>
  <c r="AI576" i="1"/>
  <c r="AH576" i="1"/>
  <c r="AG576" i="1"/>
  <c r="AF576" i="1"/>
  <c r="AE576" i="1"/>
  <c r="AD576" i="1"/>
  <c r="AC576" i="1"/>
  <c r="AB576" i="1"/>
  <c r="AA576" i="1"/>
  <c r="Z576" i="1"/>
  <c r="Y576" i="1"/>
  <c r="X576" i="1"/>
  <c r="W576" i="1"/>
  <c r="AK575" i="1"/>
  <c r="AJ575" i="1"/>
  <c r="AI575" i="1"/>
  <c r="AH575" i="1"/>
  <c r="AG575" i="1"/>
  <c r="AF575" i="1"/>
  <c r="AE575" i="1"/>
  <c r="AD575" i="1"/>
  <c r="AC575" i="1"/>
  <c r="AB575" i="1"/>
  <c r="AA575" i="1"/>
  <c r="Z575" i="1"/>
  <c r="Y575" i="1"/>
  <c r="X575" i="1"/>
  <c r="W575" i="1"/>
  <c r="AK574" i="1"/>
  <c r="AJ574" i="1"/>
  <c r="AI574" i="1"/>
  <c r="AH574" i="1"/>
  <c r="AG574" i="1"/>
  <c r="AF574" i="1"/>
  <c r="AE574" i="1"/>
  <c r="AD574" i="1"/>
  <c r="AC574" i="1"/>
  <c r="AB574" i="1"/>
  <c r="AA574" i="1"/>
  <c r="Z574" i="1"/>
  <c r="Y574" i="1"/>
  <c r="X574" i="1"/>
  <c r="W574" i="1"/>
  <c r="AK573" i="1"/>
  <c r="AJ573" i="1"/>
  <c r="AI573" i="1"/>
  <c r="AH573" i="1"/>
  <c r="AG573" i="1"/>
  <c r="AF573" i="1"/>
  <c r="AE573" i="1"/>
  <c r="AD573" i="1"/>
  <c r="AC573" i="1"/>
  <c r="AB573" i="1"/>
  <c r="AA573" i="1"/>
  <c r="Z573" i="1"/>
  <c r="Y573" i="1"/>
  <c r="X573" i="1"/>
  <c r="W573" i="1"/>
  <c r="AK572" i="1"/>
  <c r="AJ572" i="1"/>
  <c r="AI572" i="1"/>
  <c r="AH572" i="1"/>
  <c r="AG572" i="1"/>
  <c r="AF572" i="1"/>
  <c r="AE572" i="1"/>
  <c r="AD572" i="1"/>
  <c r="AC572" i="1"/>
  <c r="AB572" i="1"/>
  <c r="AA572" i="1"/>
  <c r="Z572" i="1"/>
  <c r="Y572" i="1"/>
  <c r="X572" i="1"/>
  <c r="W572" i="1"/>
  <c r="AK571" i="1"/>
  <c r="AJ571" i="1"/>
  <c r="AI571" i="1"/>
  <c r="AH571" i="1"/>
  <c r="AG571" i="1"/>
  <c r="AF571" i="1"/>
  <c r="AE571" i="1"/>
  <c r="AD571" i="1"/>
  <c r="AC571" i="1"/>
  <c r="AB571" i="1"/>
  <c r="AA571" i="1"/>
  <c r="Z571" i="1"/>
  <c r="Y571" i="1"/>
  <c r="X571" i="1"/>
  <c r="W571" i="1"/>
  <c r="AK570" i="1"/>
  <c r="AJ570" i="1"/>
  <c r="AI570" i="1"/>
  <c r="AH570" i="1"/>
  <c r="AG570" i="1"/>
  <c r="AF570" i="1"/>
  <c r="AE570" i="1"/>
  <c r="AD570" i="1"/>
  <c r="AC570" i="1"/>
  <c r="AB570" i="1"/>
  <c r="AA570" i="1"/>
  <c r="Z570" i="1"/>
  <c r="Y570" i="1"/>
  <c r="X570" i="1"/>
  <c r="W570" i="1"/>
  <c r="AK569" i="1"/>
  <c r="AJ569" i="1"/>
  <c r="AI569" i="1"/>
  <c r="AH569" i="1"/>
  <c r="AG569" i="1"/>
  <c r="AF569" i="1"/>
  <c r="AE569" i="1"/>
  <c r="AD569" i="1"/>
  <c r="AC569" i="1"/>
  <c r="AB569" i="1"/>
  <c r="AA569" i="1"/>
  <c r="Z569" i="1"/>
  <c r="Y569" i="1"/>
  <c r="X569" i="1"/>
  <c r="W569" i="1"/>
  <c r="AK568" i="1"/>
  <c r="AJ568" i="1"/>
  <c r="AI568" i="1"/>
  <c r="AH568" i="1"/>
  <c r="AG568" i="1"/>
  <c r="AF568" i="1"/>
  <c r="AE568" i="1"/>
  <c r="AD568" i="1"/>
  <c r="AC568" i="1"/>
  <c r="AB568" i="1"/>
  <c r="AA568" i="1"/>
  <c r="Z568" i="1"/>
  <c r="Y568" i="1"/>
  <c r="X568" i="1"/>
  <c r="W568" i="1"/>
  <c r="AK567" i="1"/>
  <c r="AJ567" i="1"/>
  <c r="AI567" i="1"/>
  <c r="AH567" i="1"/>
  <c r="AG567" i="1"/>
  <c r="AF567" i="1"/>
  <c r="AE567" i="1"/>
  <c r="AD567" i="1"/>
  <c r="AC567" i="1"/>
  <c r="AB567" i="1"/>
  <c r="AA567" i="1"/>
  <c r="Z567" i="1"/>
  <c r="Y567" i="1"/>
  <c r="X567" i="1"/>
  <c r="W567" i="1"/>
  <c r="AK566" i="1"/>
  <c r="AJ566" i="1"/>
  <c r="AI566" i="1"/>
  <c r="AH566" i="1"/>
  <c r="AG566" i="1"/>
  <c r="AF566" i="1"/>
  <c r="AE566" i="1"/>
  <c r="AD566" i="1"/>
  <c r="AC566" i="1"/>
  <c r="AB566" i="1"/>
  <c r="AA566" i="1"/>
  <c r="Z566" i="1"/>
  <c r="Y566" i="1"/>
  <c r="X566" i="1"/>
  <c r="W566" i="1"/>
  <c r="AK565" i="1"/>
  <c r="AJ565" i="1"/>
  <c r="AI565" i="1"/>
  <c r="AH565" i="1"/>
  <c r="AG565" i="1"/>
  <c r="AF565" i="1"/>
  <c r="AE565" i="1"/>
  <c r="AD565" i="1"/>
  <c r="AC565" i="1"/>
  <c r="AB565" i="1"/>
  <c r="AA565" i="1"/>
  <c r="Z565" i="1"/>
  <c r="Y565" i="1"/>
  <c r="X565" i="1"/>
  <c r="W565" i="1"/>
  <c r="AK564" i="1"/>
  <c r="AJ564" i="1"/>
  <c r="AI564" i="1"/>
  <c r="AH564" i="1"/>
  <c r="AG564" i="1"/>
  <c r="AF564" i="1"/>
  <c r="AE564" i="1"/>
  <c r="AD564" i="1"/>
  <c r="AC564" i="1"/>
  <c r="AB564" i="1"/>
  <c r="AA564" i="1"/>
  <c r="Z564" i="1"/>
  <c r="Y564" i="1"/>
  <c r="X564" i="1"/>
  <c r="W564" i="1"/>
  <c r="AK563" i="1"/>
  <c r="AJ563" i="1"/>
  <c r="AI563" i="1"/>
  <c r="AH563" i="1"/>
  <c r="AG563" i="1"/>
  <c r="AF563" i="1"/>
  <c r="AE563" i="1"/>
  <c r="AD563" i="1"/>
  <c r="AC563" i="1"/>
  <c r="AB563" i="1"/>
  <c r="AA563" i="1"/>
  <c r="Z563" i="1"/>
  <c r="Y563" i="1"/>
  <c r="X563" i="1"/>
  <c r="W563" i="1"/>
  <c r="AK562" i="1"/>
  <c r="AJ562" i="1"/>
  <c r="AI562" i="1"/>
  <c r="AH562" i="1"/>
  <c r="AG562" i="1"/>
  <c r="AF562" i="1"/>
  <c r="AE562" i="1"/>
  <c r="AD562" i="1"/>
  <c r="AC562" i="1"/>
  <c r="AB562" i="1"/>
  <c r="AA562" i="1"/>
  <c r="Z562" i="1"/>
  <c r="Y562" i="1"/>
  <c r="X562" i="1"/>
  <c r="W562" i="1"/>
  <c r="AK561" i="1"/>
  <c r="AJ561" i="1"/>
  <c r="AI561" i="1"/>
  <c r="AH561" i="1"/>
  <c r="AG561" i="1"/>
  <c r="AF561" i="1"/>
  <c r="AE561" i="1"/>
  <c r="AD561" i="1"/>
  <c r="AC561" i="1"/>
  <c r="AB561" i="1"/>
  <c r="AA561" i="1"/>
  <c r="Z561" i="1"/>
  <c r="Y561" i="1"/>
  <c r="X561" i="1"/>
  <c r="W561" i="1"/>
  <c r="AK560" i="1"/>
  <c r="AJ560" i="1"/>
  <c r="AI560" i="1"/>
  <c r="AH560" i="1"/>
  <c r="AG560" i="1"/>
  <c r="AF560" i="1"/>
  <c r="AE560" i="1"/>
  <c r="AD560" i="1"/>
  <c r="AC560" i="1"/>
  <c r="AB560" i="1"/>
  <c r="AA560" i="1"/>
  <c r="Z560" i="1"/>
  <c r="Y560" i="1"/>
  <c r="X560" i="1"/>
  <c r="W560" i="1"/>
  <c r="AK559" i="1"/>
  <c r="AJ559" i="1"/>
  <c r="AI559" i="1"/>
  <c r="AH559" i="1"/>
  <c r="AG559" i="1"/>
  <c r="AF559" i="1"/>
  <c r="AE559" i="1"/>
  <c r="AD559" i="1"/>
  <c r="AC559" i="1"/>
  <c r="AB559" i="1"/>
  <c r="AA559" i="1"/>
  <c r="Z559" i="1"/>
  <c r="Y559" i="1"/>
  <c r="X559" i="1"/>
  <c r="W559" i="1"/>
  <c r="AK558" i="1"/>
  <c r="AJ558" i="1"/>
  <c r="AI558" i="1"/>
  <c r="AH558" i="1"/>
  <c r="AG558" i="1"/>
  <c r="AF558" i="1"/>
  <c r="AE558" i="1"/>
  <c r="AD558" i="1"/>
  <c r="AC558" i="1"/>
  <c r="AB558" i="1"/>
  <c r="AA558" i="1"/>
  <c r="Z558" i="1"/>
  <c r="Y558" i="1"/>
  <c r="X558" i="1"/>
  <c r="W558" i="1"/>
  <c r="AK557" i="1"/>
  <c r="AJ557" i="1"/>
  <c r="AI557" i="1"/>
  <c r="AH557" i="1"/>
  <c r="AG557" i="1"/>
  <c r="AF557" i="1"/>
  <c r="AE557" i="1"/>
  <c r="AD557" i="1"/>
  <c r="AC557" i="1"/>
  <c r="AB557" i="1"/>
  <c r="AA557" i="1"/>
  <c r="Z557" i="1"/>
  <c r="Y557" i="1"/>
  <c r="X557" i="1"/>
  <c r="W557" i="1"/>
  <c r="AK556" i="1"/>
  <c r="AJ556" i="1"/>
  <c r="AI556" i="1"/>
  <c r="AH556" i="1"/>
  <c r="AG556" i="1"/>
  <c r="AF556" i="1"/>
  <c r="AE556" i="1"/>
  <c r="AD556" i="1"/>
  <c r="AC556" i="1"/>
  <c r="AB556" i="1"/>
  <c r="AA556" i="1"/>
  <c r="Z556" i="1"/>
  <c r="Y556" i="1"/>
  <c r="X556" i="1"/>
  <c r="W556" i="1"/>
  <c r="AK555" i="1"/>
  <c r="AJ555" i="1"/>
  <c r="AI555" i="1"/>
  <c r="AH555" i="1"/>
  <c r="AG555" i="1"/>
  <c r="AF555" i="1"/>
  <c r="AE555" i="1"/>
  <c r="AD555" i="1"/>
  <c r="AC555" i="1"/>
  <c r="AB555" i="1"/>
  <c r="AA555" i="1"/>
  <c r="Z555" i="1"/>
  <c r="Y555" i="1"/>
  <c r="X555" i="1"/>
  <c r="W555" i="1"/>
  <c r="AK554" i="1"/>
  <c r="AJ554" i="1"/>
  <c r="AI554" i="1"/>
  <c r="AH554" i="1"/>
  <c r="AG554" i="1"/>
  <c r="AF554" i="1"/>
  <c r="AE554" i="1"/>
  <c r="AD554" i="1"/>
  <c r="AC554" i="1"/>
  <c r="AB554" i="1"/>
  <c r="AA554" i="1"/>
  <c r="Z554" i="1"/>
  <c r="Y554" i="1"/>
  <c r="X554" i="1"/>
  <c r="W554" i="1"/>
  <c r="AK553" i="1"/>
  <c r="AJ553" i="1"/>
  <c r="AI553" i="1"/>
  <c r="AH553" i="1"/>
  <c r="AG553" i="1"/>
  <c r="AF553" i="1"/>
  <c r="AE553" i="1"/>
  <c r="AD553" i="1"/>
  <c r="AC553" i="1"/>
  <c r="AB553" i="1"/>
  <c r="AA553" i="1"/>
  <c r="Z553" i="1"/>
  <c r="Y553" i="1"/>
  <c r="X553" i="1"/>
  <c r="W553" i="1"/>
  <c r="AK552" i="1"/>
  <c r="AJ552" i="1"/>
  <c r="AI552" i="1"/>
  <c r="AH552" i="1"/>
  <c r="AG552" i="1"/>
  <c r="AF552" i="1"/>
  <c r="AE552" i="1"/>
  <c r="AD552" i="1"/>
  <c r="AC552" i="1"/>
  <c r="AB552" i="1"/>
  <c r="AA552" i="1"/>
  <c r="Z552" i="1"/>
  <c r="Y552" i="1"/>
  <c r="X552" i="1"/>
  <c r="W552" i="1"/>
  <c r="AK551" i="1"/>
  <c r="AJ551" i="1"/>
  <c r="AI551" i="1"/>
  <c r="AH551" i="1"/>
  <c r="AG551" i="1"/>
  <c r="AF551" i="1"/>
  <c r="AE551" i="1"/>
  <c r="AD551" i="1"/>
  <c r="AC551" i="1"/>
  <c r="AB551" i="1"/>
  <c r="AA551" i="1"/>
  <c r="Z551" i="1"/>
  <c r="Y551" i="1"/>
  <c r="X551" i="1"/>
  <c r="W551" i="1"/>
  <c r="AK550" i="1"/>
  <c r="AJ550" i="1"/>
  <c r="AI550" i="1"/>
  <c r="AH550" i="1"/>
  <c r="AG550" i="1"/>
  <c r="AF550" i="1"/>
  <c r="AE550" i="1"/>
  <c r="AD550" i="1"/>
  <c r="AC550" i="1"/>
  <c r="AB550" i="1"/>
  <c r="AA550" i="1"/>
  <c r="Z550" i="1"/>
  <c r="Y550" i="1"/>
  <c r="X550" i="1"/>
  <c r="W550" i="1"/>
  <c r="AK549" i="1"/>
  <c r="AJ549" i="1"/>
  <c r="AI549" i="1"/>
  <c r="AH549" i="1"/>
  <c r="AG549" i="1"/>
  <c r="AF549" i="1"/>
  <c r="AE549" i="1"/>
  <c r="AD549" i="1"/>
  <c r="AC549" i="1"/>
  <c r="AB549" i="1"/>
  <c r="AA549" i="1"/>
  <c r="Z549" i="1"/>
  <c r="Y549" i="1"/>
  <c r="X549" i="1"/>
  <c r="W549" i="1"/>
  <c r="AK548" i="1"/>
  <c r="AJ548" i="1"/>
  <c r="AI548" i="1"/>
  <c r="AH548" i="1"/>
  <c r="AG548" i="1"/>
  <c r="AF548" i="1"/>
  <c r="AE548" i="1"/>
  <c r="AD548" i="1"/>
  <c r="AC548" i="1"/>
  <c r="AB548" i="1"/>
  <c r="AA548" i="1"/>
  <c r="Z548" i="1"/>
  <c r="Y548" i="1"/>
  <c r="X548" i="1"/>
  <c r="W548" i="1"/>
  <c r="AK547" i="1"/>
  <c r="AJ547" i="1"/>
  <c r="AI547" i="1"/>
  <c r="AH547" i="1"/>
  <c r="AG547" i="1"/>
  <c r="AF547" i="1"/>
  <c r="AE547" i="1"/>
  <c r="AD547" i="1"/>
  <c r="AC547" i="1"/>
  <c r="AB547" i="1"/>
  <c r="AA547" i="1"/>
  <c r="Z547" i="1"/>
  <c r="Y547" i="1"/>
  <c r="X547" i="1"/>
  <c r="W547" i="1"/>
  <c r="AK546" i="1"/>
  <c r="AJ546" i="1"/>
  <c r="AI546" i="1"/>
  <c r="AH546" i="1"/>
  <c r="AG546" i="1"/>
  <c r="AF546" i="1"/>
  <c r="AE546" i="1"/>
  <c r="AD546" i="1"/>
  <c r="AC546" i="1"/>
  <c r="AB546" i="1"/>
  <c r="AA546" i="1"/>
  <c r="Z546" i="1"/>
  <c r="Y546" i="1"/>
  <c r="X546" i="1"/>
  <c r="W546" i="1"/>
  <c r="AK545" i="1"/>
  <c r="AJ545" i="1"/>
  <c r="AI545" i="1"/>
  <c r="AH545" i="1"/>
  <c r="AG545" i="1"/>
  <c r="AF545" i="1"/>
  <c r="AE545" i="1"/>
  <c r="AD545" i="1"/>
  <c r="AC545" i="1"/>
  <c r="AB545" i="1"/>
  <c r="AA545" i="1"/>
  <c r="Z545" i="1"/>
  <c r="Y545" i="1"/>
  <c r="X545" i="1"/>
  <c r="W545" i="1"/>
  <c r="AK544" i="1"/>
  <c r="AJ544" i="1"/>
  <c r="AI544" i="1"/>
  <c r="AH544" i="1"/>
  <c r="AG544" i="1"/>
  <c r="AF544" i="1"/>
  <c r="AE544" i="1"/>
  <c r="AD544" i="1"/>
  <c r="AC544" i="1"/>
  <c r="AB544" i="1"/>
  <c r="AA544" i="1"/>
  <c r="Z544" i="1"/>
  <c r="Y544" i="1"/>
  <c r="X544" i="1"/>
  <c r="W544" i="1"/>
  <c r="AK543" i="1"/>
  <c r="AJ543" i="1"/>
  <c r="AI543" i="1"/>
  <c r="AH543" i="1"/>
  <c r="AG543" i="1"/>
  <c r="AF543" i="1"/>
  <c r="AE543" i="1"/>
  <c r="AD543" i="1"/>
  <c r="AC543" i="1"/>
  <c r="AB543" i="1"/>
  <c r="AA543" i="1"/>
  <c r="Z543" i="1"/>
  <c r="Y543" i="1"/>
  <c r="X543" i="1"/>
  <c r="W543" i="1"/>
  <c r="AK542" i="1"/>
  <c r="AJ542" i="1"/>
  <c r="AI542" i="1"/>
  <c r="AH542" i="1"/>
  <c r="AG542" i="1"/>
  <c r="AF542" i="1"/>
  <c r="AE542" i="1"/>
  <c r="AD542" i="1"/>
  <c r="AC542" i="1"/>
  <c r="AB542" i="1"/>
  <c r="AA542" i="1"/>
  <c r="Z542" i="1"/>
  <c r="Y542" i="1"/>
  <c r="X542" i="1"/>
  <c r="W542" i="1"/>
  <c r="AK541" i="1"/>
  <c r="AJ541" i="1"/>
  <c r="AI541" i="1"/>
  <c r="AH541" i="1"/>
  <c r="AG541" i="1"/>
  <c r="AF541" i="1"/>
  <c r="AE541" i="1"/>
  <c r="AD541" i="1"/>
  <c r="AC541" i="1"/>
  <c r="AB541" i="1"/>
  <c r="AA541" i="1"/>
  <c r="Z541" i="1"/>
  <c r="Y541" i="1"/>
  <c r="X541" i="1"/>
  <c r="W541" i="1"/>
  <c r="AK540" i="1"/>
  <c r="AJ540" i="1"/>
  <c r="AI540" i="1"/>
  <c r="AH540" i="1"/>
  <c r="AG540" i="1"/>
  <c r="AF540" i="1"/>
  <c r="AE540" i="1"/>
  <c r="AD540" i="1"/>
  <c r="AC540" i="1"/>
  <c r="AB540" i="1"/>
  <c r="AA540" i="1"/>
  <c r="Z540" i="1"/>
  <c r="Y540" i="1"/>
  <c r="X540" i="1"/>
  <c r="W540" i="1"/>
  <c r="AK539" i="1"/>
  <c r="AJ539" i="1"/>
  <c r="AI539" i="1"/>
  <c r="AH539" i="1"/>
  <c r="AG539" i="1"/>
  <c r="AF539" i="1"/>
  <c r="AE539" i="1"/>
  <c r="AD539" i="1"/>
  <c r="AC539" i="1"/>
  <c r="AB539" i="1"/>
  <c r="AA539" i="1"/>
  <c r="Z539" i="1"/>
  <c r="Y539" i="1"/>
  <c r="X539" i="1"/>
  <c r="W539" i="1"/>
  <c r="AK538" i="1"/>
  <c r="AJ538" i="1"/>
  <c r="AI538" i="1"/>
  <c r="AH538" i="1"/>
  <c r="AG538" i="1"/>
  <c r="AF538" i="1"/>
  <c r="AE538" i="1"/>
  <c r="AD538" i="1"/>
  <c r="AC538" i="1"/>
  <c r="AB538" i="1"/>
  <c r="AA538" i="1"/>
  <c r="Z538" i="1"/>
  <c r="Y538" i="1"/>
  <c r="X538" i="1"/>
  <c r="W538" i="1"/>
  <c r="AK537" i="1"/>
  <c r="AJ537" i="1"/>
  <c r="AI537" i="1"/>
  <c r="AH537" i="1"/>
  <c r="AG537" i="1"/>
  <c r="AF537" i="1"/>
  <c r="AE537" i="1"/>
  <c r="AD537" i="1"/>
  <c r="AC537" i="1"/>
  <c r="AB537" i="1"/>
  <c r="AA537" i="1"/>
  <c r="Z537" i="1"/>
  <c r="Y537" i="1"/>
  <c r="X537" i="1"/>
  <c r="W537" i="1"/>
  <c r="AK536" i="1"/>
  <c r="AJ536" i="1"/>
  <c r="AI536" i="1"/>
  <c r="AH536" i="1"/>
  <c r="AG536" i="1"/>
  <c r="AF536" i="1"/>
  <c r="AE536" i="1"/>
  <c r="AD536" i="1"/>
  <c r="AC536" i="1"/>
  <c r="AB536" i="1"/>
  <c r="AA536" i="1"/>
  <c r="Z536" i="1"/>
  <c r="Y536" i="1"/>
  <c r="X536" i="1"/>
  <c r="W536" i="1"/>
  <c r="AK535" i="1"/>
  <c r="AJ535" i="1"/>
  <c r="AI535" i="1"/>
  <c r="AH535" i="1"/>
  <c r="AG535" i="1"/>
  <c r="AF535" i="1"/>
  <c r="AE535" i="1"/>
  <c r="AD535" i="1"/>
  <c r="AC535" i="1"/>
  <c r="AB535" i="1"/>
  <c r="AA535" i="1"/>
  <c r="Z535" i="1"/>
  <c r="Y535" i="1"/>
  <c r="X535" i="1"/>
  <c r="W535" i="1"/>
  <c r="AK534" i="1"/>
  <c r="AJ534" i="1"/>
  <c r="AI534" i="1"/>
  <c r="AH534" i="1"/>
  <c r="AG534" i="1"/>
  <c r="AF534" i="1"/>
  <c r="AE534" i="1"/>
  <c r="AD534" i="1"/>
  <c r="AC534" i="1"/>
  <c r="AB534" i="1"/>
  <c r="AA534" i="1"/>
  <c r="Z534" i="1"/>
  <c r="Y534" i="1"/>
  <c r="X534" i="1"/>
  <c r="W534" i="1"/>
  <c r="AK533" i="1"/>
  <c r="AJ533" i="1"/>
  <c r="AI533" i="1"/>
  <c r="AH533" i="1"/>
  <c r="AG533" i="1"/>
  <c r="AF533" i="1"/>
  <c r="AE533" i="1"/>
  <c r="AD533" i="1"/>
  <c r="AC533" i="1"/>
  <c r="AB533" i="1"/>
  <c r="AA533" i="1"/>
  <c r="Z533" i="1"/>
  <c r="Y533" i="1"/>
  <c r="X533" i="1"/>
  <c r="W533" i="1"/>
  <c r="AK532" i="1"/>
  <c r="AJ532" i="1"/>
  <c r="AI532" i="1"/>
  <c r="AH532" i="1"/>
  <c r="AG532" i="1"/>
  <c r="AF532" i="1"/>
  <c r="AE532" i="1"/>
  <c r="AD532" i="1"/>
  <c r="AC532" i="1"/>
  <c r="AB532" i="1"/>
  <c r="AA532" i="1"/>
  <c r="Z532" i="1"/>
  <c r="Y532" i="1"/>
  <c r="X532" i="1"/>
  <c r="W532" i="1"/>
  <c r="AK531" i="1"/>
  <c r="AJ531" i="1"/>
  <c r="AI531" i="1"/>
  <c r="AH531" i="1"/>
  <c r="AG531" i="1"/>
  <c r="AF531" i="1"/>
  <c r="AE531" i="1"/>
  <c r="AD531" i="1"/>
  <c r="AC531" i="1"/>
  <c r="AB531" i="1"/>
  <c r="AA531" i="1"/>
  <c r="Z531" i="1"/>
  <c r="Y531" i="1"/>
  <c r="X531" i="1"/>
  <c r="W531" i="1"/>
  <c r="AK530" i="1"/>
  <c r="AJ530" i="1"/>
  <c r="AI530" i="1"/>
  <c r="AH530" i="1"/>
  <c r="AG530" i="1"/>
  <c r="AF530" i="1"/>
  <c r="AE530" i="1"/>
  <c r="AD530" i="1"/>
  <c r="AC530" i="1"/>
  <c r="AB530" i="1"/>
  <c r="AA530" i="1"/>
  <c r="Z530" i="1"/>
  <c r="Y530" i="1"/>
  <c r="X530" i="1"/>
  <c r="W530" i="1"/>
  <c r="AK529" i="1"/>
  <c r="AJ529" i="1"/>
  <c r="AI529" i="1"/>
  <c r="AH529" i="1"/>
  <c r="AG529" i="1"/>
  <c r="AF529" i="1"/>
  <c r="AE529" i="1"/>
  <c r="AD529" i="1"/>
  <c r="AC529" i="1"/>
  <c r="AB529" i="1"/>
  <c r="AA529" i="1"/>
  <c r="Z529" i="1"/>
  <c r="Y529" i="1"/>
  <c r="X529" i="1"/>
  <c r="W529" i="1"/>
  <c r="AK528" i="1"/>
  <c r="AJ528" i="1"/>
  <c r="AI528" i="1"/>
  <c r="AH528" i="1"/>
  <c r="AG528" i="1"/>
  <c r="AF528" i="1"/>
  <c r="AE528" i="1"/>
  <c r="AD528" i="1"/>
  <c r="AC528" i="1"/>
  <c r="AB528" i="1"/>
  <c r="AA528" i="1"/>
  <c r="Z528" i="1"/>
  <c r="Y528" i="1"/>
  <c r="X528" i="1"/>
  <c r="W528" i="1"/>
  <c r="AK527" i="1"/>
  <c r="AJ527" i="1"/>
  <c r="AI527" i="1"/>
  <c r="AH527" i="1"/>
  <c r="AG527" i="1"/>
  <c r="AF527" i="1"/>
  <c r="AE527" i="1"/>
  <c r="AD527" i="1"/>
  <c r="AC527" i="1"/>
  <c r="AB527" i="1"/>
  <c r="AA527" i="1"/>
  <c r="Z527" i="1"/>
  <c r="Y527" i="1"/>
  <c r="X527" i="1"/>
  <c r="W527" i="1"/>
  <c r="AK526" i="1"/>
  <c r="AJ526" i="1"/>
  <c r="AI526" i="1"/>
  <c r="AH526" i="1"/>
  <c r="AG526" i="1"/>
  <c r="AF526" i="1"/>
  <c r="AE526" i="1"/>
  <c r="AD526" i="1"/>
  <c r="AC526" i="1"/>
  <c r="AB526" i="1"/>
  <c r="AA526" i="1"/>
  <c r="Z526" i="1"/>
  <c r="Y526" i="1"/>
  <c r="X526" i="1"/>
  <c r="W526" i="1"/>
  <c r="AK525" i="1"/>
  <c r="AJ525" i="1"/>
  <c r="AI525" i="1"/>
  <c r="AH525" i="1"/>
  <c r="AG525" i="1"/>
  <c r="AF525" i="1"/>
  <c r="AE525" i="1"/>
  <c r="AD525" i="1"/>
  <c r="AC525" i="1"/>
  <c r="AB525" i="1"/>
  <c r="AA525" i="1"/>
  <c r="Z525" i="1"/>
  <c r="Y525" i="1"/>
  <c r="X525" i="1"/>
  <c r="W525" i="1"/>
  <c r="AK524" i="1"/>
  <c r="AJ524" i="1"/>
  <c r="AI524" i="1"/>
  <c r="AH524" i="1"/>
  <c r="AG524" i="1"/>
  <c r="AF524" i="1"/>
  <c r="AE524" i="1"/>
  <c r="AD524" i="1"/>
  <c r="AC524" i="1"/>
  <c r="AB524" i="1"/>
  <c r="AA524" i="1"/>
  <c r="Z524" i="1"/>
  <c r="Y524" i="1"/>
  <c r="X524" i="1"/>
  <c r="W524" i="1"/>
  <c r="AK523" i="1"/>
  <c r="AJ523" i="1"/>
  <c r="AI523" i="1"/>
  <c r="AH523" i="1"/>
  <c r="AG523" i="1"/>
  <c r="AF523" i="1"/>
  <c r="AE523" i="1"/>
  <c r="AD523" i="1"/>
  <c r="AC523" i="1"/>
  <c r="AB523" i="1"/>
  <c r="AA523" i="1"/>
  <c r="Z523" i="1"/>
  <c r="Y523" i="1"/>
  <c r="X523" i="1"/>
  <c r="W523" i="1"/>
  <c r="AK522" i="1"/>
  <c r="AJ522" i="1"/>
  <c r="AI522" i="1"/>
  <c r="AH522" i="1"/>
  <c r="AG522" i="1"/>
  <c r="AF522" i="1"/>
  <c r="AE522" i="1"/>
  <c r="AD522" i="1"/>
  <c r="AC522" i="1"/>
  <c r="AB522" i="1"/>
  <c r="AA522" i="1"/>
  <c r="Z522" i="1"/>
  <c r="Y522" i="1"/>
  <c r="X522" i="1"/>
  <c r="W522" i="1"/>
  <c r="AK521" i="1"/>
  <c r="AJ521" i="1"/>
  <c r="AI521" i="1"/>
  <c r="AH521" i="1"/>
  <c r="AG521" i="1"/>
  <c r="AF521" i="1"/>
  <c r="AE521" i="1"/>
  <c r="AD521" i="1"/>
  <c r="AC521" i="1"/>
  <c r="AB521" i="1"/>
  <c r="AA521" i="1"/>
  <c r="Z521" i="1"/>
  <c r="Y521" i="1"/>
  <c r="X521" i="1"/>
  <c r="W521" i="1"/>
  <c r="AK520" i="1"/>
  <c r="AJ520" i="1"/>
  <c r="AI520" i="1"/>
  <c r="AH520" i="1"/>
  <c r="AG520" i="1"/>
  <c r="AF520" i="1"/>
  <c r="AE520" i="1"/>
  <c r="AD520" i="1"/>
  <c r="AC520" i="1"/>
  <c r="AB520" i="1"/>
  <c r="AA520" i="1"/>
  <c r="Z520" i="1"/>
  <c r="Y520" i="1"/>
  <c r="X520" i="1"/>
  <c r="W520" i="1"/>
  <c r="AK519" i="1"/>
  <c r="AJ519" i="1"/>
  <c r="AI519" i="1"/>
  <c r="AH519" i="1"/>
  <c r="AG519" i="1"/>
  <c r="AF519" i="1"/>
  <c r="AE519" i="1"/>
  <c r="AD519" i="1"/>
  <c r="AC519" i="1"/>
  <c r="AB519" i="1"/>
  <c r="AA519" i="1"/>
  <c r="Z519" i="1"/>
  <c r="Y519" i="1"/>
  <c r="X519" i="1"/>
  <c r="W519" i="1"/>
  <c r="AK518" i="1"/>
  <c r="AJ518" i="1"/>
  <c r="AI518" i="1"/>
  <c r="AH518" i="1"/>
  <c r="AG518" i="1"/>
  <c r="AF518" i="1"/>
  <c r="AE518" i="1"/>
  <c r="AD518" i="1"/>
  <c r="AC518" i="1"/>
  <c r="AB518" i="1"/>
  <c r="AA518" i="1"/>
  <c r="Z518" i="1"/>
  <c r="Y518" i="1"/>
  <c r="X518" i="1"/>
  <c r="W518" i="1"/>
  <c r="AK517" i="1"/>
  <c r="AJ517" i="1"/>
  <c r="AI517" i="1"/>
  <c r="AH517" i="1"/>
  <c r="AG517" i="1"/>
  <c r="AF517" i="1"/>
  <c r="AE517" i="1"/>
  <c r="AD517" i="1"/>
  <c r="AC517" i="1"/>
  <c r="AB517" i="1"/>
  <c r="AA517" i="1"/>
  <c r="Z517" i="1"/>
  <c r="Y517" i="1"/>
  <c r="X517" i="1"/>
  <c r="W517" i="1"/>
  <c r="AK516" i="1"/>
  <c r="AJ516" i="1"/>
  <c r="AI516" i="1"/>
  <c r="AH516" i="1"/>
  <c r="AG516" i="1"/>
  <c r="AF516" i="1"/>
  <c r="AE516" i="1"/>
  <c r="AD516" i="1"/>
  <c r="AC516" i="1"/>
  <c r="AB516" i="1"/>
  <c r="AA516" i="1"/>
  <c r="Z516" i="1"/>
  <c r="Y516" i="1"/>
  <c r="X516" i="1"/>
  <c r="W516" i="1"/>
  <c r="AK515" i="1"/>
  <c r="AJ515" i="1"/>
  <c r="AI515" i="1"/>
  <c r="AH515" i="1"/>
  <c r="AG515" i="1"/>
  <c r="AF515" i="1"/>
  <c r="AE515" i="1"/>
  <c r="AD515" i="1"/>
  <c r="AC515" i="1"/>
  <c r="AB515" i="1"/>
  <c r="AA515" i="1"/>
  <c r="Z515" i="1"/>
  <c r="Y515" i="1"/>
  <c r="X515" i="1"/>
  <c r="W515" i="1"/>
  <c r="AK514" i="1"/>
  <c r="AJ514" i="1"/>
  <c r="AI514" i="1"/>
  <c r="AH514" i="1"/>
  <c r="AG514" i="1"/>
  <c r="AF514" i="1"/>
  <c r="AE514" i="1"/>
  <c r="AD514" i="1"/>
  <c r="AC514" i="1"/>
  <c r="AB514" i="1"/>
  <c r="AA514" i="1"/>
  <c r="Z514" i="1"/>
  <c r="Y514" i="1"/>
  <c r="X514" i="1"/>
  <c r="W514" i="1"/>
  <c r="AK513" i="1"/>
  <c r="AJ513" i="1"/>
  <c r="AI513" i="1"/>
  <c r="AH513" i="1"/>
  <c r="AG513" i="1"/>
  <c r="AF513" i="1"/>
  <c r="AE513" i="1"/>
  <c r="AD513" i="1"/>
  <c r="AC513" i="1"/>
  <c r="AB513" i="1"/>
  <c r="AA513" i="1"/>
  <c r="Z513" i="1"/>
  <c r="Y513" i="1"/>
  <c r="X513" i="1"/>
  <c r="W513" i="1"/>
  <c r="AK512" i="1"/>
  <c r="AJ512" i="1"/>
  <c r="AI512" i="1"/>
  <c r="AH512" i="1"/>
  <c r="AG512" i="1"/>
  <c r="AF512" i="1"/>
  <c r="AE512" i="1"/>
  <c r="AD512" i="1"/>
  <c r="AC512" i="1"/>
  <c r="AB512" i="1"/>
  <c r="AA512" i="1"/>
  <c r="Z512" i="1"/>
  <c r="Y512" i="1"/>
  <c r="X512" i="1"/>
  <c r="W512" i="1"/>
  <c r="AK511" i="1"/>
  <c r="AJ511" i="1"/>
  <c r="AI511" i="1"/>
  <c r="AH511" i="1"/>
  <c r="AG511" i="1"/>
  <c r="AF511" i="1"/>
  <c r="AE511" i="1"/>
  <c r="AD511" i="1"/>
  <c r="AC511" i="1"/>
  <c r="AB511" i="1"/>
  <c r="AA511" i="1"/>
  <c r="Z511" i="1"/>
  <c r="Y511" i="1"/>
  <c r="X511" i="1"/>
  <c r="W511" i="1"/>
  <c r="AK510" i="1"/>
  <c r="AJ510" i="1"/>
  <c r="AI510" i="1"/>
  <c r="AH510" i="1"/>
  <c r="AG510" i="1"/>
  <c r="AF510" i="1"/>
  <c r="AE510" i="1"/>
  <c r="AD510" i="1"/>
  <c r="AC510" i="1"/>
  <c r="AB510" i="1"/>
  <c r="AA510" i="1"/>
  <c r="Z510" i="1"/>
  <c r="Y510" i="1"/>
  <c r="X510" i="1"/>
  <c r="W510" i="1"/>
  <c r="AK509" i="1"/>
  <c r="AJ509" i="1"/>
  <c r="AI509" i="1"/>
  <c r="AH509" i="1"/>
  <c r="AG509" i="1"/>
  <c r="AF509" i="1"/>
  <c r="AE509" i="1"/>
  <c r="AD509" i="1"/>
  <c r="AC509" i="1"/>
  <c r="AB509" i="1"/>
  <c r="AA509" i="1"/>
  <c r="Z509" i="1"/>
  <c r="Y509" i="1"/>
  <c r="X509" i="1"/>
  <c r="W509" i="1"/>
  <c r="AK508" i="1"/>
  <c r="AJ508" i="1"/>
  <c r="AI508" i="1"/>
  <c r="AH508" i="1"/>
  <c r="AG508" i="1"/>
  <c r="AF508" i="1"/>
  <c r="AE508" i="1"/>
  <c r="AD508" i="1"/>
  <c r="AC508" i="1"/>
  <c r="AB508" i="1"/>
  <c r="AA508" i="1"/>
  <c r="Z508" i="1"/>
  <c r="Y508" i="1"/>
  <c r="X508" i="1"/>
  <c r="W508" i="1"/>
  <c r="AK507" i="1"/>
  <c r="AJ507" i="1"/>
  <c r="AI507" i="1"/>
  <c r="AH507" i="1"/>
  <c r="AG507" i="1"/>
  <c r="AF507" i="1"/>
  <c r="AE507" i="1"/>
  <c r="AD507" i="1"/>
  <c r="AC507" i="1"/>
  <c r="AB507" i="1"/>
  <c r="AA507" i="1"/>
  <c r="Z507" i="1"/>
  <c r="Y507" i="1"/>
  <c r="X507" i="1"/>
  <c r="W507" i="1"/>
  <c r="AK506" i="1"/>
  <c r="AJ506" i="1"/>
  <c r="AI506" i="1"/>
  <c r="AH506" i="1"/>
  <c r="AG506" i="1"/>
  <c r="AF506" i="1"/>
  <c r="AE506" i="1"/>
  <c r="AD506" i="1"/>
  <c r="AC506" i="1"/>
  <c r="AB506" i="1"/>
  <c r="AA506" i="1"/>
  <c r="Z506" i="1"/>
  <c r="Y506" i="1"/>
  <c r="X506" i="1"/>
  <c r="W506" i="1"/>
  <c r="AK505" i="1"/>
  <c r="AJ505" i="1"/>
  <c r="AI505" i="1"/>
  <c r="AH505" i="1"/>
  <c r="AG505" i="1"/>
  <c r="AF505" i="1"/>
  <c r="AE505" i="1"/>
  <c r="AD505" i="1"/>
  <c r="AC505" i="1"/>
  <c r="AB505" i="1"/>
  <c r="AA505" i="1"/>
  <c r="Z505" i="1"/>
  <c r="Y505" i="1"/>
  <c r="X505" i="1"/>
  <c r="W505" i="1"/>
  <c r="AK504" i="1"/>
  <c r="AJ504" i="1"/>
  <c r="AI504" i="1"/>
  <c r="AH504" i="1"/>
  <c r="AG504" i="1"/>
  <c r="AF504" i="1"/>
  <c r="AE504" i="1"/>
  <c r="AD504" i="1"/>
  <c r="AC504" i="1"/>
  <c r="AB504" i="1"/>
  <c r="AA504" i="1"/>
  <c r="Z504" i="1"/>
  <c r="Y504" i="1"/>
  <c r="X504" i="1"/>
  <c r="W504" i="1"/>
  <c r="AK503" i="1"/>
  <c r="AJ503" i="1"/>
  <c r="AI503" i="1"/>
  <c r="AH503" i="1"/>
  <c r="AG503" i="1"/>
  <c r="AF503" i="1"/>
  <c r="AE503" i="1"/>
  <c r="AD503" i="1"/>
  <c r="AC503" i="1"/>
  <c r="AB503" i="1"/>
  <c r="AA503" i="1"/>
  <c r="Z503" i="1"/>
  <c r="Y503" i="1"/>
  <c r="X503" i="1"/>
  <c r="W503" i="1"/>
  <c r="AK502" i="1"/>
  <c r="AJ502" i="1"/>
  <c r="AI502" i="1"/>
  <c r="AH502" i="1"/>
  <c r="AG502" i="1"/>
  <c r="AF502" i="1"/>
  <c r="AE502" i="1"/>
  <c r="AD502" i="1"/>
  <c r="AC502" i="1"/>
  <c r="AB502" i="1"/>
  <c r="AA502" i="1"/>
  <c r="Z502" i="1"/>
  <c r="Y502" i="1"/>
  <c r="X502" i="1"/>
  <c r="W502" i="1"/>
  <c r="AK501" i="1"/>
  <c r="AJ501" i="1"/>
  <c r="AI501" i="1"/>
  <c r="AH501" i="1"/>
  <c r="AG501" i="1"/>
  <c r="AF501" i="1"/>
  <c r="AE501" i="1"/>
  <c r="AD501" i="1"/>
  <c r="AC501" i="1"/>
  <c r="AB501" i="1"/>
  <c r="AA501" i="1"/>
  <c r="Z501" i="1"/>
  <c r="Y501" i="1"/>
  <c r="X501" i="1"/>
  <c r="W501" i="1"/>
  <c r="AK500" i="1"/>
  <c r="AJ500" i="1"/>
  <c r="AI500" i="1"/>
  <c r="AH500" i="1"/>
  <c r="AG500" i="1"/>
  <c r="AF500" i="1"/>
  <c r="AE500" i="1"/>
  <c r="AD500" i="1"/>
  <c r="AC500" i="1"/>
  <c r="AB500" i="1"/>
  <c r="AA500" i="1"/>
  <c r="Z500" i="1"/>
  <c r="Y500" i="1"/>
  <c r="X500" i="1"/>
  <c r="W500" i="1"/>
  <c r="AK499" i="1"/>
  <c r="AJ499" i="1"/>
  <c r="AI499" i="1"/>
  <c r="AH499" i="1"/>
  <c r="AG499" i="1"/>
  <c r="AF499" i="1"/>
  <c r="AE499" i="1"/>
  <c r="AD499" i="1"/>
  <c r="AC499" i="1"/>
  <c r="AB499" i="1"/>
  <c r="AA499" i="1"/>
  <c r="Z499" i="1"/>
  <c r="Y499" i="1"/>
  <c r="X499" i="1"/>
  <c r="W499" i="1"/>
  <c r="AK498" i="1"/>
  <c r="AJ498" i="1"/>
  <c r="AI498" i="1"/>
  <c r="AH498" i="1"/>
  <c r="AG498" i="1"/>
  <c r="AF498" i="1"/>
  <c r="AE498" i="1"/>
  <c r="AD498" i="1"/>
  <c r="AC498" i="1"/>
  <c r="AB498" i="1"/>
  <c r="AA498" i="1"/>
  <c r="Z498" i="1"/>
  <c r="Y498" i="1"/>
  <c r="X498" i="1"/>
  <c r="W498" i="1"/>
  <c r="AK497" i="1"/>
  <c r="AJ497" i="1"/>
  <c r="AI497" i="1"/>
  <c r="AH497" i="1"/>
  <c r="AG497" i="1"/>
  <c r="AF497" i="1"/>
  <c r="AE497" i="1"/>
  <c r="AD497" i="1"/>
  <c r="AC497" i="1"/>
  <c r="AB497" i="1"/>
  <c r="AA497" i="1"/>
  <c r="Z497" i="1"/>
  <c r="Y497" i="1"/>
  <c r="X497" i="1"/>
  <c r="W497" i="1"/>
  <c r="AK496" i="1"/>
  <c r="AJ496" i="1"/>
  <c r="AI496" i="1"/>
  <c r="AH496" i="1"/>
  <c r="AG496" i="1"/>
  <c r="AF496" i="1"/>
  <c r="AE496" i="1"/>
  <c r="AD496" i="1"/>
  <c r="AC496" i="1"/>
  <c r="AB496" i="1"/>
  <c r="AA496" i="1"/>
  <c r="Z496" i="1"/>
  <c r="Y496" i="1"/>
  <c r="X496" i="1"/>
  <c r="W496" i="1"/>
  <c r="AK495" i="1"/>
  <c r="AJ495" i="1"/>
  <c r="AI495" i="1"/>
  <c r="AH495" i="1"/>
  <c r="AG495" i="1"/>
  <c r="AF495" i="1"/>
  <c r="AE495" i="1"/>
  <c r="AD495" i="1"/>
  <c r="AC495" i="1"/>
  <c r="AB495" i="1"/>
  <c r="AA495" i="1"/>
  <c r="Z495" i="1"/>
  <c r="Y495" i="1"/>
  <c r="X495" i="1"/>
  <c r="W495" i="1"/>
  <c r="AK494" i="1"/>
  <c r="AJ494" i="1"/>
  <c r="AI494" i="1"/>
  <c r="AH494" i="1"/>
  <c r="AG494" i="1"/>
  <c r="AF494" i="1"/>
  <c r="AE494" i="1"/>
  <c r="AD494" i="1"/>
  <c r="AC494" i="1"/>
  <c r="AB494" i="1"/>
  <c r="AA494" i="1"/>
  <c r="Z494" i="1"/>
  <c r="Y494" i="1"/>
  <c r="X494" i="1"/>
  <c r="W494" i="1"/>
  <c r="AK493" i="1"/>
  <c r="AJ493" i="1"/>
  <c r="AI493" i="1"/>
  <c r="AH493" i="1"/>
  <c r="AG493" i="1"/>
  <c r="AF493" i="1"/>
  <c r="AE493" i="1"/>
  <c r="AD493" i="1"/>
  <c r="AC493" i="1"/>
  <c r="AB493" i="1"/>
  <c r="AA493" i="1"/>
  <c r="Z493" i="1"/>
  <c r="Y493" i="1"/>
  <c r="X493" i="1"/>
  <c r="W493" i="1"/>
  <c r="AK492" i="1"/>
  <c r="AJ492" i="1"/>
  <c r="AI492" i="1"/>
  <c r="AH492" i="1"/>
  <c r="AG492" i="1"/>
  <c r="AF492" i="1"/>
  <c r="AE492" i="1"/>
  <c r="AD492" i="1"/>
  <c r="AC492" i="1"/>
  <c r="AB492" i="1"/>
  <c r="AA492" i="1"/>
  <c r="Z492" i="1"/>
  <c r="Y492" i="1"/>
  <c r="X492" i="1"/>
  <c r="W492" i="1"/>
  <c r="AK491" i="1"/>
  <c r="AJ491" i="1"/>
  <c r="AI491" i="1"/>
  <c r="AH491" i="1"/>
  <c r="AG491" i="1"/>
  <c r="AF491" i="1"/>
  <c r="AE491" i="1"/>
  <c r="AD491" i="1"/>
  <c r="AC491" i="1"/>
  <c r="AB491" i="1"/>
  <c r="AA491" i="1"/>
  <c r="Z491" i="1"/>
  <c r="Y491" i="1"/>
  <c r="X491" i="1"/>
  <c r="W491" i="1"/>
  <c r="AK490" i="1"/>
  <c r="AJ490" i="1"/>
  <c r="AI490" i="1"/>
  <c r="AH490" i="1"/>
  <c r="AG490" i="1"/>
  <c r="AF490" i="1"/>
  <c r="AE490" i="1"/>
  <c r="AD490" i="1"/>
  <c r="AC490" i="1"/>
  <c r="AB490" i="1"/>
  <c r="AA490" i="1"/>
  <c r="Z490" i="1"/>
  <c r="Y490" i="1"/>
  <c r="X490" i="1"/>
  <c r="W490" i="1"/>
  <c r="AK489" i="1"/>
  <c r="AJ489" i="1"/>
  <c r="AI489" i="1"/>
  <c r="AH489" i="1"/>
  <c r="AG489" i="1"/>
  <c r="AF489" i="1"/>
  <c r="AE489" i="1"/>
  <c r="AD489" i="1"/>
  <c r="AC489" i="1"/>
  <c r="AB489" i="1"/>
  <c r="AA489" i="1"/>
  <c r="Z489" i="1"/>
  <c r="Y489" i="1"/>
  <c r="X489" i="1"/>
  <c r="W489" i="1"/>
  <c r="AK488" i="1"/>
  <c r="AJ488" i="1"/>
  <c r="AI488" i="1"/>
  <c r="AH488" i="1"/>
  <c r="AG488" i="1"/>
  <c r="AF488" i="1"/>
  <c r="AE488" i="1"/>
  <c r="AD488" i="1"/>
  <c r="AC488" i="1"/>
  <c r="AB488" i="1"/>
  <c r="AA488" i="1"/>
  <c r="Z488" i="1"/>
  <c r="Y488" i="1"/>
  <c r="X488" i="1"/>
  <c r="W488" i="1"/>
  <c r="AK487" i="1"/>
  <c r="AJ487" i="1"/>
  <c r="AI487" i="1"/>
  <c r="AH487" i="1"/>
  <c r="AG487" i="1"/>
  <c r="AF487" i="1"/>
  <c r="AE487" i="1"/>
  <c r="AD487" i="1"/>
  <c r="AC487" i="1"/>
  <c r="AB487" i="1"/>
  <c r="AA487" i="1"/>
  <c r="Z487" i="1"/>
  <c r="Y487" i="1"/>
  <c r="X487" i="1"/>
  <c r="W487" i="1"/>
  <c r="AK486" i="1"/>
  <c r="AJ486" i="1"/>
  <c r="AI486" i="1"/>
  <c r="AH486" i="1"/>
  <c r="AG486" i="1"/>
  <c r="AF486" i="1"/>
  <c r="AE486" i="1"/>
  <c r="AD486" i="1"/>
  <c r="AC486" i="1"/>
  <c r="AB486" i="1"/>
  <c r="AA486" i="1"/>
  <c r="Z486" i="1"/>
  <c r="Y486" i="1"/>
  <c r="X486" i="1"/>
  <c r="W486" i="1"/>
  <c r="AK485" i="1"/>
  <c r="AJ485" i="1"/>
  <c r="AI485" i="1"/>
  <c r="AH485" i="1"/>
  <c r="AG485" i="1"/>
  <c r="AF485" i="1"/>
  <c r="AE485" i="1"/>
  <c r="AD485" i="1"/>
  <c r="AC485" i="1"/>
  <c r="AB485" i="1"/>
  <c r="AA485" i="1"/>
  <c r="Z485" i="1"/>
  <c r="Y485" i="1"/>
  <c r="X485" i="1"/>
  <c r="W485" i="1"/>
  <c r="AK484" i="1"/>
  <c r="AJ484" i="1"/>
  <c r="AI484" i="1"/>
  <c r="AH484" i="1"/>
  <c r="AG484" i="1"/>
  <c r="AF484" i="1"/>
  <c r="AE484" i="1"/>
  <c r="AD484" i="1"/>
  <c r="AC484" i="1"/>
  <c r="AB484" i="1"/>
  <c r="AA484" i="1"/>
  <c r="Z484" i="1"/>
  <c r="Y484" i="1"/>
  <c r="X484" i="1"/>
  <c r="W484" i="1"/>
  <c r="AK483" i="1"/>
  <c r="AJ483" i="1"/>
  <c r="AI483" i="1"/>
  <c r="AH483" i="1"/>
  <c r="AG483" i="1"/>
  <c r="AF483" i="1"/>
  <c r="AE483" i="1"/>
  <c r="AD483" i="1"/>
  <c r="AC483" i="1"/>
  <c r="AB483" i="1"/>
  <c r="AA483" i="1"/>
  <c r="Z483" i="1"/>
  <c r="Y483" i="1"/>
  <c r="X483" i="1"/>
  <c r="W483" i="1"/>
  <c r="AK482" i="1"/>
  <c r="AJ482" i="1"/>
  <c r="AI482" i="1"/>
  <c r="AH482" i="1"/>
  <c r="AG482" i="1"/>
  <c r="AF482" i="1"/>
  <c r="AE482" i="1"/>
  <c r="AD482" i="1"/>
  <c r="AC482" i="1"/>
  <c r="AB482" i="1"/>
  <c r="AA482" i="1"/>
  <c r="Z482" i="1"/>
  <c r="Y482" i="1"/>
  <c r="X482" i="1"/>
  <c r="W482" i="1"/>
  <c r="AK481" i="1"/>
  <c r="AJ481" i="1"/>
  <c r="AI481" i="1"/>
  <c r="AH481" i="1"/>
  <c r="AG481" i="1"/>
  <c r="AF481" i="1"/>
  <c r="AE481" i="1"/>
  <c r="AD481" i="1"/>
  <c r="AC481" i="1"/>
  <c r="AB481" i="1"/>
  <c r="AA481" i="1"/>
  <c r="Z481" i="1"/>
  <c r="Y481" i="1"/>
  <c r="X481" i="1"/>
  <c r="W481" i="1"/>
  <c r="AK480" i="1"/>
  <c r="AJ480" i="1"/>
  <c r="AI480" i="1"/>
  <c r="AH480" i="1"/>
  <c r="AG480" i="1"/>
  <c r="AF480" i="1"/>
  <c r="AE480" i="1"/>
  <c r="AD480" i="1"/>
  <c r="AC480" i="1"/>
  <c r="AB480" i="1"/>
  <c r="AA480" i="1"/>
  <c r="Z480" i="1"/>
  <c r="Y480" i="1"/>
  <c r="X480" i="1"/>
  <c r="W480" i="1"/>
  <c r="AK479" i="1"/>
  <c r="AJ479" i="1"/>
  <c r="AI479" i="1"/>
  <c r="AH479" i="1"/>
  <c r="AG479" i="1"/>
  <c r="AF479" i="1"/>
  <c r="AE479" i="1"/>
  <c r="AD479" i="1"/>
  <c r="AC479" i="1"/>
  <c r="AB479" i="1"/>
  <c r="AA479" i="1"/>
  <c r="Z479" i="1"/>
  <c r="Y479" i="1"/>
  <c r="X479" i="1"/>
  <c r="W479" i="1"/>
  <c r="AK478" i="1"/>
  <c r="AJ478" i="1"/>
  <c r="AI478" i="1"/>
  <c r="AH478" i="1"/>
  <c r="AG478" i="1"/>
  <c r="AF478" i="1"/>
  <c r="AE478" i="1"/>
  <c r="AD478" i="1"/>
  <c r="AC478" i="1"/>
  <c r="AB478" i="1"/>
  <c r="AA478" i="1"/>
  <c r="Z478" i="1"/>
  <c r="Y478" i="1"/>
  <c r="X478" i="1"/>
  <c r="W478" i="1"/>
  <c r="AK477" i="1"/>
  <c r="AJ477" i="1"/>
  <c r="AI477" i="1"/>
  <c r="AH477" i="1"/>
  <c r="AG477" i="1"/>
  <c r="AF477" i="1"/>
  <c r="AE477" i="1"/>
  <c r="AD477" i="1"/>
  <c r="AC477" i="1"/>
  <c r="AB477" i="1"/>
  <c r="AA477" i="1"/>
  <c r="Z477" i="1"/>
  <c r="Y477" i="1"/>
  <c r="X477" i="1"/>
  <c r="W477" i="1"/>
  <c r="AK476" i="1"/>
  <c r="AJ476" i="1"/>
  <c r="AI476" i="1"/>
  <c r="AH476" i="1"/>
  <c r="AG476" i="1"/>
  <c r="AF476" i="1"/>
  <c r="AE476" i="1"/>
  <c r="AD476" i="1"/>
  <c r="AC476" i="1"/>
  <c r="AB476" i="1"/>
  <c r="AA476" i="1"/>
  <c r="Z476" i="1"/>
  <c r="Y476" i="1"/>
  <c r="X476" i="1"/>
  <c r="W476" i="1"/>
  <c r="AK475" i="1"/>
  <c r="AJ475" i="1"/>
  <c r="AI475" i="1"/>
  <c r="AH475" i="1"/>
  <c r="AG475" i="1"/>
  <c r="AF475" i="1"/>
  <c r="AE475" i="1"/>
  <c r="AD475" i="1"/>
  <c r="AC475" i="1"/>
  <c r="AB475" i="1"/>
  <c r="AA475" i="1"/>
  <c r="Z475" i="1"/>
  <c r="Y475" i="1"/>
  <c r="X475" i="1"/>
  <c r="W475" i="1"/>
  <c r="AK474" i="1"/>
  <c r="AJ474" i="1"/>
  <c r="AI474" i="1"/>
  <c r="AH474" i="1"/>
  <c r="AG474" i="1"/>
  <c r="AF474" i="1"/>
  <c r="AE474" i="1"/>
  <c r="AD474" i="1"/>
  <c r="AC474" i="1"/>
  <c r="AB474" i="1"/>
  <c r="AA474" i="1"/>
  <c r="Z474" i="1"/>
  <c r="Y474" i="1"/>
  <c r="X474" i="1"/>
  <c r="W474" i="1"/>
  <c r="AK473" i="1"/>
  <c r="AJ473" i="1"/>
  <c r="AI473" i="1"/>
  <c r="AH473" i="1"/>
  <c r="AG473" i="1"/>
  <c r="AF473" i="1"/>
  <c r="AE473" i="1"/>
  <c r="AD473" i="1"/>
  <c r="AC473" i="1"/>
  <c r="AB473" i="1"/>
  <c r="AA473" i="1"/>
  <c r="Z473" i="1"/>
  <c r="Y473" i="1"/>
  <c r="X473" i="1"/>
  <c r="W473" i="1"/>
  <c r="AK472" i="1"/>
  <c r="AJ472" i="1"/>
  <c r="AI472" i="1"/>
  <c r="AH472" i="1"/>
  <c r="AG472" i="1"/>
  <c r="AF472" i="1"/>
  <c r="AE472" i="1"/>
  <c r="AD472" i="1"/>
  <c r="AC472" i="1"/>
  <c r="AB472" i="1"/>
  <c r="AA472" i="1"/>
  <c r="Z472" i="1"/>
  <c r="Y472" i="1"/>
  <c r="X472" i="1"/>
  <c r="W472" i="1"/>
  <c r="AK471" i="1"/>
  <c r="AJ471" i="1"/>
  <c r="AI471" i="1"/>
  <c r="AH471" i="1"/>
  <c r="AG471" i="1"/>
  <c r="AF471" i="1"/>
  <c r="AE471" i="1"/>
  <c r="AD471" i="1"/>
  <c r="AC471" i="1"/>
  <c r="AB471" i="1"/>
  <c r="AA471" i="1"/>
  <c r="Z471" i="1"/>
  <c r="Y471" i="1"/>
  <c r="X471" i="1"/>
  <c r="W471" i="1"/>
  <c r="AK470" i="1"/>
  <c r="AJ470" i="1"/>
  <c r="AI470" i="1"/>
  <c r="AH470" i="1"/>
  <c r="AG470" i="1"/>
  <c r="AF470" i="1"/>
  <c r="AE470" i="1"/>
  <c r="AD470" i="1"/>
  <c r="AC470" i="1"/>
  <c r="AB470" i="1"/>
  <c r="AA470" i="1"/>
  <c r="Z470" i="1"/>
  <c r="Y470" i="1"/>
  <c r="X470" i="1"/>
  <c r="W470" i="1"/>
  <c r="AK469" i="1"/>
  <c r="AJ469" i="1"/>
  <c r="AI469" i="1"/>
  <c r="AH469" i="1"/>
  <c r="AG469" i="1"/>
  <c r="AF469" i="1"/>
  <c r="AE469" i="1"/>
  <c r="AD469" i="1"/>
  <c r="AC469" i="1"/>
  <c r="AB469" i="1"/>
  <c r="AA469" i="1"/>
  <c r="Z469" i="1"/>
  <c r="Y469" i="1"/>
  <c r="X469" i="1"/>
  <c r="W469" i="1"/>
  <c r="AK468" i="1"/>
  <c r="AJ468" i="1"/>
  <c r="AI468" i="1"/>
  <c r="AH468" i="1"/>
  <c r="AG468" i="1"/>
  <c r="AF468" i="1"/>
  <c r="AE468" i="1"/>
  <c r="AD468" i="1"/>
  <c r="AC468" i="1"/>
  <c r="AB468" i="1"/>
  <c r="AA468" i="1"/>
  <c r="Z468" i="1"/>
  <c r="Y468" i="1"/>
  <c r="X468" i="1"/>
  <c r="W468" i="1"/>
  <c r="AK467" i="1"/>
  <c r="AJ467" i="1"/>
  <c r="AI467" i="1"/>
  <c r="AH467" i="1"/>
  <c r="AG467" i="1"/>
  <c r="AF467" i="1"/>
  <c r="AE467" i="1"/>
  <c r="AD467" i="1"/>
  <c r="AC467" i="1"/>
  <c r="AB467" i="1"/>
  <c r="AA467" i="1"/>
  <c r="Z467" i="1"/>
  <c r="Y467" i="1"/>
  <c r="X467" i="1"/>
  <c r="W467" i="1"/>
  <c r="AK466" i="1"/>
  <c r="AJ466" i="1"/>
  <c r="AI466" i="1"/>
  <c r="AH466" i="1"/>
  <c r="AG466" i="1"/>
  <c r="AF466" i="1"/>
  <c r="AE466" i="1"/>
  <c r="AD466" i="1"/>
  <c r="AC466" i="1"/>
  <c r="AB466" i="1"/>
  <c r="AA466" i="1"/>
  <c r="Z466" i="1"/>
  <c r="Y466" i="1"/>
  <c r="X466" i="1"/>
  <c r="W466" i="1"/>
  <c r="AK465" i="1"/>
  <c r="AJ465" i="1"/>
  <c r="AI465" i="1"/>
  <c r="AH465" i="1"/>
  <c r="AG465" i="1"/>
  <c r="AF465" i="1"/>
  <c r="AE465" i="1"/>
  <c r="AD465" i="1"/>
  <c r="AC465" i="1"/>
  <c r="AB465" i="1"/>
  <c r="AA465" i="1"/>
  <c r="Z465" i="1"/>
  <c r="Y465" i="1"/>
  <c r="X465" i="1"/>
  <c r="W465" i="1"/>
  <c r="AK464" i="1"/>
  <c r="AJ464" i="1"/>
  <c r="AI464" i="1"/>
  <c r="AH464" i="1"/>
  <c r="AG464" i="1"/>
  <c r="AF464" i="1"/>
  <c r="AE464" i="1"/>
  <c r="AD464" i="1"/>
  <c r="AC464" i="1"/>
  <c r="AB464" i="1"/>
  <c r="AA464" i="1"/>
  <c r="Z464" i="1"/>
  <c r="Y464" i="1"/>
  <c r="X464" i="1"/>
  <c r="W464" i="1"/>
  <c r="AK463" i="1"/>
  <c r="AJ463" i="1"/>
  <c r="AI463" i="1"/>
  <c r="AH463" i="1"/>
  <c r="AG463" i="1"/>
  <c r="AF463" i="1"/>
  <c r="AE463" i="1"/>
  <c r="AD463" i="1"/>
  <c r="AC463" i="1"/>
  <c r="AB463" i="1"/>
  <c r="AA463" i="1"/>
  <c r="Z463" i="1"/>
  <c r="Y463" i="1"/>
  <c r="X463" i="1"/>
  <c r="W463" i="1"/>
  <c r="AK462" i="1"/>
  <c r="AJ462" i="1"/>
  <c r="AI462" i="1"/>
  <c r="AH462" i="1"/>
  <c r="AG462" i="1"/>
  <c r="AF462" i="1"/>
  <c r="AE462" i="1"/>
  <c r="AD462" i="1"/>
  <c r="AC462" i="1"/>
  <c r="AB462" i="1"/>
  <c r="AA462" i="1"/>
  <c r="Z462" i="1"/>
  <c r="Y462" i="1"/>
  <c r="X462" i="1"/>
  <c r="W462" i="1"/>
  <c r="AK461" i="1"/>
  <c r="AJ461" i="1"/>
  <c r="AI461" i="1"/>
  <c r="AH461" i="1"/>
  <c r="AG461" i="1"/>
  <c r="AF461" i="1"/>
  <c r="AE461" i="1"/>
  <c r="AD461" i="1"/>
  <c r="AC461" i="1"/>
  <c r="AB461" i="1"/>
  <c r="AA461" i="1"/>
  <c r="Z461" i="1"/>
  <c r="Y461" i="1"/>
  <c r="X461" i="1"/>
  <c r="W461" i="1"/>
  <c r="AK460" i="1"/>
  <c r="AJ460" i="1"/>
  <c r="AI460" i="1"/>
  <c r="AH460" i="1"/>
  <c r="AG460" i="1"/>
  <c r="AF460" i="1"/>
  <c r="AE460" i="1"/>
  <c r="AD460" i="1"/>
  <c r="AC460" i="1"/>
  <c r="AB460" i="1"/>
  <c r="AA460" i="1"/>
  <c r="Z460" i="1"/>
  <c r="Y460" i="1"/>
  <c r="X460" i="1"/>
  <c r="W460" i="1"/>
  <c r="AK459" i="1"/>
  <c r="AJ459" i="1"/>
  <c r="AI459" i="1"/>
  <c r="AH459" i="1"/>
  <c r="AG459" i="1"/>
  <c r="AF459" i="1"/>
  <c r="AE459" i="1"/>
  <c r="AD459" i="1"/>
  <c r="AC459" i="1"/>
  <c r="AB459" i="1"/>
  <c r="AA459" i="1"/>
  <c r="Z459" i="1"/>
  <c r="Y459" i="1"/>
  <c r="X459" i="1"/>
  <c r="W459" i="1"/>
  <c r="AK458" i="1"/>
  <c r="AJ458" i="1"/>
  <c r="AI458" i="1"/>
  <c r="AH458" i="1"/>
  <c r="AG458" i="1"/>
  <c r="AF458" i="1"/>
  <c r="AE458" i="1"/>
  <c r="AD458" i="1"/>
  <c r="AC458" i="1"/>
  <c r="AB458" i="1"/>
  <c r="AA458" i="1"/>
  <c r="Z458" i="1"/>
  <c r="Y458" i="1"/>
  <c r="X458" i="1"/>
  <c r="W458" i="1"/>
  <c r="AK457" i="1"/>
  <c r="AJ457" i="1"/>
  <c r="AI457" i="1"/>
  <c r="AH457" i="1"/>
  <c r="AG457" i="1"/>
  <c r="AF457" i="1"/>
  <c r="AE457" i="1"/>
  <c r="AD457" i="1"/>
  <c r="AC457" i="1"/>
  <c r="AB457" i="1"/>
  <c r="AA457" i="1"/>
  <c r="Z457" i="1"/>
  <c r="Y457" i="1"/>
  <c r="X457" i="1"/>
  <c r="W457" i="1"/>
  <c r="AK456" i="1"/>
  <c r="AJ456" i="1"/>
  <c r="AI456" i="1"/>
  <c r="AH456" i="1"/>
  <c r="AG456" i="1"/>
  <c r="AF456" i="1"/>
  <c r="AE456" i="1"/>
  <c r="AD456" i="1"/>
  <c r="AC456" i="1"/>
  <c r="AB456" i="1"/>
  <c r="AA456" i="1"/>
  <c r="Z456" i="1"/>
  <c r="Y456" i="1"/>
  <c r="X456" i="1"/>
  <c r="W456" i="1"/>
  <c r="AK455" i="1"/>
  <c r="AJ455" i="1"/>
  <c r="AI455" i="1"/>
  <c r="AH455" i="1"/>
  <c r="AG455" i="1"/>
  <c r="AF455" i="1"/>
  <c r="AE455" i="1"/>
  <c r="AD455" i="1"/>
  <c r="AC455" i="1"/>
  <c r="AB455" i="1"/>
  <c r="AA455" i="1"/>
  <c r="Z455" i="1"/>
  <c r="Y455" i="1"/>
  <c r="X455" i="1"/>
  <c r="W455" i="1"/>
  <c r="AK454" i="1"/>
  <c r="AJ454" i="1"/>
  <c r="AI454" i="1"/>
  <c r="AH454" i="1"/>
  <c r="AG454" i="1"/>
  <c r="AF454" i="1"/>
  <c r="AE454" i="1"/>
  <c r="AD454" i="1"/>
  <c r="AC454" i="1"/>
  <c r="AB454" i="1"/>
  <c r="AA454" i="1"/>
  <c r="Z454" i="1"/>
  <c r="Y454" i="1"/>
  <c r="X454" i="1"/>
  <c r="W454" i="1"/>
  <c r="AK453" i="1"/>
  <c r="AJ453" i="1"/>
  <c r="AI453" i="1"/>
  <c r="AH453" i="1"/>
  <c r="AG453" i="1"/>
  <c r="AF453" i="1"/>
  <c r="AE453" i="1"/>
  <c r="AD453" i="1"/>
  <c r="AC453" i="1"/>
  <c r="AB453" i="1"/>
  <c r="AA453" i="1"/>
  <c r="Z453" i="1"/>
  <c r="Y453" i="1"/>
  <c r="X453" i="1"/>
  <c r="W453" i="1"/>
  <c r="AK452" i="1"/>
  <c r="AJ452" i="1"/>
  <c r="AI452" i="1"/>
  <c r="AH452" i="1"/>
  <c r="AG452" i="1"/>
  <c r="AF452" i="1"/>
  <c r="AE452" i="1"/>
  <c r="AD452" i="1"/>
  <c r="AC452" i="1"/>
  <c r="AB452" i="1"/>
  <c r="AA452" i="1"/>
  <c r="Z452" i="1"/>
  <c r="Y452" i="1"/>
  <c r="X452" i="1"/>
  <c r="W452" i="1"/>
  <c r="AK451" i="1"/>
  <c r="AJ451" i="1"/>
  <c r="AI451" i="1"/>
  <c r="AH451" i="1"/>
  <c r="AG451" i="1"/>
  <c r="AF451" i="1"/>
  <c r="AE451" i="1"/>
  <c r="AD451" i="1"/>
  <c r="AC451" i="1"/>
  <c r="AB451" i="1"/>
  <c r="AA451" i="1"/>
  <c r="Z451" i="1"/>
  <c r="Y451" i="1"/>
  <c r="X451" i="1"/>
  <c r="W451" i="1"/>
  <c r="AK450" i="1"/>
  <c r="AJ450" i="1"/>
  <c r="AI450" i="1"/>
  <c r="AH450" i="1"/>
  <c r="AG450" i="1"/>
  <c r="AF450" i="1"/>
  <c r="AE450" i="1"/>
  <c r="AD450" i="1"/>
  <c r="AC450" i="1"/>
  <c r="AB450" i="1"/>
  <c r="AA450" i="1"/>
  <c r="Z450" i="1"/>
  <c r="Y450" i="1"/>
  <c r="X450" i="1"/>
  <c r="W450" i="1"/>
  <c r="AK449" i="1"/>
  <c r="AJ449" i="1"/>
  <c r="AI449" i="1"/>
  <c r="AH449" i="1"/>
  <c r="AG449" i="1"/>
  <c r="AF449" i="1"/>
  <c r="AE449" i="1"/>
  <c r="AD449" i="1"/>
  <c r="AC449" i="1"/>
  <c r="AB449" i="1"/>
  <c r="AA449" i="1"/>
  <c r="Z449" i="1"/>
  <c r="Y449" i="1"/>
  <c r="X449" i="1"/>
  <c r="W449" i="1"/>
  <c r="AK448" i="1"/>
  <c r="AJ448" i="1"/>
  <c r="AI448" i="1"/>
  <c r="AH448" i="1"/>
  <c r="AG448" i="1"/>
  <c r="AF448" i="1"/>
  <c r="AE448" i="1"/>
  <c r="AD448" i="1"/>
  <c r="AC448" i="1"/>
  <c r="AB448" i="1"/>
  <c r="AA448" i="1"/>
  <c r="Z448" i="1"/>
  <c r="Y448" i="1"/>
  <c r="X448" i="1"/>
  <c r="W448" i="1"/>
  <c r="AK447" i="1"/>
  <c r="AJ447" i="1"/>
  <c r="AI447" i="1"/>
  <c r="AH447" i="1"/>
  <c r="AG447" i="1"/>
  <c r="AF447" i="1"/>
  <c r="AE447" i="1"/>
  <c r="AD447" i="1"/>
  <c r="AC447" i="1"/>
  <c r="AB447" i="1"/>
  <c r="AA447" i="1"/>
  <c r="Z447" i="1"/>
  <c r="Y447" i="1"/>
  <c r="X447" i="1"/>
  <c r="W447" i="1"/>
  <c r="AK446" i="1"/>
  <c r="AJ446" i="1"/>
  <c r="AI446" i="1"/>
  <c r="AH446" i="1"/>
  <c r="AG446" i="1"/>
  <c r="AF446" i="1"/>
  <c r="AE446" i="1"/>
  <c r="AD446" i="1"/>
  <c r="AC446" i="1"/>
  <c r="AB446" i="1"/>
  <c r="AA446" i="1"/>
  <c r="Z446" i="1"/>
  <c r="Y446" i="1"/>
  <c r="X446" i="1"/>
  <c r="W446" i="1"/>
  <c r="AK445" i="1"/>
  <c r="AJ445" i="1"/>
  <c r="AI445" i="1"/>
  <c r="AH445" i="1"/>
  <c r="AG445" i="1"/>
  <c r="AF445" i="1"/>
  <c r="AE445" i="1"/>
  <c r="AD445" i="1"/>
  <c r="AC445" i="1"/>
  <c r="AB445" i="1"/>
  <c r="AA445" i="1"/>
  <c r="Z445" i="1"/>
  <c r="Y445" i="1"/>
  <c r="X445" i="1"/>
  <c r="W445" i="1"/>
  <c r="AK444" i="1"/>
  <c r="AJ444" i="1"/>
  <c r="AI444" i="1"/>
  <c r="AH444" i="1"/>
  <c r="AG444" i="1"/>
  <c r="AF444" i="1"/>
  <c r="AE444" i="1"/>
  <c r="AD444" i="1"/>
  <c r="AC444" i="1"/>
  <c r="AB444" i="1"/>
  <c r="AA444" i="1"/>
  <c r="Z444" i="1"/>
  <c r="Y444" i="1"/>
  <c r="X444" i="1"/>
  <c r="W444" i="1"/>
  <c r="AK443" i="1"/>
  <c r="AJ443" i="1"/>
  <c r="AI443" i="1"/>
  <c r="AH443" i="1"/>
  <c r="AG443" i="1"/>
  <c r="AF443" i="1"/>
  <c r="AE443" i="1"/>
  <c r="AD443" i="1"/>
  <c r="AC443" i="1"/>
  <c r="AB443" i="1"/>
  <c r="AA443" i="1"/>
  <c r="Z443" i="1"/>
  <c r="Y443" i="1"/>
  <c r="X443" i="1"/>
  <c r="W443" i="1"/>
  <c r="AK442" i="1"/>
  <c r="AJ442" i="1"/>
  <c r="AI442" i="1"/>
  <c r="AH442" i="1"/>
  <c r="AG442" i="1"/>
  <c r="AF442" i="1"/>
  <c r="AE442" i="1"/>
  <c r="AD442" i="1"/>
  <c r="AC442" i="1"/>
  <c r="AB442" i="1"/>
  <c r="AA442" i="1"/>
  <c r="Z442" i="1"/>
  <c r="Y442" i="1"/>
  <c r="X442" i="1"/>
  <c r="W442" i="1"/>
  <c r="AK441" i="1"/>
  <c r="AJ441" i="1"/>
  <c r="AI441" i="1"/>
  <c r="AH441" i="1"/>
  <c r="AG441" i="1"/>
  <c r="AF441" i="1"/>
  <c r="AE441" i="1"/>
  <c r="AD441" i="1"/>
  <c r="AC441" i="1"/>
  <c r="AB441" i="1"/>
  <c r="AA441" i="1"/>
  <c r="Z441" i="1"/>
  <c r="Y441" i="1"/>
  <c r="X441" i="1"/>
  <c r="W441" i="1"/>
  <c r="AK440" i="1"/>
  <c r="AJ440" i="1"/>
  <c r="AI440" i="1"/>
  <c r="AH440" i="1"/>
  <c r="AG440" i="1"/>
  <c r="AF440" i="1"/>
  <c r="AE440" i="1"/>
  <c r="AD440" i="1"/>
  <c r="AC440" i="1"/>
  <c r="AB440" i="1"/>
  <c r="AA440" i="1"/>
  <c r="Z440" i="1"/>
  <c r="Y440" i="1"/>
  <c r="X440" i="1"/>
  <c r="W440" i="1"/>
  <c r="AK439" i="1"/>
  <c r="AJ439" i="1"/>
  <c r="AI439" i="1"/>
  <c r="AH439" i="1"/>
  <c r="AG439" i="1"/>
  <c r="AF439" i="1"/>
  <c r="AE439" i="1"/>
  <c r="AD439" i="1"/>
  <c r="AC439" i="1"/>
  <c r="AB439" i="1"/>
  <c r="AA439" i="1"/>
  <c r="Z439" i="1"/>
  <c r="Y439" i="1"/>
  <c r="X439" i="1"/>
  <c r="W439" i="1"/>
  <c r="AK438" i="1"/>
  <c r="AJ438" i="1"/>
  <c r="AI438" i="1"/>
  <c r="AH438" i="1"/>
  <c r="AG438" i="1"/>
  <c r="AF438" i="1"/>
  <c r="AE438" i="1"/>
  <c r="AD438" i="1"/>
  <c r="AC438" i="1"/>
  <c r="AB438" i="1"/>
  <c r="AA438" i="1"/>
  <c r="Z438" i="1"/>
  <c r="Y438" i="1"/>
  <c r="X438" i="1"/>
  <c r="W438" i="1"/>
  <c r="AK437" i="1"/>
  <c r="AJ437" i="1"/>
  <c r="AI437" i="1"/>
  <c r="AH437" i="1"/>
  <c r="AG437" i="1"/>
  <c r="AF437" i="1"/>
  <c r="AE437" i="1"/>
  <c r="AD437" i="1"/>
  <c r="AC437" i="1"/>
  <c r="AB437" i="1"/>
  <c r="AA437" i="1"/>
  <c r="Z437" i="1"/>
  <c r="Y437" i="1"/>
  <c r="X437" i="1"/>
  <c r="W437" i="1"/>
  <c r="AK436" i="1"/>
  <c r="AJ436" i="1"/>
  <c r="AI436" i="1"/>
  <c r="AH436" i="1"/>
  <c r="AG436" i="1"/>
  <c r="AF436" i="1"/>
  <c r="AE436" i="1"/>
  <c r="AD436" i="1"/>
  <c r="AC436" i="1"/>
  <c r="AB436" i="1"/>
  <c r="AA436" i="1"/>
  <c r="Z436" i="1"/>
  <c r="Y436" i="1"/>
  <c r="X436" i="1"/>
  <c r="W436" i="1"/>
  <c r="AK435" i="1"/>
  <c r="AJ435" i="1"/>
  <c r="AI435" i="1"/>
  <c r="AH435" i="1"/>
  <c r="AG435" i="1"/>
  <c r="AF435" i="1"/>
  <c r="AE435" i="1"/>
  <c r="AD435" i="1"/>
  <c r="AC435" i="1"/>
  <c r="AB435" i="1"/>
  <c r="AA435" i="1"/>
  <c r="Z435" i="1"/>
  <c r="Y435" i="1"/>
  <c r="X435" i="1"/>
  <c r="W435" i="1"/>
  <c r="AK434" i="1"/>
  <c r="AJ434" i="1"/>
  <c r="AI434" i="1"/>
  <c r="AH434" i="1"/>
  <c r="AG434" i="1"/>
  <c r="AF434" i="1"/>
  <c r="AE434" i="1"/>
  <c r="AD434" i="1"/>
  <c r="AC434" i="1"/>
  <c r="AB434" i="1"/>
  <c r="AA434" i="1"/>
  <c r="Z434" i="1"/>
  <c r="Y434" i="1"/>
  <c r="X434" i="1"/>
  <c r="W434" i="1"/>
  <c r="AK433" i="1"/>
  <c r="AJ433" i="1"/>
  <c r="AI433" i="1"/>
  <c r="AH433" i="1"/>
  <c r="AG433" i="1"/>
  <c r="AF433" i="1"/>
  <c r="AE433" i="1"/>
  <c r="AD433" i="1"/>
  <c r="AC433" i="1"/>
  <c r="AB433" i="1"/>
  <c r="AA433" i="1"/>
  <c r="Z433" i="1"/>
  <c r="Y433" i="1"/>
  <c r="X433" i="1"/>
  <c r="W433" i="1"/>
  <c r="AK432" i="1"/>
  <c r="AJ432" i="1"/>
  <c r="AI432" i="1"/>
  <c r="AH432" i="1"/>
  <c r="AG432" i="1"/>
  <c r="AF432" i="1"/>
  <c r="AE432" i="1"/>
  <c r="AD432" i="1"/>
  <c r="AC432" i="1"/>
  <c r="AB432" i="1"/>
  <c r="AA432" i="1"/>
  <c r="Z432" i="1"/>
  <c r="Y432" i="1"/>
  <c r="X432" i="1"/>
  <c r="W432" i="1"/>
  <c r="AK431" i="1"/>
  <c r="AJ431" i="1"/>
  <c r="AI431" i="1"/>
  <c r="AH431" i="1"/>
  <c r="AG431" i="1"/>
  <c r="AF431" i="1"/>
  <c r="AE431" i="1"/>
  <c r="AD431" i="1"/>
  <c r="AC431" i="1"/>
  <c r="AB431" i="1"/>
  <c r="AA431" i="1"/>
  <c r="Z431" i="1"/>
  <c r="Y431" i="1"/>
  <c r="X431" i="1"/>
  <c r="W431" i="1"/>
  <c r="AK430" i="1"/>
  <c r="AJ430" i="1"/>
  <c r="AI430" i="1"/>
  <c r="AH430" i="1"/>
  <c r="AG430" i="1"/>
  <c r="AF430" i="1"/>
  <c r="AE430" i="1"/>
  <c r="AD430" i="1"/>
  <c r="AC430" i="1"/>
  <c r="AB430" i="1"/>
  <c r="AA430" i="1"/>
  <c r="Z430" i="1"/>
  <c r="Y430" i="1"/>
  <c r="X430" i="1"/>
  <c r="W430" i="1"/>
  <c r="AK429" i="1"/>
  <c r="AJ429" i="1"/>
  <c r="AI429" i="1"/>
  <c r="AH429" i="1"/>
  <c r="AG429" i="1"/>
  <c r="AF429" i="1"/>
  <c r="AE429" i="1"/>
  <c r="AD429" i="1"/>
  <c r="AC429" i="1"/>
  <c r="AB429" i="1"/>
  <c r="AA429" i="1"/>
  <c r="Z429" i="1"/>
  <c r="Y429" i="1"/>
  <c r="X429" i="1"/>
  <c r="W429" i="1"/>
  <c r="AK428" i="1"/>
  <c r="AJ428" i="1"/>
  <c r="AI428" i="1"/>
  <c r="AH428" i="1"/>
  <c r="AG428" i="1"/>
  <c r="AF428" i="1"/>
  <c r="AE428" i="1"/>
  <c r="AD428" i="1"/>
  <c r="AC428" i="1"/>
  <c r="AB428" i="1"/>
  <c r="AA428" i="1"/>
  <c r="Z428" i="1"/>
  <c r="Y428" i="1"/>
  <c r="X428" i="1"/>
  <c r="W428" i="1"/>
  <c r="AK427" i="1"/>
  <c r="AJ427" i="1"/>
  <c r="AI427" i="1"/>
  <c r="AH427" i="1"/>
  <c r="AG427" i="1"/>
  <c r="AF427" i="1"/>
  <c r="AE427" i="1"/>
  <c r="AD427" i="1"/>
  <c r="AC427" i="1"/>
  <c r="AB427" i="1"/>
  <c r="AA427" i="1"/>
  <c r="Z427" i="1"/>
  <c r="Y427" i="1"/>
  <c r="X427" i="1"/>
  <c r="W427" i="1"/>
  <c r="AK426" i="1"/>
  <c r="AJ426" i="1"/>
  <c r="AI426" i="1"/>
  <c r="AH426" i="1"/>
  <c r="AG426" i="1"/>
  <c r="AF426" i="1"/>
  <c r="AE426" i="1"/>
  <c r="AD426" i="1"/>
  <c r="AC426" i="1"/>
  <c r="AB426" i="1"/>
  <c r="AA426" i="1"/>
  <c r="Z426" i="1"/>
  <c r="Y426" i="1"/>
  <c r="X426" i="1"/>
  <c r="W426" i="1"/>
  <c r="AK425" i="1"/>
  <c r="AJ425" i="1"/>
  <c r="AI425" i="1"/>
  <c r="AH425" i="1"/>
  <c r="AG425" i="1"/>
  <c r="AF425" i="1"/>
  <c r="AE425" i="1"/>
  <c r="AD425" i="1"/>
  <c r="AC425" i="1"/>
  <c r="AB425" i="1"/>
  <c r="AA425" i="1"/>
  <c r="Z425" i="1"/>
  <c r="Y425" i="1"/>
  <c r="X425" i="1"/>
  <c r="W425" i="1"/>
  <c r="AK424" i="1"/>
  <c r="AJ424" i="1"/>
  <c r="AI424" i="1"/>
  <c r="AH424" i="1"/>
  <c r="AG424" i="1"/>
  <c r="AF424" i="1"/>
  <c r="AE424" i="1"/>
  <c r="AD424" i="1"/>
  <c r="AC424" i="1"/>
  <c r="AB424" i="1"/>
  <c r="AA424" i="1"/>
  <c r="Z424" i="1"/>
  <c r="Y424" i="1"/>
  <c r="X424" i="1"/>
  <c r="W424" i="1"/>
  <c r="AK423" i="1"/>
  <c r="AJ423" i="1"/>
  <c r="AI423" i="1"/>
  <c r="AH423" i="1"/>
  <c r="AG423" i="1"/>
  <c r="AF423" i="1"/>
  <c r="AE423" i="1"/>
  <c r="AD423" i="1"/>
  <c r="AC423" i="1"/>
  <c r="AB423" i="1"/>
  <c r="AA423" i="1"/>
  <c r="Z423" i="1"/>
  <c r="Y423" i="1"/>
  <c r="X423" i="1"/>
  <c r="W423" i="1"/>
  <c r="AK422" i="1"/>
  <c r="AJ422" i="1"/>
  <c r="AI422" i="1"/>
  <c r="AH422" i="1"/>
  <c r="AG422" i="1"/>
  <c r="AF422" i="1"/>
  <c r="AE422" i="1"/>
  <c r="AD422" i="1"/>
  <c r="AC422" i="1"/>
  <c r="AB422" i="1"/>
  <c r="AA422" i="1"/>
  <c r="Z422" i="1"/>
  <c r="Y422" i="1"/>
  <c r="X422" i="1"/>
  <c r="W422" i="1"/>
  <c r="AK421" i="1"/>
  <c r="AJ421" i="1"/>
  <c r="AI421" i="1"/>
  <c r="AH421" i="1"/>
  <c r="AG421" i="1"/>
  <c r="AF421" i="1"/>
  <c r="AE421" i="1"/>
  <c r="AD421" i="1"/>
  <c r="AC421" i="1"/>
  <c r="AB421" i="1"/>
  <c r="AA421" i="1"/>
  <c r="Z421" i="1"/>
  <c r="Y421" i="1"/>
  <c r="X421" i="1"/>
  <c r="W421" i="1"/>
  <c r="AK420" i="1"/>
  <c r="AJ420" i="1"/>
  <c r="AI420" i="1"/>
  <c r="AH420" i="1"/>
  <c r="AG420" i="1"/>
  <c r="AF420" i="1"/>
  <c r="AE420" i="1"/>
  <c r="AD420" i="1"/>
  <c r="AC420" i="1"/>
  <c r="AB420" i="1"/>
  <c r="AA420" i="1"/>
  <c r="Z420" i="1"/>
  <c r="Y420" i="1"/>
  <c r="X420" i="1"/>
  <c r="W420" i="1"/>
  <c r="AK419" i="1"/>
  <c r="AJ419" i="1"/>
  <c r="AI419" i="1"/>
  <c r="AH419" i="1"/>
  <c r="AG419" i="1"/>
  <c r="AF419" i="1"/>
  <c r="AE419" i="1"/>
  <c r="AD419" i="1"/>
  <c r="AC419" i="1"/>
  <c r="AB419" i="1"/>
  <c r="AA419" i="1"/>
  <c r="Z419" i="1"/>
  <c r="Y419" i="1"/>
  <c r="X419" i="1"/>
  <c r="W419" i="1"/>
  <c r="AK418" i="1"/>
  <c r="AJ418" i="1"/>
  <c r="AI418" i="1"/>
  <c r="AH418" i="1"/>
  <c r="AG418" i="1"/>
  <c r="AF418" i="1"/>
  <c r="AE418" i="1"/>
  <c r="AD418" i="1"/>
  <c r="AC418" i="1"/>
  <c r="AB418" i="1"/>
  <c r="AA418" i="1"/>
  <c r="Z418" i="1"/>
  <c r="Y418" i="1"/>
  <c r="X418" i="1"/>
  <c r="W418" i="1"/>
  <c r="AK417" i="1"/>
  <c r="AJ417" i="1"/>
  <c r="AI417" i="1"/>
  <c r="AH417" i="1"/>
  <c r="AG417" i="1"/>
  <c r="AF417" i="1"/>
  <c r="AE417" i="1"/>
  <c r="AD417" i="1"/>
  <c r="AC417" i="1"/>
  <c r="AB417" i="1"/>
  <c r="AA417" i="1"/>
  <c r="Z417" i="1"/>
  <c r="Y417" i="1"/>
  <c r="X417" i="1"/>
  <c r="W417" i="1"/>
  <c r="AK416" i="1"/>
  <c r="AJ416" i="1"/>
  <c r="AI416" i="1"/>
  <c r="AH416" i="1"/>
  <c r="AG416" i="1"/>
  <c r="AF416" i="1"/>
  <c r="AE416" i="1"/>
  <c r="AD416" i="1"/>
  <c r="AC416" i="1"/>
  <c r="AB416" i="1"/>
  <c r="AA416" i="1"/>
  <c r="Z416" i="1"/>
  <c r="Y416" i="1"/>
  <c r="X416" i="1"/>
  <c r="W416" i="1"/>
  <c r="AK415" i="1"/>
  <c r="AJ415" i="1"/>
  <c r="AI415" i="1"/>
  <c r="AH415" i="1"/>
  <c r="AG415" i="1"/>
  <c r="AF415" i="1"/>
  <c r="AE415" i="1"/>
  <c r="AD415" i="1"/>
  <c r="AC415" i="1"/>
  <c r="AB415" i="1"/>
  <c r="AA415" i="1"/>
  <c r="Z415" i="1"/>
  <c r="Y415" i="1"/>
  <c r="X415" i="1"/>
  <c r="W415" i="1"/>
  <c r="AK414" i="1"/>
  <c r="AJ414" i="1"/>
  <c r="AI414" i="1"/>
  <c r="AH414" i="1"/>
  <c r="AG414" i="1"/>
  <c r="AF414" i="1"/>
  <c r="AE414" i="1"/>
  <c r="AD414" i="1"/>
  <c r="AC414" i="1"/>
  <c r="AB414" i="1"/>
  <c r="AA414" i="1"/>
  <c r="Z414" i="1"/>
  <c r="Y414" i="1"/>
  <c r="X414" i="1"/>
  <c r="W414" i="1"/>
  <c r="AK413" i="1"/>
  <c r="AJ413" i="1"/>
  <c r="AI413" i="1"/>
  <c r="AH413" i="1"/>
  <c r="AG413" i="1"/>
  <c r="AF413" i="1"/>
  <c r="AE413" i="1"/>
  <c r="AD413" i="1"/>
  <c r="AC413" i="1"/>
  <c r="AB413" i="1"/>
  <c r="AA413" i="1"/>
  <c r="Z413" i="1"/>
  <c r="Y413" i="1"/>
  <c r="X413" i="1"/>
  <c r="W413" i="1"/>
  <c r="AK412" i="1"/>
  <c r="AJ412" i="1"/>
  <c r="AI412" i="1"/>
  <c r="AH412" i="1"/>
  <c r="AG412" i="1"/>
  <c r="AF412" i="1"/>
  <c r="AE412" i="1"/>
  <c r="AD412" i="1"/>
  <c r="AC412" i="1"/>
  <c r="AB412" i="1"/>
  <c r="AA412" i="1"/>
  <c r="Z412" i="1"/>
  <c r="Y412" i="1"/>
  <c r="X412" i="1"/>
  <c r="W412" i="1"/>
  <c r="AK411" i="1"/>
  <c r="AJ411" i="1"/>
  <c r="AI411" i="1"/>
  <c r="AH411" i="1"/>
  <c r="AG411" i="1"/>
  <c r="AF411" i="1"/>
  <c r="AE411" i="1"/>
  <c r="AD411" i="1"/>
  <c r="AC411" i="1"/>
  <c r="AB411" i="1"/>
  <c r="AA411" i="1"/>
  <c r="Z411" i="1"/>
  <c r="Y411" i="1"/>
  <c r="X411" i="1"/>
  <c r="W411" i="1"/>
  <c r="AK410" i="1"/>
  <c r="AJ410" i="1"/>
  <c r="AI410" i="1"/>
  <c r="AH410" i="1"/>
  <c r="AG410" i="1"/>
  <c r="AF410" i="1"/>
  <c r="AE410" i="1"/>
  <c r="AD410" i="1"/>
  <c r="AC410" i="1"/>
  <c r="AB410" i="1"/>
  <c r="AA410" i="1"/>
  <c r="Z410" i="1"/>
  <c r="Y410" i="1"/>
  <c r="X410" i="1"/>
  <c r="W410" i="1"/>
  <c r="AK409" i="1"/>
  <c r="AJ409" i="1"/>
  <c r="AI409" i="1"/>
  <c r="AH409" i="1"/>
  <c r="AG409" i="1"/>
  <c r="AF409" i="1"/>
  <c r="AE409" i="1"/>
  <c r="AD409" i="1"/>
  <c r="AC409" i="1"/>
  <c r="AB409" i="1"/>
  <c r="AA409" i="1"/>
  <c r="Z409" i="1"/>
  <c r="Y409" i="1"/>
  <c r="X409" i="1"/>
  <c r="W409" i="1"/>
  <c r="AK408" i="1"/>
  <c r="AJ408" i="1"/>
  <c r="AI408" i="1"/>
  <c r="AH408" i="1"/>
  <c r="AG408" i="1"/>
  <c r="AF408" i="1"/>
  <c r="AE408" i="1"/>
  <c r="AD408" i="1"/>
  <c r="AC408" i="1"/>
  <c r="AB408" i="1"/>
  <c r="AA408" i="1"/>
  <c r="Z408" i="1"/>
  <c r="Y408" i="1"/>
  <c r="X408" i="1"/>
  <c r="W408" i="1"/>
  <c r="AK407" i="1"/>
  <c r="AJ407" i="1"/>
  <c r="AI407" i="1"/>
  <c r="AH407" i="1"/>
  <c r="AG407" i="1"/>
  <c r="AF407" i="1"/>
  <c r="AE407" i="1"/>
  <c r="AD407" i="1"/>
  <c r="AC407" i="1"/>
  <c r="AB407" i="1"/>
  <c r="AA407" i="1"/>
  <c r="Z407" i="1"/>
  <c r="Y407" i="1"/>
  <c r="X407" i="1"/>
  <c r="W407" i="1"/>
  <c r="AK406" i="1"/>
  <c r="AJ406" i="1"/>
  <c r="AI406" i="1"/>
  <c r="AH406" i="1"/>
  <c r="AG406" i="1"/>
  <c r="AF406" i="1"/>
  <c r="AE406" i="1"/>
  <c r="AD406" i="1"/>
  <c r="AC406" i="1"/>
  <c r="AB406" i="1"/>
  <c r="AA406" i="1"/>
  <c r="Z406" i="1"/>
  <c r="Y406" i="1"/>
  <c r="X406" i="1"/>
  <c r="W406" i="1"/>
  <c r="AK405" i="1"/>
  <c r="AJ405" i="1"/>
  <c r="AI405" i="1"/>
  <c r="AH405" i="1"/>
  <c r="AG405" i="1"/>
  <c r="AF405" i="1"/>
  <c r="AE405" i="1"/>
  <c r="AD405" i="1"/>
  <c r="AC405" i="1"/>
  <c r="AB405" i="1"/>
  <c r="AA405" i="1"/>
  <c r="Z405" i="1"/>
  <c r="Y405" i="1"/>
  <c r="X405" i="1"/>
  <c r="W405" i="1"/>
  <c r="AK404" i="1"/>
  <c r="AJ404" i="1"/>
  <c r="AI404" i="1"/>
  <c r="AH404" i="1"/>
  <c r="AG404" i="1"/>
  <c r="AF404" i="1"/>
  <c r="AE404" i="1"/>
  <c r="AD404" i="1"/>
  <c r="AC404" i="1"/>
  <c r="AB404" i="1"/>
  <c r="AA404" i="1"/>
  <c r="Z404" i="1"/>
  <c r="Y404" i="1"/>
  <c r="X404" i="1"/>
  <c r="W404" i="1"/>
  <c r="AK403" i="1"/>
  <c r="AJ403" i="1"/>
  <c r="AI403" i="1"/>
  <c r="AH403" i="1"/>
  <c r="AG403" i="1"/>
  <c r="AF403" i="1"/>
  <c r="AE403" i="1"/>
  <c r="AD403" i="1"/>
  <c r="AC403" i="1"/>
  <c r="AB403" i="1"/>
  <c r="AA403" i="1"/>
  <c r="Z403" i="1"/>
  <c r="Y403" i="1"/>
  <c r="X403" i="1"/>
  <c r="W403" i="1"/>
  <c r="AK402" i="1"/>
  <c r="AJ402" i="1"/>
  <c r="AI402" i="1"/>
  <c r="AH402" i="1"/>
  <c r="AG402" i="1"/>
  <c r="AF402" i="1"/>
  <c r="AE402" i="1"/>
  <c r="AD402" i="1"/>
  <c r="AC402" i="1"/>
  <c r="AB402" i="1"/>
  <c r="AA402" i="1"/>
  <c r="Z402" i="1"/>
  <c r="Y402" i="1"/>
  <c r="X402" i="1"/>
  <c r="W402" i="1"/>
  <c r="AK401" i="1"/>
  <c r="AJ401" i="1"/>
  <c r="AI401" i="1"/>
  <c r="AH401" i="1"/>
  <c r="AG401" i="1"/>
  <c r="AF401" i="1"/>
  <c r="AE401" i="1"/>
  <c r="AD401" i="1"/>
  <c r="AC401" i="1"/>
  <c r="AB401" i="1"/>
  <c r="AA401" i="1"/>
  <c r="Z401" i="1"/>
  <c r="Y401" i="1"/>
  <c r="X401" i="1"/>
  <c r="W401" i="1"/>
  <c r="AK400" i="1"/>
  <c r="AJ400" i="1"/>
  <c r="AI400" i="1"/>
  <c r="AH400" i="1"/>
  <c r="AG400" i="1"/>
  <c r="AF400" i="1"/>
  <c r="AE400" i="1"/>
  <c r="AD400" i="1"/>
  <c r="AC400" i="1"/>
  <c r="AB400" i="1"/>
  <c r="AA400" i="1"/>
  <c r="Z400" i="1"/>
  <c r="Y400" i="1"/>
  <c r="X400" i="1"/>
  <c r="W400" i="1"/>
  <c r="AK399" i="1"/>
  <c r="AJ399" i="1"/>
  <c r="AI399" i="1"/>
  <c r="AH399" i="1"/>
  <c r="AG399" i="1"/>
  <c r="AF399" i="1"/>
  <c r="AE399" i="1"/>
  <c r="AD399" i="1"/>
  <c r="AC399" i="1"/>
  <c r="AB399" i="1"/>
  <c r="AA399" i="1"/>
  <c r="Z399" i="1"/>
  <c r="Y399" i="1"/>
  <c r="X399" i="1"/>
  <c r="W399" i="1"/>
  <c r="AK398" i="1"/>
  <c r="AJ398" i="1"/>
  <c r="AI398" i="1"/>
  <c r="AH398" i="1"/>
  <c r="AG398" i="1"/>
  <c r="AF398" i="1"/>
  <c r="AE398" i="1"/>
  <c r="AD398" i="1"/>
  <c r="AC398" i="1"/>
  <c r="AB398" i="1"/>
  <c r="AA398" i="1"/>
  <c r="Z398" i="1"/>
  <c r="Y398" i="1"/>
  <c r="X398" i="1"/>
  <c r="W398" i="1"/>
  <c r="AK397" i="1"/>
  <c r="AJ397" i="1"/>
  <c r="AI397" i="1"/>
  <c r="AH397" i="1"/>
  <c r="AG397" i="1"/>
  <c r="AF397" i="1"/>
  <c r="AE397" i="1"/>
  <c r="AD397" i="1"/>
  <c r="AC397" i="1"/>
  <c r="AB397" i="1"/>
  <c r="AA397" i="1"/>
  <c r="Z397" i="1"/>
  <c r="Y397" i="1"/>
  <c r="X397" i="1"/>
  <c r="W397" i="1"/>
  <c r="AK396" i="1"/>
  <c r="AJ396" i="1"/>
  <c r="AI396" i="1"/>
  <c r="AH396" i="1"/>
  <c r="AG396" i="1"/>
  <c r="AF396" i="1"/>
  <c r="AE396" i="1"/>
  <c r="AD396" i="1"/>
  <c r="AC396" i="1"/>
  <c r="AB396" i="1"/>
  <c r="AA396" i="1"/>
  <c r="Z396" i="1"/>
  <c r="Y396" i="1"/>
  <c r="X396" i="1"/>
  <c r="W396" i="1"/>
  <c r="AK395" i="1"/>
  <c r="AJ395" i="1"/>
  <c r="AI395" i="1"/>
  <c r="AH395" i="1"/>
  <c r="AG395" i="1"/>
  <c r="AF395" i="1"/>
  <c r="AE395" i="1"/>
  <c r="AD395" i="1"/>
  <c r="AC395" i="1"/>
  <c r="AB395" i="1"/>
  <c r="AA395" i="1"/>
  <c r="Z395" i="1"/>
  <c r="Y395" i="1"/>
  <c r="X395" i="1"/>
  <c r="W395" i="1"/>
  <c r="AK394" i="1"/>
  <c r="AJ394" i="1"/>
  <c r="AI394" i="1"/>
  <c r="AH394" i="1"/>
  <c r="AG394" i="1"/>
  <c r="AF394" i="1"/>
  <c r="AE394" i="1"/>
  <c r="AD394" i="1"/>
  <c r="AC394" i="1"/>
  <c r="AB394" i="1"/>
  <c r="AA394" i="1"/>
  <c r="Z394" i="1"/>
  <c r="Y394" i="1"/>
  <c r="X394" i="1"/>
  <c r="W394" i="1"/>
  <c r="AK393" i="1"/>
  <c r="AJ393" i="1"/>
  <c r="AI393" i="1"/>
  <c r="AH393" i="1"/>
  <c r="AG393" i="1"/>
  <c r="AF393" i="1"/>
  <c r="AE393" i="1"/>
  <c r="AD393" i="1"/>
  <c r="AC393" i="1"/>
  <c r="AB393" i="1"/>
  <c r="AA393" i="1"/>
  <c r="Z393" i="1"/>
  <c r="Y393" i="1"/>
  <c r="X393" i="1"/>
  <c r="W393" i="1"/>
  <c r="AK392" i="1"/>
  <c r="AJ392" i="1"/>
  <c r="AI392" i="1"/>
  <c r="AH392" i="1"/>
  <c r="AG392" i="1"/>
  <c r="AF392" i="1"/>
  <c r="AE392" i="1"/>
  <c r="AD392" i="1"/>
  <c r="AC392" i="1"/>
  <c r="AB392" i="1"/>
  <c r="AA392" i="1"/>
  <c r="Z392" i="1"/>
  <c r="Y392" i="1"/>
  <c r="X392" i="1"/>
  <c r="W392" i="1"/>
  <c r="AK391" i="1"/>
  <c r="AJ391" i="1"/>
  <c r="AI391" i="1"/>
  <c r="AH391" i="1"/>
  <c r="AG391" i="1"/>
  <c r="AF391" i="1"/>
  <c r="AE391" i="1"/>
  <c r="AD391" i="1"/>
  <c r="AC391" i="1"/>
  <c r="AB391" i="1"/>
  <c r="AA391" i="1"/>
  <c r="Z391" i="1"/>
  <c r="Y391" i="1"/>
  <c r="X391" i="1"/>
  <c r="W391" i="1"/>
  <c r="AK390" i="1"/>
  <c r="AJ390" i="1"/>
  <c r="AI390" i="1"/>
  <c r="AH390" i="1"/>
  <c r="AG390" i="1"/>
  <c r="AF390" i="1"/>
  <c r="AE390" i="1"/>
  <c r="AD390" i="1"/>
  <c r="AC390" i="1"/>
  <c r="AB390" i="1"/>
  <c r="AA390" i="1"/>
  <c r="Z390" i="1"/>
  <c r="Y390" i="1"/>
  <c r="X390" i="1"/>
  <c r="W390" i="1"/>
  <c r="AK389" i="1"/>
  <c r="AJ389" i="1"/>
  <c r="AI389" i="1"/>
  <c r="AH389" i="1"/>
  <c r="AG389" i="1"/>
  <c r="AF389" i="1"/>
  <c r="AE389" i="1"/>
  <c r="AD389" i="1"/>
  <c r="AC389" i="1"/>
  <c r="AB389" i="1"/>
  <c r="AA389" i="1"/>
  <c r="Z389" i="1"/>
  <c r="Y389" i="1"/>
  <c r="X389" i="1"/>
  <c r="W389" i="1"/>
  <c r="AK388" i="1"/>
  <c r="AJ388" i="1"/>
  <c r="AI388" i="1"/>
  <c r="AH388" i="1"/>
  <c r="AG388" i="1"/>
  <c r="AF388" i="1"/>
  <c r="AE388" i="1"/>
  <c r="AD388" i="1"/>
  <c r="AC388" i="1"/>
  <c r="AB388" i="1"/>
  <c r="AA388" i="1"/>
  <c r="Z388" i="1"/>
  <c r="Y388" i="1"/>
  <c r="X388" i="1"/>
  <c r="W388" i="1"/>
  <c r="AK387" i="1"/>
  <c r="AJ387" i="1"/>
  <c r="AI387" i="1"/>
  <c r="AH387" i="1"/>
  <c r="AG387" i="1"/>
  <c r="AF387" i="1"/>
  <c r="AE387" i="1"/>
  <c r="AD387" i="1"/>
  <c r="AC387" i="1"/>
  <c r="AB387" i="1"/>
  <c r="AA387" i="1"/>
  <c r="Z387" i="1"/>
  <c r="Y387" i="1"/>
  <c r="X387" i="1"/>
  <c r="W387" i="1"/>
  <c r="AK386" i="1"/>
  <c r="AJ386" i="1"/>
  <c r="AI386" i="1"/>
  <c r="AH386" i="1"/>
  <c r="AG386" i="1"/>
  <c r="AF386" i="1"/>
  <c r="AE386" i="1"/>
  <c r="AD386" i="1"/>
  <c r="AC386" i="1"/>
  <c r="AB386" i="1"/>
  <c r="AA386" i="1"/>
  <c r="Z386" i="1"/>
  <c r="Y386" i="1"/>
  <c r="X386" i="1"/>
  <c r="W386" i="1"/>
  <c r="AK385" i="1"/>
  <c r="AJ385" i="1"/>
  <c r="AI385" i="1"/>
  <c r="AH385" i="1"/>
  <c r="AG385" i="1"/>
  <c r="AF385" i="1"/>
  <c r="AE385" i="1"/>
  <c r="AD385" i="1"/>
  <c r="AC385" i="1"/>
  <c r="AB385" i="1"/>
  <c r="AA385" i="1"/>
  <c r="Z385" i="1"/>
  <c r="Y385" i="1"/>
  <c r="X385" i="1"/>
  <c r="W385" i="1"/>
  <c r="AK384" i="1"/>
  <c r="AJ384" i="1"/>
  <c r="AI384" i="1"/>
  <c r="AH384" i="1"/>
  <c r="AG384" i="1"/>
  <c r="AF384" i="1"/>
  <c r="AE384" i="1"/>
  <c r="AD384" i="1"/>
  <c r="AC384" i="1"/>
  <c r="AB384" i="1"/>
  <c r="AA384" i="1"/>
  <c r="Z384" i="1"/>
  <c r="Y384" i="1"/>
  <c r="X384" i="1"/>
  <c r="W384" i="1"/>
  <c r="AK383" i="1"/>
  <c r="AJ383" i="1"/>
  <c r="AI383" i="1"/>
  <c r="AH383" i="1"/>
  <c r="AG383" i="1"/>
  <c r="AF383" i="1"/>
  <c r="AE383" i="1"/>
  <c r="AD383" i="1"/>
  <c r="AC383" i="1"/>
  <c r="AB383" i="1"/>
  <c r="AA383" i="1"/>
  <c r="Z383" i="1"/>
  <c r="Y383" i="1"/>
  <c r="X383" i="1"/>
  <c r="W383" i="1"/>
  <c r="AK382" i="1"/>
  <c r="AJ382" i="1"/>
  <c r="AI382" i="1"/>
  <c r="AH382" i="1"/>
  <c r="AG382" i="1"/>
  <c r="AF382" i="1"/>
  <c r="AE382" i="1"/>
  <c r="AD382" i="1"/>
  <c r="AC382" i="1"/>
  <c r="AB382" i="1"/>
  <c r="AA382" i="1"/>
  <c r="Z382" i="1"/>
  <c r="Y382" i="1"/>
  <c r="X382" i="1"/>
  <c r="W382" i="1"/>
  <c r="AK381" i="1"/>
  <c r="AJ381" i="1"/>
  <c r="AI381" i="1"/>
  <c r="AH381" i="1"/>
  <c r="AG381" i="1"/>
  <c r="AF381" i="1"/>
  <c r="AE381" i="1"/>
  <c r="AD381" i="1"/>
  <c r="AC381" i="1"/>
  <c r="AB381" i="1"/>
  <c r="AA381" i="1"/>
  <c r="Z381" i="1"/>
  <c r="Y381" i="1"/>
  <c r="X381" i="1"/>
  <c r="W381" i="1"/>
  <c r="AK380" i="1"/>
  <c r="AJ380" i="1"/>
  <c r="AI380" i="1"/>
  <c r="AH380" i="1"/>
  <c r="AG380" i="1"/>
  <c r="AF380" i="1"/>
  <c r="AE380" i="1"/>
  <c r="AD380" i="1"/>
  <c r="AC380" i="1"/>
  <c r="AB380" i="1"/>
  <c r="AA380" i="1"/>
  <c r="Z380" i="1"/>
  <c r="Y380" i="1"/>
  <c r="X380" i="1"/>
  <c r="W380" i="1"/>
  <c r="AK379" i="1"/>
  <c r="AJ379" i="1"/>
  <c r="AI379" i="1"/>
  <c r="AH379" i="1"/>
  <c r="AG379" i="1"/>
  <c r="AF379" i="1"/>
  <c r="AE379" i="1"/>
  <c r="AD379" i="1"/>
  <c r="AC379" i="1"/>
  <c r="AB379" i="1"/>
  <c r="AA379" i="1"/>
  <c r="Z379" i="1"/>
  <c r="Y379" i="1"/>
  <c r="X379" i="1"/>
  <c r="W379" i="1"/>
  <c r="AK378" i="1"/>
  <c r="AJ378" i="1"/>
  <c r="AI378" i="1"/>
  <c r="AH378" i="1"/>
  <c r="AG378" i="1"/>
  <c r="AF378" i="1"/>
  <c r="AE378" i="1"/>
  <c r="AD378" i="1"/>
  <c r="AC378" i="1"/>
  <c r="AB378" i="1"/>
  <c r="AA378" i="1"/>
  <c r="Z378" i="1"/>
  <c r="Y378" i="1"/>
  <c r="X378" i="1"/>
  <c r="W378" i="1"/>
  <c r="AK377" i="1"/>
  <c r="AJ377" i="1"/>
  <c r="AI377" i="1"/>
  <c r="AH377" i="1"/>
  <c r="AG377" i="1"/>
  <c r="AF377" i="1"/>
  <c r="AE377" i="1"/>
  <c r="AD377" i="1"/>
  <c r="AC377" i="1"/>
  <c r="AB377" i="1"/>
  <c r="AA377" i="1"/>
  <c r="Z377" i="1"/>
  <c r="Y377" i="1"/>
  <c r="X377" i="1"/>
  <c r="W377" i="1"/>
  <c r="AK376" i="1"/>
  <c r="AJ376" i="1"/>
  <c r="AI376" i="1"/>
  <c r="AH376" i="1"/>
  <c r="AG376" i="1"/>
  <c r="AF376" i="1"/>
  <c r="AE376" i="1"/>
  <c r="AD376" i="1"/>
  <c r="AC376" i="1"/>
  <c r="AB376" i="1"/>
  <c r="AA376" i="1"/>
  <c r="Z376" i="1"/>
  <c r="Y376" i="1"/>
  <c r="X376" i="1"/>
  <c r="W376" i="1"/>
  <c r="AK375" i="1"/>
  <c r="AJ375" i="1"/>
  <c r="AI375" i="1"/>
  <c r="AH375" i="1"/>
  <c r="AG375" i="1"/>
  <c r="AF375" i="1"/>
  <c r="AE375" i="1"/>
  <c r="AD375" i="1"/>
  <c r="AC375" i="1"/>
  <c r="AB375" i="1"/>
  <c r="AA375" i="1"/>
  <c r="Z375" i="1"/>
  <c r="Y375" i="1"/>
  <c r="X375" i="1"/>
  <c r="W375" i="1"/>
  <c r="AK374" i="1"/>
  <c r="AJ374" i="1"/>
  <c r="AI374" i="1"/>
  <c r="AH374" i="1"/>
  <c r="AG374" i="1"/>
  <c r="AF374" i="1"/>
  <c r="AE374" i="1"/>
  <c r="AD374" i="1"/>
  <c r="AC374" i="1"/>
  <c r="AB374" i="1"/>
  <c r="AA374" i="1"/>
  <c r="Z374" i="1"/>
  <c r="Y374" i="1"/>
  <c r="X374" i="1"/>
  <c r="W374" i="1"/>
  <c r="AK373" i="1"/>
  <c r="AJ373" i="1"/>
  <c r="AI373" i="1"/>
  <c r="AH373" i="1"/>
  <c r="AG373" i="1"/>
  <c r="AF373" i="1"/>
  <c r="AE373" i="1"/>
  <c r="AD373" i="1"/>
  <c r="AC373" i="1"/>
  <c r="AB373" i="1"/>
  <c r="AA373" i="1"/>
  <c r="Z373" i="1"/>
  <c r="Y373" i="1"/>
  <c r="X373" i="1"/>
  <c r="W373" i="1"/>
  <c r="AK372" i="1"/>
  <c r="AJ372" i="1"/>
  <c r="AI372" i="1"/>
  <c r="AH372" i="1"/>
  <c r="AG372" i="1"/>
  <c r="AF372" i="1"/>
  <c r="AE372" i="1"/>
  <c r="AD372" i="1"/>
  <c r="AC372" i="1"/>
  <c r="AB372" i="1"/>
  <c r="AA372" i="1"/>
  <c r="Z372" i="1"/>
  <c r="Y372" i="1"/>
  <c r="X372" i="1"/>
  <c r="W372" i="1"/>
  <c r="AK371" i="1"/>
  <c r="AJ371" i="1"/>
  <c r="AI371" i="1"/>
  <c r="AH371" i="1"/>
  <c r="AG371" i="1"/>
  <c r="AF371" i="1"/>
  <c r="AE371" i="1"/>
  <c r="AD371" i="1"/>
  <c r="AC371" i="1"/>
  <c r="AB371" i="1"/>
  <c r="AA371" i="1"/>
  <c r="Z371" i="1"/>
  <c r="Y371" i="1"/>
  <c r="X371" i="1"/>
  <c r="W371" i="1"/>
  <c r="AK370" i="1"/>
  <c r="AJ370" i="1"/>
  <c r="AI370" i="1"/>
  <c r="AH370" i="1"/>
  <c r="AG370" i="1"/>
  <c r="AF370" i="1"/>
  <c r="AE370" i="1"/>
  <c r="AD370" i="1"/>
  <c r="AC370" i="1"/>
  <c r="AB370" i="1"/>
  <c r="AA370" i="1"/>
  <c r="Z370" i="1"/>
  <c r="Y370" i="1"/>
  <c r="X370" i="1"/>
  <c r="W370" i="1"/>
  <c r="AK369" i="1"/>
  <c r="AJ369" i="1"/>
  <c r="AI369" i="1"/>
  <c r="AH369" i="1"/>
  <c r="AG369" i="1"/>
  <c r="AF369" i="1"/>
  <c r="AE369" i="1"/>
  <c r="AD369" i="1"/>
  <c r="AC369" i="1"/>
  <c r="AB369" i="1"/>
  <c r="AA369" i="1"/>
  <c r="Z369" i="1"/>
  <c r="Y369" i="1"/>
  <c r="X369" i="1"/>
  <c r="W369" i="1"/>
  <c r="AK368" i="1"/>
  <c r="AJ368" i="1"/>
  <c r="AI368" i="1"/>
  <c r="AH368" i="1"/>
  <c r="AG368" i="1"/>
  <c r="AF368" i="1"/>
  <c r="AE368" i="1"/>
  <c r="AD368" i="1"/>
  <c r="AC368" i="1"/>
  <c r="AB368" i="1"/>
  <c r="AA368" i="1"/>
  <c r="Z368" i="1"/>
  <c r="Y368" i="1"/>
  <c r="X368" i="1"/>
  <c r="W368" i="1"/>
  <c r="AK367" i="1"/>
  <c r="AJ367" i="1"/>
  <c r="AI367" i="1"/>
  <c r="AH367" i="1"/>
  <c r="AG367" i="1"/>
  <c r="AF367" i="1"/>
  <c r="AE367" i="1"/>
  <c r="AD367" i="1"/>
  <c r="AC367" i="1"/>
  <c r="AB367" i="1"/>
  <c r="AA367" i="1"/>
  <c r="Z367" i="1"/>
  <c r="Y367" i="1"/>
  <c r="X367" i="1"/>
  <c r="W367" i="1"/>
  <c r="AK366" i="1"/>
  <c r="AJ366" i="1"/>
  <c r="AI366" i="1"/>
  <c r="AH366" i="1"/>
  <c r="AG366" i="1"/>
  <c r="AF366" i="1"/>
  <c r="AE366" i="1"/>
  <c r="AD366" i="1"/>
  <c r="AC366" i="1"/>
  <c r="AB366" i="1"/>
  <c r="AA366" i="1"/>
  <c r="Z366" i="1"/>
  <c r="Y366" i="1"/>
  <c r="X366" i="1"/>
  <c r="W366" i="1"/>
  <c r="AK365" i="1"/>
  <c r="AJ365" i="1"/>
  <c r="AI365" i="1"/>
  <c r="AH365" i="1"/>
  <c r="AG365" i="1"/>
  <c r="AF365" i="1"/>
  <c r="AE365" i="1"/>
  <c r="AD365" i="1"/>
  <c r="AC365" i="1"/>
  <c r="AB365" i="1"/>
  <c r="AA365" i="1"/>
  <c r="Z365" i="1"/>
  <c r="Y365" i="1"/>
  <c r="X365" i="1"/>
  <c r="W365" i="1"/>
  <c r="AK364" i="1"/>
  <c r="AJ364" i="1"/>
  <c r="AI364" i="1"/>
  <c r="AH364" i="1"/>
  <c r="AG364" i="1"/>
  <c r="AF364" i="1"/>
  <c r="AE364" i="1"/>
  <c r="AD364" i="1"/>
  <c r="AC364" i="1"/>
  <c r="AB364" i="1"/>
  <c r="AA364" i="1"/>
  <c r="Z364" i="1"/>
  <c r="Y364" i="1"/>
  <c r="X364" i="1"/>
  <c r="W364" i="1"/>
  <c r="AK363" i="1"/>
  <c r="AJ363" i="1"/>
  <c r="AI363" i="1"/>
  <c r="AH363" i="1"/>
  <c r="AG363" i="1"/>
  <c r="AF363" i="1"/>
  <c r="AE363" i="1"/>
  <c r="AD363" i="1"/>
  <c r="AC363" i="1"/>
  <c r="AB363" i="1"/>
  <c r="AA363" i="1"/>
  <c r="Z363" i="1"/>
  <c r="Y363" i="1"/>
  <c r="X363" i="1"/>
  <c r="W363" i="1"/>
  <c r="AK362" i="1"/>
  <c r="AJ362" i="1"/>
  <c r="AI362" i="1"/>
  <c r="AH362" i="1"/>
  <c r="AG362" i="1"/>
  <c r="AF362" i="1"/>
  <c r="AE362" i="1"/>
  <c r="AD362" i="1"/>
  <c r="AC362" i="1"/>
  <c r="AB362" i="1"/>
  <c r="AA362" i="1"/>
  <c r="Z362" i="1"/>
  <c r="Y362" i="1"/>
  <c r="X362" i="1"/>
  <c r="W362" i="1"/>
  <c r="AK361" i="1"/>
  <c r="AJ361" i="1"/>
  <c r="AI361" i="1"/>
  <c r="AH361" i="1"/>
  <c r="AG361" i="1"/>
  <c r="AF361" i="1"/>
  <c r="AE361" i="1"/>
  <c r="AD361" i="1"/>
  <c r="AC361" i="1"/>
  <c r="AB361" i="1"/>
  <c r="AA361" i="1"/>
  <c r="Z361" i="1"/>
  <c r="Y361" i="1"/>
  <c r="X361" i="1"/>
  <c r="W361" i="1"/>
  <c r="AK360" i="1"/>
  <c r="AJ360" i="1"/>
  <c r="AI360" i="1"/>
  <c r="AH360" i="1"/>
  <c r="AG360" i="1"/>
  <c r="AF360" i="1"/>
  <c r="AE360" i="1"/>
  <c r="AD360" i="1"/>
  <c r="AC360" i="1"/>
  <c r="AB360" i="1"/>
  <c r="AA360" i="1"/>
  <c r="Z360" i="1"/>
  <c r="Y360" i="1"/>
  <c r="X360" i="1"/>
  <c r="W360" i="1"/>
  <c r="AK359" i="1"/>
  <c r="AJ359" i="1"/>
  <c r="AI359" i="1"/>
  <c r="AH359" i="1"/>
  <c r="AG359" i="1"/>
  <c r="AF359" i="1"/>
  <c r="AE359" i="1"/>
  <c r="AD359" i="1"/>
  <c r="AC359" i="1"/>
  <c r="AB359" i="1"/>
  <c r="AA359" i="1"/>
  <c r="Z359" i="1"/>
  <c r="Y359" i="1"/>
  <c r="X359" i="1"/>
  <c r="W359" i="1"/>
  <c r="AK358" i="1"/>
  <c r="AJ358" i="1"/>
  <c r="AI358" i="1"/>
  <c r="AH358" i="1"/>
  <c r="AG358" i="1"/>
  <c r="AF358" i="1"/>
  <c r="AE358" i="1"/>
  <c r="AD358" i="1"/>
  <c r="AC358" i="1"/>
  <c r="AB358" i="1"/>
  <c r="AA358" i="1"/>
  <c r="Z358" i="1"/>
  <c r="Y358" i="1"/>
  <c r="X358" i="1"/>
  <c r="W358" i="1"/>
  <c r="AK357" i="1"/>
  <c r="AJ357" i="1"/>
  <c r="AI357" i="1"/>
  <c r="AH357" i="1"/>
  <c r="AG357" i="1"/>
  <c r="AF357" i="1"/>
  <c r="AE357" i="1"/>
  <c r="AD357" i="1"/>
  <c r="AC357" i="1"/>
  <c r="AB357" i="1"/>
  <c r="AA357" i="1"/>
  <c r="Z357" i="1"/>
  <c r="Y357" i="1"/>
  <c r="X357" i="1"/>
  <c r="W357" i="1"/>
  <c r="AK356" i="1"/>
  <c r="AJ356" i="1"/>
  <c r="AI356" i="1"/>
  <c r="AH356" i="1"/>
  <c r="AG356" i="1"/>
  <c r="AF356" i="1"/>
  <c r="AE356" i="1"/>
  <c r="AD356" i="1"/>
  <c r="AC356" i="1"/>
  <c r="AB356" i="1"/>
  <c r="AA356" i="1"/>
  <c r="Z356" i="1"/>
  <c r="Y356" i="1"/>
  <c r="X356" i="1"/>
  <c r="W356" i="1"/>
  <c r="AK355" i="1"/>
  <c r="AJ355" i="1"/>
  <c r="AI355" i="1"/>
  <c r="AH355" i="1"/>
  <c r="AG355" i="1"/>
  <c r="AF355" i="1"/>
  <c r="AE355" i="1"/>
  <c r="AD355" i="1"/>
  <c r="AC355" i="1"/>
  <c r="AB355" i="1"/>
  <c r="AA355" i="1"/>
  <c r="Z355" i="1"/>
  <c r="Y355" i="1"/>
  <c r="X355" i="1"/>
  <c r="W355" i="1"/>
  <c r="AK354" i="1"/>
  <c r="AJ354" i="1"/>
  <c r="AI354" i="1"/>
  <c r="AH354" i="1"/>
  <c r="AG354" i="1"/>
  <c r="AF354" i="1"/>
  <c r="AE354" i="1"/>
  <c r="AD354" i="1"/>
  <c r="AC354" i="1"/>
  <c r="AB354" i="1"/>
  <c r="AA354" i="1"/>
  <c r="Z354" i="1"/>
  <c r="Y354" i="1"/>
  <c r="X354" i="1"/>
  <c r="W354" i="1"/>
  <c r="AK353" i="1"/>
  <c r="AJ353" i="1"/>
  <c r="AI353" i="1"/>
  <c r="AH353" i="1"/>
  <c r="AG353" i="1"/>
  <c r="AF353" i="1"/>
  <c r="AE353" i="1"/>
  <c r="AD353" i="1"/>
  <c r="AC353" i="1"/>
  <c r="AB353" i="1"/>
  <c r="AA353" i="1"/>
  <c r="Z353" i="1"/>
  <c r="Y353" i="1"/>
  <c r="X353" i="1"/>
  <c r="W353" i="1"/>
  <c r="AK352" i="1"/>
  <c r="AJ352" i="1"/>
  <c r="AI352" i="1"/>
  <c r="AH352" i="1"/>
  <c r="AG352" i="1"/>
  <c r="AF352" i="1"/>
  <c r="AE352" i="1"/>
  <c r="AD352" i="1"/>
  <c r="AC352" i="1"/>
  <c r="AB352" i="1"/>
  <c r="AA352" i="1"/>
  <c r="Z352" i="1"/>
  <c r="Y352" i="1"/>
  <c r="X352" i="1"/>
  <c r="W352" i="1"/>
  <c r="AK351" i="1"/>
  <c r="AJ351" i="1"/>
  <c r="AI351" i="1"/>
  <c r="AH351" i="1"/>
  <c r="AG351" i="1"/>
  <c r="AF351" i="1"/>
  <c r="AE351" i="1"/>
  <c r="AD351" i="1"/>
  <c r="AC351" i="1"/>
  <c r="AB351" i="1"/>
  <c r="AA351" i="1"/>
  <c r="Z351" i="1"/>
  <c r="Y351" i="1"/>
  <c r="X351" i="1"/>
  <c r="W351" i="1"/>
  <c r="AK350" i="1"/>
  <c r="AJ350" i="1"/>
  <c r="AI350" i="1"/>
  <c r="AH350" i="1"/>
  <c r="AG350" i="1"/>
  <c r="AF350" i="1"/>
  <c r="AE350" i="1"/>
  <c r="AD350" i="1"/>
  <c r="AC350" i="1"/>
  <c r="AB350" i="1"/>
  <c r="AA350" i="1"/>
  <c r="Z350" i="1"/>
  <c r="Y350" i="1"/>
  <c r="X350" i="1"/>
  <c r="W350" i="1"/>
  <c r="AK349" i="1"/>
  <c r="AJ349" i="1"/>
  <c r="AI349" i="1"/>
  <c r="AH349" i="1"/>
  <c r="AG349" i="1"/>
  <c r="AF349" i="1"/>
  <c r="AE349" i="1"/>
  <c r="AD349" i="1"/>
  <c r="AC349" i="1"/>
  <c r="AB349" i="1"/>
  <c r="AA349" i="1"/>
  <c r="Z349" i="1"/>
  <c r="Y349" i="1"/>
  <c r="X349" i="1"/>
  <c r="W349" i="1"/>
  <c r="AK348" i="1"/>
  <c r="AJ348" i="1"/>
  <c r="AI348" i="1"/>
  <c r="AH348" i="1"/>
  <c r="AG348" i="1"/>
  <c r="AF348" i="1"/>
  <c r="AE348" i="1"/>
  <c r="AD348" i="1"/>
  <c r="AC348" i="1"/>
  <c r="AB348" i="1"/>
  <c r="AA348" i="1"/>
  <c r="Z348" i="1"/>
  <c r="Y348" i="1"/>
  <c r="X348" i="1"/>
  <c r="W348" i="1"/>
  <c r="AK347" i="1"/>
  <c r="AJ347" i="1"/>
  <c r="AI347" i="1"/>
  <c r="AH347" i="1"/>
  <c r="AG347" i="1"/>
  <c r="AF347" i="1"/>
  <c r="AE347" i="1"/>
  <c r="AD347" i="1"/>
  <c r="AC347" i="1"/>
  <c r="AB347" i="1"/>
  <c r="AA347" i="1"/>
  <c r="Z347" i="1"/>
  <c r="Y347" i="1"/>
  <c r="X347" i="1"/>
  <c r="W347" i="1"/>
  <c r="AK346" i="1"/>
  <c r="AJ346" i="1"/>
  <c r="AI346" i="1"/>
  <c r="AH346" i="1"/>
  <c r="AG346" i="1"/>
  <c r="AF346" i="1"/>
  <c r="AE346" i="1"/>
  <c r="AD346" i="1"/>
  <c r="AC346" i="1"/>
  <c r="AB346" i="1"/>
  <c r="AA346" i="1"/>
  <c r="Z346" i="1"/>
  <c r="Y346" i="1"/>
  <c r="X346" i="1"/>
  <c r="W346" i="1"/>
  <c r="AK345" i="1"/>
  <c r="AJ345" i="1"/>
  <c r="AI345" i="1"/>
  <c r="AH345" i="1"/>
  <c r="AG345" i="1"/>
  <c r="AF345" i="1"/>
  <c r="AE345" i="1"/>
  <c r="AD345" i="1"/>
  <c r="AC345" i="1"/>
  <c r="AB345" i="1"/>
  <c r="AA345" i="1"/>
  <c r="Z345" i="1"/>
  <c r="Y345" i="1"/>
  <c r="X345" i="1"/>
  <c r="W345" i="1"/>
  <c r="AK344" i="1"/>
  <c r="AJ344" i="1"/>
  <c r="AI344" i="1"/>
  <c r="AH344" i="1"/>
  <c r="AG344" i="1"/>
  <c r="AF344" i="1"/>
  <c r="AE344" i="1"/>
  <c r="AD344" i="1"/>
  <c r="AC344" i="1"/>
  <c r="AB344" i="1"/>
  <c r="AA344" i="1"/>
  <c r="Z344" i="1"/>
  <c r="Y344" i="1"/>
  <c r="X344" i="1"/>
  <c r="W344" i="1"/>
  <c r="AK343" i="1"/>
  <c r="AJ343" i="1"/>
  <c r="AI343" i="1"/>
  <c r="AH343" i="1"/>
  <c r="AG343" i="1"/>
  <c r="AF343" i="1"/>
  <c r="AE343" i="1"/>
  <c r="AD343" i="1"/>
  <c r="AC343" i="1"/>
  <c r="AB343" i="1"/>
  <c r="AA343" i="1"/>
  <c r="Z343" i="1"/>
  <c r="Y343" i="1"/>
  <c r="X343" i="1"/>
  <c r="W343" i="1"/>
  <c r="AK342" i="1"/>
  <c r="AJ342" i="1"/>
  <c r="AI342" i="1"/>
  <c r="AH342" i="1"/>
  <c r="AG342" i="1"/>
  <c r="AF342" i="1"/>
  <c r="AE342" i="1"/>
  <c r="AD342" i="1"/>
  <c r="AC342" i="1"/>
  <c r="AB342" i="1"/>
  <c r="AA342" i="1"/>
  <c r="Z342" i="1"/>
  <c r="Y342" i="1"/>
  <c r="X342" i="1"/>
  <c r="W342" i="1"/>
  <c r="AK341" i="1"/>
  <c r="AJ341" i="1"/>
  <c r="AI341" i="1"/>
  <c r="AH341" i="1"/>
  <c r="AG341" i="1"/>
  <c r="AF341" i="1"/>
  <c r="AE341" i="1"/>
  <c r="AD341" i="1"/>
  <c r="AC341" i="1"/>
  <c r="AB341" i="1"/>
  <c r="AA341" i="1"/>
  <c r="Z341" i="1"/>
  <c r="Y341" i="1"/>
  <c r="X341" i="1"/>
  <c r="W341" i="1"/>
  <c r="AK340" i="1"/>
  <c r="AJ340" i="1"/>
  <c r="AI340" i="1"/>
  <c r="AH340" i="1"/>
  <c r="AG340" i="1"/>
  <c r="AF340" i="1"/>
  <c r="AE340" i="1"/>
  <c r="AD340" i="1"/>
  <c r="AC340" i="1"/>
  <c r="AB340" i="1"/>
  <c r="AA340" i="1"/>
  <c r="Z340" i="1"/>
  <c r="Y340" i="1"/>
  <c r="X340" i="1"/>
  <c r="W340" i="1"/>
  <c r="AK339" i="1"/>
  <c r="AJ339" i="1"/>
  <c r="AI339" i="1"/>
  <c r="AH339" i="1"/>
  <c r="AG339" i="1"/>
  <c r="AF339" i="1"/>
  <c r="AE339" i="1"/>
  <c r="AD339" i="1"/>
  <c r="AC339" i="1"/>
  <c r="AB339" i="1"/>
  <c r="AA339" i="1"/>
  <c r="Z339" i="1"/>
  <c r="Y339" i="1"/>
  <c r="X339" i="1"/>
  <c r="W339" i="1"/>
  <c r="AK338" i="1"/>
  <c r="AJ338" i="1"/>
  <c r="AI338" i="1"/>
  <c r="AH338" i="1"/>
  <c r="AG338" i="1"/>
  <c r="AF338" i="1"/>
  <c r="AE338" i="1"/>
  <c r="AD338" i="1"/>
  <c r="AC338" i="1"/>
  <c r="AB338" i="1"/>
  <c r="AA338" i="1"/>
  <c r="Z338" i="1"/>
  <c r="Y338" i="1"/>
  <c r="X338" i="1"/>
  <c r="W338" i="1"/>
  <c r="AK337" i="1"/>
  <c r="AJ337" i="1"/>
  <c r="AI337" i="1"/>
  <c r="AH337" i="1"/>
  <c r="AG337" i="1"/>
  <c r="AF337" i="1"/>
  <c r="AE337" i="1"/>
  <c r="AD337" i="1"/>
  <c r="AC337" i="1"/>
  <c r="AB337" i="1"/>
  <c r="AA337" i="1"/>
  <c r="Z337" i="1"/>
  <c r="Y337" i="1"/>
  <c r="X337" i="1"/>
  <c r="W337" i="1"/>
  <c r="AK336" i="1"/>
  <c r="AJ336" i="1"/>
  <c r="AI336" i="1"/>
  <c r="AH336" i="1"/>
  <c r="AG336" i="1"/>
  <c r="AF336" i="1"/>
  <c r="AE336" i="1"/>
  <c r="AD336" i="1"/>
  <c r="AC336" i="1"/>
  <c r="AB336" i="1"/>
  <c r="AA336" i="1"/>
  <c r="Z336" i="1"/>
  <c r="Y336" i="1"/>
  <c r="X336" i="1"/>
  <c r="W336" i="1"/>
  <c r="AK335" i="1"/>
  <c r="AJ335" i="1"/>
  <c r="AI335" i="1"/>
  <c r="AH335" i="1"/>
  <c r="AG335" i="1"/>
  <c r="AF335" i="1"/>
  <c r="AE335" i="1"/>
  <c r="AD335" i="1"/>
  <c r="AC335" i="1"/>
  <c r="AB335" i="1"/>
  <c r="AA335" i="1"/>
  <c r="Z335" i="1"/>
  <c r="Y335" i="1"/>
  <c r="X335" i="1"/>
  <c r="W335" i="1"/>
  <c r="AK334" i="1"/>
  <c r="AJ334" i="1"/>
  <c r="AI334" i="1"/>
  <c r="AH334" i="1"/>
  <c r="AG334" i="1"/>
  <c r="AF334" i="1"/>
  <c r="AE334" i="1"/>
  <c r="AD334" i="1"/>
  <c r="AC334" i="1"/>
  <c r="AB334" i="1"/>
  <c r="AA334" i="1"/>
  <c r="Z334" i="1"/>
  <c r="Y334" i="1"/>
  <c r="X334" i="1"/>
  <c r="W334" i="1"/>
  <c r="AK333" i="1"/>
  <c r="AJ333" i="1"/>
  <c r="AI333" i="1"/>
  <c r="AH333" i="1"/>
  <c r="AG333" i="1"/>
  <c r="AF333" i="1"/>
  <c r="AE333" i="1"/>
  <c r="AD333" i="1"/>
  <c r="AC333" i="1"/>
  <c r="AB333" i="1"/>
  <c r="AA333" i="1"/>
  <c r="Z333" i="1"/>
  <c r="Y333" i="1"/>
  <c r="X333" i="1"/>
  <c r="W333" i="1"/>
  <c r="AK332" i="1"/>
  <c r="AJ332" i="1"/>
  <c r="AI332" i="1"/>
  <c r="AH332" i="1"/>
  <c r="AG332" i="1"/>
  <c r="AF332" i="1"/>
  <c r="AE332" i="1"/>
  <c r="AD332" i="1"/>
  <c r="AC332" i="1"/>
  <c r="AB332" i="1"/>
  <c r="AA332" i="1"/>
  <c r="Z332" i="1"/>
  <c r="Y332" i="1"/>
  <c r="X332" i="1"/>
  <c r="W332" i="1"/>
  <c r="AK331" i="1"/>
  <c r="AJ331" i="1"/>
  <c r="AI331" i="1"/>
  <c r="AH331" i="1"/>
  <c r="AG331" i="1"/>
  <c r="AF331" i="1"/>
  <c r="AE331" i="1"/>
  <c r="AD331" i="1"/>
  <c r="AC331" i="1"/>
  <c r="AB331" i="1"/>
  <c r="AA331" i="1"/>
  <c r="Z331" i="1"/>
  <c r="Y331" i="1"/>
  <c r="X331" i="1"/>
  <c r="W331" i="1"/>
  <c r="AK330" i="1"/>
  <c r="AJ330" i="1"/>
  <c r="AI330" i="1"/>
  <c r="AH330" i="1"/>
  <c r="AG330" i="1"/>
  <c r="AF330" i="1"/>
  <c r="AE330" i="1"/>
  <c r="AD330" i="1"/>
  <c r="AC330" i="1"/>
  <c r="AB330" i="1"/>
  <c r="AA330" i="1"/>
  <c r="Z330" i="1"/>
  <c r="Y330" i="1"/>
  <c r="X330" i="1"/>
  <c r="W330" i="1"/>
  <c r="AK329" i="1"/>
  <c r="AJ329" i="1"/>
  <c r="AI329" i="1"/>
  <c r="AH329" i="1"/>
  <c r="AG329" i="1"/>
  <c r="AF329" i="1"/>
  <c r="AE329" i="1"/>
  <c r="AD329" i="1"/>
  <c r="AC329" i="1"/>
  <c r="AB329" i="1"/>
  <c r="AA329" i="1"/>
  <c r="Z329" i="1"/>
  <c r="Y329" i="1"/>
  <c r="X329" i="1"/>
  <c r="W329" i="1"/>
  <c r="AK328" i="1"/>
  <c r="AJ328" i="1"/>
  <c r="AI328" i="1"/>
  <c r="AH328" i="1"/>
  <c r="AG328" i="1"/>
  <c r="AF328" i="1"/>
  <c r="AE328" i="1"/>
  <c r="AD328" i="1"/>
  <c r="AC328" i="1"/>
  <c r="AB328" i="1"/>
  <c r="AA328" i="1"/>
  <c r="Z328" i="1"/>
  <c r="Y328" i="1"/>
  <c r="X328" i="1"/>
  <c r="W328" i="1"/>
  <c r="AK327" i="1"/>
  <c r="AJ327" i="1"/>
  <c r="AI327" i="1"/>
  <c r="AH327" i="1"/>
  <c r="AG327" i="1"/>
  <c r="AF327" i="1"/>
  <c r="AE327" i="1"/>
  <c r="AD327" i="1"/>
  <c r="AC327" i="1"/>
  <c r="AB327" i="1"/>
  <c r="AA327" i="1"/>
  <c r="Z327" i="1"/>
  <c r="Y327" i="1"/>
  <c r="X327" i="1"/>
  <c r="W327" i="1"/>
  <c r="AK326" i="1"/>
  <c r="AJ326" i="1"/>
  <c r="AI326" i="1"/>
  <c r="AH326" i="1"/>
  <c r="AG326" i="1"/>
  <c r="AF326" i="1"/>
  <c r="AE326" i="1"/>
  <c r="AD326" i="1"/>
  <c r="AC326" i="1"/>
  <c r="AB326" i="1"/>
  <c r="AA326" i="1"/>
  <c r="Z326" i="1"/>
  <c r="Y326" i="1"/>
  <c r="X326" i="1"/>
  <c r="W326" i="1"/>
  <c r="AK325" i="1"/>
  <c r="AJ325" i="1"/>
  <c r="AI325" i="1"/>
  <c r="AH325" i="1"/>
  <c r="AG325" i="1"/>
  <c r="AF325" i="1"/>
  <c r="AE325" i="1"/>
  <c r="AD325" i="1"/>
  <c r="AC325" i="1"/>
  <c r="AB325" i="1"/>
  <c r="AA325" i="1"/>
  <c r="Z325" i="1"/>
  <c r="Y325" i="1"/>
  <c r="X325" i="1"/>
  <c r="W325" i="1"/>
  <c r="AK324" i="1"/>
  <c r="AJ324" i="1"/>
  <c r="AI324" i="1"/>
  <c r="AH324" i="1"/>
  <c r="AG324" i="1"/>
  <c r="AF324" i="1"/>
  <c r="AE324" i="1"/>
  <c r="AD324" i="1"/>
  <c r="AC324" i="1"/>
  <c r="AB324" i="1"/>
  <c r="AA324" i="1"/>
  <c r="Z324" i="1"/>
  <c r="Y324" i="1"/>
  <c r="X324" i="1"/>
  <c r="W324" i="1"/>
  <c r="AK323" i="1"/>
  <c r="AJ323" i="1"/>
  <c r="AI323" i="1"/>
  <c r="AH323" i="1"/>
  <c r="AG323" i="1"/>
  <c r="AF323" i="1"/>
  <c r="AE323" i="1"/>
  <c r="AD323" i="1"/>
  <c r="AC323" i="1"/>
  <c r="AB323" i="1"/>
  <c r="AA323" i="1"/>
  <c r="Z323" i="1"/>
  <c r="Y323" i="1"/>
  <c r="X323" i="1"/>
  <c r="W323" i="1"/>
  <c r="AK322" i="1"/>
  <c r="AJ322" i="1"/>
  <c r="AI322" i="1"/>
  <c r="AH322" i="1"/>
  <c r="AG322" i="1"/>
  <c r="AF322" i="1"/>
  <c r="AE322" i="1"/>
  <c r="AD322" i="1"/>
  <c r="AC322" i="1"/>
  <c r="AB322" i="1"/>
  <c r="AA322" i="1"/>
  <c r="Z322" i="1"/>
  <c r="Y322" i="1"/>
  <c r="X322" i="1"/>
  <c r="W322" i="1"/>
  <c r="AK321" i="1"/>
  <c r="AJ321" i="1"/>
  <c r="AI321" i="1"/>
  <c r="AH321" i="1"/>
  <c r="AG321" i="1"/>
  <c r="AF321" i="1"/>
  <c r="AE321" i="1"/>
  <c r="AD321" i="1"/>
  <c r="AC321" i="1"/>
  <c r="AB321" i="1"/>
  <c r="AA321" i="1"/>
  <c r="Z321" i="1"/>
  <c r="Y321" i="1"/>
  <c r="X321" i="1"/>
  <c r="W321" i="1"/>
  <c r="AK320" i="1"/>
  <c r="AJ320" i="1"/>
  <c r="AI320" i="1"/>
  <c r="AH320" i="1"/>
  <c r="AG320" i="1"/>
  <c r="AF320" i="1"/>
  <c r="AE320" i="1"/>
  <c r="AD320" i="1"/>
  <c r="AC320" i="1"/>
  <c r="AB320" i="1"/>
  <c r="AA320" i="1"/>
  <c r="Z320" i="1"/>
  <c r="Y320" i="1"/>
  <c r="X320" i="1"/>
  <c r="W320" i="1"/>
  <c r="AK319" i="1"/>
  <c r="AJ319" i="1"/>
  <c r="AI319" i="1"/>
  <c r="AH319" i="1"/>
  <c r="AG319" i="1"/>
  <c r="AF319" i="1"/>
  <c r="AE319" i="1"/>
  <c r="AD319" i="1"/>
  <c r="AC319" i="1"/>
  <c r="AB319" i="1"/>
  <c r="AA319" i="1"/>
  <c r="Z319" i="1"/>
  <c r="Y319" i="1"/>
  <c r="X319" i="1"/>
  <c r="W319" i="1"/>
  <c r="AK318" i="1"/>
  <c r="AJ318" i="1"/>
  <c r="AI318" i="1"/>
  <c r="AH318" i="1"/>
  <c r="AG318" i="1"/>
  <c r="AF318" i="1"/>
  <c r="AE318" i="1"/>
  <c r="AD318" i="1"/>
  <c r="AC318" i="1"/>
  <c r="AB318" i="1"/>
  <c r="AA318" i="1"/>
  <c r="Z318" i="1"/>
  <c r="Y318" i="1"/>
  <c r="X318" i="1"/>
  <c r="W318" i="1"/>
  <c r="AK317" i="1"/>
  <c r="AJ317" i="1"/>
  <c r="AI317" i="1"/>
  <c r="AH317" i="1"/>
  <c r="AG317" i="1"/>
  <c r="AF317" i="1"/>
  <c r="AE317" i="1"/>
  <c r="AD317" i="1"/>
  <c r="AC317" i="1"/>
  <c r="AB317" i="1"/>
  <c r="AA317" i="1"/>
  <c r="Z317" i="1"/>
  <c r="Y317" i="1"/>
  <c r="X317" i="1"/>
  <c r="W317" i="1"/>
  <c r="AK316" i="1"/>
  <c r="AJ316" i="1"/>
  <c r="AI316" i="1"/>
  <c r="AH316" i="1"/>
  <c r="AG316" i="1"/>
  <c r="AF316" i="1"/>
  <c r="AE316" i="1"/>
  <c r="AD316" i="1"/>
  <c r="AC316" i="1"/>
  <c r="AB316" i="1"/>
  <c r="AA316" i="1"/>
  <c r="Z316" i="1"/>
  <c r="Y316" i="1"/>
  <c r="X316" i="1"/>
  <c r="W316" i="1"/>
  <c r="AK315" i="1"/>
  <c r="AJ315" i="1"/>
  <c r="AI315" i="1"/>
  <c r="AH315" i="1"/>
  <c r="AG315" i="1"/>
  <c r="AF315" i="1"/>
  <c r="AE315" i="1"/>
  <c r="AD315" i="1"/>
  <c r="AC315" i="1"/>
  <c r="AB315" i="1"/>
  <c r="AA315" i="1"/>
  <c r="Z315" i="1"/>
  <c r="Y315" i="1"/>
  <c r="X315" i="1"/>
  <c r="W315" i="1"/>
  <c r="AK314" i="1"/>
  <c r="AJ314" i="1"/>
  <c r="AI314" i="1"/>
  <c r="AH314" i="1"/>
  <c r="AG314" i="1"/>
  <c r="AF314" i="1"/>
  <c r="AE314" i="1"/>
  <c r="AD314" i="1"/>
  <c r="AC314" i="1"/>
  <c r="AB314" i="1"/>
  <c r="AA314" i="1"/>
  <c r="Z314" i="1"/>
  <c r="Y314" i="1"/>
  <c r="X314" i="1"/>
  <c r="W314" i="1"/>
  <c r="AK313" i="1"/>
  <c r="AJ313" i="1"/>
  <c r="AI313" i="1"/>
  <c r="AH313" i="1"/>
  <c r="AG313" i="1"/>
  <c r="AF313" i="1"/>
  <c r="AE313" i="1"/>
  <c r="AD313" i="1"/>
  <c r="AC313" i="1"/>
  <c r="AB313" i="1"/>
  <c r="AA313" i="1"/>
  <c r="Z313" i="1"/>
  <c r="Y313" i="1"/>
  <c r="X313" i="1"/>
  <c r="W313" i="1"/>
  <c r="AK312" i="1"/>
  <c r="AJ312" i="1"/>
  <c r="AI312" i="1"/>
  <c r="AH312" i="1"/>
  <c r="AG312" i="1"/>
  <c r="AF312" i="1"/>
  <c r="AE312" i="1"/>
  <c r="AD312" i="1"/>
  <c r="AC312" i="1"/>
  <c r="AB312" i="1"/>
  <c r="AA312" i="1"/>
  <c r="Z312" i="1"/>
  <c r="Y312" i="1"/>
  <c r="X312" i="1"/>
  <c r="W312" i="1"/>
  <c r="AK311" i="1"/>
  <c r="AJ311" i="1"/>
  <c r="AI311" i="1"/>
  <c r="AH311" i="1"/>
  <c r="AG311" i="1"/>
  <c r="AF311" i="1"/>
  <c r="AE311" i="1"/>
  <c r="AD311" i="1"/>
  <c r="AC311" i="1"/>
  <c r="AB311" i="1"/>
  <c r="AA311" i="1"/>
  <c r="Z311" i="1"/>
  <c r="Y311" i="1"/>
  <c r="X311" i="1"/>
  <c r="W311" i="1"/>
  <c r="AK310" i="1"/>
  <c r="AJ310" i="1"/>
  <c r="AI310" i="1"/>
  <c r="AH310" i="1"/>
  <c r="AG310" i="1"/>
  <c r="AF310" i="1"/>
  <c r="AE310" i="1"/>
  <c r="AD310" i="1"/>
  <c r="AC310" i="1"/>
  <c r="AB310" i="1"/>
  <c r="AA310" i="1"/>
  <c r="Z310" i="1"/>
  <c r="Y310" i="1"/>
  <c r="X310" i="1"/>
  <c r="W310" i="1"/>
  <c r="AK309" i="1"/>
  <c r="AJ309" i="1"/>
  <c r="AI309" i="1"/>
  <c r="AH309" i="1"/>
  <c r="AG309" i="1"/>
  <c r="AF309" i="1"/>
  <c r="AE309" i="1"/>
  <c r="AD309" i="1"/>
  <c r="AC309" i="1"/>
  <c r="AB309" i="1"/>
  <c r="AA309" i="1"/>
  <c r="Z309" i="1"/>
  <c r="Y309" i="1"/>
  <c r="X309" i="1"/>
  <c r="W309" i="1"/>
  <c r="AK308" i="1"/>
  <c r="AJ308" i="1"/>
  <c r="AI308" i="1"/>
  <c r="AH308" i="1"/>
  <c r="AG308" i="1"/>
  <c r="AF308" i="1"/>
  <c r="AE308" i="1"/>
  <c r="AD308" i="1"/>
  <c r="AC308" i="1"/>
  <c r="AB308" i="1"/>
  <c r="AA308" i="1"/>
  <c r="Z308" i="1"/>
  <c r="Y308" i="1"/>
  <c r="X308" i="1"/>
  <c r="W308" i="1"/>
  <c r="AK307" i="1"/>
  <c r="AJ307" i="1"/>
  <c r="AI307" i="1"/>
  <c r="AH307" i="1"/>
  <c r="AG307" i="1"/>
  <c r="AF307" i="1"/>
  <c r="AE307" i="1"/>
  <c r="AD307" i="1"/>
  <c r="AC307" i="1"/>
  <c r="AB307" i="1"/>
  <c r="AA307" i="1"/>
  <c r="Z307" i="1"/>
  <c r="Y307" i="1"/>
  <c r="X307" i="1"/>
  <c r="W307" i="1"/>
  <c r="AK306" i="1"/>
  <c r="AJ306" i="1"/>
  <c r="AI306" i="1"/>
  <c r="AH306" i="1"/>
  <c r="AG306" i="1"/>
  <c r="AF306" i="1"/>
  <c r="AE306" i="1"/>
  <c r="AD306" i="1"/>
  <c r="AC306" i="1"/>
  <c r="AB306" i="1"/>
  <c r="AA306" i="1"/>
  <c r="Z306" i="1"/>
  <c r="Y306" i="1"/>
  <c r="X306" i="1"/>
  <c r="W306" i="1"/>
  <c r="AK305" i="1"/>
  <c r="AJ305" i="1"/>
  <c r="AI305" i="1"/>
  <c r="AH305" i="1"/>
  <c r="AG305" i="1"/>
  <c r="AF305" i="1"/>
  <c r="AE305" i="1"/>
  <c r="AD305" i="1"/>
  <c r="AC305" i="1"/>
  <c r="AB305" i="1"/>
  <c r="AA305" i="1"/>
  <c r="Z305" i="1"/>
  <c r="Y305" i="1"/>
  <c r="X305" i="1"/>
  <c r="W305" i="1"/>
  <c r="AK304" i="1"/>
  <c r="AJ304" i="1"/>
  <c r="AI304" i="1"/>
  <c r="AH304" i="1"/>
  <c r="AG304" i="1"/>
  <c r="AF304" i="1"/>
  <c r="AE304" i="1"/>
  <c r="AD304" i="1"/>
  <c r="AC304" i="1"/>
  <c r="AB304" i="1"/>
  <c r="AA304" i="1"/>
  <c r="Z304" i="1"/>
  <c r="Y304" i="1"/>
  <c r="X304" i="1"/>
  <c r="W304" i="1"/>
  <c r="AK303" i="1"/>
  <c r="AJ303" i="1"/>
  <c r="AI303" i="1"/>
  <c r="AH303" i="1"/>
  <c r="AG303" i="1"/>
  <c r="AF303" i="1"/>
  <c r="AE303" i="1"/>
  <c r="AD303" i="1"/>
  <c r="AC303" i="1"/>
  <c r="AB303" i="1"/>
  <c r="AA303" i="1"/>
  <c r="Z303" i="1"/>
  <c r="Y303" i="1"/>
  <c r="X303" i="1"/>
  <c r="W303" i="1"/>
  <c r="AK302" i="1"/>
  <c r="AJ302" i="1"/>
  <c r="AI302" i="1"/>
  <c r="AH302" i="1"/>
  <c r="AG302" i="1"/>
  <c r="AF302" i="1"/>
  <c r="AE302" i="1"/>
  <c r="AD302" i="1"/>
  <c r="AC302" i="1"/>
  <c r="AB302" i="1"/>
  <c r="AA302" i="1"/>
  <c r="Z302" i="1"/>
  <c r="Y302" i="1"/>
  <c r="X302" i="1"/>
  <c r="W302" i="1"/>
  <c r="AK301" i="1"/>
  <c r="AJ301" i="1"/>
  <c r="AI301" i="1"/>
  <c r="AH301" i="1"/>
  <c r="AG301" i="1"/>
  <c r="AF301" i="1"/>
  <c r="AE301" i="1"/>
  <c r="AD301" i="1"/>
  <c r="AC301" i="1"/>
  <c r="AB301" i="1"/>
  <c r="AA301" i="1"/>
  <c r="Z301" i="1"/>
  <c r="Y301" i="1"/>
  <c r="X301" i="1"/>
  <c r="W301" i="1"/>
  <c r="AK300" i="1"/>
  <c r="AJ300" i="1"/>
  <c r="AI300" i="1"/>
  <c r="AH300" i="1"/>
  <c r="AG300" i="1"/>
  <c r="AF300" i="1"/>
  <c r="AE300" i="1"/>
  <c r="AD300" i="1"/>
  <c r="AC300" i="1"/>
  <c r="AB300" i="1"/>
  <c r="AA300" i="1"/>
  <c r="Z300" i="1"/>
  <c r="Y300" i="1"/>
  <c r="X300" i="1"/>
  <c r="W300" i="1"/>
  <c r="AK299" i="1"/>
  <c r="AJ299" i="1"/>
  <c r="AI299" i="1"/>
  <c r="AH299" i="1"/>
  <c r="AG299" i="1"/>
  <c r="AF299" i="1"/>
  <c r="AE299" i="1"/>
  <c r="AD299" i="1"/>
  <c r="AC299" i="1"/>
  <c r="AB299" i="1"/>
  <c r="AA299" i="1"/>
  <c r="Z299" i="1"/>
  <c r="Y299" i="1"/>
  <c r="X299" i="1"/>
  <c r="W299" i="1"/>
  <c r="AK298" i="1"/>
  <c r="AJ298" i="1"/>
  <c r="AI298" i="1"/>
  <c r="AH298" i="1"/>
  <c r="AG298" i="1"/>
  <c r="AF298" i="1"/>
  <c r="AE298" i="1"/>
  <c r="AD298" i="1"/>
  <c r="AC298" i="1"/>
  <c r="AB298" i="1"/>
  <c r="AA298" i="1"/>
  <c r="Z298" i="1"/>
  <c r="Y298" i="1"/>
  <c r="X298" i="1"/>
  <c r="W298" i="1"/>
  <c r="AK297" i="1"/>
  <c r="AJ297" i="1"/>
  <c r="AI297" i="1"/>
  <c r="AH297" i="1"/>
  <c r="AG297" i="1"/>
  <c r="AF297" i="1"/>
  <c r="AE297" i="1"/>
  <c r="AD297" i="1"/>
  <c r="AC297" i="1"/>
  <c r="AB297" i="1"/>
  <c r="AA297" i="1"/>
  <c r="Z297" i="1"/>
  <c r="Y297" i="1"/>
  <c r="X297" i="1"/>
  <c r="W297" i="1"/>
  <c r="AK296" i="1"/>
  <c r="AJ296" i="1"/>
  <c r="AI296" i="1"/>
  <c r="AH296" i="1"/>
  <c r="AG296" i="1"/>
  <c r="AF296" i="1"/>
  <c r="AE296" i="1"/>
  <c r="AD296" i="1"/>
  <c r="AC296" i="1"/>
  <c r="AB296" i="1"/>
  <c r="AA296" i="1"/>
  <c r="Z296" i="1"/>
  <c r="Y296" i="1"/>
  <c r="X296" i="1"/>
  <c r="W296" i="1"/>
  <c r="AK295" i="1"/>
  <c r="AJ295" i="1"/>
  <c r="AI295" i="1"/>
  <c r="AH295" i="1"/>
  <c r="AG295" i="1"/>
  <c r="AF295" i="1"/>
  <c r="AE295" i="1"/>
  <c r="AD295" i="1"/>
  <c r="AC295" i="1"/>
  <c r="AB295" i="1"/>
  <c r="AA295" i="1"/>
  <c r="Z295" i="1"/>
  <c r="Y295" i="1"/>
  <c r="X295" i="1"/>
  <c r="W295" i="1"/>
  <c r="AK294" i="1"/>
  <c r="AJ294" i="1"/>
  <c r="AI294" i="1"/>
  <c r="AH294" i="1"/>
  <c r="AG294" i="1"/>
  <c r="AF294" i="1"/>
  <c r="AE294" i="1"/>
  <c r="AD294" i="1"/>
  <c r="AC294" i="1"/>
  <c r="AB294" i="1"/>
  <c r="AA294" i="1"/>
  <c r="Z294" i="1"/>
  <c r="Y294" i="1"/>
  <c r="X294" i="1"/>
  <c r="W294" i="1"/>
  <c r="AK293" i="1"/>
  <c r="AJ293" i="1"/>
  <c r="AI293" i="1"/>
  <c r="AH293" i="1"/>
  <c r="AG293" i="1"/>
  <c r="AF293" i="1"/>
  <c r="AE293" i="1"/>
  <c r="AD293" i="1"/>
  <c r="AC293" i="1"/>
  <c r="AB293" i="1"/>
  <c r="AA293" i="1"/>
  <c r="Z293" i="1"/>
  <c r="Y293" i="1"/>
  <c r="X293" i="1"/>
  <c r="W293" i="1"/>
  <c r="AK292" i="1"/>
  <c r="AJ292" i="1"/>
  <c r="AI292" i="1"/>
  <c r="AH292" i="1"/>
  <c r="AG292" i="1"/>
  <c r="AF292" i="1"/>
  <c r="AE292" i="1"/>
  <c r="AD292" i="1"/>
  <c r="AC292" i="1"/>
  <c r="AB292" i="1"/>
  <c r="AA292" i="1"/>
  <c r="Z292" i="1"/>
  <c r="Y292" i="1"/>
  <c r="X292" i="1"/>
  <c r="W292" i="1"/>
  <c r="AK291" i="1"/>
  <c r="AJ291" i="1"/>
  <c r="AI291" i="1"/>
  <c r="AH291" i="1"/>
  <c r="AG291" i="1"/>
  <c r="AF291" i="1"/>
  <c r="AE291" i="1"/>
  <c r="AD291" i="1"/>
  <c r="AC291" i="1"/>
  <c r="AB291" i="1"/>
  <c r="AA291" i="1"/>
  <c r="Z291" i="1"/>
  <c r="Y291" i="1"/>
  <c r="X291" i="1"/>
  <c r="W291" i="1"/>
  <c r="AK290" i="1"/>
  <c r="AJ290" i="1"/>
  <c r="AI290" i="1"/>
  <c r="AH290" i="1"/>
  <c r="AG290" i="1"/>
  <c r="AF290" i="1"/>
  <c r="AE290" i="1"/>
  <c r="AD290" i="1"/>
  <c r="AC290" i="1"/>
  <c r="AB290" i="1"/>
  <c r="AA290" i="1"/>
  <c r="Z290" i="1"/>
  <c r="Y290" i="1"/>
  <c r="X290" i="1"/>
  <c r="W290" i="1"/>
  <c r="AK289" i="1"/>
  <c r="AJ289" i="1"/>
  <c r="AI289" i="1"/>
  <c r="AH289" i="1"/>
  <c r="AG289" i="1"/>
  <c r="AF289" i="1"/>
  <c r="AE289" i="1"/>
  <c r="AD289" i="1"/>
  <c r="AC289" i="1"/>
  <c r="AB289" i="1"/>
  <c r="AA289" i="1"/>
  <c r="Z289" i="1"/>
  <c r="Y289" i="1"/>
  <c r="X289" i="1"/>
  <c r="W289" i="1"/>
  <c r="AK288" i="1"/>
  <c r="AJ288" i="1"/>
  <c r="AI288" i="1"/>
  <c r="AH288" i="1"/>
  <c r="AG288" i="1"/>
  <c r="AF288" i="1"/>
  <c r="AE288" i="1"/>
  <c r="AD288" i="1"/>
  <c r="AC288" i="1"/>
  <c r="AB288" i="1"/>
  <c r="AA288" i="1"/>
  <c r="Z288" i="1"/>
  <c r="Y288" i="1"/>
  <c r="X288" i="1"/>
  <c r="W288" i="1"/>
  <c r="AK287" i="1"/>
  <c r="AJ287" i="1"/>
  <c r="AI287" i="1"/>
  <c r="AH287" i="1"/>
  <c r="AG287" i="1"/>
  <c r="AF287" i="1"/>
  <c r="AE287" i="1"/>
  <c r="AD287" i="1"/>
  <c r="AC287" i="1"/>
  <c r="AB287" i="1"/>
  <c r="AA287" i="1"/>
  <c r="Z287" i="1"/>
  <c r="Y287" i="1"/>
  <c r="X287" i="1"/>
  <c r="W287" i="1"/>
  <c r="AK286" i="1"/>
  <c r="AJ286" i="1"/>
  <c r="AI286" i="1"/>
  <c r="AH286" i="1"/>
  <c r="AG286" i="1"/>
  <c r="AF286" i="1"/>
  <c r="AE286" i="1"/>
  <c r="AD286" i="1"/>
  <c r="AC286" i="1"/>
  <c r="AB286" i="1"/>
  <c r="AA286" i="1"/>
  <c r="Z286" i="1"/>
  <c r="Y286" i="1"/>
  <c r="X286" i="1"/>
  <c r="W286" i="1"/>
  <c r="AK285" i="1"/>
  <c r="AJ285" i="1"/>
  <c r="AI285" i="1"/>
  <c r="AH285" i="1"/>
  <c r="AG285" i="1"/>
  <c r="AF285" i="1"/>
  <c r="AE285" i="1"/>
  <c r="AD285" i="1"/>
  <c r="AC285" i="1"/>
  <c r="AB285" i="1"/>
  <c r="AA285" i="1"/>
  <c r="Z285" i="1"/>
  <c r="Y285" i="1"/>
  <c r="X285" i="1"/>
  <c r="W285" i="1"/>
  <c r="AK284" i="1"/>
  <c r="AJ284" i="1"/>
  <c r="AI284" i="1"/>
  <c r="AH284" i="1"/>
  <c r="AG284" i="1"/>
  <c r="AF284" i="1"/>
  <c r="AE284" i="1"/>
  <c r="AD284" i="1"/>
  <c r="AC284" i="1"/>
  <c r="AB284" i="1"/>
  <c r="AA284" i="1"/>
  <c r="Z284" i="1"/>
  <c r="Y284" i="1"/>
  <c r="X284" i="1"/>
  <c r="W284" i="1"/>
  <c r="AK283" i="1"/>
  <c r="AJ283" i="1"/>
  <c r="AI283" i="1"/>
  <c r="AH283" i="1"/>
  <c r="AG283" i="1"/>
  <c r="AF283" i="1"/>
  <c r="AE283" i="1"/>
  <c r="AD283" i="1"/>
  <c r="AC283" i="1"/>
  <c r="AB283" i="1"/>
  <c r="AA283" i="1"/>
  <c r="Z283" i="1"/>
  <c r="Y283" i="1"/>
  <c r="X283" i="1"/>
  <c r="W283" i="1"/>
  <c r="AK282" i="1"/>
  <c r="AJ282" i="1"/>
  <c r="AI282" i="1"/>
  <c r="AH282" i="1"/>
  <c r="AG282" i="1"/>
  <c r="AF282" i="1"/>
  <c r="AE282" i="1"/>
  <c r="AD282" i="1"/>
  <c r="AC282" i="1"/>
  <c r="AB282" i="1"/>
  <c r="AA282" i="1"/>
  <c r="Z282" i="1"/>
  <c r="Y282" i="1"/>
  <c r="X282" i="1"/>
  <c r="W282" i="1"/>
  <c r="AK281" i="1"/>
  <c r="AJ281" i="1"/>
  <c r="AI281" i="1"/>
  <c r="AH281" i="1"/>
  <c r="AG281" i="1"/>
  <c r="AF281" i="1"/>
  <c r="AE281" i="1"/>
  <c r="AD281" i="1"/>
  <c r="AC281" i="1"/>
  <c r="AB281" i="1"/>
  <c r="AA281" i="1"/>
  <c r="Z281" i="1"/>
  <c r="Y281" i="1"/>
  <c r="X281" i="1"/>
  <c r="W281" i="1"/>
  <c r="AK280" i="1"/>
  <c r="AJ280" i="1"/>
  <c r="AI280" i="1"/>
  <c r="AH280" i="1"/>
  <c r="AG280" i="1"/>
  <c r="AF280" i="1"/>
  <c r="AE280" i="1"/>
  <c r="AD280" i="1"/>
  <c r="AC280" i="1"/>
  <c r="AB280" i="1"/>
  <c r="AA280" i="1"/>
  <c r="Z280" i="1"/>
  <c r="Y280" i="1"/>
  <c r="X280" i="1"/>
  <c r="W280" i="1"/>
  <c r="AK279" i="1"/>
  <c r="AJ279" i="1"/>
  <c r="AI279" i="1"/>
  <c r="AH279" i="1"/>
  <c r="AG279" i="1"/>
  <c r="AF279" i="1"/>
  <c r="AE279" i="1"/>
  <c r="AD279" i="1"/>
  <c r="AC279" i="1"/>
  <c r="AB279" i="1"/>
  <c r="AA279" i="1"/>
  <c r="Z279" i="1"/>
  <c r="Y279" i="1"/>
  <c r="X279" i="1"/>
  <c r="W279" i="1"/>
  <c r="AK278" i="1"/>
  <c r="AJ278" i="1"/>
  <c r="AI278" i="1"/>
  <c r="AH278" i="1"/>
  <c r="AG278" i="1"/>
  <c r="AF278" i="1"/>
  <c r="AE278" i="1"/>
  <c r="AD278" i="1"/>
  <c r="AC278" i="1"/>
  <c r="AB278" i="1"/>
  <c r="AA278" i="1"/>
  <c r="Z278" i="1"/>
  <c r="Y278" i="1"/>
  <c r="X278" i="1"/>
  <c r="W278" i="1"/>
  <c r="AK277" i="1"/>
  <c r="AJ277" i="1"/>
  <c r="AI277" i="1"/>
  <c r="AH277" i="1"/>
  <c r="AG277" i="1"/>
  <c r="AF277" i="1"/>
  <c r="AE277" i="1"/>
  <c r="AD277" i="1"/>
  <c r="AC277" i="1"/>
  <c r="AB277" i="1"/>
  <c r="AA277" i="1"/>
  <c r="Z277" i="1"/>
  <c r="Y277" i="1"/>
  <c r="X277" i="1"/>
  <c r="W277" i="1"/>
  <c r="AK276" i="1"/>
  <c r="AJ276" i="1"/>
  <c r="AI276" i="1"/>
  <c r="AH276" i="1"/>
  <c r="AG276" i="1"/>
  <c r="AF276" i="1"/>
  <c r="AE276" i="1"/>
  <c r="AD276" i="1"/>
  <c r="AC276" i="1"/>
  <c r="AB276" i="1"/>
  <c r="AA276" i="1"/>
  <c r="Z276" i="1"/>
  <c r="Y276" i="1"/>
  <c r="X276" i="1"/>
  <c r="W276" i="1"/>
  <c r="AK275" i="1"/>
  <c r="AJ275" i="1"/>
  <c r="AI275" i="1"/>
  <c r="AH275" i="1"/>
  <c r="AG275" i="1"/>
  <c r="AF275" i="1"/>
  <c r="AE275" i="1"/>
  <c r="AD275" i="1"/>
  <c r="AC275" i="1"/>
  <c r="AB275" i="1"/>
  <c r="AA275" i="1"/>
  <c r="Z275" i="1"/>
  <c r="Y275" i="1"/>
  <c r="X275" i="1"/>
  <c r="W275" i="1"/>
  <c r="AK274" i="1"/>
  <c r="AJ274" i="1"/>
  <c r="AI274" i="1"/>
  <c r="AH274" i="1"/>
  <c r="AG274" i="1"/>
  <c r="AF274" i="1"/>
  <c r="AE274" i="1"/>
  <c r="AD274" i="1"/>
  <c r="AC274" i="1"/>
  <c r="AB274" i="1"/>
  <c r="AA274" i="1"/>
  <c r="Z274" i="1"/>
  <c r="Y274" i="1"/>
  <c r="X274" i="1"/>
  <c r="W274" i="1"/>
  <c r="AK273" i="1"/>
  <c r="AJ273" i="1"/>
  <c r="AI273" i="1"/>
  <c r="AH273" i="1"/>
  <c r="AG273" i="1"/>
  <c r="AF273" i="1"/>
  <c r="AE273" i="1"/>
  <c r="AD273" i="1"/>
  <c r="AC273" i="1"/>
  <c r="AB273" i="1"/>
  <c r="AA273" i="1"/>
  <c r="Z273" i="1"/>
  <c r="Y273" i="1"/>
  <c r="X273" i="1"/>
  <c r="W273" i="1"/>
  <c r="AK272" i="1"/>
  <c r="AJ272" i="1"/>
  <c r="AI272" i="1"/>
  <c r="AH272" i="1"/>
  <c r="AG272" i="1"/>
  <c r="AF272" i="1"/>
  <c r="AE272" i="1"/>
  <c r="AD272" i="1"/>
  <c r="AC272" i="1"/>
  <c r="AB272" i="1"/>
  <c r="AA272" i="1"/>
  <c r="Z272" i="1"/>
  <c r="Y272" i="1"/>
  <c r="X272" i="1"/>
  <c r="W272" i="1"/>
  <c r="AK271" i="1"/>
  <c r="AJ271" i="1"/>
  <c r="AI271" i="1"/>
  <c r="AH271" i="1"/>
  <c r="AG271" i="1"/>
  <c r="AF271" i="1"/>
  <c r="AE271" i="1"/>
  <c r="AD271" i="1"/>
  <c r="AC271" i="1"/>
  <c r="AB271" i="1"/>
  <c r="AA271" i="1"/>
  <c r="Z271" i="1"/>
  <c r="Y271" i="1"/>
  <c r="X271" i="1"/>
  <c r="W271" i="1"/>
  <c r="AK270" i="1"/>
  <c r="AJ270" i="1"/>
  <c r="AI270" i="1"/>
  <c r="AH270" i="1"/>
  <c r="AG270" i="1"/>
  <c r="AF270" i="1"/>
  <c r="AE270" i="1"/>
  <c r="AD270" i="1"/>
  <c r="AC270" i="1"/>
  <c r="AB270" i="1"/>
  <c r="AA270" i="1"/>
  <c r="Z270" i="1"/>
  <c r="Y270" i="1"/>
  <c r="X270" i="1"/>
  <c r="W270" i="1"/>
  <c r="AK269" i="1"/>
  <c r="AJ269" i="1"/>
  <c r="AI269" i="1"/>
  <c r="AH269" i="1"/>
  <c r="AG269" i="1"/>
  <c r="AF269" i="1"/>
  <c r="AE269" i="1"/>
  <c r="AD269" i="1"/>
  <c r="AC269" i="1"/>
  <c r="AB269" i="1"/>
  <c r="AA269" i="1"/>
  <c r="Z269" i="1"/>
  <c r="Y269" i="1"/>
  <c r="X269" i="1"/>
  <c r="W269" i="1"/>
  <c r="AK268" i="1"/>
  <c r="AJ268" i="1"/>
  <c r="AI268" i="1"/>
  <c r="AH268" i="1"/>
  <c r="AG268" i="1"/>
  <c r="AF268" i="1"/>
  <c r="AE268" i="1"/>
  <c r="AD268" i="1"/>
  <c r="AC268" i="1"/>
  <c r="AB268" i="1"/>
  <c r="AA268" i="1"/>
  <c r="Z268" i="1"/>
  <c r="Y268" i="1"/>
  <c r="X268" i="1"/>
  <c r="W268" i="1"/>
  <c r="AK267" i="1"/>
  <c r="AJ267" i="1"/>
  <c r="AI267" i="1"/>
  <c r="AH267" i="1"/>
  <c r="AG267" i="1"/>
  <c r="AF267" i="1"/>
  <c r="AE267" i="1"/>
  <c r="AD267" i="1"/>
  <c r="AC267" i="1"/>
  <c r="AB267" i="1"/>
  <c r="AA267" i="1"/>
  <c r="Z267" i="1"/>
  <c r="Y267" i="1"/>
  <c r="X267" i="1"/>
  <c r="W267" i="1"/>
  <c r="AK266" i="1"/>
  <c r="AJ266" i="1"/>
  <c r="AI266" i="1"/>
  <c r="AH266" i="1"/>
  <c r="AG266" i="1"/>
  <c r="AF266" i="1"/>
  <c r="AE266" i="1"/>
  <c r="AD266" i="1"/>
  <c r="AC266" i="1"/>
  <c r="AB266" i="1"/>
  <c r="AA266" i="1"/>
  <c r="Z266" i="1"/>
  <c r="Y266" i="1"/>
  <c r="X266" i="1"/>
  <c r="W266" i="1"/>
  <c r="AK265" i="1"/>
  <c r="AJ265" i="1"/>
  <c r="AI265" i="1"/>
  <c r="AH265" i="1"/>
  <c r="AG265" i="1"/>
  <c r="AF265" i="1"/>
  <c r="AE265" i="1"/>
  <c r="AD265" i="1"/>
  <c r="AC265" i="1"/>
  <c r="AB265" i="1"/>
  <c r="AA265" i="1"/>
  <c r="Z265" i="1"/>
  <c r="Y265" i="1"/>
  <c r="X265" i="1"/>
  <c r="W265" i="1"/>
  <c r="AK264" i="1"/>
  <c r="AJ264" i="1"/>
  <c r="AI264" i="1"/>
  <c r="AH264" i="1"/>
  <c r="AG264" i="1"/>
  <c r="AF264" i="1"/>
  <c r="AE264" i="1"/>
  <c r="AD264" i="1"/>
  <c r="AC264" i="1"/>
  <c r="AB264" i="1"/>
  <c r="AA264" i="1"/>
  <c r="Z264" i="1"/>
  <c r="Y264" i="1"/>
  <c r="X264" i="1"/>
  <c r="W264" i="1"/>
  <c r="AK263" i="1"/>
  <c r="AJ263" i="1"/>
  <c r="AI263" i="1"/>
  <c r="AH263" i="1"/>
  <c r="AG263" i="1"/>
  <c r="AF263" i="1"/>
  <c r="AE263" i="1"/>
  <c r="AD263" i="1"/>
  <c r="AC263" i="1"/>
  <c r="AB263" i="1"/>
  <c r="AA263" i="1"/>
  <c r="Z263" i="1"/>
  <c r="Y263" i="1"/>
  <c r="X263" i="1"/>
  <c r="W263" i="1"/>
  <c r="AK262" i="1"/>
  <c r="AJ262" i="1"/>
  <c r="AI262" i="1"/>
  <c r="AH262" i="1"/>
  <c r="AG262" i="1"/>
  <c r="AF262" i="1"/>
  <c r="AE262" i="1"/>
  <c r="AD262" i="1"/>
  <c r="AC262" i="1"/>
  <c r="AB262" i="1"/>
  <c r="AA262" i="1"/>
  <c r="Z262" i="1"/>
  <c r="Y262" i="1"/>
  <c r="X262" i="1"/>
  <c r="W262" i="1"/>
  <c r="AK261" i="1"/>
  <c r="AJ261" i="1"/>
  <c r="AI261" i="1"/>
  <c r="AH261" i="1"/>
  <c r="AG261" i="1"/>
  <c r="AF261" i="1"/>
  <c r="AE261" i="1"/>
  <c r="AD261" i="1"/>
  <c r="AC261" i="1"/>
  <c r="AB261" i="1"/>
  <c r="AA261" i="1"/>
  <c r="Z261" i="1"/>
  <c r="Y261" i="1"/>
  <c r="X261" i="1"/>
  <c r="W261" i="1"/>
  <c r="AK260" i="1"/>
  <c r="AJ260" i="1"/>
  <c r="AI260" i="1"/>
  <c r="AH260" i="1"/>
  <c r="AG260" i="1"/>
  <c r="AF260" i="1"/>
  <c r="AE260" i="1"/>
  <c r="AD260" i="1"/>
  <c r="AC260" i="1"/>
  <c r="AB260" i="1"/>
  <c r="AA260" i="1"/>
  <c r="Z260" i="1"/>
  <c r="Y260" i="1"/>
  <c r="X260" i="1"/>
  <c r="W260" i="1"/>
  <c r="AK259" i="1"/>
  <c r="AJ259" i="1"/>
  <c r="AI259" i="1"/>
  <c r="AH259" i="1"/>
  <c r="AG259" i="1"/>
  <c r="AF259" i="1"/>
  <c r="AE259" i="1"/>
  <c r="AD259" i="1"/>
  <c r="AC259" i="1"/>
  <c r="AB259" i="1"/>
  <c r="AA259" i="1"/>
  <c r="Z259" i="1"/>
  <c r="Y259" i="1"/>
  <c r="X259" i="1"/>
  <c r="W259" i="1"/>
  <c r="AK258" i="1"/>
  <c r="AJ258" i="1"/>
  <c r="AI258" i="1"/>
  <c r="AH258" i="1"/>
  <c r="AG258" i="1"/>
  <c r="AF258" i="1"/>
  <c r="AE258" i="1"/>
  <c r="AD258" i="1"/>
  <c r="AC258" i="1"/>
  <c r="AB258" i="1"/>
  <c r="AA258" i="1"/>
  <c r="Z258" i="1"/>
  <c r="Y258" i="1"/>
  <c r="X258" i="1"/>
  <c r="W258" i="1"/>
  <c r="AK257" i="1"/>
  <c r="AJ257" i="1"/>
  <c r="AI257" i="1"/>
  <c r="AH257" i="1"/>
  <c r="AG257" i="1"/>
  <c r="AF257" i="1"/>
  <c r="AE257" i="1"/>
  <c r="AD257" i="1"/>
  <c r="AC257" i="1"/>
  <c r="AB257" i="1"/>
  <c r="AA257" i="1"/>
  <c r="Z257" i="1"/>
  <c r="Y257" i="1"/>
  <c r="X257" i="1"/>
  <c r="W257" i="1"/>
  <c r="AK256" i="1"/>
  <c r="AJ256" i="1"/>
  <c r="AI256" i="1"/>
  <c r="AH256" i="1"/>
  <c r="AG256" i="1"/>
  <c r="AF256" i="1"/>
  <c r="AE256" i="1"/>
  <c r="AD256" i="1"/>
  <c r="AC256" i="1"/>
  <c r="AB256" i="1"/>
  <c r="AA256" i="1"/>
  <c r="Z256" i="1"/>
  <c r="Y256" i="1"/>
  <c r="X256" i="1"/>
  <c r="W256" i="1"/>
  <c r="AK255" i="1"/>
  <c r="AJ255" i="1"/>
  <c r="AI255" i="1"/>
  <c r="AH255" i="1"/>
  <c r="AG255" i="1"/>
  <c r="AF255" i="1"/>
  <c r="AE255" i="1"/>
  <c r="AD255" i="1"/>
  <c r="AC255" i="1"/>
  <c r="AB255" i="1"/>
  <c r="AA255" i="1"/>
  <c r="Z255" i="1"/>
  <c r="Y255" i="1"/>
  <c r="X255" i="1"/>
  <c r="W255" i="1"/>
  <c r="AK254" i="1"/>
  <c r="AJ254" i="1"/>
  <c r="AI254" i="1"/>
  <c r="AH254" i="1"/>
  <c r="AG254" i="1"/>
  <c r="AF254" i="1"/>
  <c r="AE254" i="1"/>
  <c r="AD254" i="1"/>
  <c r="AC254" i="1"/>
  <c r="AB254" i="1"/>
  <c r="AA254" i="1"/>
  <c r="Z254" i="1"/>
  <c r="Y254" i="1"/>
  <c r="X254" i="1"/>
  <c r="W254" i="1"/>
  <c r="AK253" i="1"/>
  <c r="AJ253" i="1"/>
  <c r="AI253" i="1"/>
  <c r="AH253" i="1"/>
  <c r="AG253" i="1"/>
  <c r="AF253" i="1"/>
  <c r="AE253" i="1"/>
  <c r="AD253" i="1"/>
  <c r="AC253" i="1"/>
  <c r="AB253" i="1"/>
  <c r="AA253" i="1"/>
  <c r="Z253" i="1"/>
  <c r="Y253" i="1"/>
  <c r="X253" i="1"/>
  <c r="W253" i="1"/>
  <c r="AK252" i="1"/>
  <c r="AJ252" i="1"/>
  <c r="AI252" i="1"/>
  <c r="AH252" i="1"/>
  <c r="AG252" i="1"/>
  <c r="AF252" i="1"/>
  <c r="AE252" i="1"/>
  <c r="AD252" i="1"/>
  <c r="AC252" i="1"/>
  <c r="AB252" i="1"/>
  <c r="AA252" i="1"/>
  <c r="Z252" i="1"/>
  <c r="Y252" i="1"/>
  <c r="X252" i="1"/>
  <c r="W252" i="1"/>
  <c r="AK251" i="1"/>
  <c r="AJ251" i="1"/>
  <c r="AI251" i="1"/>
  <c r="AH251" i="1"/>
  <c r="AG251" i="1"/>
  <c r="AF251" i="1"/>
  <c r="AE251" i="1"/>
  <c r="AD251" i="1"/>
  <c r="AC251" i="1"/>
  <c r="AB251" i="1"/>
  <c r="AA251" i="1"/>
  <c r="Z251" i="1"/>
  <c r="Y251" i="1"/>
  <c r="X251" i="1"/>
  <c r="W251" i="1"/>
  <c r="AK250" i="1"/>
  <c r="AJ250" i="1"/>
  <c r="AI250" i="1"/>
  <c r="AH250" i="1"/>
  <c r="AG250" i="1"/>
  <c r="AF250" i="1"/>
  <c r="AE250" i="1"/>
  <c r="AD250" i="1"/>
  <c r="AC250" i="1"/>
  <c r="AB250" i="1"/>
  <c r="AA250" i="1"/>
  <c r="Z250" i="1"/>
  <c r="Y250" i="1"/>
  <c r="X250" i="1"/>
  <c r="W250" i="1"/>
  <c r="AK249" i="1"/>
  <c r="AJ249" i="1"/>
  <c r="AI249" i="1"/>
  <c r="AH249" i="1"/>
  <c r="AG249" i="1"/>
  <c r="AF249" i="1"/>
  <c r="AE249" i="1"/>
  <c r="AD249" i="1"/>
  <c r="AC249" i="1"/>
  <c r="AB249" i="1"/>
  <c r="AA249" i="1"/>
  <c r="Z249" i="1"/>
  <c r="Y249" i="1"/>
  <c r="X249" i="1"/>
  <c r="W249" i="1"/>
  <c r="AK248" i="1"/>
  <c r="AJ248" i="1"/>
  <c r="AI248" i="1"/>
  <c r="AH248" i="1"/>
  <c r="AG248" i="1"/>
  <c r="AF248" i="1"/>
  <c r="AE248" i="1"/>
  <c r="AD248" i="1"/>
  <c r="AC248" i="1"/>
  <c r="AB248" i="1"/>
  <c r="AA248" i="1"/>
  <c r="Z248" i="1"/>
  <c r="Y248" i="1"/>
  <c r="X248" i="1"/>
  <c r="W248" i="1"/>
  <c r="AK247" i="1"/>
  <c r="AJ247" i="1"/>
  <c r="AI247" i="1"/>
  <c r="AH247" i="1"/>
  <c r="AG247" i="1"/>
  <c r="AF247" i="1"/>
  <c r="AE247" i="1"/>
  <c r="AD247" i="1"/>
  <c r="AC247" i="1"/>
  <c r="AB247" i="1"/>
  <c r="AA247" i="1"/>
  <c r="Z247" i="1"/>
  <c r="Y247" i="1"/>
  <c r="X247" i="1"/>
  <c r="W247" i="1"/>
  <c r="AK246" i="1"/>
  <c r="AJ246" i="1"/>
  <c r="AI246" i="1"/>
  <c r="AH246" i="1"/>
  <c r="AG246" i="1"/>
  <c r="AF246" i="1"/>
  <c r="AE246" i="1"/>
  <c r="AD246" i="1"/>
  <c r="AC246" i="1"/>
  <c r="AB246" i="1"/>
  <c r="AA246" i="1"/>
  <c r="Z246" i="1"/>
  <c r="Y246" i="1"/>
  <c r="X246" i="1"/>
  <c r="W246" i="1"/>
  <c r="AK245" i="1"/>
  <c r="AJ245" i="1"/>
  <c r="AI245" i="1"/>
  <c r="AH245" i="1"/>
  <c r="AG245" i="1"/>
  <c r="AF245" i="1"/>
  <c r="AE245" i="1"/>
  <c r="AD245" i="1"/>
  <c r="AC245" i="1"/>
  <c r="AB245" i="1"/>
  <c r="AA245" i="1"/>
  <c r="Z245" i="1"/>
  <c r="Y245" i="1"/>
  <c r="X245" i="1"/>
  <c r="W245" i="1"/>
  <c r="AK244" i="1"/>
  <c r="AJ244" i="1"/>
  <c r="AI244" i="1"/>
  <c r="AH244" i="1"/>
  <c r="AG244" i="1"/>
  <c r="AF244" i="1"/>
  <c r="AE244" i="1"/>
  <c r="AD244" i="1"/>
  <c r="AC244" i="1"/>
  <c r="AB244" i="1"/>
  <c r="AA244" i="1"/>
  <c r="Z244" i="1"/>
  <c r="Y244" i="1"/>
  <c r="X244" i="1"/>
  <c r="W244" i="1"/>
  <c r="AK243" i="1"/>
  <c r="AJ243" i="1"/>
  <c r="AI243" i="1"/>
  <c r="AH243" i="1"/>
  <c r="AG243" i="1"/>
  <c r="AF243" i="1"/>
  <c r="AE243" i="1"/>
  <c r="AD243" i="1"/>
  <c r="AC243" i="1"/>
  <c r="AB243" i="1"/>
  <c r="AA243" i="1"/>
  <c r="Z243" i="1"/>
  <c r="Y243" i="1"/>
  <c r="X243" i="1"/>
  <c r="W243" i="1"/>
  <c r="AK242" i="1"/>
  <c r="AJ242" i="1"/>
  <c r="AI242" i="1"/>
  <c r="AH242" i="1"/>
  <c r="AG242" i="1"/>
  <c r="AF242" i="1"/>
  <c r="AE242" i="1"/>
  <c r="AD242" i="1"/>
  <c r="AC242" i="1"/>
  <c r="AB242" i="1"/>
  <c r="AA242" i="1"/>
  <c r="Z242" i="1"/>
  <c r="Y242" i="1"/>
  <c r="X242" i="1"/>
  <c r="W242" i="1"/>
  <c r="AK241" i="1"/>
  <c r="AJ241" i="1"/>
  <c r="AI241" i="1"/>
  <c r="AH241" i="1"/>
  <c r="AG241" i="1"/>
  <c r="AF241" i="1"/>
  <c r="AE241" i="1"/>
  <c r="AD241" i="1"/>
  <c r="AC241" i="1"/>
  <c r="AB241" i="1"/>
  <c r="AA241" i="1"/>
  <c r="Z241" i="1"/>
  <c r="Y241" i="1"/>
  <c r="X241" i="1"/>
  <c r="W241" i="1"/>
  <c r="AK240" i="1"/>
  <c r="AJ240" i="1"/>
  <c r="AI240" i="1"/>
  <c r="AH240" i="1"/>
  <c r="AG240" i="1"/>
  <c r="AF240" i="1"/>
  <c r="AE240" i="1"/>
  <c r="AD240" i="1"/>
  <c r="AC240" i="1"/>
  <c r="AB240" i="1"/>
  <c r="AA240" i="1"/>
  <c r="Z240" i="1"/>
  <c r="Y240" i="1"/>
  <c r="X240" i="1"/>
  <c r="W240" i="1"/>
  <c r="AK239" i="1"/>
  <c r="AJ239" i="1"/>
  <c r="AI239" i="1"/>
  <c r="AH239" i="1"/>
  <c r="AG239" i="1"/>
  <c r="AF239" i="1"/>
  <c r="AE239" i="1"/>
  <c r="AD239" i="1"/>
  <c r="AC239" i="1"/>
  <c r="AB239" i="1"/>
  <c r="AA239" i="1"/>
  <c r="Z239" i="1"/>
  <c r="Y239" i="1"/>
  <c r="X239" i="1"/>
  <c r="W239" i="1"/>
  <c r="AK238" i="1"/>
  <c r="AJ238" i="1"/>
  <c r="AI238" i="1"/>
  <c r="AH238" i="1"/>
  <c r="AG238" i="1"/>
  <c r="AF238" i="1"/>
  <c r="AE238" i="1"/>
  <c r="AD238" i="1"/>
  <c r="AC238" i="1"/>
  <c r="AB238" i="1"/>
  <c r="AA238" i="1"/>
  <c r="Z238" i="1"/>
  <c r="Y238" i="1"/>
  <c r="X238" i="1"/>
  <c r="W238" i="1"/>
  <c r="AK237" i="1"/>
  <c r="AJ237" i="1"/>
  <c r="AI237" i="1"/>
  <c r="AH237" i="1"/>
  <c r="AG237" i="1"/>
  <c r="AF237" i="1"/>
  <c r="AE237" i="1"/>
  <c r="AD237" i="1"/>
  <c r="AC237" i="1"/>
  <c r="AB237" i="1"/>
  <c r="AA237" i="1"/>
  <c r="Z237" i="1"/>
  <c r="Y237" i="1"/>
  <c r="X237" i="1"/>
  <c r="W237" i="1"/>
  <c r="AK236" i="1"/>
  <c r="AJ236" i="1"/>
  <c r="AI236" i="1"/>
  <c r="AH236" i="1"/>
  <c r="AG236" i="1"/>
  <c r="AF236" i="1"/>
  <c r="AE236" i="1"/>
  <c r="AD236" i="1"/>
  <c r="AC236" i="1"/>
  <c r="AB236" i="1"/>
  <c r="AA236" i="1"/>
  <c r="Z236" i="1"/>
  <c r="Y236" i="1"/>
  <c r="X236" i="1"/>
  <c r="W236" i="1"/>
  <c r="AK235" i="1"/>
  <c r="AJ235" i="1"/>
  <c r="AI235" i="1"/>
  <c r="AH235" i="1"/>
  <c r="AG235" i="1"/>
  <c r="AF235" i="1"/>
  <c r="AE235" i="1"/>
  <c r="AD235" i="1"/>
  <c r="AC235" i="1"/>
  <c r="AB235" i="1"/>
  <c r="AA235" i="1"/>
  <c r="Z235" i="1"/>
  <c r="Y235" i="1"/>
  <c r="X235" i="1"/>
  <c r="W235" i="1"/>
  <c r="AK234" i="1"/>
  <c r="AJ234" i="1"/>
  <c r="AI234" i="1"/>
  <c r="AH234" i="1"/>
  <c r="AG234" i="1"/>
  <c r="AF234" i="1"/>
  <c r="AE234" i="1"/>
  <c r="AD234" i="1"/>
  <c r="AC234" i="1"/>
  <c r="AB234" i="1"/>
  <c r="AA234" i="1"/>
  <c r="Z234" i="1"/>
  <c r="Y234" i="1"/>
  <c r="X234" i="1"/>
  <c r="W234" i="1"/>
  <c r="AK233" i="1"/>
  <c r="AJ233" i="1"/>
  <c r="AI233" i="1"/>
  <c r="AH233" i="1"/>
  <c r="AG233" i="1"/>
  <c r="AF233" i="1"/>
  <c r="AE233" i="1"/>
  <c r="AD233" i="1"/>
  <c r="AC233" i="1"/>
  <c r="AB233" i="1"/>
  <c r="AA233" i="1"/>
  <c r="Z233" i="1"/>
  <c r="Y233" i="1"/>
  <c r="X233" i="1"/>
  <c r="W233" i="1"/>
  <c r="AK232" i="1"/>
  <c r="AJ232" i="1"/>
  <c r="AI232" i="1"/>
  <c r="AH232" i="1"/>
  <c r="AG232" i="1"/>
  <c r="AF232" i="1"/>
  <c r="AE232" i="1"/>
  <c r="AD232" i="1"/>
  <c r="AC232" i="1"/>
  <c r="AB232" i="1"/>
  <c r="AA232" i="1"/>
  <c r="Z232" i="1"/>
  <c r="Y232" i="1"/>
  <c r="X232" i="1"/>
  <c r="W232" i="1"/>
  <c r="AK231" i="1"/>
  <c r="AJ231" i="1"/>
  <c r="AI231" i="1"/>
  <c r="AH231" i="1"/>
  <c r="AG231" i="1"/>
  <c r="AF231" i="1"/>
  <c r="AE231" i="1"/>
  <c r="AD231" i="1"/>
  <c r="AC231" i="1"/>
  <c r="AB231" i="1"/>
  <c r="AA231" i="1"/>
  <c r="Z231" i="1"/>
  <c r="Y231" i="1"/>
  <c r="X231" i="1"/>
  <c r="W231" i="1"/>
  <c r="AK230" i="1"/>
  <c r="AJ230" i="1"/>
  <c r="AI230" i="1"/>
  <c r="AH230" i="1"/>
  <c r="AG230" i="1"/>
  <c r="AF230" i="1"/>
  <c r="AE230" i="1"/>
  <c r="AD230" i="1"/>
  <c r="AC230" i="1"/>
  <c r="AB230" i="1"/>
  <c r="AA230" i="1"/>
  <c r="Z230" i="1"/>
  <c r="Y230" i="1"/>
  <c r="X230" i="1"/>
  <c r="W230" i="1"/>
  <c r="AK229" i="1"/>
  <c r="AJ229" i="1"/>
  <c r="AI229" i="1"/>
  <c r="AH229" i="1"/>
  <c r="AG229" i="1"/>
  <c r="AF229" i="1"/>
  <c r="AE229" i="1"/>
  <c r="AD229" i="1"/>
  <c r="AC229" i="1"/>
  <c r="AB229" i="1"/>
  <c r="AA229" i="1"/>
  <c r="Z229" i="1"/>
  <c r="Y229" i="1"/>
  <c r="X229" i="1"/>
  <c r="W229" i="1"/>
  <c r="AK228" i="1"/>
  <c r="AJ228" i="1"/>
  <c r="AI228" i="1"/>
  <c r="AH228" i="1"/>
  <c r="AG228" i="1"/>
  <c r="AF228" i="1"/>
  <c r="AE228" i="1"/>
  <c r="AD228" i="1"/>
  <c r="AC228" i="1"/>
  <c r="AB228" i="1"/>
  <c r="AA228" i="1"/>
  <c r="Z228" i="1"/>
  <c r="Y228" i="1"/>
  <c r="X228" i="1"/>
  <c r="W228" i="1"/>
  <c r="AK227" i="1"/>
  <c r="AJ227" i="1"/>
  <c r="AI227" i="1"/>
  <c r="AH227" i="1"/>
  <c r="AG227" i="1"/>
  <c r="AF227" i="1"/>
  <c r="AE227" i="1"/>
  <c r="AD227" i="1"/>
  <c r="AC227" i="1"/>
  <c r="AB227" i="1"/>
  <c r="AA227" i="1"/>
  <c r="Z227" i="1"/>
  <c r="Y227" i="1"/>
  <c r="X227" i="1"/>
  <c r="W227" i="1"/>
  <c r="AK226" i="1"/>
  <c r="AJ226" i="1"/>
  <c r="AI226" i="1"/>
  <c r="AH226" i="1"/>
  <c r="AG226" i="1"/>
  <c r="AF226" i="1"/>
  <c r="AE226" i="1"/>
  <c r="AD226" i="1"/>
  <c r="AC226" i="1"/>
  <c r="AB226" i="1"/>
  <c r="AA226" i="1"/>
  <c r="Z226" i="1"/>
  <c r="Y226" i="1"/>
  <c r="X226" i="1"/>
  <c r="W226" i="1"/>
  <c r="AK225" i="1"/>
  <c r="AJ225" i="1"/>
  <c r="AI225" i="1"/>
  <c r="AH225" i="1"/>
  <c r="AG225" i="1"/>
  <c r="AF225" i="1"/>
  <c r="AE225" i="1"/>
  <c r="AD225" i="1"/>
  <c r="AC225" i="1"/>
  <c r="AB225" i="1"/>
  <c r="AA225" i="1"/>
  <c r="Z225" i="1"/>
  <c r="Y225" i="1"/>
  <c r="X225" i="1"/>
  <c r="W225" i="1"/>
  <c r="AK224" i="1"/>
  <c r="AJ224" i="1"/>
  <c r="AI224" i="1"/>
  <c r="AH224" i="1"/>
  <c r="AG224" i="1"/>
  <c r="AF224" i="1"/>
  <c r="AE224" i="1"/>
  <c r="AD224" i="1"/>
  <c r="AC224" i="1"/>
  <c r="AB224" i="1"/>
  <c r="AA224" i="1"/>
  <c r="Z224" i="1"/>
  <c r="Y224" i="1"/>
  <c r="X224" i="1"/>
  <c r="W224" i="1"/>
  <c r="AK223" i="1"/>
  <c r="AJ223" i="1"/>
  <c r="AI223" i="1"/>
  <c r="AH223" i="1"/>
  <c r="AG223" i="1"/>
  <c r="AF223" i="1"/>
  <c r="AE223" i="1"/>
  <c r="AD223" i="1"/>
  <c r="AC223" i="1"/>
  <c r="AB223" i="1"/>
  <c r="AA223" i="1"/>
  <c r="Z223" i="1"/>
  <c r="Y223" i="1"/>
  <c r="X223" i="1"/>
  <c r="W223" i="1"/>
  <c r="AK222" i="1"/>
  <c r="AJ222" i="1"/>
  <c r="AI222" i="1"/>
  <c r="AH222" i="1"/>
  <c r="AG222" i="1"/>
  <c r="AF222" i="1"/>
  <c r="AE222" i="1"/>
  <c r="AD222" i="1"/>
  <c r="AC222" i="1"/>
  <c r="AB222" i="1"/>
  <c r="AA222" i="1"/>
  <c r="Z222" i="1"/>
  <c r="Y222" i="1"/>
  <c r="X222" i="1"/>
  <c r="W222" i="1"/>
  <c r="AK221" i="1"/>
  <c r="AJ221" i="1"/>
  <c r="AI221" i="1"/>
  <c r="AH221" i="1"/>
  <c r="AG221" i="1"/>
  <c r="AF221" i="1"/>
  <c r="AE221" i="1"/>
  <c r="AD221" i="1"/>
  <c r="AC221" i="1"/>
  <c r="AB221" i="1"/>
  <c r="AA221" i="1"/>
  <c r="Z221" i="1"/>
  <c r="Y221" i="1"/>
  <c r="X221" i="1"/>
  <c r="W221" i="1"/>
  <c r="AK220" i="1"/>
  <c r="AJ220" i="1"/>
  <c r="AI220" i="1"/>
  <c r="AH220" i="1"/>
  <c r="AG220" i="1"/>
  <c r="AF220" i="1"/>
  <c r="AE220" i="1"/>
  <c r="AD220" i="1"/>
  <c r="AC220" i="1"/>
  <c r="AB220" i="1"/>
  <c r="AA220" i="1"/>
  <c r="Z220" i="1"/>
  <c r="Y220" i="1"/>
  <c r="X220" i="1"/>
  <c r="W220" i="1"/>
  <c r="AK219" i="1"/>
  <c r="AJ219" i="1"/>
  <c r="AI219" i="1"/>
  <c r="AH219" i="1"/>
  <c r="AG219" i="1"/>
  <c r="AF219" i="1"/>
  <c r="AE219" i="1"/>
  <c r="AD219" i="1"/>
  <c r="AC219" i="1"/>
  <c r="AB219" i="1"/>
  <c r="AA219" i="1"/>
  <c r="Z219" i="1"/>
  <c r="Y219" i="1"/>
  <c r="X219" i="1"/>
  <c r="W219" i="1"/>
  <c r="AK218" i="1"/>
  <c r="AJ218" i="1"/>
  <c r="AI218" i="1"/>
  <c r="AH218" i="1"/>
  <c r="AG218" i="1"/>
  <c r="AF218" i="1"/>
  <c r="AE218" i="1"/>
  <c r="AD218" i="1"/>
  <c r="AC218" i="1"/>
  <c r="AB218" i="1"/>
  <c r="AA218" i="1"/>
  <c r="Z218" i="1"/>
  <c r="Y218" i="1"/>
  <c r="X218" i="1"/>
  <c r="W218" i="1"/>
  <c r="AK217" i="1"/>
  <c r="AJ217" i="1"/>
  <c r="AI217" i="1"/>
  <c r="AH217" i="1"/>
  <c r="AG217" i="1"/>
  <c r="AF217" i="1"/>
  <c r="AE217" i="1"/>
  <c r="AD217" i="1"/>
  <c r="AC217" i="1"/>
  <c r="AB217" i="1"/>
  <c r="AA217" i="1"/>
  <c r="Z217" i="1"/>
  <c r="Y217" i="1"/>
  <c r="X217" i="1"/>
  <c r="W217" i="1"/>
  <c r="AK216" i="1"/>
  <c r="AJ216" i="1"/>
  <c r="AI216" i="1"/>
  <c r="AH216" i="1"/>
  <c r="AG216" i="1"/>
  <c r="AF216" i="1"/>
  <c r="AE216" i="1"/>
  <c r="AD216" i="1"/>
  <c r="AC216" i="1"/>
  <c r="AB216" i="1"/>
  <c r="AA216" i="1"/>
  <c r="Z216" i="1"/>
  <c r="Y216" i="1"/>
  <c r="X216" i="1"/>
  <c r="W216" i="1"/>
  <c r="AK215" i="1"/>
  <c r="AJ215" i="1"/>
  <c r="AI215" i="1"/>
  <c r="AH215" i="1"/>
  <c r="AG215" i="1"/>
  <c r="AF215" i="1"/>
  <c r="AE215" i="1"/>
  <c r="AD215" i="1"/>
  <c r="AC215" i="1"/>
  <c r="AB215" i="1"/>
  <c r="AA215" i="1"/>
  <c r="Z215" i="1"/>
  <c r="Y215" i="1"/>
  <c r="X215" i="1"/>
  <c r="W215" i="1"/>
  <c r="AK214" i="1"/>
  <c r="AJ214" i="1"/>
  <c r="AI214" i="1"/>
  <c r="AH214" i="1"/>
  <c r="AG214" i="1"/>
  <c r="AF214" i="1"/>
  <c r="AE214" i="1"/>
  <c r="AD214" i="1"/>
  <c r="AC214" i="1"/>
  <c r="AB214" i="1"/>
  <c r="AA214" i="1"/>
  <c r="Z214" i="1"/>
  <c r="Y214" i="1"/>
  <c r="X214" i="1"/>
  <c r="W214" i="1"/>
  <c r="AK213" i="1"/>
  <c r="AJ213" i="1"/>
  <c r="AI213" i="1"/>
  <c r="AH213" i="1"/>
  <c r="AG213" i="1"/>
  <c r="AF213" i="1"/>
  <c r="AE213" i="1"/>
  <c r="AD213" i="1"/>
  <c r="AC213" i="1"/>
  <c r="AB213" i="1"/>
  <c r="AA213" i="1"/>
  <c r="Z213" i="1"/>
  <c r="Y213" i="1"/>
  <c r="X213" i="1"/>
  <c r="W213" i="1"/>
  <c r="AK212" i="1"/>
  <c r="AJ212" i="1"/>
  <c r="AI212" i="1"/>
  <c r="AH212" i="1"/>
  <c r="AG212" i="1"/>
  <c r="AF212" i="1"/>
  <c r="AE212" i="1"/>
  <c r="AD212" i="1"/>
  <c r="AC212" i="1"/>
  <c r="AB212" i="1"/>
  <c r="AA212" i="1"/>
  <c r="Z212" i="1"/>
  <c r="Y212" i="1"/>
  <c r="X212" i="1"/>
  <c r="W212" i="1"/>
  <c r="AK211" i="1"/>
  <c r="AJ211" i="1"/>
  <c r="AI211" i="1"/>
  <c r="AH211" i="1"/>
  <c r="AG211" i="1"/>
  <c r="AF211" i="1"/>
  <c r="AE211" i="1"/>
  <c r="AD211" i="1"/>
  <c r="AC211" i="1"/>
  <c r="AB211" i="1"/>
  <c r="AA211" i="1"/>
  <c r="Z211" i="1"/>
  <c r="Y211" i="1"/>
  <c r="X211" i="1"/>
  <c r="W211" i="1"/>
  <c r="AK210" i="1"/>
  <c r="AJ210" i="1"/>
  <c r="AI210" i="1"/>
  <c r="AH210" i="1"/>
  <c r="AG210" i="1"/>
  <c r="AF210" i="1"/>
  <c r="AE210" i="1"/>
  <c r="AD210" i="1"/>
  <c r="AC210" i="1"/>
  <c r="AB210" i="1"/>
  <c r="AA210" i="1"/>
  <c r="Z210" i="1"/>
  <c r="Y210" i="1"/>
  <c r="X210" i="1"/>
  <c r="W210" i="1"/>
  <c r="AK209" i="1"/>
  <c r="AJ209" i="1"/>
  <c r="AI209" i="1"/>
  <c r="AH209" i="1"/>
  <c r="AG209" i="1"/>
  <c r="AF209" i="1"/>
  <c r="AE209" i="1"/>
  <c r="AD209" i="1"/>
  <c r="AC209" i="1"/>
  <c r="AB209" i="1"/>
  <c r="AA209" i="1"/>
  <c r="Z209" i="1"/>
  <c r="Y209" i="1"/>
  <c r="X209" i="1"/>
  <c r="W209" i="1"/>
  <c r="AK208" i="1"/>
  <c r="AJ208" i="1"/>
  <c r="AI208" i="1"/>
  <c r="AH208" i="1"/>
  <c r="AG208" i="1"/>
  <c r="AF208" i="1"/>
  <c r="AE208" i="1"/>
  <c r="AD208" i="1"/>
  <c r="AC208" i="1"/>
  <c r="AB208" i="1"/>
  <c r="AA208" i="1"/>
  <c r="Z208" i="1"/>
  <c r="Y208" i="1"/>
  <c r="X208" i="1"/>
  <c r="W208" i="1"/>
  <c r="AK207" i="1"/>
  <c r="AJ207" i="1"/>
  <c r="AI207" i="1"/>
  <c r="AH207" i="1"/>
  <c r="AG207" i="1"/>
  <c r="AF207" i="1"/>
  <c r="AE207" i="1"/>
  <c r="AD207" i="1"/>
  <c r="AC207" i="1"/>
  <c r="AB207" i="1"/>
  <c r="AA207" i="1"/>
  <c r="Z207" i="1"/>
  <c r="Y207" i="1"/>
  <c r="X207" i="1"/>
  <c r="W207" i="1"/>
  <c r="AK206" i="1"/>
  <c r="AJ206" i="1"/>
  <c r="AI206" i="1"/>
  <c r="AH206" i="1"/>
  <c r="AG206" i="1"/>
  <c r="AF206" i="1"/>
  <c r="AE206" i="1"/>
  <c r="AD206" i="1"/>
  <c r="AC206" i="1"/>
  <c r="AB206" i="1"/>
  <c r="AA206" i="1"/>
  <c r="Z206" i="1"/>
  <c r="Y206" i="1"/>
  <c r="X206" i="1"/>
  <c r="W206" i="1"/>
  <c r="AK205" i="1"/>
  <c r="AJ205" i="1"/>
  <c r="AI205" i="1"/>
  <c r="AH205" i="1"/>
  <c r="AG205" i="1"/>
  <c r="AF205" i="1"/>
  <c r="AE205" i="1"/>
  <c r="AD205" i="1"/>
  <c r="AC205" i="1"/>
  <c r="AB205" i="1"/>
  <c r="AA205" i="1"/>
  <c r="Z205" i="1"/>
  <c r="Y205" i="1"/>
  <c r="X205" i="1"/>
  <c r="W205" i="1"/>
  <c r="AK204" i="1"/>
  <c r="AJ204" i="1"/>
  <c r="AI204" i="1"/>
  <c r="AH204" i="1"/>
  <c r="AG204" i="1"/>
  <c r="AF204" i="1"/>
  <c r="AE204" i="1"/>
  <c r="AD204" i="1"/>
  <c r="AC204" i="1"/>
  <c r="AB204" i="1"/>
  <c r="AA204" i="1"/>
  <c r="Z204" i="1"/>
  <c r="Y204" i="1"/>
  <c r="X204" i="1"/>
  <c r="W204" i="1"/>
  <c r="AK203" i="1"/>
  <c r="AJ203" i="1"/>
  <c r="AI203" i="1"/>
  <c r="AH203" i="1"/>
  <c r="AG203" i="1"/>
  <c r="AF203" i="1"/>
  <c r="AE203" i="1"/>
  <c r="AD203" i="1"/>
  <c r="AC203" i="1"/>
  <c r="AB203" i="1"/>
  <c r="AA203" i="1"/>
  <c r="Z203" i="1"/>
  <c r="Y203" i="1"/>
  <c r="X203" i="1"/>
  <c r="W203" i="1"/>
  <c r="AK202" i="1"/>
  <c r="AJ202" i="1"/>
  <c r="AI202" i="1"/>
  <c r="AH202" i="1"/>
  <c r="AG202" i="1"/>
  <c r="AF202" i="1"/>
  <c r="AE202" i="1"/>
  <c r="AD202" i="1"/>
  <c r="AC202" i="1"/>
  <c r="AB202" i="1"/>
  <c r="AA202" i="1"/>
  <c r="Z202" i="1"/>
  <c r="Y202" i="1"/>
  <c r="X202" i="1"/>
  <c r="W202" i="1"/>
  <c r="AK201" i="1"/>
  <c r="AJ201" i="1"/>
  <c r="AI201" i="1"/>
  <c r="AH201" i="1"/>
  <c r="AG201" i="1"/>
  <c r="AF201" i="1"/>
  <c r="AE201" i="1"/>
  <c r="AD201" i="1"/>
  <c r="AC201" i="1"/>
  <c r="AB201" i="1"/>
  <c r="AA201" i="1"/>
  <c r="Z201" i="1"/>
  <c r="Y201" i="1"/>
  <c r="X201" i="1"/>
  <c r="W201" i="1"/>
  <c r="AK200" i="1"/>
  <c r="AJ200" i="1"/>
  <c r="AI200" i="1"/>
  <c r="AH200" i="1"/>
  <c r="AG200" i="1"/>
  <c r="AF200" i="1"/>
  <c r="AE200" i="1"/>
  <c r="AD200" i="1"/>
  <c r="AC200" i="1"/>
  <c r="AB200" i="1"/>
  <c r="AA200" i="1"/>
  <c r="Z200" i="1"/>
  <c r="Y200" i="1"/>
  <c r="X200" i="1"/>
  <c r="W200" i="1"/>
  <c r="AK199" i="1"/>
  <c r="AJ199" i="1"/>
  <c r="AI199" i="1"/>
  <c r="AH199" i="1"/>
  <c r="AG199" i="1"/>
  <c r="AF199" i="1"/>
  <c r="AE199" i="1"/>
  <c r="AD199" i="1"/>
  <c r="AC199" i="1"/>
  <c r="AB199" i="1"/>
  <c r="AA199" i="1"/>
  <c r="Z199" i="1"/>
  <c r="Y199" i="1"/>
  <c r="X199" i="1"/>
  <c r="W199" i="1"/>
  <c r="AK198" i="1"/>
  <c r="AJ198" i="1"/>
  <c r="AI198" i="1"/>
  <c r="AH198" i="1"/>
  <c r="AG198" i="1"/>
  <c r="AF198" i="1"/>
  <c r="AE198" i="1"/>
  <c r="AD198" i="1"/>
  <c r="AC198" i="1"/>
  <c r="AB198" i="1"/>
  <c r="AA198" i="1"/>
  <c r="Z198" i="1"/>
  <c r="Y198" i="1"/>
  <c r="X198" i="1"/>
  <c r="W198" i="1"/>
  <c r="AK197" i="1"/>
  <c r="AJ197" i="1"/>
  <c r="AI197" i="1"/>
  <c r="AH197" i="1"/>
  <c r="AG197" i="1"/>
  <c r="AF197" i="1"/>
  <c r="AE197" i="1"/>
  <c r="AD197" i="1"/>
  <c r="AC197" i="1"/>
  <c r="AB197" i="1"/>
  <c r="AA197" i="1"/>
  <c r="Z197" i="1"/>
  <c r="Y197" i="1"/>
  <c r="X197" i="1"/>
  <c r="W197" i="1"/>
  <c r="AK196" i="1"/>
  <c r="AJ196" i="1"/>
  <c r="AI196" i="1"/>
  <c r="AH196" i="1"/>
  <c r="AG196" i="1"/>
  <c r="AF196" i="1"/>
  <c r="AE196" i="1"/>
  <c r="AD196" i="1"/>
  <c r="AC196" i="1"/>
  <c r="AB196" i="1"/>
  <c r="AA196" i="1"/>
  <c r="Z196" i="1"/>
  <c r="Y196" i="1"/>
  <c r="X196" i="1"/>
  <c r="W196" i="1"/>
  <c r="AK195" i="1"/>
  <c r="AJ195" i="1"/>
  <c r="AI195" i="1"/>
  <c r="AH195" i="1"/>
  <c r="AG195" i="1"/>
  <c r="AF195" i="1"/>
  <c r="AE195" i="1"/>
  <c r="AD195" i="1"/>
  <c r="AC195" i="1"/>
  <c r="AB195" i="1"/>
  <c r="AA195" i="1"/>
  <c r="Z195" i="1"/>
  <c r="Y195" i="1"/>
  <c r="X195" i="1"/>
  <c r="W195" i="1"/>
  <c r="AK194" i="1"/>
  <c r="AJ194" i="1"/>
  <c r="AI194" i="1"/>
  <c r="AH194" i="1"/>
  <c r="AG194" i="1"/>
  <c r="AF194" i="1"/>
  <c r="AE194" i="1"/>
  <c r="AD194" i="1"/>
  <c r="AC194" i="1"/>
  <c r="AB194" i="1"/>
  <c r="AA194" i="1"/>
  <c r="Z194" i="1"/>
  <c r="Y194" i="1"/>
  <c r="X194" i="1"/>
  <c r="W194" i="1"/>
  <c r="AK193" i="1"/>
  <c r="AJ193" i="1"/>
  <c r="AI193" i="1"/>
  <c r="AH193" i="1"/>
  <c r="AG193" i="1"/>
  <c r="AF193" i="1"/>
  <c r="AE193" i="1"/>
  <c r="AD193" i="1"/>
  <c r="AC193" i="1"/>
  <c r="AB193" i="1"/>
  <c r="AA193" i="1"/>
  <c r="Z193" i="1"/>
  <c r="Y193" i="1"/>
  <c r="X193" i="1"/>
  <c r="W193" i="1"/>
  <c r="AK192" i="1"/>
  <c r="AJ192" i="1"/>
  <c r="AI192" i="1"/>
  <c r="AH192" i="1"/>
  <c r="AG192" i="1"/>
  <c r="AF192" i="1"/>
  <c r="AE192" i="1"/>
  <c r="AD192" i="1"/>
  <c r="AC192" i="1"/>
  <c r="AB192" i="1"/>
  <c r="AA192" i="1"/>
  <c r="Z192" i="1"/>
  <c r="Y192" i="1"/>
  <c r="X192" i="1"/>
  <c r="W192" i="1"/>
  <c r="AK191" i="1"/>
  <c r="AJ191" i="1"/>
  <c r="AI191" i="1"/>
  <c r="AH191" i="1"/>
  <c r="AG191" i="1"/>
  <c r="AF191" i="1"/>
  <c r="AE191" i="1"/>
  <c r="AD191" i="1"/>
  <c r="AC191" i="1"/>
  <c r="AB191" i="1"/>
  <c r="AA191" i="1"/>
  <c r="Z191" i="1"/>
  <c r="Y191" i="1"/>
  <c r="X191" i="1"/>
  <c r="W191" i="1"/>
  <c r="AK190" i="1"/>
  <c r="AJ190" i="1"/>
  <c r="AI190" i="1"/>
  <c r="AH190" i="1"/>
  <c r="AG190" i="1"/>
  <c r="AF190" i="1"/>
  <c r="AE190" i="1"/>
  <c r="AD190" i="1"/>
  <c r="AC190" i="1"/>
  <c r="AB190" i="1"/>
  <c r="AA190" i="1"/>
  <c r="Z190" i="1"/>
  <c r="Y190" i="1"/>
  <c r="X190" i="1"/>
  <c r="W190" i="1"/>
  <c r="AK189" i="1"/>
  <c r="AJ189" i="1"/>
  <c r="AI189" i="1"/>
  <c r="AH189" i="1"/>
  <c r="AG189" i="1"/>
  <c r="AF189" i="1"/>
  <c r="AE189" i="1"/>
  <c r="AD189" i="1"/>
  <c r="AC189" i="1"/>
  <c r="AB189" i="1"/>
  <c r="AA189" i="1"/>
  <c r="Z189" i="1"/>
  <c r="Y189" i="1"/>
  <c r="X189" i="1"/>
  <c r="W189" i="1"/>
  <c r="AK188" i="1"/>
  <c r="AJ188" i="1"/>
  <c r="AI188" i="1"/>
  <c r="AH188" i="1"/>
  <c r="AG188" i="1"/>
  <c r="AF188" i="1"/>
  <c r="AE188" i="1"/>
  <c r="AD188" i="1"/>
  <c r="AC188" i="1"/>
  <c r="AB188" i="1"/>
  <c r="AA188" i="1"/>
  <c r="Z188" i="1"/>
  <c r="Y188" i="1"/>
  <c r="X188" i="1"/>
  <c r="W188" i="1"/>
  <c r="AK187" i="1"/>
  <c r="AJ187" i="1"/>
  <c r="AI187" i="1"/>
  <c r="AH187" i="1"/>
  <c r="AG187" i="1"/>
  <c r="AF187" i="1"/>
  <c r="AE187" i="1"/>
  <c r="AD187" i="1"/>
  <c r="AC187" i="1"/>
  <c r="AB187" i="1"/>
  <c r="AA187" i="1"/>
  <c r="Z187" i="1"/>
  <c r="Y187" i="1"/>
  <c r="X187" i="1"/>
  <c r="W187" i="1"/>
  <c r="AK186" i="1"/>
  <c r="AJ186" i="1"/>
  <c r="AI186" i="1"/>
  <c r="AH186" i="1"/>
  <c r="AG186" i="1"/>
  <c r="AF186" i="1"/>
  <c r="AE186" i="1"/>
  <c r="AD186" i="1"/>
  <c r="AC186" i="1"/>
  <c r="AB186" i="1"/>
  <c r="AA186" i="1"/>
  <c r="Z186" i="1"/>
  <c r="Y186" i="1"/>
  <c r="X186" i="1"/>
  <c r="W186" i="1"/>
  <c r="AK185" i="1"/>
  <c r="AJ185" i="1"/>
  <c r="AI185" i="1"/>
  <c r="AH185" i="1"/>
  <c r="AG185" i="1"/>
  <c r="AF185" i="1"/>
  <c r="AE185" i="1"/>
  <c r="AD185" i="1"/>
  <c r="AC185" i="1"/>
  <c r="AB185" i="1"/>
  <c r="AA185" i="1"/>
  <c r="Z185" i="1"/>
  <c r="Y185" i="1"/>
  <c r="X185" i="1"/>
  <c r="W185" i="1"/>
  <c r="AK184" i="1"/>
  <c r="AJ184" i="1"/>
  <c r="AI184" i="1"/>
  <c r="AH184" i="1"/>
  <c r="AG184" i="1"/>
  <c r="AF184" i="1"/>
  <c r="AE184" i="1"/>
  <c r="AD184" i="1"/>
  <c r="AC184" i="1"/>
  <c r="AB184" i="1"/>
  <c r="AA184" i="1"/>
  <c r="Z184" i="1"/>
  <c r="Y184" i="1"/>
  <c r="X184" i="1"/>
  <c r="W184" i="1"/>
  <c r="AK183" i="1"/>
  <c r="AJ183" i="1"/>
  <c r="AI183" i="1"/>
  <c r="AH183" i="1"/>
  <c r="AG183" i="1"/>
  <c r="AF183" i="1"/>
  <c r="AE183" i="1"/>
  <c r="AD183" i="1"/>
  <c r="AC183" i="1"/>
  <c r="AB183" i="1"/>
  <c r="AA183" i="1"/>
  <c r="Z183" i="1"/>
  <c r="Y183" i="1"/>
  <c r="X183" i="1"/>
  <c r="W183" i="1"/>
  <c r="AK182" i="1"/>
  <c r="AJ182" i="1"/>
  <c r="AI182" i="1"/>
  <c r="AH182" i="1"/>
  <c r="AG182" i="1"/>
  <c r="AF182" i="1"/>
  <c r="AE182" i="1"/>
  <c r="AD182" i="1"/>
  <c r="AC182" i="1"/>
  <c r="AB182" i="1"/>
  <c r="AA182" i="1"/>
  <c r="Z182" i="1"/>
  <c r="Y182" i="1"/>
  <c r="X182" i="1"/>
  <c r="W182" i="1"/>
  <c r="AK181" i="1"/>
  <c r="AJ181" i="1"/>
  <c r="AI181" i="1"/>
  <c r="AH181" i="1"/>
  <c r="AG181" i="1"/>
  <c r="AF181" i="1"/>
  <c r="AE181" i="1"/>
  <c r="AD181" i="1"/>
  <c r="AC181" i="1"/>
  <c r="AB181" i="1"/>
  <c r="AA181" i="1"/>
  <c r="Z181" i="1"/>
  <c r="Y181" i="1"/>
  <c r="X181" i="1"/>
  <c r="W181" i="1"/>
  <c r="AK180" i="1"/>
  <c r="AJ180" i="1"/>
  <c r="AI180" i="1"/>
  <c r="AH180" i="1"/>
  <c r="AG180" i="1"/>
  <c r="AF180" i="1"/>
  <c r="AE180" i="1"/>
  <c r="AD180" i="1"/>
  <c r="AC180" i="1"/>
  <c r="AB180" i="1"/>
  <c r="AA180" i="1"/>
  <c r="Z180" i="1"/>
  <c r="Y180" i="1"/>
  <c r="X180" i="1"/>
  <c r="W180" i="1"/>
  <c r="AK179" i="1"/>
  <c r="AJ179" i="1"/>
  <c r="AI179" i="1"/>
  <c r="AH179" i="1"/>
  <c r="AG179" i="1"/>
  <c r="AF179" i="1"/>
  <c r="AE179" i="1"/>
  <c r="AD179" i="1"/>
  <c r="AC179" i="1"/>
  <c r="AB179" i="1"/>
  <c r="AA179" i="1"/>
  <c r="Z179" i="1"/>
  <c r="Y179" i="1"/>
  <c r="X179" i="1"/>
  <c r="W179" i="1"/>
  <c r="AK178" i="1"/>
  <c r="AJ178" i="1"/>
  <c r="AI178" i="1"/>
  <c r="AH178" i="1"/>
  <c r="AG178" i="1"/>
  <c r="AF178" i="1"/>
  <c r="AE178" i="1"/>
  <c r="AD178" i="1"/>
  <c r="AC178" i="1"/>
  <c r="AB178" i="1"/>
  <c r="AA178" i="1"/>
  <c r="Z178" i="1"/>
  <c r="Y178" i="1"/>
  <c r="X178" i="1"/>
  <c r="W178" i="1"/>
  <c r="AK177" i="1"/>
  <c r="AJ177" i="1"/>
  <c r="AI177" i="1"/>
  <c r="AH177" i="1"/>
  <c r="AG177" i="1"/>
  <c r="AF177" i="1"/>
  <c r="AE177" i="1"/>
  <c r="AD177" i="1"/>
  <c r="AC177" i="1"/>
  <c r="AB177" i="1"/>
  <c r="AA177" i="1"/>
  <c r="Z177" i="1"/>
  <c r="Y177" i="1"/>
  <c r="X177" i="1"/>
  <c r="W177" i="1"/>
  <c r="AK176" i="1"/>
  <c r="AJ176" i="1"/>
  <c r="AI176" i="1"/>
  <c r="AH176" i="1"/>
  <c r="AG176" i="1"/>
  <c r="AF176" i="1"/>
  <c r="AE176" i="1"/>
  <c r="AD176" i="1"/>
  <c r="AC176" i="1"/>
  <c r="AB176" i="1"/>
  <c r="AA176" i="1"/>
  <c r="Z176" i="1"/>
  <c r="Y176" i="1"/>
  <c r="X176" i="1"/>
  <c r="W176" i="1"/>
  <c r="AK175" i="1"/>
  <c r="AJ175" i="1"/>
  <c r="AI175" i="1"/>
  <c r="AH175" i="1"/>
  <c r="AG175" i="1"/>
  <c r="AF175" i="1"/>
  <c r="AE175" i="1"/>
  <c r="AD175" i="1"/>
  <c r="AC175" i="1"/>
  <c r="AB175" i="1"/>
  <c r="AA175" i="1"/>
  <c r="Z175" i="1"/>
  <c r="Y175" i="1"/>
  <c r="X175" i="1"/>
  <c r="W175" i="1"/>
  <c r="AK174" i="1"/>
  <c r="AJ174" i="1"/>
  <c r="AI174" i="1"/>
  <c r="AH174" i="1"/>
  <c r="AG174" i="1"/>
  <c r="AF174" i="1"/>
  <c r="AE174" i="1"/>
  <c r="AD174" i="1"/>
  <c r="AC174" i="1"/>
  <c r="AB174" i="1"/>
  <c r="AA174" i="1"/>
  <c r="Z174" i="1"/>
  <c r="Y174" i="1"/>
  <c r="X174" i="1"/>
  <c r="W174" i="1"/>
  <c r="AK173" i="1"/>
  <c r="AJ173" i="1"/>
  <c r="AI173" i="1"/>
  <c r="AH173" i="1"/>
  <c r="AG173" i="1"/>
  <c r="AF173" i="1"/>
  <c r="AE173" i="1"/>
  <c r="AD173" i="1"/>
  <c r="AC173" i="1"/>
  <c r="AB173" i="1"/>
  <c r="AA173" i="1"/>
  <c r="Z173" i="1"/>
  <c r="Y173" i="1"/>
  <c r="X173" i="1"/>
  <c r="W173" i="1"/>
  <c r="AK172" i="1"/>
  <c r="AJ172" i="1"/>
  <c r="AI172" i="1"/>
  <c r="AH172" i="1"/>
  <c r="AG172" i="1"/>
  <c r="AF172" i="1"/>
  <c r="AE172" i="1"/>
  <c r="AD172" i="1"/>
  <c r="AC172" i="1"/>
  <c r="AB172" i="1"/>
  <c r="AA172" i="1"/>
  <c r="Z172" i="1"/>
  <c r="Y172" i="1"/>
  <c r="X172" i="1"/>
  <c r="W172" i="1"/>
  <c r="AK171" i="1"/>
  <c r="AJ171" i="1"/>
  <c r="AI171" i="1"/>
  <c r="AH171" i="1"/>
  <c r="AG171" i="1"/>
  <c r="AF171" i="1"/>
  <c r="AE171" i="1"/>
  <c r="AD171" i="1"/>
  <c r="AC171" i="1"/>
  <c r="AB171" i="1"/>
  <c r="AA171" i="1"/>
  <c r="Z171" i="1"/>
  <c r="Y171" i="1"/>
  <c r="X171" i="1"/>
  <c r="W171" i="1"/>
  <c r="AK170" i="1"/>
  <c r="AJ170" i="1"/>
  <c r="AI170" i="1"/>
  <c r="AH170" i="1"/>
  <c r="AG170" i="1"/>
  <c r="AF170" i="1"/>
  <c r="AE170" i="1"/>
  <c r="AD170" i="1"/>
  <c r="AC170" i="1"/>
  <c r="AB170" i="1"/>
  <c r="AA170" i="1"/>
  <c r="Z170" i="1"/>
  <c r="Y170" i="1"/>
  <c r="X170" i="1"/>
  <c r="W170" i="1"/>
  <c r="AK169" i="1"/>
  <c r="AJ169" i="1"/>
  <c r="AI169" i="1"/>
  <c r="AH169" i="1"/>
  <c r="AG169" i="1"/>
  <c r="AF169" i="1"/>
  <c r="AE169" i="1"/>
  <c r="AD169" i="1"/>
  <c r="AC169" i="1"/>
  <c r="AB169" i="1"/>
  <c r="AA169" i="1"/>
  <c r="Z169" i="1"/>
  <c r="Y169" i="1"/>
  <c r="X169" i="1"/>
  <c r="W169" i="1"/>
  <c r="AK168" i="1"/>
  <c r="AJ168" i="1"/>
  <c r="AI168" i="1"/>
  <c r="AH168" i="1"/>
  <c r="AG168" i="1"/>
  <c r="AF168" i="1"/>
  <c r="AE168" i="1"/>
  <c r="AD168" i="1"/>
  <c r="AC168" i="1"/>
  <c r="AB168" i="1"/>
  <c r="AA168" i="1"/>
  <c r="Z168" i="1"/>
  <c r="Y168" i="1"/>
  <c r="X168" i="1"/>
  <c r="W168" i="1"/>
  <c r="AK167" i="1"/>
  <c r="AJ167" i="1"/>
  <c r="AI167" i="1"/>
  <c r="AH167" i="1"/>
  <c r="AG167" i="1"/>
  <c r="AF167" i="1"/>
  <c r="AE167" i="1"/>
  <c r="AD167" i="1"/>
  <c r="AC167" i="1"/>
  <c r="AB167" i="1"/>
  <c r="AA167" i="1"/>
  <c r="Z167" i="1"/>
  <c r="Y167" i="1"/>
  <c r="X167" i="1"/>
  <c r="W167" i="1"/>
  <c r="AK166" i="1"/>
  <c r="AJ166" i="1"/>
  <c r="AI166" i="1"/>
  <c r="AH166" i="1"/>
  <c r="AG166" i="1"/>
  <c r="AF166" i="1"/>
  <c r="AE166" i="1"/>
  <c r="AD166" i="1"/>
  <c r="AC166" i="1"/>
  <c r="AB166" i="1"/>
  <c r="AA166" i="1"/>
  <c r="Z166" i="1"/>
  <c r="Y166" i="1"/>
  <c r="X166" i="1"/>
  <c r="W166" i="1"/>
  <c r="AK165" i="1"/>
  <c r="AJ165" i="1"/>
  <c r="AI165" i="1"/>
  <c r="AH165" i="1"/>
  <c r="AG165" i="1"/>
  <c r="AF165" i="1"/>
  <c r="AE165" i="1"/>
  <c r="AD165" i="1"/>
  <c r="AC165" i="1"/>
  <c r="AB165" i="1"/>
  <c r="AA165" i="1"/>
  <c r="Z165" i="1"/>
  <c r="Y165" i="1"/>
  <c r="X165" i="1"/>
  <c r="W165" i="1"/>
  <c r="AK164" i="1"/>
  <c r="AJ164" i="1"/>
  <c r="AI164" i="1"/>
  <c r="AH164" i="1"/>
  <c r="AG164" i="1"/>
  <c r="AF164" i="1"/>
  <c r="AE164" i="1"/>
  <c r="AD164" i="1"/>
  <c r="AC164" i="1"/>
  <c r="AB164" i="1"/>
  <c r="AA164" i="1"/>
  <c r="Z164" i="1"/>
  <c r="Y164" i="1"/>
  <c r="X164" i="1"/>
  <c r="W164" i="1"/>
  <c r="AK163" i="1"/>
  <c r="AJ163" i="1"/>
  <c r="AI163" i="1"/>
  <c r="AH163" i="1"/>
  <c r="AG163" i="1"/>
  <c r="AF163" i="1"/>
  <c r="AE163" i="1"/>
  <c r="AD163" i="1"/>
  <c r="AC163" i="1"/>
  <c r="AB163" i="1"/>
  <c r="AA163" i="1"/>
  <c r="Z163" i="1"/>
  <c r="Y163" i="1"/>
  <c r="X163" i="1"/>
  <c r="W163" i="1"/>
  <c r="AK162" i="1"/>
  <c r="AJ162" i="1"/>
  <c r="AI162" i="1"/>
  <c r="AH162" i="1"/>
  <c r="AG162" i="1"/>
  <c r="AF162" i="1"/>
  <c r="AE162" i="1"/>
  <c r="AD162" i="1"/>
  <c r="AC162" i="1"/>
  <c r="AB162" i="1"/>
  <c r="AA162" i="1"/>
  <c r="Z162" i="1"/>
  <c r="Y162" i="1"/>
  <c r="X162" i="1"/>
  <c r="W162" i="1"/>
  <c r="AK161" i="1"/>
  <c r="AJ161" i="1"/>
  <c r="AI161" i="1"/>
  <c r="AH161" i="1"/>
  <c r="AG161" i="1"/>
  <c r="AF161" i="1"/>
  <c r="AE161" i="1"/>
  <c r="AD161" i="1"/>
  <c r="AC161" i="1"/>
  <c r="AB161" i="1"/>
  <c r="AA161" i="1"/>
  <c r="Z161" i="1"/>
  <c r="Y161" i="1"/>
  <c r="X161" i="1"/>
  <c r="W161" i="1"/>
  <c r="AK160" i="1"/>
  <c r="AJ160" i="1"/>
  <c r="AI160" i="1"/>
  <c r="AH160" i="1"/>
  <c r="AG160" i="1"/>
  <c r="AF160" i="1"/>
  <c r="AE160" i="1"/>
  <c r="AD160" i="1"/>
  <c r="AC160" i="1"/>
  <c r="AB160" i="1"/>
  <c r="AA160" i="1"/>
  <c r="Z160" i="1"/>
  <c r="Y160" i="1"/>
  <c r="X160" i="1"/>
  <c r="W160" i="1"/>
  <c r="AK159" i="1"/>
  <c r="AJ159" i="1"/>
  <c r="AI159" i="1"/>
  <c r="AH159" i="1"/>
  <c r="AG159" i="1"/>
  <c r="AF159" i="1"/>
  <c r="AE159" i="1"/>
  <c r="AD159" i="1"/>
  <c r="AC159" i="1"/>
  <c r="AB159" i="1"/>
  <c r="AA159" i="1"/>
  <c r="Z159" i="1"/>
  <c r="Y159" i="1"/>
  <c r="X159" i="1"/>
  <c r="W159" i="1"/>
  <c r="AK158" i="1"/>
  <c r="AJ158" i="1"/>
  <c r="AI158" i="1"/>
  <c r="AH158" i="1"/>
  <c r="AG158" i="1"/>
  <c r="AF158" i="1"/>
  <c r="AE158" i="1"/>
  <c r="AD158" i="1"/>
  <c r="AC158" i="1"/>
  <c r="AB158" i="1"/>
  <c r="AA158" i="1"/>
  <c r="Z158" i="1"/>
  <c r="Y158" i="1"/>
  <c r="X158" i="1"/>
  <c r="W158" i="1"/>
  <c r="AK157" i="1"/>
  <c r="AJ157" i="1"/>
  <c r="AI157" i="1"/>
  <c r="AH157" i="1"/>
  <c r="AG157" i="1"/>
  <c r="AF157" i="1"/>
  <c r="AE157" i="1"/>
  <c r="AD157" i="1"/>
  <c r="AC157" i="1"/>
  <c r="AB157" i="1"/>
  <c r="AA157" i="1"/>
  <c r="Z157" i="1"/>
  <c r="Y157" i="1"/>
  <c r="X157" i="1"/>
  <c r="W157" i="1"/>
  <c r="AK156" i="1"/>
  <c r="AJ156" i="1"/>
  <c r="AI156" i="1"/>
  <c r="AH156" i="1"/>
  <c r="AG156" i="1"/>
  <c r="AF156" i="1"/>
  <c r="AE156" i="1"/>
  <c r="AD156" i="1"/>
  <c r="AC156" i="1"/>
  <c r="AB156" i="1"/>
  <c r="AA156" i="1"/>
  <c r="Z156" i="1"/>
  <c r="Y156" i="1"/>
  <c r="X156" i="1"/>
  <c r="W156" i="1"/>
  <c r="AK155" i="1"/>
  <c r="AJ155" i="1"/>
  <c r="AI155" i="1"/>
  <c r="AH155" i="1"/>
  <c r="AG155" i="1"/>
  <c r="AF155" i="1"/>
  <c r="AE155" i="1"/>
  <c r="AD155" i="1"/>
  <c r="AC155" i="1"/>
  <c r="AB155" i="1"/>
  <c r="AA155" i="1"/>
  <c r="Z155" i="1"/>
  <c r="Y155" i="1"/>
  <c r="X155" i="1"/>
  <c r="W155" i="1"/>
  <c r="AK154" i="1"/>
  <c r="AJ154" i="1"/>
  <c r="AI154" i="1"/>
  <c r="AH154" i="1"/>
  <c r="AG154" i="1"/>
  <c r="AF154" i="1"/>
  <c r="AE154" i="1"/>
  <c r="AD154" i="1"/>
  <c r="AC154" i="1"/>
  <c r="AB154" i="1"/>
  <c r="AA154" i="1"/>
  <c r="Z154" i="1"/>
  <c r="Y154" i="1"/>
  <c r="X154" i="1"/>
  <c r="W154" i="1"/>
  <c r="AK153" i="1"/>
  <c r="AJ153" i="1"/>
  <c r="AI153" i="1"/>
  <c r="AH153" i="1"/>
  <c r="AG153" i="1"/>
  <c r="AF153" i="1"/>
  <c r="AE153" i="1"/>
  <c r="AD153" i="1"/>
  <c r="AC153" i="1"/>
  <c r="AB153" i="1"/>
  <c r="AA153" i="1"/>
  <c r="Z153" i="1"/>
  <c r="Y153" i="1"/>
  <c r="X153" i="1"/>
  <c r="W153" i="1"/>
  <c r="AK152" i="1"/>
  <c r="AJ152" i="1"/>
  <c r="AI152" i="1"/>
  <c r="AH152" i="1"/>
  <c r="AG152" i="1"/>
  <c r="AF152" i="1"/>
  <c r="AE152" i="1"/>
  <c r="AD152" i="1"/>
  <c r="AC152" i="1"/>
  <c r="AB152" i="1"/>
  <c r="AA152" i="1"/>
  <c r="Z152" i="1"/>
  <c r="Y152" i="1"/>
  <c r="X152" i="1"/>
  <c r="W152" i="1"/>
  <c r="AK151" i="1"/>
  <c r="AJ151" i="1"/>
  <c r="AI151" i="1"/>
  <c r="AH151" i="1"/>
  <c r="AG151" i="1"/>
  <c r="AF151" i="1"/>
  <c r="AE151" i="1"/>
  <c r="AD151" i="1"/>
  <c r="AC151" i="1"/>
  <c r="AB151" i="1"/>
  <c r="AA151" i="1"/>
  <c r="Z151" i="1"/>
  <c r="Y151" i="1"/>
  <c r="X151" i="1"/>
  <c r="W151" i="1"/>
  <c r="AK150" i="1"/>
  <c r="AJ150" i="1"/>
  <c r="AI150" i="1"/>
  <c r="AH150" i="1"/>
  <c r="AG150" i="1"/>
  <c r="AF150" i="1"/>
  <c r="AE150" i="1"/>
  <c r="AD150" i="1"/>
  <c r="AC150" i="1"/>
  <c r="AB150" i="1"/>
  <c r="AA150" i="1"/>
  <c r="Z150" i="1"/>
  <c r="Y150" i="1"/>
  <c r="X150" i="1"/>
  <c r="W150" i="1"/>
  <c r="AK149" i="1"/>
  <c r="AJ149" i="1"/>
  <c r="AI149" i="1"/>
  <c r="AH149" i="1"/>
  <c r="AG149" i="1"/>
  <c r="AF149" i="1"/>
  <c r="AE149" i="1"/>
  <c r="AD149" i="1"/>
  <c r="AC149" i="1"/>
  <c r="AB149" i="1"/>
  <c r="AA149" i="1"/>
  <c r="Z149" i="1"/>
  <c r="Y149" i="1"/>
  <c r="X149" i="1"/>
  <c r="W149" i="1"/>
  <c r="AK148" i="1"/>
  <c r="AJ148" i="1"/>
  <c r="AI148" i="1"/>
  <c r="AH148" i="1"/>
  <c r="AG148" i="1"/>
  <c r="AF148" i="1"/>
  <c r="AE148" i="1"/>
  <c r="AD148" i="1"/>
  <c r="AC148" i="1"/>
  <c r="AB148" i="1"/>
  <c r="AA148" i="1"/>
  <c r="Z148" i="1"/>
  <c r="Y148" i="1"/>
  <c r="X148" i="1"/>
  <c r="W148" i="1"/>
  <c r="AK147" i="1"/>
  <c r="AJ147" i="1"/>
  <c r="AI147" i="1"/>
  <c r="AH147" i="1"/>
  <c r="AG147" i="1"/>
  <c r="AF147" i="1"/>
  <c r="AE147" i="1"/>
  <c r="AD147" i="1"/>
  <c r="AC147" i="1"/>
  <c r="AB147" i="1"/>
  <c r="AA147" i="1"/>
  <c r="Z147" i="1"/>
  <c r="Y147" i="1"/>
  <c r="X147" i="1"/>
  <c r="W147" i="1"/>
  <c r="AK146" i="1"/>
  <c r="AJ146" i="1"/>
  <c r="AI146" i="1"/>
  <c r="AH146" i="1"/>
  <c r="AG146" i="1"/>
  <c r="AF146" i="1"/>
  <c r="AE146" i="1"/>
  <c r="AD146" i="1"/>
  <c r="AC146" i="1"/>
  <c r="AB146" i="1"/>
  <c r="AA146" i="1"/>
  <c r="Z146" i="1"/>
  <c r="Y146" i="1"/>
  <c r="X146" i="1"/>
  <c r="W146" i="1"/>
  <c r="AK145" i="1"/>
  <c r="AJ145" i="1"/>
  <c r="AI145" i="1"/>
  <c r="AH145" i="1"/>
  <c r="AG145" i="1"/>
  <c r="AF145" i="1"/>
  <c r="AE145" i="1"/>
  <c r="AD145" i="1"/>
  <c r="AC145" i="1"/>
  <c r="AB145" i="1"/>
  <c r="AA145" i="1"/>
  <c r="Z145" i="1"/>
  <c r="Y145" i="1"/>
  <c r="X145" i="1"/>
  <c r="W145" i="1"/>
  <c r="AK144" i="1"/>
  <c r="AJ144" i="1"/>
  <c r="AI144" i="1"/>
  <c r="AH144" i="1"/>
  <c r="AG144" i="1"/>
  <c r="AF144" i="1"/>
  <c r="AE144" i="1"/>
  <c r="AD144" i="1"/>
  <c r="AC144" i="1"/>
  <c r="AB144" i="1"/>
  <c r="AA144" i="1"/>
  <c r="Z144" i="1"/>
  <c r="Y144" i="1"/>
  <c r="X144" i="1"/>
  <c r="W144" i="1"/>
  <c r="AK143" i="1"/>
  <c r="AJ143" i="1"/>
  <c r="AI143" i="1"/>
  <c r="AH143" i="1"/>
  <c r="AG143" i="1"/>
  <c r="AF143" i="1"/>
  <c r="AE143" i="1"/>
  <c r="AD143" i="1"/>
  <c r="AC143" i="1"/>
  <c r="AB143" i="1"/>
  <c r="AA143" i="1"/>
  <c r="Z143" i="1"/>
  <c r="Y143" i="1"/>
  <c r="X143" i="1"/>
  <c r="W143" i="1"/>
  <c r="AK142" i="1"/>
  <c r="AJ142" i="1"/>
  <c r="AI142" i="1"/>
  <c r="AH142" i="1"/>
  <c r="AG142" i="1"/>
  <c r="AF142" i="1"/>
  <c r="AE142" i="1"/>
  <c r="AD142" i="1"/>
  <c r="AC142" i="1"/>
  <c r="AB142" i="1"/>
  <c r="AA142" i="1"/>
  <c r="Z142" i="1"/>
  <c r="Y142" i="1"/>
  <c r="X142" i="1"/>
  <c r="W142" i="1"/>
  <c r="AK141" i="1"/>
  <c r="AJ141" i="1"/>
  <c r="AI141" i="1"/>
  <c r="AH141" i="1"/>
  <c r="AG141" i="1"/>
  <c r="AF141" i="1"/>
  <c r="AE141" i="1"/>
  <c r="AD141" i="1"/>
  <c r="AC141" i="1"/>
  <c r="AB141" i="1"/>
  <c r="AA141" i="1"/>
  <c r="Z141" i="1"/>
  <c r="Y141" i="1"/>
  <c r="X141" i="1"/>
  <c r="W141" i="1"/>
  <c r="AK140" i="1"/>
  <c r="AJ140" i="1"/>
  <c r="AI140" i="1"/>
  <c r="AH140" i="1"/>
  <c r="AG140" i="1"/>
  <c r="AF140" i="1"/>
  <c r="AE140" i="1"/>
  <c r="AD140" i="1"/>
  <c r="AC140" i="1"/>
  <c r="AB140" i="1"/>
  <c r="AA140" i="1"/>
  <c r="Z140" i="1"/>
  <c r="Y140" i="1"/>
  <c r="X140" i="1"/>
  <c r="W140" i="1"/>
  <c r="AK139" i="1"/>
  <c r="AJ139" i="1"/>
  <c r="AI139" i="1"/>
  <c r="AH139" i="1"/>
  <c r="AG139" i="1"/>
  <c r="AF139" i="1"/>
  <c r="AE139" i="1"/>
  <c r="AD139" i="1"/>
  <c r="AC139" i="1"/>
  <c r="AB139" i="1"/>
  <c r="AA139" i="1"/>
  <c r="Z139" i="1"/>
  <c r="Y139" i="1"/>
  <c r="X139" i="1"/>
  <c r="W139" i="1"/>
  <c r="AK138" i="1"/>
  <c r="AJ138" i="1"/>
  <c r="AI138" i="1"/>
  <c r="AH138" i="1"/>
  <c r="AG138" i="1"/>
  <c r="AF138" i="1"/>
  <c r="AE138" i="1"/>
  <c r="AD138" i="1"/>
  <c r="AC138" i="1"/>
  <c r="AB138" i="1"/>
  <c r="AA138" i="1"/>
  <c r="Z138" i="1"/>
  <c r="Y138" i="1"/>
  <c r="X138" i="1"/>
  <c r="W138" i="1"/>
  <c r="AK137" i="1"/>
  <c r="AJ137" i="1"/>
  <c r="AI137" i="1"/>
  <c r="AH137" i="1"/>
  <c r="AG137" i="1"/>
  <c r="AF137" i="1"/>
  <c r="AE137" i="1"/>
  <c r="AD137" i="1"/>
  <c r="AC137" i="1"/>
  <c r="AB137" i="1"/>
  <c r="AA137" i="1"/>
  <c r="Z137" i="1"/>
  <c r="Y137" i="1"/>
  <c r="X137" i="1"/>
  <c r="W137" i="1"/>
  <c r="AK136" i="1"/>
  <c r="AJ136" i="1"/>
  <c r="AI136" i="1"/>
  <c r="AH136" i="1"/>
  <c r="AG136" i="1"/>
  <c r="AF136" i="1"/>
  <c r="AE136" i="1"/>
  <c r="AD136" i="1"/>
  <c r="AC136" i="1"/>
  <c r="AB136" i="1"/>
  <c r="AA136" i="1"/>
  <c r="Z136" i="1"/>
  <c r="Y136" i="1"/>
  <c r="X136" i="1"/>
  <c r="W136" i="1"/>
  <c r="AK135" i="1"/>
  <c r="AJ135" i="1"/>
  <c r="AI135" i="1"/>
  <c r="AH135" i="1"/>
  <c r="AG135" i="1"/>
  <c r="AF135" i="1"/>
  <c r="AE135" i="1"/>
  <c r="AD135" i="1"/>
  <c r="AC135" i="1"/>
  <c r="AB135" i="1"/>
  <c r="AA135" i="1"/>
  <c r="Z135" i="1"/>
  <c r="Y135" i="1"/>
  <c r="X135" i="1"/>
  <c r="W135" i="1"/>
  <c r="AK134" i="1"/>
  <c r="AJ134" i="1"/>
  <c r="AI134" i="1"/>
  <c r="AH134" i="1"/>
  <c r="AG134" i="1"/>
  <c r="AF134" i="1"/>
  <c r="AE134" i="1"/>
  <c r="AD134" i="1"/>
  <c r="AC134" i="1"/>
  <c r="AB134" i="1"/>
  <c r="AA134" i="1"/>
  <c r="Z134" i="1"/>
  <c r="Y134" i="1"/>
  <c r="X134" i="1"/>
  <c r="W134" i="1"/>
  <c r="AK133" i="1"/>
  <c r="AJ133" i="1"/>
  <c r="AI133" i="1"/>
  <c r="AH133" i="1"/>
  <c r="AG133" i="1"/>
  <c r="AF133" i="1"/>
  <c r="AE133" i="1"/>
  <c r="AD133" i="1"/>
  <c r="AC133" i="1"/>
  <c r="AB133" i="1"/>
  <c r="AA133" i="1"/>
  <c r="Z133" i="1"/>
  <c r="Y133" i="1"/>
  <c r="X133" i="1"/>
  <c r="W133" i="1"/>
  <c r="AK132" i="1"/>
  <c r="AJ132" i="1"/>
  <c r="AI132" i="1"/>
  <c r="AH132" i="1"/>
  <c r="AG132" i="1"/>
  <c r="AF132" i="1"/>
  <c r="AE132" i="1"/>
  <c r="AD132" i="1"/>
  <c r="AC132" i="1"/>
  <c r="AB132" i="1"/>
  <c r="AA132" i="1"/>
  <c r="Z132" i="1"/>
  <c r="Y132" i="1"/>
  <c r="X132" i="1"/>
  <c r="W132" i="1"/>
  <c r="AK131" i="1"/>
  <c r="AJ131" i="1"/>
  <c r="AI131" i="1"/>
  <c r="AH131" i="1"/>
  <c r="AG131" i="1"/>
  <c r="AF131" i="1"/>
  <c r="AE131" i="1"/>
  <c r="AD131" i="1"/>
  <c r="AC131" i="1"/>
  <c r="AB131" i="1"/>
  <c r="AA131" i="1"/>
  <c r="Z131" i="1"/>
  <c r="Y131" i="1"/>
  <c r="X131" i="1"/>
  <c r="W131" i="1"/>
  <c r="AK130" i="1"/>
  <c r="AJ130" i="1"/>
  <c r="AI130" i="1"/>
  <c r="AH130" i="1"/>
  <c r="AG130" i="1"/>
  <c r="AF130" i="1"/>
  <c r="AE130" i="1"/>
  <c r="AD130" i="1"/>
  <c r="AC130" i="1"/>
  <c r="AB130" i="1"/>
  <c r="AA130" i="1"/>
  <c r="Z130" i="1"/>
  <c r="Y130" i="1"/>
  <c r="X130" i="1"/>
  <c r="W130" i="1"/>
  <c r="AK129" i="1"/>
  <c r="AJ129" i="1"/>
  <c r="AI129" i="1"/>
  <c r="AH129" i="1"/>
  <c r="AG129" i="1"/>
  <c r="AF129" i="1"/>
  <c r="AE129" i="1"/>
  <c r="AD129" i="1"/>
  <c r="AC129" i="1"/>
  <c r="AB129" i="1"/>
  <c r="AA129" i="1"/>
  <c r="Z129" i="1"/>
  <c r="Y129" i="1"/>
  <c r="X129" i="1"/>
  <c r="W129" i="1"/>
  <c r="AK128" i="1"/>
  <c r="AJ128" i="1"/>
  <c r="AI128" i="1"/>
  <c r="AH128" i="1"/>
  <c r="AG128" i="1"/>
  <c r="AF128" i="1"/>
  <c r="AE128" i="1"/>
  <c r="AD128" i="1"/>
  <c r="AC128" i="1"/>
  <c r="AB128" i="1"/>
  <c r="AA128" i="1"/>
  <c r="Z128" i="1"/>
  <c r="Y128" i="1"/>
  <c r="X128" i="1"/>
  <c r="W128" i="1"/>
  <c r="AK127" i="1"/>
  <c r="AJ127" i="1"/>
  <c r="AI127" i="1"/>
  <c r="AH127" i="1"/>
  <c r="AG127" i="1"/>
  <c r="AF127" i="1"/>
  <c r="AE127" i="1"/>
  <c r="AD127" i="1"/>
  <c r="AC127" i="1"/>
  <c r="AB127" i="1"/>
  <c r="AA127" i="1"/>
  <c r="Z127" i="1"/>
  <c r="Y127" i="1"/>
  <c r="X127" i="1"/>
  <c r="W127" i="1"/>
  <c r="AK126" i="1"/>
  <c r="AJ126" i="1"/>
  <c r="AI126" i="1"/>
  <c r="AH126" i="1"/>
  <c r="AG126" i="1"/>
  <c r="AF126" i="1"/>
  <c r="AE126" i="1"/>
  <c r="AD126" i="1"/>
  <c r="AC126" i="1"/>
  <c r="AB126" i="1"/>
  <c r="AA126" i="1"/>
  <c r="Z126" i="1"/>
  <c r="Y126" i="1"/>
  <c r="X126" i="1"/>
  <c r="W126" i="1"/>
  <c r="AK125" i="1"/>
  <c r="AJ125" i="1"/>
  <c r="AI125" i="1"/>
  <c r="AH125" i="1"/>
  <c r="AG125" i="1"/>
  <c r="AF125" i="1"/>
  <c r="AE125" i="1"/>
  <c r="AD125" i="1"/>
  <c r="AC125" i="1"/>
  <c r="AB125" i="1"/>
  <c r="AA125" i="1"/>
  <c r="Z125" i="1"/>
  <c r="Y125" i="1"/>
  <c r="X125" i="1"/>
  <c r="W125" i="1"/>
  <c r="AK124" i="1"/>
  <c r="AJ124" i="1"/>
  <c r="AI124" i="1"/>
  <c r="AH124" i="1"/>
  <c r="AG124" i="1"/>
  <c r="AF124" i="1"/>
  <c r="AE124" i="1"/>
  <c r="AD124" i="1"/>
  <c r="AC124" i="1"/>
  <c r="AB124" i="1"/>
  <c r="AA124" i="1"/>
  <c r="Z124" i="1"/>
  <c r="Y124" i="1"/>
  <c r="X124" i="1"/>
  <c r="W124" i="1"/>
  <c r="AK123" i="1"/>
  <c r="AJ123" i="1"/>
  <c r="AI123" i="1"/>
  <c r="AH123" i="1"/>
  <c r="AG123" i="1"/>
  <c r="AF123" i="1"/>
  <c r="AE123" i="1"/>
  <c r="AD123" i="1"/>
  <c r="AC123" i="1"/>
  <c r="AB123" i="1"/>
  <c r="AA123" i="1"/>
  <c r="Z123" i="1"/>
  <c r="Y123" i="1"/>
  <c r="X123" i="1"/>
  <c r="W123" i="1"/>
  <c r="AK122" i="1"/>
  <c r="AJ122" i="1"/>
  <c r="AI122" i="1"/>
  <c r="AH122" i="1"/>
  <c r="AG122" i="1"/>
  <c r="AF122" i="1"/>
  <c r="AE122" i="1"/>
  <c r="AD122" i="1"/>
  <c r="AC122" i="1"/>
  <c r="AB122" i="1"/>
  <c r="AA122" i="1"/>
  <c r="Z122" i="1"/>
  <c r="Y122" i="1"/>
  <c r="X122" i="1"/>
  <c r="W122" i="1"/>
  <c r="AK121" i="1"/>
  <c r="AJ121" i="1"/>
  <c r="AI121" i="1"/>
  <c r="AH121" i="1"/>
  <c r="AG121" i="1"/>
  <c r="AF121" i="1"/>
  <c r="AE121" i="1"/>
  <c r="AD121" i="1"/>
  <c r="AC121" i="1"/>
  <c r="AB121" i="1"/>
  <c r="AA121" i="1"/>
  <c r="Z121" i="1"/>
  <c r="Y121" i="1"/>
  <c r="X121" i="1"/>
  <c r="W121" i="1"/>
  <c r="AK120" i="1"/>
  <c r="AJ120" i="1"/>
  <c r="AI120" i="1"/>
  <c r="AH120" i="1"/>
  <c r="AG120" i="1"/>
  <c r="AF120" i="1"/>
  <c r="AE120" i="1"/>
  <c r="AD120" i="1"/>
  <c r="AC120" i="1"/>
  <c r="AB120" i="1"/>
  <c r="AA120" i="1"/>
  <c r="Z120" i="1"/>
  <c r="Y120" i="1"/>
  <c r="X120" i="1"/>
  <c r="W120" i="1"/>
  <c r="AK119" i="1"/>
  <c r="AJ119" i="1"/>
  <c r="AI119" i="1"/>
  <c r="AH119" i="1"/>
  <c r="AG119" i="1"/>
  <c r="AF119" i="1"/>
  <c r="AE119" i="1"/>
  <c r="AD119" i="1"/>
  <c r="AC119" i="1"/>
  <c r="AB119" i="1"/>
  <c r="AA119" i="1"/>
  <c r="Z119" i="1"/>
  <c r="Y119" i="1"/>
  <c r="X119" i="1"/>
  <c r="W119" i="1"/>
  <c r="AK118" i="1"/>
  <c r="AJ118" i="1"/>
  <c r="AI118" i="1"/>
  <c r="AH118" i="1"/>
  <c r="AG118" i="1"/>
  <c r="AF118" i="1"/>
  <c r="AE118" i="1"/>
  <c r="AD118" i="1"/>
  <c r="AC118" i="1"/>
  <c r="AB118" i="1"/>
  <c r="AA118" i="1"/>
  <c r="Z118" i="1"/>
  <c r="Y118" i="1"/>
  <c r="X118" i="1"/>
  <c r="W118" i="1"/>
  <c r="AK117" i="1"/>
  <c r="AJ117" i="1"/>
  <c r="AI117" i="1"/>
  <c r="AH117" i="1"/>
  <c r="AG117" i="1"/>
  <c r="AF117" i="1"/>
  <c r="AE117" i="1"/>
  <c r="AD117" i="1"/>
  <c r="AC117" i="1"/>
  <c r="AB117" i="1"/>
  <c r="AA117" i="1"/>
  <c r="Z117" i="1"/>
  <c r="Y117" i="1"/>
  <c r="X117" i="1"/>
  <c r="W117" i="1"/>
  <c r="AK116" i="1"/>
  <c r="AJ116" i="1"/>
  <c r="AI116" i="1"/>
  <c r="AH116" i="1"/>
  <c r="AG116" i="1"/>
  <c r="AF116" i="1"/>
  <c r="AE116" i="1"/>
  <c r="AD116" i="1"/>
  <c r="AC116" i="1"/>
  <c r="AB116" i="1"/>
  <c r="AA116" i="1"/>
  <c r="Z116" i="1"/>
  <c r="Y116" i="1"/>
  <c r="X116" i="1"/>
  <c r="W116" i="1"/>
  <c r="AK115" i="1"/>
  <c r="AJ115" i="1"/>
  <c r="AI115" i="1"/>
  <c r="AH115" i="1"/>
  <c r="AG115" i="1"/>
  <c r="AF115" i="1"/>
  <c r="AE115" i="1"/>
  <c r="AD115" i="1"/>
  <c r="AC115" i="1"/>
  <c r="AB115" i="1"/>
  <c r="AA115" i="1"/>
  <c r="Z115" i="1"/>
  <c r="Y115" i="1"/>
  <c r="X115" i="1"/>
  <c r="W115" i="1"/>
  <c r="AK114" i="1"/>
  <c r="AJ114" i="1"/>
  <c r="AI114" i="1"/>
  <c r="AH114" i="1"/>
  <c r="AG114" i="1"/>
  <c r="AF114" i="1"/>
  <c r="AE114" i="1"/>
  <c r="AD114" i="1"/>
  <c r="AC114" i="1"/>
  <c r="AB114" i="1"/>
  <c r="AA114" i="1"/>
  <c r="Z114" i="1"/>
  <c r="Y114" i="1"/>
  <c r="X114" i="1"/>
  <c r="W114" i="1"/>
  <c r="AK113" i="1"/>
  <c r="AJ113" i="1"/>
  <c r="AI113" i="1"/>
  <c r="AH113" i="1"/>
  <c r="AG113" i="1"/>
  <c r="AF113" i="1"/>
  <c r="AE113" i="1"/>
  <c r="AD113" i="1"/>
  <c r="AC113" i="1"/>
  <c r="AB113" i="1"/>
  <c r="AA113" i="1"/>
  <c r="Z113" i="1"/>
  <c r="Y113" i="1"/>
  <c r="X113" i="1"/>
  <c r="W113" i="1"/>
  <c r="AK112" i="1"/>
  <c r="AJ112" i="1"/>
  <c r="AI112" i="1"/>
  <c r="AH112" i="1"/>
  <c r="AG112" i="1"/>
  <c r="AF112" i="1"/>
  <c r="AE112" i="1"/>
  <c r="AD112" i="1"/>
  <c r="AC112" i="1"/>
  <c r="AB112" i="1"/>
  <c r="AA112" i="1"/>
  <c r="Z112" i="1"/>
  <c r="Y112" i="1"/>
  <c r="X112" i="1"/>
  <c r="W112" i="1"/>
  <c r="AK111" i="1"/>
  <c r="AJ111" i="1"/>
  <c r="AI111" i="1"/>
  <c r="AH111" i="1"/>
  <c r="AG111" i="1"/>
  <c r="AF111" i="1"/>
  <c r="AE111" i="1"/>
  <c r="AD111" i="1"/>
  <c r="AC111" i="1"/>
  <c r="AB111" i="1"/>
  <c r="AA111" i="1"/>
  <c r="Z111" i="1"/>
  <c r="Y111" i="1"/>
  <c r="X111" i="1"/>
  <c r="W111" i="1"/>
  <c r="AK110" i="1"/>
  <c r="AJ110" i="1"/>
  <c r="AI110" i="1"/>
  <c r="AH110" i="1"/>
  <c r="AG110" i="1"/>
  <c r="AF110" i="1"/>
  <c r="AE110" i="1"/>
  <c r="AD110" i="1"/>
  <c r="AC110" i="1"/>
  <c r="AB110" i="1"/>
  <c r="AA110" i="1"/>
  <c r="Z110" i="1"/>
  <c r="Y110" i="1"/>
  <c r="X110" i="1"/>
  <c r="W110" i="1"/>
  <c r="AK109" i="1"/>
  <c r="AJ109" i="1"/>
  <c r="AI109" i="1"/>
  <c r="AH109" i="1"/>
  <c r="AG109" i="1"/>
  <c r="AF109" i="1"/>
  <c r="AE109" i="1"/>
  <c r="AD109" i="1"/>
  <c r="AC109" i="1"/>
  <c r="AB109" i="1"/>
  <c r="AA109" i="1"/>
  <c r="Z109" i="1"/>
  <c r="Y109" i="1"/>
  <c r="X109" i="1"/>
  <c r="W109" i="1"/>
  <c r="AK108" i="1"/>
  <c r="AJ108" i="1"/>
  <c r="AI108" i="1"/>
  <c r="AH108" i="1"/>
  <c r="AG108" i="1"/>
  <c r="AF108" i="1"/>
  <c r="AE108" i="1"/>
  <c r="AD108" i="1"/>
  <c r="AC108" i="1"/>
  <c r="AB108" i="1"/>
  <c r="AA108" i="1"/>
  <c r="Z108" i="1"/>
  <c r="Y108" i="1"/>
  <c r="X108" i="1"/>
  <c r="W108" i="1"/>
  <c r="AK107" i="1"/>
  <c r="AJ107" i="1"/>
  <c r="AI107" i="1"/>
  <c r="AH107" i="1"/>
  <c r="AG107" i="1"/>
  <c r="AF107" i="1"/>
  <c r="AE107" i="1"/>
  <c r="AD107" i="1"/>
  <c r="AC107" i="1"/>
  <c r="AB107" i="1"/>
  <c r="AA107" i="1"/>
  <c r="Z107" i="1"/>
  <c r="Y107" i="1"/>
  <c r="X107" i="1"/>
  <c r="W107" i="1"/>
  <c r="AK106" i="1"/>
  <c r="AJ106" i="1"/>
  <c r="AI106" i="1"/>
  <c r="AH106" i="1"/>
  <c r="AG106" i="1"/>
  <c r="AF106" i="1"/>
  <c r="AE106" i="1"/>
  <c r="AD106" i="1"/>
  <c r="AC106" i="1"/>
  <c r="AB106" i="1"/>
  <c r="AA106" i="1"/>
  <c r="Z106" i="1"/>
  <c r="Y106" i="1"/>
  <c r="X106" i="1"/>
  <c r="W106" i="1"/>
  <c r="AK105" i="1"/>
  <c r="AJ105" i="1"/>
  <c r="AI105" i="1"/>
  <c r="AH105" i="1"/>
  <c r="AG105" i="1"/>
  <c r="AF105" i="1"/>
  <c r="AE105" i="1"/>
  <c r="AD105" i="1"/>
  <c r="AC105" i="1"/>
  <c r="AB105" i="1"/>
  <c r="AA105" i="1"/>
  <c r="Z105" i="1"/>
  <c r="Y105" i="1"/>
  <c r="X105" i="1"/>
  <c r="W105" i="1"/>
  <c r="AK104" i="1"/>
  <c r="AJ104" i="1"/>
  <c r="AI104" i="1"/>
  <c r="AH104" i="1"/>
  <c r="AG104" i="1"/>
  <c r="AF104" i="1"/>
  <c r="AE104" i="1"/>
  <c r="AD104" i="1"/>
  <c r="AC104" i="1"/>
  <c r="AB104" i="1"/>
  <c r="AA104" i="1"/>
  <c r="Z104" i="1"/>
  <c r="Y104" i="1"/>
  <c r="X104" i="1"/>
  <c r="W104" i="1"/>
  <c r="AK103" i="1"/>
  <c r="AJ103" i="1"/>
  <c r="AI103" i="1"/>
  <c r="AH103" i="1"/>
  <c r="AG103" i="1"/>
  <c r="AF103" i="1"/>
  <c r="AE103" i="1"/>
  <c r="AD103" i="1"/>
  <c r="AC103" i="1"/>
  <c r="AB103" i="1"/>
  <c r="AA103" i="1"/>
  <c r="Z103" i="1"/>
  <c r="Y103" i="1"/>
  <c r="X103" i="1"/>
  <c r="W103" i="1"/>
  <c r="AK102" i="1"/>
  <c r="AJ102" i="1"/>
  <c r="AI102" i="1"/>
  <c r="AH102" i="1"/>
  <c r="AG102" i="1"/>
  <c r="AF102" i="1"/>
  <c r="AE102" i="1"/>
  <c r="AD102" i="1"/>
  <c r="AC102" i="1"/>
  <c r="AB102" i="1"/>
  <c r="AA102" i="1"/>
  <c r="Z102" i="1"/>
  <c r="Y102" i="1"/>
  <c r="X102" i="1"/>
  <c r="W102" i="1"/>
  <c r="AK101" i="1"/>
  <c r="AJ101" i="1"/>
  <c r="AI101" i="1"/>
  <c r="AH101" i="1"/>
  <c r="AG101" i="1"/>
  <c r="AF101" i="1"/>
  <c r="AE101" i="1"/>
  <c r="AD101" i="1"/>
  <c r="AC101" i="1"/>
  <c r="AB101" i="1"/>
  <c r="AA101" i="1"/>
  <c r="Z101" i="1"/>
  <c r="Y101" i="1"/>
  <c r="X101" i="1"/>
  <c r="W101" i="1"/>
  <c r="AK100" i="1"/>
  <c r="AJ100" i="1"/>
  <c r="AI100" i="1"/>
  <c r="AH100" i="1"/>
  <c r="AG100" i="1"/>
  <c r="AF100" i="1"/>
  <c r="AE100" i="1"/>
  <c r="AD100" i="1"/>
  <c r="AC100" i="1"/>
  <c r="AB100" i="1"/>
  <c r="AA100" i="1"/>
  <c r="Z100" i="1"/>
  <c r="Y100" i="1"/>
  <c r="X100" i="1"/>
  <c r="W100" i="1"/>
  <c r="AK99" i="1"/>
  <c r="AJ99" i="1"/>
  <c r="AI99" i="1"/>
  <c r="AH99" i="1"/>
  <c r="AG99" i="1"/>
  <c r="AF99" i="1"/>
  <c r="AE99" i="1"/>
  <c r="AD99" i="1"/>
  <c r="AC99" i="1"/>
  <c r="AB99" i="1"/>
  <c r="AA99" i="1"/>
  <c r="Z99" i="1"/>
  <c r="Y99" i="1"/>
  <c r="X99" i="1"/>
  <c r="W99" i="1"/>
  <c r="AK98" i="1"/>
  <c r="AJ98" i="1"/>
  <c r="AI98" i="1"/>
  <c r="AH98" i="1"/>
  <c r="AG98" i="1"/>
  <c r="AF98" i="1"/>
  <c r="AE98" i="1"/>
  <c r="AD98" i="1"/>
  <c r="AC98" i="1"/>
  <c r="AB98" i="1"/>
  <c r="AA98" i="1"/>
  <c r="Z98" i="1"/>
  <c r="Y98" i="1"/>
  <c r="X98" i="1"/>
  <c r="W98" i="1"/>
  <c r="AK97" i="1"/>
  <c r="AJ97" i="1"/>
  <c r="AI97" i="1"/>
  <c r="AH97" i="1"/>
  <c r="AG97" i="1"/>
  <c r="AF97" i="1"/>
  <c r="AE97" i="1"/>
  <c r="AD97" i="1"/>
  <c r="AC97" i="1"/>
  <c r="AB97" i="1"/>
  <c r="AA97" i="1"/>
  <c r="Z97" i="1"/>
  <c r="Y97" i="1"/>
  <c r="X97" i="1"/>
  <c r="W97" i="1"/>
  <c r="AK96" i="1"/>
  <c r="AJ96" i="1"/>
  <c r="AI96" i="1"/>
  <c r="AH96" i="1"/>
  <c r="AG96" i="1"/>
  <c r="AF96" i="1"/>
  <c r="AE96" i="1"/>
  <c r="AD96" i="1"/>
  <c r="AC96" i="1"/>
  <c r="AB96" i="1"/>
  <c r="AA96" i="1"/>
  <c r="Z96" i="1"/>
  <c r="Y96" i="1"/>
  <c r="X96" i="1"/>
  <c r="W96" i="1"/>
  <c r="AK95" i="1"/>
  <c r="AJ95" i="1"/>
  <c r="AI95" i="1"/>
  <c r="AH95" i="1"/>
  <c r="AG95" i="1"/>
  <c r="AF95" i="1"/>
  <c r="AE95" i="1"/>
  <c r="AD95" i="1"/>
  <c r="AC95" i="1"/>
  <c r="AB95" i="1"/>
  <c r="AA95" i="1"/>
  <c r="Z95" i="1"/>
  <c r="Y95" i="1"/>
  <c r="X95" i="1"/>
  <c r="W95" i="1"/>
  <c r="AK94" i="1"/>
  <c r="AJ94" i="1"/>
  <c r="AI94" i="1"/>
  <c r="AH94" i="1"/>
  <c r="AG94" i="1"/>
  <c r="AF94" i="1"/>
  <c r="AE94" i="1"/>
  <c r="AD94" i="1"/>
  <c r="AC94" i="1"/>
  <c r="AB94" i="1"/>
  <c r="AA94" i="1"/>
  <c r="Z94" i="1"/>
  <c r="Y94" i="1"/>
  <c r="X94" i="1"/>
  <c r="W94" i="1"/>
  <c r="AK93" i="1"/>
  <c r="AJ93" i="1"/>
  <c r="AI93" i="1"/>
  <c r="AH93" i="1"/>
  <c r="AG93" i="1"/>
  <c r="AF93" i="1"/>
  <c r="AE93" i="1"/>
  <c r="AD93" i="1"/>
  <c r="AC93" i="1"/>
  <c r="AB93" i="1"/>
  <c r="AA93" i="1"/>
  <c r="Z93" i="1"/>
  <c r="Y93" i="1"/>
  <c r="X93" i="1"/>
  <c r="W93" i="1"/>
  <c r="AK92" i="1"/>
  <c r="AJ92" i="1"/>
  <c r="AI92" i="1"/>
  <c r="AH92" i="1"/>
  <c r="AG92" i="1"/>
  <c r="AF92" i="1"/>
  <c r="AE92" i="1"/>
  <c r="AD92" i="1"/>
  <c r="AC92" i="1"/>
  <c r="AB92" i="1"/>
  <c r="AA92" i="1"/>
  <c r="Z92" i="1"/>
  <c r="Y92" i="1"/>
  <c r="X92" i="1"/>
  <c r="W92" i="1"/>
  <c r="AK91" i="1"/>
  <c r="AJ91" i="1"/>
  <c r="AI91" i="1"/>
  <c r="AH91" i="1"/>
  <c r="AG91" i="1"/>
  <c r="AF91" i="1"/>
  <c r="AE91" i="1"/>
  <c r="AD91" i="1"/>
  <c r="AC91" i="1"/>
  <c r="AB91" i="1"/>
  <c r="AA91" i="1"/>
  <c r="Z91" i="1"/>
  <c r="Y91" i="1"/>
  <c r="X91" i="1"/>
  <c r="W91" i="1"/>
  <c r="AK90" i="1"/>
  <c r="AJ90" i="1"/>
  <c r="AI90" i="1"/>
  <c r="AH90" i="1"/>
  <c r="AG90" i="1"/>
  <c r="AF90" i="1"/>
  <c r="AE90" i="1"/>
  <c r="AD90" i="1"/>
  <c r="AC90" i="1"/>
  <c r="AB90" i="1"/>
  <c r="AA90" i="1"/>
  <c r="Z90" i="1"/>
  <c r="Y90" i="1"/>
  <c r="X90" i="1"/>
  <c r="W90" i="1"/>
  <c r="AK89" i="1"/>
  <c r="AJ89" i="1"/>
  <c r="AI89" i="1"/>
  <c r="AH89" i="1"/>
  <c r="AG89" i="1"/>
  <c r="AF89" i="1"/>
  <c r="AE89" i="1"/>
  <c r="AD89" i="1"/>
  <c r="AC89" i="1"/>
  <c r="AB89" i="1"/>
  <c r="AA89" i="1"/>
  <c r="Z89" i="1"/>
  <c r="Y89" i="1"/>
  <c r="X89" i="1"/>
  <c r="W89" i="1"/>
  <c r="AK88" i="1"/>
  <c r="AJ88" i="1"/>
  <c r="AI88" i="1"/>
  <c r="AH88" i="1"/>
  <c r="AG88" i="1"/>
  <c r="AF88" i="1"/>
  <c r="AE88" i="1"/>
  <c r="AD88" i="1"/>
  <c r="AC88" i="1"/>
  <c r="AB88" i="1"/>
  <c r="AA88" i="1"/>
  <c r="Z88" i="1"/>
  <c r="Y88" i="1"/>
  <c r="X88" i="1"/>
  <c r="W88" i="1"/>
  <c r="AK87" i="1"/>
  <c r="AJ87" i="1"/>
  <c r="AI87" i="1"/>
  <c r="AH87" i="1"/>
  <c r="AG87" i="1"/>
  <c r="AF87" i="1"/>
  <c r="AE87" i="1"/>
  <c r="AD87" i="1"/>
  <c r="AC87" i="1"/>
  <c r="AB87" i="1"/>
  <c r="AA87" i="1"/>
  <c r="Z87" i="1"/>
  <c r="Y87" i="1"/>
  <c r="X87" i="1"/>
  <c r="W87" i="1"/>
  <c r="AK86" i="1"/>
  <c r="AJ86" i="1"/>
  <c r="AI86" i="1"/>
  <c r="AH86" i="1"/>
  <c r="AG86" i="1"/>
  <c r="AF86" i="1"/>
  <c r="AE86" i="1"/>
  <c r="AD86" i="1"/>
  <c r="AC86" i="1"/>
  <c r="AB86" i="1"/>
  <c r="AA86" i="1"/>
  <c r="Z86" i="1"/>
  <c r="Y86" i="1"/>
  <c r="X86" i="1"/>
  <c r="W86" i="1"/>
  <c r="AK85" i="1"/>
  <c r="AJ85" i="1"/>
  <c r="AI85" i="1"/>
  <c r="AH85" i="1"/>
  <c r="AG85" i="1"/>
  <c r="AF85" i="1"/>
  <c r="AE85" i="1"/>
  <c r="AD85" i="1"/>
  <c r="AC85" i="1"/>
  <c r="AB85" i="1"/>
  <c r="AA85" i="1"/>
  <c r="Z85" i="1"/>
  <c r="Y85" i="1"/>
  <c r="X85" i="1"/>
  <c r="W85" i="1"/>
  <c r="AK84" i="1"/>
  <c r="AJ84" i="1"/>
  <c r="AI84" i="1"/>
  <c r="AH84" i="1"/>
  <c r="AG84" i="1"/>
  <c r="AF84" i="1"/>
  <c r="AE84" i="1"/>
  <c r="AD84" i="1"/>
  <c r="AC84" i="1"/>
  <c r="AB84" i="1"/>
  <c r="AA84" i="1"/>
  <c r="Z84" i="1"/>
  <c r="Y84" i="1"/>
  <c r="X84" i="1"/>
  <c r="W84" i="1"/>
  <c r="AK83" i="1"/>
  <c r="AJ83" i="1"/>
  <c r="AI83" i="1"/>
  <c r="AH83" i="1"/>
  <c r="AG83" i="1"/>
  <c r="AF83" i="1"/>
  <c r="AE83" i="1"/>
  <c r="AD83" i="1"/>
  <c r="AC83" i="1"/>
  <c r="AB83" i="1"/>
  <c r="AA83" i="1"/>
  <c r="Z83" i="1"/>
  <c r="Y83" i="1"/>
  <c r="X83" i="1"/>
  <c r="W83" i="1"/>
  <c r="AK82" i="1"/>
  <c r="AJ82" i="1"/>
  <c r="AI82" i="1"/>
  <c r="AH82" i="1"/>
  <c r="AG82" i="1"/>
  <c r="AF82" i="1"/>
  <c r="AE82" i="1"/>
  <c r="AD82" i="1"/>
  <c r="AC82" i="1"/>
  <c r="AB82" i="1"/>
  <c r="AA82" i="1"/>
  <c r="Z82" i="1"/>
  <c r="Y82" i="1"/>
  <c r="X82" i="1"/>
  <c r="W82" i="1"/>
  <c r="AK81" i="1"/>
  <c r="AJ81" i="1"/>
  <c r="AI81" i="1"/>
  <c r="AH81" i="1"/>
  <c r="AG81" i="1"/>
  <c r="AF81" i="1"/>
  <c r="AE81" i="1"/>
  <c r="AD81" i="1"/>
  <c r="AC81" i="1"/>
  <c r="AB81" i="1"/>
  <c r="AA81" i="1"/>
  <c r="Z81" i="1"/>
  <c r="Y81" i="1"/>
  <c r="X81" i="1"/>
  <c r="W81" i="1"/>
  <c r="AK80" i="1"/>
  <c r="AJ80" i="1"/>
  <c r="AI80" i="1"/>
  <c r="AH80" i="1"/>
  <c r="AG80" i="1"/>
  <c r="AF80" i="1"/>
  <c r="AE80" i="1"/>
  <c r="AD80" i="1"/>
  <c r="AC80" i="1"/>
  <c r="AB80" i="1"/>
  <c r="AA80" i="1"/>
  <c r="Z80" i="1"/>
  <c r="Y80" i="1"/>
  <c r="X80" i="1"/>
  <c r="W80" i="1"/>
  <c r="AK79" i="1"/>
  <c r="AJ79" i="1"/>
  <c r="AI79" i="1"/>
  <c r="AH79" i="1"/>
  <c r="AG79" i="1"/>
  <c r="AF79" i="1"/>
  <c r="AE79" i="1"/>
  <c r="AD79" i="1"/>
  <c r="AC79" i="1"/>
  <c r="AB79" i="1"/>
  <c r="AA79" i="1"/>
  <c r="Z79" i="1"/>
  <c r="Y79" i="1"/>
  <c r="X79" i="1"/>
  <c r="W79" i="1"/>
  <c r="AK78" i="1"/>
  <c r="AJ78" i="1"/>
  <c r="AI78" i="1"/>
  <c r="AH78" i="1"/>
  <c r="AG78" i="1"/>
  <c r="AF78" i="1"/>
  <c r="AE78" i="1"/>
  <c r="AD78" i="1"/>
  <c r="AC78" i="1"/>
  <c r="AB78" i="1"/>
  <c r="AA78" i="1"/>
  <c r="Z78" i="1"/>
  <c r="Y78" i="1"/>
  <c r="X78" i="1"/>
  <c r="W78" i="1"/>
  <c r="AK77" i="1"/>
  <c r="AJ77" i="1"/>
  <c r="AI77" i="1"/>
  <c r="AH77" i="1"/>
  <c r="AG77" i="1"/>
  <c r="AF77" i="1"/>
  <c r="AE77" i="1"/>
  <c r="AD77" i="1"/>
  <c r="AC77" i="1"/>
  <c r="AB77" i="1"/>
  <c r="AA77" i="1"/>
  <c r="Z77" i="1"/>
  <c r="Y77" i="1"/>
  <c r="X77" i="1"/>
  <c r="W77" i="1"/>
  <c r="AK76" i="1"/>
  <c r="AJ76" i="1"/>
  <c r="AI76" i="1"/>
  <c r="AH76" i="1"/>
  <c r="AG76" i="1"/>
  <c r="AF76" i="1"/>
  <c r="AE76" i="1"/>
  <c r="AD76" i="1"/>
  <c r="AC76" i="1"/>
  <c r="AB76" i="1"/>
  <c r="AA76" i="1"/>
  <c r="Z76" i="1"/>
  <c r="Y76" i="1"/>
  <c r="X76" i="1"/>
  <c r="W76" i="1"/>
  <c r="AK75" i="1"/>
  <c r="AJ75" i="1"/>
  <c r="AI75" i="1"/>
  <c r="AH75" i="1"/>
  <c r="AG75" i="1"/>
  <c r="AF75" i="1"/>
  <c r="AE75" i="1"/>
  <c r="AD75" i="1"/>
  <c r="AC75" i="1"/>
  <c r="AB75" i="1"/>
  <c r="AA75" i="1"/>
  <c r="Z75" i="1"/>
  <c r="Y75" i="1"/>
  <c r="X75" i="1"/>
  <c r="W75" i="1"/>
  <c r="AK74" i="1"/>
  <c r="AJ74" i="1"/>
  <c r="AI74" i="1"/>
  <c r="AH74" i="1"/>
  <c r="AG74" i="1"/>
  <c r="AF74" i="1"/>
  <c r="AE74" i="1"/>
  <c r="AD74" i="1"/>
  <c r="AC74" i="1"/>
  <c r="AB74" i="1"/>
  <c r="AA74" i="1"/>
  <c r="Z74" i="1"/>
  <c r="Y74" i="1"/>
  <c r="X74" i="1"/>
  <c r="W74" i="1"/>
  <c r="AK73" i="1"/>
  <c r="AJ73" i="1"/>
  <c r="AI73" i="1"/>
  <c r="AH73" i="1"/>
  <c r="AG73" i="1"/>
  <c r="AF73" i="1"/>
  <c r="AE73" i="1"/>
  <c r="AD73" i="1"/>
  <c r="AC73" i="1"/>
  <c r="AB73" i="1"/>
  <c r="AA73" i="1"/>
  <c r="Z73" i="1"/>
  <c r="Y73" i="1"/>
  <c r="X73" i="1"/>
  <c r="W73" i="1"/>
  <c r="AK72" i="1"/>
  <c r="AJ72" i="1"/>
  <c r="AI72" i="1"/>
  <c r="AH72" i="1"/>
  <c r="AG72" i="1"/>
  <c r="AF72" i="1"/>
  <c r="AE72" i="1"/>
  <c r="AD72" i="1"/>
  <c r="AC72" i="1"/>
  <c r="AB72" i="1"/>
  <c r="AA72" i="1"/>
  <c r="Z72" i="1"/>
  <c r="Y72" i="1"/>
  <c r="X72" i="1"/>
  <c r="W72" i="1"/>
  <c r="AK71" i="1"/>
  <c r="AJ71" i="1"/>
  <c r="AI71" i="1"/>
  <c r="AH71" i="1"/>
  <c r="AG71" i="1"/>
  <c r="AF71" i="1"/>
  <c r="AE71" i="1"/>
  <c r="AD71" i="1"/>
  <c r="AC71" i="1"/>
  <c r="AB71" i="1"/>
  <c r="AA71" i="1"/>
  <c r="Z71" i="1"/>
  <c r="Y71" i="1"/>
  <c r="X71" i="1"/>
  <c r="W71" i="1"/>
  <c r="AK70" i="1"/>
  <c r="AJ70" i="1"/>
  <c r="AI70" i="1"/>
  <c r="AH70" i="1"/>
  <c r="AG70" i="1"/>
  <c r="AF70" i="1"/>
  <c r="AE70" i="1"/>
  <c r="AD70" i="1"/>
  <c r="AC70" i="1"/>
  <c r="AB70" i="1"/>
  <c r="AA70" i="1"/>
  <c r="Z70" i="1"/>
  <c r="Y70" i="1"/>
  <c r="X70" i="1"/>
  <c r="W70" i="1"/>
  <c r="AK69" i="1"/>
  <c r="AJ69" i="1"/>
  <c r="AI69" i="1"/>
  <c r="AH69" i="1"/>
  <c r="AG69" i="1"/>
  <c r="AF69" i="1"/>
  <c r="AE69" i="1"/>
  <c r="AD69" i="1"/>
  <c r="AC69" i="1"/>
  <c r="AB69" i="1"/>
  <c r="AA69" i="1"/>
  <c r="Z69" i="1"/>
  <c r="Y69" i="1"/>
  <c r="X69" i="1"/>
  <c r="W69" i="1"/>
  <c r="AK68" i="1"/>
  <c r="AJ68" i="1"/>
  <c r="AI68" i="1"/>
  <c r="AH68" i="1"/>
  <c r="AG68" i="1"/>
  <c r="AF68" i="1"/>
  <c r="AE68" i="1"/>
  <c r="AD68" i="1"/>
  <c r="AC68" i="1"/>
  <c r="AB68" i="1"/>
  <c r="AA68" i="1"/>
  <c r="Z68" i="1"/>
  <c r="Y68" i="1"/>
  <c r="X68" i="1"/>
  <c r="W68" i="1"/>
  <c r="AK67" i="1"/>
  <c r="AJ67" i="1"/>
  <c r="AI67" i="1"/>
  <c r="AH67" i="1"/>
  <c r="AG67" i="1"/>
  <c r="AF67" i="1"/>
  <c r="AE67" i="1"/>
  <c r="AD67" i="1"/>
  <c r="AC67" i="1"/>
  <c r="AB67" i="1"/>
  <c r="AA67" i="1"/>
  <c r="Z67" i="1"/>
  <c r="Y67" i="1"/>
  <c r="X67" i="1"/>
  <c r="W67" i="1"/>
  <c r="AK66" i="1"/>
  <c r="AJ66" i="1"/>
  <c r="AI66" i="1"/>
  <c r="AH66" i="1"/>
  <c r="AG66" i="1"/>
  <c r="AF66" i="1"/>
  <c r="AE66" i="1"/>
  <c r="AD66" i="1"/>
  <c r="AC66" i="1"/>
  <c r="AB66" i="1"/>
  <c r="AA66" i="1"/>
  <c r="Z66" i="1"/>
  <c r="Y66" i="1"/>
  <c r="X66" i="1"/>
  <c r="W66" i="1"/>
  <c r="AK65" i="1"/>
  <c r="AJ65" i="1"/>
  <c r="AI65" i="1"/>
  <c r="AH65" i="1"/>
  <c r="AG65" i="1"/>
  <c r="AF65" i="1"/>
  <c r="AE65" i="1"/>
  <c r="AD65" i="1"/>
  <c r="AC65" i="1"/>
  <c r="AB65" i="1"/>
  <c r="AA65" i="1"/>
  <c r="Z65" i="1"/>
  <c r="Y65" i="1"/>
  <c r="X65" i="1"/>
  <c r="W65" i="1"/>
  <c r="AK64" i="1"/>
  <c r="AJ64" i="1"/>
  <c r="AI64" i="1"/>
  <c r="AH64" i="1"/>
  <c r="AG64" i="1"/>
  <c r="AF64" i="1"/>
  <c r="AE64" i="1"/>
  <c r="AD64" i="1"/>
  <c r="AC64" i="1"/>
  <c r="AB64" i="1"/>
  <c r="AA64" i="1"/>
  <c r="Z64" i="1"/>
  <c r="Y64" i="1"/>
  <c r="X64" i="1"/>
  <c r="W64" i="1"/>
  <c r="AK63" i="1"/>
  <c r="AJ63" i="1"/>
  <c r="AI63" i="1"/>
  <c r="AH63" i="1"/>
  <c r="AG63" i="1"/>
  <c r="AF63" i="1"/>
  <c r="AE63" i="1"/>
  <c r="AD63" i="1"/>
  <c r="AC63" i="1"/>
  <c r="AB63" i="1"/>
  <c r="AA63" i="1"/>
  <c r="Z63" i="1"/>
  <c r="Y63" i="1"/>
  <c r="X63" i="1"/>
  <c r="W63" i="1"/>
  <c r="AK62" i="1"/>
  <c r="AJ62" i="1"/>
  <c r="AI62" i="1"/>
  <c r="AH62" i="1"/>
  <c r="AG62" i="1"/>
  <c r="AF62" i="1"/>
  <c r="AE62" i="1"/>
  <c r="AD62" i="1"/>
  <c r="AC62" i="1"/>
  <c r="AB62" i="1"/>
  <c r="AA62" i="1"/>
  <c r="Z62" i="1"/>
  <c r="Y62" i="1"/>
  <c r="X62" i="1"/>
  <c r="W62" i="1"/>
  <c r="AK61" i="1"/>
  <c r="AJ61" i="1"/>
  <c r="AI61" i="1"/>
  <c r="AH61" i="1"/>
  <c r="AG61" i="1"/>
  <c r="AF61" i="1"/>
  <c r="AE61" i="1"/>
  <c r="AD61" i="1"/>
  <c r="AC61" i="1"/>
  <c r="AB61" i="1"/>
  <c r="AA61" i="1"/>
  <c r="Z61" i="1"/>
  <c r="Y61" i="1"/>
  <c r="X61" i="1"/>
  <c r="W61" i="1"/>
  <c r="AK60" i="1"/>
  <c r="AJ60" i="1"/>
  <c r="AI60" i="1"/>
  <c r="AH60" i="1"/>
  <c r="AG60" i="1"/>
  <c r="AF60" i="1"/>
  <c r="AE60" i="1"/>
  <c r="AD60" i="1"/>
  <c r="AC60" i="1"/>
  <c r="AB60" i="1"/>
  <c r="AA60" i="1"/>
  <c r="Z60" i="1"/>
  <c r="Y60" i="1"/>
  <c r="X60" i="1"/>
  <c r="W60" i="1"/>
  <c r="AK59" i="1"/>
  <c r="AJ59" i="1"/>
  <c r="AI59" i="1"/>
  <c r="AH59" i="1"/>
  <c r="AG59" i="1"/>
  <c r="AF59" i="1"/>
  <c r="AE59" i="1"/>
  <c r="AD59" i="1"/>
  <c r="AC59" i="1"/>
  <c r="AB59" i="1"/>
  <c r="AA59" i="1"/>
  <c r="Z59" i="1"/>
  <c r="Y59" i="1"/>
  <c r="X59" i="1"/>
  <c r="W59" i="1"/>
  <c r="AK58" i="1"/>
  <c r="AJ58" i="1"/>
  <c r="AI58" i="1"/>
  <c r="AH58" i="1"/>
  <c r="AG58" i="1"/>
  <c r="AF58" i="1"/>
  <c r="AE58" i="1"/>
  <c r="AD58" i="1"/>
  <c r="AC58" i="1"/>
  <c r="AB58" i="1"/>
  <c r="AA58" i="1"/>
  <c r="Z58" i="1"/>
  <c r="Y58" i="1"/>
  <c r="X58" i="1"/>
  <c r="W58" i="1"/>
  <c r="AK57" i="1"/>
  <c r="AJ57" i="1"/>
  <c r="AI57" i="1"/>
  <c r="AH57" i="1"/>
  <c r="AG57" i="1"/>
  <c r="AF57" i="1"/>
  <c r="AE57" i="1"/>
  <c r="AD57" i="1"/>
  <c r="AC57" i="1"/>
  <c r="AB57" i="1"/>
  <c r="AA57" i="1"/>
  <c r="Z57" i="1"/>
  <c r="Y57" i="1"/>
  <c r="X57" i="1"/>
  <c r="W57" i="1"/>
  <c r="AK56" i="1"/>
  <c r="AJ56" i="1"/>
  <c r="AI56" i="1"/>
  <c r="AH56" i="1"/>
  <c r="AG56" i="1"/>
  <c r="AF56" i="1"/>
  <c r="AE56" i="1"/>
  <c r="AD56" i="1"/>
  <c r="AC56" i="1"/>
  <c r="AB56" i="1"/>
  <c r="AA56" i="1"/>
  <c r="Z56" i="1"/>
  <c r="Y56" i="1"/>
  <c r="X56" i="1"/>
  <c r="W56" i="1"/>
  <c r="AK55" i="1"/>
  <c r="AJ55" i="1"/>
  <c r="AI55" i="1"/>
  <c r="AH55" i="1"/>
  <c r="AG55" i="1"/>
  <c r="AF55" i="1"/>
  <c r="AE55" i="1"/>
  <c r="AD55" i="1"/>
  <c r="AC55" i="1"/>
  <c r="AB55" i="1"/>
  <c r="AA55" i="1"/>
  <c r="Z55" i="1"/>
  <c r="Y55" i="1"/>
  <c r="X55" i="1"/>
  <c r="W55" i="1"/>
  <c r="AK54" i="1"/>
  <c r="AJ54" i="1"/>
  <c r="AI54" i="1"/>
  <c r="AH54" i="1"/>
  <c r="AG54" i="1"/>
  <c r="AF54" i="1"/>
  <c r="AE54" i="1"/>
  <c r="AD54" i="1"/>
  <c r="AC54" i="1"/>
  <c r="AB54" i="1"/>
  <c r="AA54" i="1"/>
  <c r="Z54" i="1"/>
  <c r="Y54" i="1"/>
  <c r="X54" i="1"/>
  <c r="W54" i="1"/>
  <c r="AK53" i="1"/>
  <c r="AJ53" i="1"/>
  <c r="AI53" i="1"/>
  <c r="AH53" i="1"/>
  <c r="AG53" i="1"/>
  <c r="AF53" i="1"/>
  <c r="AE53" i="1"/>
  <c r="AD53" i="1"/>
  <c r="AC53" i="1"/>
  <c r="AB53" i="1"/>
  <c r="AA53" i="1"/>
  <c r="Z53" i="1"/>
  <c r="Y53" i="1"/>
  <c r="X53" i="1"/>
  <c r="W53" i="1"/>
  <c r="AK52" i="1"/>
  <c r="AJ52" i="1"/>
  <c r="AI52" i="1"/>
  <c r="AH52" i="1"/>
  <c r="AG52" i="1"/>
  <c r="AF52" i="1"/>
  <c r="AE52" i="1"/>
  <c r="AD52" i="1"/>
  <c r="AC52" i="1"/>
  <c r="AB52" i="1"/>
  <c r="AA52" i="1"/>
  <c r="Z52" i="1"/>
  <c r="Y52" i="1"/>
  <c r="X52" i="1"/>
  <c r="W52" i="1"/>
  <c r="AK51" i="1"/>
  <c r="AJ51" i="1"/>
  <c r="AI51" i="1"/>
  <c r="AH51" i="1"/>
  <c r="AG51" i="1"/>
  <c r="AF51" i="1"/>
  <c r="AE51" i="1"/>
  <c r="AD51" i="1"/>
  <c r="AC51" i="1"/>
  <c r="AB51" i="1"/>
  <c r="AA51" i="1"/>
  <c r="Z51" i="1"/>
  <c r="Y51" i="1"/>
  <c r="X51" i="1"/>
  <c r="W51" i="1"/>
  <c r="AK50" i="1"/>
  <c r="AJ50" i="1"/>
  <c r="AI50" i="1"/>
  <c r="AH50" i="1"/>
  <c r="AG50" i="1"/>
  <c r="AF50" i="1"/>
  <c r="AE50" i="1"/>
  <c r="AD50" i="1"/>
  <c r="AC50" i="1"/>
  <c r="AB50" i="1"/>
  <c r="AA50" i="1"/>
  <c r="Z50" i="1"/>
  <c r="Y50" i="1"/>
  <c r="X50" i="1"/>
  <c r="W50" i="1"/>
  <c r="AK49" i="1"/>
  <c r="AJ49" i="1"/>
  <c r="AI49" i="1"/>
  <c r="AH49" i="1"/>
  <c r="AG49" i="1"/>
  <c r="AF49" i="1"/>
  <c r="AE49" i="1"/>
  <c r="AD49" i="1"/>
  <c r="AC49" i="1"/>
  <c r="AB49" i="1"/>
  <c r="AA49" i="1"/>
  <c r="Z49" i="1"/>
  <c r="Y49" i="1"/>
  <c r="X49" i="1"/>
  <c r="W49" i="1"/>
  <c r="AK48" i="1"/>
  <c r="AJ48" i="1"/>
  <c r="AI48" i="1"/>
  <c r="AH48" i="1"/>
  <c r="AG48" i="1"/>
  <c r="AF48" i="1"/>
  <c r="AE48" i="1"/>
  <c r="AD48" i="1"/>
  <c r="AC48" i="1"/>
  <c r="AB48" i="1"/>
  <c r="AA48" i="1"/>
  <c r="Z48" i="1"/>
  <c r="Y48" i="1"/>
  <c r="X48" i="1"/>
  <c r="W48" i="1"/>
  <c r="AK47" i="1"/>
  <c r="AJ47" i="1"/>
  <c r="AI47" i="1"/>
  <c r="AH47" i="1"/>
  <c r="AG47" i="1"/>
  <c r="AF47" i="1"/>
  <c r="AE47" i="1"/>
  <c r="AD47" i="1"/>
  <c r="AC47" i="1"/>
  <c r="AB47" i="1"/>
  <c r="AA47" i="1"/>
  <c r="Z47" i="1"/>
  <c r="Y47" i="1"/>
  <c r="X47" i="1"/>
  <c r="W47" i="1"/>
  <c r="AK46" i="1"/>
  <c r="AJ46" i="1"/>
  <c r="AI46" i="1"/>
  <c r="AH46" i="1"/>
  <c r="AG46" i="1"/>
  <c r="AF46" i="1"/>
  <c r="AE46" i="1"/>
  <c r="AD46" i="1"/>
  <c r="AC46" i="1"/>
  <c r="AB46" i="1"/>
  <c r="AA46" i="1"/>
  <c r="Z46" i="1"/>
  <c r="Y46" i="1"/>
  <c r="X46" i="1"/>
  <c r="W46" i="1"/>
  <c r="AK45" i="1"/>
  <c r="AJ45" i="1"/>
  <c r="AI45" i="1"/>
  <c r="AH45" i="1"/>
  <c r="AG45" i="1"/>
  <c r="AF45" i="1"/>
  <c r="AE45" i="1"/>
  <c r="AD45" i="1"/>
  <c r="AC45" i="1"/>
  <c r="AB45" i="1"/>
  <c r="AA45" i="1"/>
  <c r="Z45" i="1"/>
  <c r="Y45" i="1"/>
  <c r="X45" i="1"/>
  <c r="W45" i="1"/>
  <c r="AK44" i="1"/>
  <c r="AJ44" i="1"/>
  <c r="AI44" i="1"/>
  <c r="AH44" i="1"/>
  <c r="AG44" i="1"/>
  <c r="AF44" i="1"/>
  <c r="AE44" i="1"/>
  <c r="AD44" i="1"/>
  <c r="AC44" i="1"/>
  <c r="AB44" i="1"/>
  <c r="AA44" i="1"/>
  <c r="Z44" i="1"/>
  <c r="Y44" i="1"/>
  <c r="X44" i="1"/>
  <c r="W44" i="1"/>
  <c r="AK43" i="1"/>
  <c r="AJ43" i="1"/>
  <c r="AI43" i="1"/>
  <c r="AH43" i="1"/>
  <c r="AG43" i="1"/>
  <c r="AF43" i="1"/>
  <c r="AE43" i="1"/>
  <c r="AD43" i="1"/>
  <c r="AC43" i="1"/>
  <c r="AB43" i="1"/>
  <c r="AA43" i="1"/>
  <c r="Z43" i="1"/>
  <c r="Y43" i="1"/>
  <c r="X43" i="1"/>
  <c r="W43" i="1"/>
  <c r="AK42" i="1"/>
  <c r="AJ42" i="1"/>
  <c r="AI42" i="1"/>
  <c r="AH42" i="1"/>
  <c r="AG42" i="1"/>
  <c r="AF42" i="1"/>
  <c r="AE42" i="1"/>
  <c r="AD42" i="1"/>
  <c r="AC42" i="1"/>
  <c r="AB42" i="1"/>
  <c r="AA42" i="1"/>
  <c r="Z42" i="1"/>
  <c r="Y42" i="1"/>
  <c r="X42" i="1"/>
  <c r="W42" i="1"/>
  <c r="AK41" i="1"/>
  <c r="AJ41" i="1"/>
  <c r="AI41" i="1"/>
  <c r="AH41" i="1"/>
  <c r="AG41" i="1"/>
  <c r="AF41" i="1"/>
  <c r="AE41" i="1"/>
  <c r="AD41" i="1"/>
  <c r="AC41" i="1"/>
  <c r="AB41" i="1"/>
  <c r="AA41" i="1"/>
  <c r="Z41" i="1"/>
  <c r="Y41" i="1"/>
  <c r="X41" i="1"/>
  <c r="W41" i="1"/>
  <c r="AK40" i="1"/>
  <c r="AJ40" i="1"/>
  <c r="AI40" i="1"/>
  <c r="AH40" i="1"/>
  <c r="AG40" i="1"/>
  <c r="AF40" i="1"/>
  <c r="AE40" i="1"/>
  <c r="AD40" i="1"/>
  <c r="AC40" i="1"/>
  <c r="AB40" i="1"/>
  <c r="AA40" i="1"/>
  <c r="Z40" i="1"/>
  <c r="Y40" i="1"/>
  <c r="X40" i="1"/>
  <c r="W40" i="1"/>
  <c r="AK39" i="1"/>
  <c r="AJ39" i="1"/>
  <c r="AI39" i="1"/>
  <c r="AH39" i="1"/>
  <c r="AG39" i="1"/>
  <c r="AF39" i="1"/>
  <c r="AE39" i="1"/>
  <c r="AD39" i="1"/>
  <c r="AC39" i="1"/>
  <c r="AB39" i="1"/>
  <c r="AA39" i="1"/>
  <c r="Z39" i="1"/>
  <c r="Y39" i="1"/>
  <c r="X39" i="1"/>
  <c r="W39" i="1"/>
  <c r="AK38" i="1"/>
  <c r="AJ38" i="1"/>
  <c r="AI38" i="1"/>
  <c r="AH38" i="1"/>
  <c r="AG38" i="1"/>
  <c r="AF38" i="1"/>
  <c r="AE38" i="1"/>
  <c r="AD38" i="1"/>
  <c r="AC38" i="1"/>
  <c r="AB38" i="1"/>
  <c r="AA38" i="1"/>
  <c r="Z38" i="1"/>
  <c r="Y38" i="1"/>
  <c r="X38" i="1"/>
  <c r="W38" i="1"/>
  <c r="AK37" i="1"/>
  <c r="AJ37" i="1"/>
  <c r="AI37" i="1"/>
  <c r="AH37" i="1"/>
  <c r="AG37" i="1"/>
  <c r="AF37" i="1"/>
  <c r="AE37" i="1"/>
  <c r="AD37" i="1"/>
  <c r="AC37" i="1"/>
  <c r="AB37" i="1"/>
  <c r="AA37" i="1"/>
  <c r="Z37" i="1"/>
  <c r="Y37" i="1"/>
  <c r="X37" i="1"/>
  <c r="W37" i="1"/>
  <c r="AK36" i="1"/>
  <c r="AJ36" i="1"/>
  <c r="AI36" i="1"/>
  <c r="AH36" i="1"/>
  <c r="AG36" i="1"/>
  <c r="AF36" i="1"/>
  <c r="AE36" i="1"/>
  <c r="AD36" i="1"/>
  <c r="AC36" i="1"/>
  <c r="AB36" i="1"/>
  <c r="AA36" i="1"/>
  <c r="Z36" i="1"/>
  <c r="Y36" i="1"/>
  <c r="X36" i="1"/>
  <c r="W36" i="1"/>
  <c r="AK35" i="1"/>
  <c r="AJ35" i="1"/>
  <c r="AI35" i="1"/>
  <c r="AH35" i="1"/>
  <c r="AG35" i="1"/>
  <c r="AF35" i="1"/>
  <c r="AE35" i="1"/>
  <c r="AD35" i="1"/>
  <c r="AC35" i="1"/>
  <c r="AB35" i="1"/>
  <c r="AA35" i="1"/>
  <c r="Z35" i="1"/>
  <c r="Y35" i="1"/>
  <c r="X35" i="1"/>
  <c r="W35" i="1"/>
  <c r="AK34" i="1"/>
  <c r="AJ34" i="1"/>
  <c r="AI34" i="1"/>
  <c r="AH34" i="1"/>
  <c r="AG34" i="1"/>
  <c r="AF34" i="1"/>
  <c r="AE34" i="1"/>
  <c r="AD34" i="1"/>
  <c r="AC34" i="1"/>
  <c r="AB34" i="1"/>
  <c r="AA34" i="1"/>
  <c r="Z34" i="1"/>
  <c r="Y34" i="1"/>
  <c r="X34" i="1"/>
  <c r="W34" i="1"/>
  <c r="AK33" i="1"/>
  <c r="AJ33" i="1"/>
  <c r="AI33" i="1"/>
  <c r="AH33" i="1"/>
  <c r="AG33" i="1"/>
  <c r="AF33" i="1"/>
  <c r="AE33" i="1"/>
  <c r="AD33" i="1"/>
  <c r="AC33" i="1"/>
  <c r="AB33" i="1"/>
  <c r="AA33" i="1"/>
  <c r="Z33" i="1"/>
  <c r="Y33" i="1"/>
  <c r="X33" i="1"/>
  <c r="W33" i="1"/>
  <c r="AK32" i="1"/>
  <c r="AJ32" i="1"/>
  <c r="AI32" i="1"/>
  <c r="AH32" i="1"/>
  <c r="AG32" i="1"/>
  <c r="AF32" i="1"/>
  <c r="AE32" i="1"/>
  <c r="AD32" i="1"/>
  <c r="AC32" i="1"/>
  <c r="AB32" i="1"/>
  <c r="AA32" i="1"/>
  <c r="Z32" i="1"/>
  <c r="Y32" i="1"/>
  <c r="X32" i="1"/>
  <c r="W32" i="1"/>
  <c r="AK31" i="1"/>
  <c r="AJ31" i="1"/>
  <c r="AI31" i="1"/>
  <c r="AH31" i="1"/>
  <c r="AG31" i="1"/>
  <c r="AF31" i="1"/>
  <c r="AE31" i="1"/>
  <c r="AD31" i="1"/>
  <c r="AC31" i="1"/>
  <c r="AB31" i="1"/>
  <c r="AA31" i="1"/>
  <c r="Z31" i="1"/>
  <c r="Y31" i="1"/>
  <c r="X31" i="1"/>
  <c r="W31" i="1"/>
  <c r="AK30" i="1"/>
  <c r="AJ30" i="1"/>
  <c r="AI30" i="1"/>
  <c r="AH30" i="1"/>
  <c r="AG30" i="1"/>
  <c r="AF30" i="1"/>
  <c r="AE30" i="1"/>
  <c r="AD30" i="1"/>
  <c r="AC30" i="1"/>
  <c r="AB30" i="1"/>
  <c r="AA30" i="1"/>
  <c r="Z30" i="1"/>
  <c r="Y30" i="1"/>
  <c r="X30" i="1"/>
  <c r="W30" i="1"/>
  <c r="AK29" i="1"/>
  <c r="AJ29" i="1"/>
  <c r="AI29" i="1"/>
  <c r="AH29" i="1"/>
  <c r="AG29" i="1"/>
  <c r="AF29" i="1"/>
  <c r="AE29" i="1"/>
  <c r="AD29" i="1"/>
  <c r="AC29" i="1"/>
  <c r="AB29" i="1"/>
  <c r="AA29" i="1"/>
  <c r="Z29" i="1"/>
  <c r="Y29" i="1"/>
  <c r="X29" i="1"/>
  <c r="W29" i="1"/>
  <c r="AK28" i="1"/>
  <c r="AJ28" i="1"/>
  <c r="AI28" i="1"/>
  <c r="AH28" i="1"/>
  <c r="AG28" i="1"/>
  <c r="AF28" i="1"/>
  <c r="AE28" i="1"/>
  <c r="AD28" i="1"/>
  <c r="AC28" i="1"/>
  <c r="AB28" i="1"/>
  <c r="AA28" i="1"/>
  <c r="Z28" i="1"/>
  <c r="Y28" i="1"/>
  <c r="X28" i="1"/>
  <c r="W28" i="1"/>
  <c r="AK27" i="1"/>
  <c r="AJ27" i="1"/>
  <c r="AI27" i="1"/>
  <c r="AH27" i="1"/>
  <c r="AG27" i="1"/>
  <c r="AF27" i="1"/>
  <c r="AE27" i="1"/>
  <c r="AD27" i="1"/>
  <c r="AC27" i="1"/>
  <c r="AB27" i="1"/>
  <c r="AA27" i="1"/>
  <c r="Z27" i="1"/>
  <c r="Y27" i="1"/>
  <c r="X27" i="1"/>
  <c r="W27" i="1"/>
  <c r="AK26" i="1"/>
  <c r="AJ26" i="1"/>
  <c r="AI26" i="1"/>
  <c r="AH26" i="1"/>
  <c r="AG26" i="1"/>
  <c r="AF26" i="1"/>
  <c r="AE26" i="1"/>
  <c r="AD26" i="1"/>
  <c r="AC26" i="1"/>
  <c r="AB26" i="1"/>
  <c r="AA26" i="1"/>
  <c r="Z26" i="1"/>
  <c r="Y26" i="1"/>
  <c r="X26" i="1"/>
  <c r="W26" i="1"/>
  <c r="AK25" i="1"/>
  <c r="AJ25" i="1"/>
  <c r="AI25" i="1"/>
  <c r="AH25" i="1"/>
  <c r="AG25" i="1"/>
  <c r="AF25" i="1"/>
  <c r="AE25" i="1"/>
  <c r="AD25" i="1"/>
  <c r="AC25" i="1"/>
  <c r="AB25" i="1"/>
  <c r="AA25" i="1"/>
  <c r="Z25" i="1"/>
  <c r="Y25" i="1"/>
  <c r="X25" i="1"/>
  <c r="W25" i="1"/>
  <c r="AK24" i="1"/>
  <c r="AJ24" i="1"/>
  <c r="AI24" i="1"/>
  <c r="AH24" i="1"/>
  <c r="AG24" i="1"/>
  <c r="AF24" i="1"/>
  <c r="AE24" i="1"/>
  <c r="AD24" i="1"/>
  <c r="AC24" i="1"/>
  <c r="AB24" i="1"/>
  <c r="AA24" i="1"/>
  <c r="Z24" i="1"/>
  <c r="Y24" i="1"/>
  <c r="X24" i="1"/>
  <c r="W24" i="1"/>
  <c r="AK23" i="1"/>
  <c r="AJ23" i="1"/>
  <c r="AI23" i="1"/>
  <c r="AH23" i="1"/>
  <c r="AG23" i="1"/>
  <c r="AF23" i="1"/>
  <c r="AE23" i="1"/>
  <c r="AD23" i="1"/>
  <c r="AC23" i="1"/>
  <c r="AB23" i="1"/>
  <c r="AA23" i="1"/>
  <c r="Z23" i="1"/>
  <c r="Y23" i="1"/>
  <c r="X23" i="1"/>
  <c r="W23" i="1"/>
  <c r="AK22" i="1"/>
  <c r="AJ22" i="1"/>
  <c r="AI22" i="1"/>
  <c r="AH22" i="1"/>
  <c r="AG22" i="1"/>
  <c r="AF22" i="1"/>
  <c r="AE22" i="1"/>
  <c r="AD22" i="1"/>
  <c r="AC22" i="1"/>
  <c r="AB22" i="1"/>
  <c r="AA22" i="1"/>
  <c r="Z22" i="1"/>
  <c r="Y22" i="1"/>
  <c r="X22" i="1"/>
  <c r="W22" i="1"/>
  <c r="AK21" i="1"/>
  <c r="AJ21" i="1"/>
  <c r="AI21" i="1"/>
  <c r="AH21" i="1"/>
  <c r="AG21" i="1"/>
  <c r="AF21" i="1"/>
  <c r="AE21" i="1"/>
  <c r="AD21" i="1"/>
  <c r="AC21" i="1"/>
  <c r="AB21" i="1"/>
  <c r="AA21" i="1"/>
  <c r="Z21" i="1"/>
  <c r="Y21" i="1"/>
  <c r="X21" i="1"/>
  <c r="W21" i="1"/>
  <c r="AK20" i="1"/>
  <c r="AJ20" i="1"/>
  <c r="AI20" i="1"/>
  <c r="AH20" i="1"/>
  <c r="AG20" i="1"/>
  <c r="AF20" i="1"/>
  <c r="AE20" i="1"/>
  <c r="AD20" i="1"/>
  <c r="AC20" i="1"/>
  <c r="AB20" i="1"/>
  <c r="AA20" i="1"/>
  <c r="Z20" i="1"/>
  <c r="Y20" i="1"/>
  <c r="X20" i="1"/>
  <c r="W20" i="1"/>
  <c r="AK19" i="1"/>
  <c r="AJ19" i="1"/>
  <c r="AI19" i="1"/>
  <c r="AH19" i="1"/>
  <c r="AG19" i="1"/>
  <c r="AF19" i="1"/>
  <c r="AE19" i="1"/>
  <c r="AD19" i="1"/>
  <c r="AC19" i="1"/>
  <c r="AB19" i="1"/>
  <c r="AA19" i="1"/>
  <c r="Z19" i="1"/>
  <c r="Y19" i="1"/>
  <c r="X19" i="1"/>
  <c r="W19" i="1"/>
  <c r="AK18" i="1"/>
  <c r="AJ18" i="1"/>
  <c r="AI18" i="1"/>
  <c r="AH18" i="1"/>
  <c r="AG18" i="1"/>
  <c r="AF18" i="1"/>
  <c r="AE18" i="1"/>
  <c r="AD18" i="1"/>
  <c r="AC18" i="1"/>
  <c r="AB18" i="1"/>
  <c r="AA18" i="1"/>
  <c r="Z18" i="1"/>
  <c r="Y18" i="1"/>
  <c r="X18" i="1"/>
  <c r="W18" i="1"/>
  <c r="AK17" i="1"/>
  <c r="AJ17" i="1"/>
  <c r="AI17" i="1"/>
  <c r="AH17" i="1"/>
  <c r="AG17" i="1"/>
  <c r="AF17" i="1"/>
  <c r="AE17" i="1"/>
  <c r="AD17" i="1"/>
  <c r="AC17" i="1"/>
  <c r="AB17" i="1"/>
  <c r="AA17" i="1"/>
  <c r="Z17" i="1"/>
  <c r="Y17" i="1"/>
  <c r="X17" i="1"/>
  <c r="W17" i="1"/>
  <c r="AK16" i="1"/>
  <c r="AJ16" i="1"/>
  <c r="AI16" i="1"/>
  <c r="AH16" i="1"/>
  <c r="AG16" i="1"/>
  <c r="AF16" i="1"/>
  <c r="AE16" i="1"/>
  <c r="AD16" i="1"/>
  <c r="AC16" i="1"/>
  <c r="AB16" i="1"/>
  <c r="AA16" i="1"/>
  <c r="Z16" i="1"/>
  <c r="Y16" i="1"/>
  <c r="X16" i="1"/>
  <c r="W16" i="1"/>
  <c r="AK15" i="1"/>
  <c r="AJ15" i="1"/>
  <c r="AI15" i="1"/>
  <c r="AH15" i="1"/>
  <c r="AG15" i="1"/>
  <c r="AF15" i="1"/>
  <c r="AE15" i="1"/>
  <c r="AD15" i="1"/>
  <c r="AC15" i="1"/>
  <c r="AB15" i="1"/>
  <c r="AA15" i="1"/>
  <c r="Z15" i="1"/>
  <c r="Y15" i="1"/>
  <c r="X15" i="1"/>
  <c r="W15" i="1"/>
  <c r="AK14" i="1"/>
  <c r="AJ14" i="1"/>
  <c r="AI14" i="1"/>
  <c r="AH14" i="1"/>
  <c r="AG14" i="1"/>
  <c r="AF14" i="1"/>
  <c r="AE14" i="1"/>
  <c r="AD14" i="1"/>
  <c r="AC14" i="1"/>
  <c r="AB14" i="1"/>
  <c r="AA14" i="1"/>
  <c r="Z14" i="1"/>
  <c r="Y14" i="1"/>
  <c r="X14" i="1"/>
  <c r="W14" i="1"/>
  <c r="AK13" i="1"/>
  <c r="AJ13" i="1"/>
  <c r="AI13" i="1"/>
  <c r="AH13" i="1"/>
  <c r="AG13" i="1"/>
  <c r="AF13" i="1"/>
  <c r="AE13" i="1"/>
  <c r="AD13" i="1"/>
  <c r="AC13" i="1"/>
  <c r="AB13" i="1"/>
  <c r="AA13" i="1"/>
  <c r="Z13" i="1"/>
  <c r="Y13" i="1"/>
  <c r="X13" i="1"/>
  <c r="W13" i="1"/>
  <c r="AK12" i="1"/>
  <c r="AJ12" i="1"/>
  <c r="AI12" i="1"/>
  <c r="AH12" i="1"/>
  <c r="AG12" i="1"/>
  <c r="AF12" i="1"/>
  <c r="AE12" i="1"/>
  <c r="AD12" i="1"/>
  <c r="AC12" i="1"/>
  <c r="AB12" i="1"/>
  <c r="AA12" i="1"/>
  <c r="Z12" i="1"/>
  <c r="Y12" i="1"/>
  <c r="X12" i="1"/>
  <c r="W12" i="1"/>
  <c r="AK11" i="1"/>
  <c r="AJ11" i="1"/>
  <c r="AI11" i="1"/>
  <c r="AH11" i="1"/>
  <c r="AG11" i="1"/>
  <c r="AF11" i="1"/>
  <c r="AE11" i="1"/>
  <c r="AD11" i="1"/>
  <c r="AC11" i="1"/>
  <c r="AB11" i="1"/>
  <c r="AA11" i="1"/>
  <c r="Z11" i="1"/>
  <c r="Y11" i="1"/>
  <c r="X11" i="1"/>
  <c r="W11" i="1"/>
  <c r="AK10" i="1"/>
  <c r="AJ10" i="1"/>
  <c r="AI10" i="1"/>
  <c r="AH10" i="1"/>
  <c r="AG10" i="1"/>
  <c r="AF10" i="1"/>
  <c r="AE10" i="1"/>
  <c r="AD10" i="1"/>
  <c r="AC10" i="1"/>
  <c r="AB10" i="1"/>
  <c r="AA10" i="1"/>
  <c r="Z10" i="1"/>
  <c r="Y10" i="1"/>
  <c r="X10" i="1"/>
  <c r="W10" i="1"/>
  <c r="AK9" i="1"/>
  <c r="AJ9" i="1"/>
  <c r="AI9" i="1"/>
  <c r="AH9" i="1"/>
  <c r="AG9" i="1"/>
  <c r="AF9" i="1"/>
  <c r="AE9" i="1"/>
  <c r="AD9" i="1"/>
  <c r="AC9" i="1"/>
  <c r="AB9" i="1"/>
  <c r="AA9" i="1"/>
  <c r="Z9" i="1"/>
  <c r="Y9" i="1"/>
  <c r="X9" i="1"/>
  <c r="W9" i="1"/>
  <c r="AK8" i="1"/>
  <c r="AJ8" i="1"/>
  <c r="AI8" i="1"/>
  <c r="AH8" i="1"/>
  <c r="AG8" i="1"/>
  <c r="AF8" i="1"/>
  <c r="AE8" i="1"/>
  <c r="AD8" i="1"/>
  <c r="AC8" i="1"/>
  <c r="AB8" i="1"/>
  <c r="AA8" i="1"/>
  <c r="Z8" i="1"/>
  <c r="Y8" i="1"/>
  <c r="X8" i="1"/>
  <c r="W8" i="1"/>
  <c r="AK7" i="1"/>
  <c r="AJ7" i="1"/>
  <c r="AI7" i="1"/>
  <c r="AH7" i="1"/>
  <c r="AG7" i="1"/>
  <c r="AF7" i="1"/>
  <c r="AE7" i="1"/>
  <c r="AD7" i="1"/>
  <c r="AC7" i="1"/>
  <c r="AB7" i="1"/>
  <c r="AA7" i="1"/>
  <c r="Z7" i="1"/>
  <c r="Y7" i="1"/>
  <c r="X7" i="1"/>
  <c r="W7" i="1"/>
  <c r="AJ6" i="1"/>
  <c r="AI6" i="1"/>
  <c r="AH6" i="1"/>
  <c r="AG6" i="1"/>
  <c r="AF6" i="1"/>
  <c r="AE6" i="1"/>
  <c r="AD6" i="1"/>
  <c r="AC6" i="1"/>
  <c r="AB6" i="1"/>
  <c r="AA6" i="1"/>
  <c r="Z6" i="1"/>
  <c r="Y6" i="1"/>
  <c r="X6" i="1"/>
  <c r="W6" i="1"/>
  <c r="AK6" i="1"/>
  <c r="S606" i="1"/>
  <c r="R606" i="1"/>
  <c r="P606" i="1"/>
  <c r="O606" i="1"/>
  <c r="T6" i="1"/>
  <c r="Q6" i="1"/>
  <c r="C124" i="71"/>
  <c r="C123" i="71"/>
  <c r="C122" i="71"/>
  <c r="C121" i="71"/>
  <c r="A121" i="71" s="1"/>
  <c r="A55" i="72" s="1"/>
  <c r="C119" i="71"/>
  <c r="C118" i="71"/>
  <c r="C117" i="71"/>
  <c r="C116" i="71"/>
  <c r="C115" i="71"/>
  <c r="C114" i="71"/>
  <c r="C113" i="71"/>
  <c r="C112" i="71"/>
  <c r="C111" i="71"/>
  <c r="C110" i="71"/>
  <c r="BQ223" i="1" l="1"/>
  <c r="BQ255" i="1"/>
  <c r="BQ287" i="1"/>
  <c r="BQ319" i="1"/>
  <c r="BQ351" i="1"/>
  <c r="BQ383" i="1"/>
  <c r="BQ415" i="1"/>
  <c r="BQ447" i="1"/>
  <c r="BQ479" i="1"/>
  <c r="BQ511" i="1"/>
  <c r="BQ543" i="1"/>
  <c r="BQ575" i="1"/>
  <c r="BQ427" i="1"/>
  <c r="BQ459" i="1"/>
  <c r="BQ491" i="1"/>
  <c r="BQ523" i="1"/>
  <c r="BQ28" i="1"/>
  <c r="BQ11" i="1"/>
  <c r="BQ43" i="1"/>
  <c r="BQ75" i="1"/>
  <c r="BQ107" i="1"/>
  <c r="BQ139" i="1"/>
  <c r="BQ171" i="1"/>
  <c r="BQ203" i="1"/>
  <c r="BQ235" i="1"/>
  <c r="BQ267" i="1"/>
  <c r="BQ299" i="1"/>
  <c r="BQ331" i="1"/>
  <c r="BQ363" i="1"/>
  <c r="BQ395" i="1"/>
  <c r="BQ555" i="1"/>
  <c r="BQ587" i="1"/>
  <c r="BQ18" i="1"/>
  <c r="BQ50" i="1"/>
  <c r="BQ146" i="1"/>
  <c r="BQ178" i="1"/>
  <c r="BQ210" i="1"/>
  <c r="BQ498" i="1"/>
  <c r="BQ530" i="1"/>
  <c r="BQ562" i="1"/>
  <c r="BQ594" i="1"/>
  <c r="BQ82" i="1"/>
  <c r="BQ114" i="1"/>
  <c r="BQ33" i="1"/>
  <c r="BQ65" i="1"/>
  <c r="BQ97" i="1"/>
  <c r="BQ112" i="1"/>
  <c r="BQ144" i="1"/>
  <c r="BQ176" i="1"/>
  <c r="BQ208" i="1"/>
  <c r="BQ191" i="1"/>
  <c r="BQ60" i="1"/>
  <c r="BQ92" i="1"/>
  <c r="BQ124" i="1"/>
  <c r="BQ156" i="1"/>
  <c r="BQ188" i="1"/>
  <c r="BQ220" i="1"/>
  <c r="BQ252" i="1"/>
  <c r="BQ284" i="1"/>
  <c r="BQ316" i="1"/>
  <c r="BQ348" i="1"/>
  <c r="BQ380" i="1"/>
  <c r="BQ412" i="1"/>
  <c r="BQ444" i="1"/>
  <c r="BQ476" i="1"/>
  <c r="BQ508" i="1"/>
  <c r="BQ540" i="1"/>
  <c r="BQ572" i="1"/>
  <c r="BQ604" i="1"/>
  <c r="BQ26" i="1"/>
  <c r="BQ58" i="1"/>
  <c r="BQ90" i="1"/>
  <c r="BQ122" i="1"/>
  <c r="BQ154" i="1"/>
  <c r="BQ186" i="1"/>
  <c r="BQ218" i="1"/>
  <c r="BQ250" i="1"/>
  <c r="BQ282" i="1"/>
  <c r="BQ314" i="1"/>
  <c r="BQ346" i="1"/>
  <c r="BQ378" i="1"/>
  <c r="BQ410" i="1"/>
  <c r="BQ442" i="1"/>
  <c r="BQ474" i="1"/>
  <c r="BQ506" i="1"/>
  <c r="BQ538" i="1"/>
  <c r="BQ570" i="1"/>
  <c r="BQ602" i="1"/>
  <c r="BQ9" i="1"/>
  <c r="BQ41" i="1"/>
  <c r="BQ73" i="1"/>
  <c r="BQ105" i="1"/>
  <c r="BQ137" i="1"/>
  <c r="BQ169" i="1"/>
  <c r="BQ201" i="1"/>
  <c r="BQ233" i="1"/>
  <c r="BQ265" i="1"/>
  <c r="BQ297" i="1"/>
  <c r="BQ329" i="1"/>
  <c r="BQ361" i="1"/>
  <c r="BQ393" i="1"/>
  <c r="BQ425" i="1"/>
  <c r="BQ457" i="1"/>
  <c r="BQ489" i="1"/>
  <c r="BQ521" i="1"/>
  <c r="BQ553" i="1"/>
  <c r="BQ585" i="1"/>
  <c r="BQ24" i="1"/>
  <c r="BQ56" i="1"/>
  <c r="BQ88" i="1"/>
  <c r="BQ120" i="1"/>
  <c r="BQ152" i="1"/>
  <c r="BQ184" i="1"/>
  <c r="BQ216" i="1"/>
  <c r="BQ248" i="1"/>
  <c r="BQ280" i="1"/>
  <c r="BQ312" i="1"/>
  <c r="BQ344" i="1"/>
  <c r="BQ376" i="1"/>
  <c r="BQ408" i="1"/>
  <c r="BQ440" i="1"/>
  <c r="BQ472" i="1"/>
  <c r="BQ504" i="1"/>
  <c r="BQ536" i="1"/>
  <c r="BQ568" i="1"/>
  <c r="BQ600" i="1"/>
  <c r="BQ7" i="1"/>
  <c r="BQ39" i="1"/>
  <c r="BQ103" i="1"/>
  <c r="BQ135" i="1"/>
  <c r="BQ167" i="1"/>
  <c r="BQ199" i="1"/>
  <c r="BQ231" i="1"/>
  <c r="BQ263" i="1"/>
  <c r="BQ295" i="1"/>
  <c r="BQ327" i="1"/>
  <c r="BQ359" i="1"/>
  <c r="BQ391" i="1"/>
  <c r="BQ423" i="1"/>
  <c r="BQ455" i="1"/>
  <c r="BQ487" i="1"/>
  <c r="BQ519" i="1"/>
  <c r="BQ551" i="1"/>
  <c r="BQ583" i="1"/>
  <c r="BQ86" i="1"/>
  <c r="BQ150" i="1"/>
  <c r="BQ182" i="1"/>
  <c r="BQ214" i="1"/>
  <c r="BQ246" i="1"/>
  <c r="BQ278" i="1"/>
  <c r="BQ310" i="1"/>
  <c r="BQ342" i="1"/>
  <c r="BQ374" i="1"/>
  <c r="BQ406" i="1"/>
  <c r="BQ438" i="1"/>
  <c r="BQ470" i="1"/>
  <c r="BQ502" i="1"/>
  <c r="BQ534" i="1"/>
  <c r="BQ566" i="1"/>
  <c r="BQ598" i="1"/>
  <c r="BQ22" i="1"/>
  <c r="BQ54" i="1"/>
  <c r="BQ37" i="1"/>
  <c r="BQ69" i="1"/>
  <c r="BQ101" i="1"/>
  <c r="BQ133" i="1"/>
  <c r="BQ165" i="1"/>
  <c r="BQ197" i="1"/>
  <c r="BQ229" i="1"/>
  <c r="BQ261" i="1"/>
  <c r="BQ293" i="1"/>
  <c r="BQ325" i="1"/>
  <c r="BQ357" i="1"/>
  <c r="BQ389" i="1"/>
  <c r="BQ421" i="1"/>
  <c r="BQ453" i="1"/>
  <c r="BQ485" i="1"/>
  <c r="BQ517" i="1"/>
  <c r="BQ549" i="1"/>
  <c r="BQ581" i="1"/>
  <c r="BQ71" i="1"/>
  <c r="BQ118" i="1"/>
  <c r="BQ20" i="1"/>
  <c r="BQ52" i="1"/>
  <c r="BQ84" i="1"/>
  <c r="BQ116" i="1"/>
  <c r="BQ148" i="1"/>
  <c r="BQ180" i="1"/>
  <c r="BQ212" i="1"/>
  <c r="BQ244" i="1"/>
  <c r="BQ276" i="1"/>
  <c r="BQ308" i="1"/>
  <c r="BQ340" i="1"/>
  <c r="BQ372" i="1"/>
  <c r="BQ404" i="1"/>
  <c r="BQ436" i="1"/>
  <c r="BQ468" i="1"/>
  <c r="BQ500" i="1"/>
  <c r="BQ532" i="1"/>
  <c r="BQ564" i="1"/>
  <c r="BQ596" i="1"/>
  <c r="BQ35" i="1"/>
  <c r="BQ67" i="1"/>
  <c r="BQ99" i="1"/>
  <c r="BQ131" i="1"/>
  <c r="BQ163" i="1"/>
  <c r="BQ195" i="1"/>
  <c r="BQ227" i="1"/>
  <c r="BQ259" i="1"/>
  <c r="BQ291" i="1"/>
  <c r="BQ323" i="1"/>
  <c r="BQ355" i="1"/>
  <c r="BQ387" i="1"/>
  <c r="BQ419" i="1"/>
  <c r="BQ451" i="1"/>
  <c r="BQ483" i="1"/>
  <c r="BQ515" i="1"/>
  <c r="BQ547" i="1"/>
  <c r="BQ579" i="1"/>
  <c r="BQ242" i="1"/>
  <c r="BQ274" i="1"/>
  <c r="BQ306" i="1"/>
  <c r="BQ338" i="1"/>
  <c r="BQ370" i="1"/>
  <c r="BQ402" i="1"/>
  <c r="BQ434" i="1"/>
  <c r="BQ466" i="1"/>
  <c r="BQ129" i="1"/>
  <c r="BQ161" i="1"/>
  <c r="BQ193" i="1"/>
  <c r="BQ225" i="1"/>
  <c r="BQ257" i="1"/>
  <c r="BQ289" i="1"/>
  <c r="BQ321" i="1"/>
  <c r="BQ353" i="1"/>
  <c r="BQ385" i="1"/>
  <c r="BQ417" i="1"/>
  <c r="BQ449" i="1"/>
  <c r="BQ481" i="1"/>
  <c r="BQ513" i="1"/>
  <c r="BQ545" i="1"/>
  <c r="BQ577" i="1"/>
  <c r="BQ240" i="1"/>
  <c r="BQ272" i="1"/>
  <c r="BQ304" i="1"/>
  <c r="BQ336" i="1"/>
  <c r="BQ368" i="1"/>
  <c r="BQ400" i="1"/>
  <c r="BQ432" i="1"/>
  <c r="BQ464" i="1"/>
  <c r="BQ496" i="1"/>
  <c r="BQ528" i="1"/>
  <c r="BQ560" i="1"/>
  <c r="BQ592" i="1"/>
  <c r="BQ127" i="1"/>
  <c r="BQ159" i="1"/>
  <c r="BQ48" i="1"/>
  <c r="BQ31" i="1"/>
  <c r="BQ63" i="1"/>
  <c r="BQ142" i="1"/>
  <c r="BQ174" i="1"/>
  <c r="BQ206" i="1"/>
  <c r="BQ238" i="1"/>
  <c r="BQ270" i="1"/>
  <c r="BQ302" i="1"/>
  <c r="BQ334" i="1"/>
  <c r="BQ366" i="1"/>
  <c r="BQ398" i="1"/>
  <c r="BQ430" i="1"/>
  <c r="BQ462" i="1"/>
  <c r="BQ494" i="1"/>
  <c r="BQ526" i="1"/>
  <c r="BQ558" i="1"/>
  <c r="BQ590" i="1"/>
  <c r="BQ95" i="1"/>
  <c r="BQ110" i="1"/>
  <c r="BQ29" i="1"/>
  <c r="BQ61" i="1"/>
  <c r="BQ93" i="1"/>
  <c r="BQ125" i="1"/>
  <c r="BQ157" i="1"/>
  <c r="BQ189" i="1"/>
  <c r="BQ221" i="1"/>
  <c r="BQ253" i="1"/>
  <c r="BQ285" i="1"/>
  <c r="BQ317" i="1"/>
  <c r="BQ349" i="1"/>
  <c r="BQ381" i="1"/>
  <c r="BQ413" i="1"/>
  <c r="BQ445" i="1"/>
  <c r="BQ477" i="1"/>
  <c r="BQ509" i="1"/>
  <c r="BQ541" i="1"/>
  <c r="BQ573" i="1"/>
  <c r="BQ605" i="1"/>
  <c r="BQ78" i="1"/>
  <c r="BQ12" i="1"/>
  <c r="BQ44" i="1"/>
  <c r="BQ76" i="1"/>
  <c r="BQ108" i="1"/>
  <c r="BQ140" i="1"/>
  <c r="BQ172" i="1"/>
  <c r="BQ204" i="1"/>
  <c r="BQ236" i="1"/>
  <c r="BQ268" i="1"/>
  <c r="BQ300" i="1"/>
  <c r="BQ332" i="1"/>
  <c r="BQ364" i="1"/>
  <c r="BQ396" i="1"/>
  <c r="BQ428" i="1"/>
  <c r="BQ460" i="1"/>
  <c r="BQ492" i="1"/>
  <c r="BQ524" i="1"/>
  <c r="BQ556" i="1"/>
  <c r="BQ588" i="1"/>
  <c r="BQ14" i="1"/>
  <c r="BQ46" i="1"/>
  <c r="BQ27" i="1"/>
  <c r="BQ59" i="1"/>
  <c r="BQ91" i="1"/>
  <c r="BQ123" i="1"/>
  <c r="BQ155" i="1"/>
  <c r="BQ187" i="1"/>
  <c r="BQ219" i="1"/>
  <c r="BQ251" i="1"/>
  <c r="BQ283" i="1"/>
  <c r="BQ315" i="1"/>
  <c r="BQ347" i="1"/>
  <c r="BQ379" i="1"/>
  <c r="BQ411" i="1"/>
  <c r="BQ443" i="1"/>
  <c r="BQ475" i="1"/>
  <c r="BQ507" i="1"/>
  <c r="BQ539" i="1"/>
  <c r="BQ571" i="1"/>
  <c r="BQ603" i="1"/>
  <c r="BQ80" i="1"/>
  <c r="BQ10" i="1"/>
  <c r="BQ42" i="1"/>
  <c r="BQ74" i="1"/>
  <c r="BQ106" i="1"/>
  <c r="BQ138" i="1"/>
  <c r="BQ170" i="1"/>
  <c r="BQ202" i="1"/>
  <c r="BQ234" i="1"/>
  <c r="BQ266" i="1"/>
  <c r="BQ298" i="1"/>
  <c r="BQ330" i="1"/>
  <c r="BQ362" i="1"/>
  <c r="BQ394" i="1"/>
  <c r="BQ426" i="1"/>
  <c r="BQ458" i="1"/>
  <c r="BQ490" i="1"/>
  <c r="BQ522" i="1"/>
  <c r="BQ554" i="1"/>
  <c r="BQ586" i="1"/>
  <c r="BQ16" i="1"/>
  <c r="BQ25" i="1"/>
  <c r="BQ57" i="1"/>
  <c r="BQ89" i="1"/>
  <c r="BQ121" i="1"/>
  <c r="BQ153" i="1"/>
  <c r="BQ185" i="1"/>
  <c r="BQ217" i="1"/>
  <c r="BQ249" i="1"/>
  <c r="BQ281" i="1"/>
  <c r="BQ313" i="1"/>
  <c r="BQ345" i="1"/>
  <c r="BQ377" i="1"/>
  <c r="BQ409" i="1"/>
  <c r="BQ441" i="1"/>
  <c r="BQ473" i="1"/>
  <c r="BQ505" i="1"/>
  <c r="BQ537" i="1"/>
  <c r="BQ569" i="1"/>
  <c r="BQ601" i="1"/>
  <c r="BQ104" i="1"/>
  <c r="BQ136" i="1"/>
  <c r="BQ168" i="1"/>
  <c r="BQ200" i="1"/>
  <c r="BQ232" i="1"/>
  <c r="BQ264" i="1"/>
  <c r="BQ296" i="1"/>
  <c r="BQ328" i="1"/>
  <c r="BQ360" i="1"/>
  <c r="BQ392" i="1"/>
  <c r="BQ424" i="1"/>
  <c r="BQ456" i="1"/>
  <c r="BQ488" i="1"/>
  <c r="BQ520" i="1"/>
  <c r="BQ552" i="1"/>
  <c r="BQ584" i="1"/>
  <c r="BQ55" i="1"/>
  <c r="BQ87" i="1"/>
  <c r="BQ119" i="1"/>
  <c r="BQ151" i="1"/>
  <c r="BQ183" i="1"/>
  <c r="BQ215" i="1"/>
  <c r="BQ247" i="1"/>
  <c r="BQ279" i="1"/>
  <c r="BQ311" i="1"/>
  <c r="BQ343" i="1"/>
  <c r="BQ375" i="1"/>
  <c r="BQ407" i="1"/>
  <c r="BQ439" i="1"/>
  <c r="BQ471" i="1"/>
  <c r="BQ503" i="1"/>
  <c r="BQ535" i="1"/>
  <c r="BQ567" i="1"/>
  <c r="BQ599" i="1"/>
  <c r="BQ23" i="1"/>
  <c r="BQ38" i="1"/>
  <c r="BQ70" i="1"/>
  <c r="BQ102" i="1"/>
  <c r="BQ134" i="1"/>
  <c r="BQ166" i="1"/>
  <c r="BQ198" i="1"/>
  <c r="BQ230" i="1"/>
  <c r="BQ262" i="1"/>
  <c r="BQ294" i="1"/>
  <c r="BQ326" i="1"/>
  <c r="BQ358" i="1"/>
  <c r="BQ390" i="1"/>
  <c r="BQ422" i="1"/>
  <c r="BQ454" i="1"/>
  <c r="BQ486" i="1"/>
  <c r="BQ518" i="1"/>
  <c r="BQ550" i="1"/>
  <c r="BQ582" i="1"/>
  <c r="BQ21" i="1"/>
  <c r="BQ149" i="1"/>
  <c r="BQ181" i="1"/>
  <c r="BQ213" i="1"/>
  <c r="BQ245" i="1"/>
  <c r="BQ277" i="1"/>
  <c r="BQ309" i="1"/>
  <c r="BQ341" i="1"/>
  <c r="BQ373" i="1"/>
  <c r="BQ405" i="1"/>
  <c r="BQ437" i="1"/>
  <c r="BQ469" i="1"/>
  <c r="BQ501" i="1"/>
  <c r="BQ533" i="1"/>
  <c r="BQ565" i="1"/>
  <c r="BQ597" i="1"/>
  <c r="BQ53" i="1"/>
  <c r="BQ85" i="1"/>
  <c r="BQ117" i="1"/>
  <c r="BQ36" i="1"/>
  <c r="BQ68" i="1"/>
  <c r="BQ100" i="1"/>
  <c r="BQ132" i="1"/>
  <c r="BQ164" i="1"/>
  <c r="BQ196" i="1"/>
  <c r="BQ228" i="1"/>
  <c r="BQ260" i="1"/>
  <c r="BQ292" i="1"/>
  <c r="BQ324" i="1"/>
  <c r="BQ356" i="1"/>
  <c r="BQ388" i="1"/>
  <c r="BQ420" i="1"/>
  <c r="BQ452" i="1"/>
  <c r="BQ484" i="1"/>
  <c r="BQ516" i="1"/>
  <c r="BQ548" i="1"/>
  <c r="BQ580" i="1"/>
  <c r="BQ6" i="1"/>
  <c r="BQ83" i="1"/>
  <c r="BQ115" i="1"/>
  <c r="BQ147" i="1"/>
  <c r="BQ179" i="1"/>
  <c r="BQ211" i="1"/>
  <c r="BQ243" i="1"/>
  <c r="BQ275" i="1"/>
  <c r="BQ307" i="1"/>
  <c r="BQ339" i="1"/>
  <c r="BQ371" i="1"/>
  <c r="BQ403" i="1"/>
  <c r="BQ435" i="1"/>
  <c r="BQ467" i="1"/>
  <c r="BQ499" i="1"/>
  <c r="BQ531" i="1"/>
  <c r="BQ563" i="1"/>
  <c r="BQ595" i="1"/>
  <c r="BQ130" i="1"/>
  <c r="BQ162" i="1"/>
  <c r="BQ194" i="1"/>
  <c r="BQ226" i="1"/>
  <c r="BQ258" i="1"/>
  <c r="BQ290" i="1"/>
  <c r="BQ322" i="1"/>
  <c r="BQ354" i="1"/>
  <c r="BQ386" i="1"/>
  <c r="BQ418" i="1"/>
  <c r="BQ450" i="1"/>
  <c r="BQ482" i="1"/>
  <c r="BQ514" i="1"/>
  <c r="BQ546" i="1"/>
  <c r="BQ578" i="1"/>
  <c r="BQ81" i="1"/>
  <c r="BQ113" i="1"/>
  <c r="BQ145" i="1"/>
  <c r="BQ177" i="1"/>
  <c r="BQ209" i="1"/>
  <c r="BQ241" i="1"/>
  <c r="BQ273" i="1"/>
  <c r="BQ305" i="1"/>
  <c r="BQ337" i="1"/>
  <c r="BQ369" i="1"/>
  <c r="BQ401" i="1"/>
  <c r="BQ433" i="1"/>
  <c r="BQ465" i="1"/>
  <c r="BQ497" i="1"/>
  <c r="BQ529" i="1"/>
  <c r="BQ561" i="1"/>
  <c r="BQ593" i="1"/>
  <c r="BQ34" i="1"/>
  <c r="BQ96" i="1"/>
  <c r="BQ128" i="1"/>
  <c r="BQ160" i="1"/>
  <c r="BQ192" i="1"/>
  <c r="BQ224" i="1"/>
  <c r="BQ256" i="1"/>
  <c r="BQ288" i="1"/>
  <c r="BQ320" i="1"/>
  <c r="BQ352" i="1"/>
  <c r="BQ384" i="1"/>
  <c r="BQ416" i="1"/>
  <c r="BQ448" i="1"/>
  <c r="BQ480" i="1"/>
  <c r="BQ512" i="1"/>
  <c r="BQ544" i="1"/>
  <c r="BQ576" i="1"/>
  <c r="BQ72" i="1"/>
  <c r="BQ51" i="1"/>
  <c r="BQ49" i="1"/>
  <c r="BQ143" i="1"/>
  <c r="BQ175" i="1"/>
  <c r="BQ207" i="1"/>
  <c r="BQ239" i="1"/>
  <c r="BQ271" i="1"/>
  <c r="BQ303" i="1"/>
  <c r="BQ335" i="1"/>
  <c r="BQ367" i="1"/>
  <c r="BQ399" i="1"/>
  <c r="BQ431" i="1"/>
  <c r="BQ463" i="1"/>
  <c r="BQ495" i="1"/>
  <c r="BQ527" i="1"/>
  <c r="BQ559" i="1"/>
  <c r="BQ591" i="1"/>
  <c r="BQ8" i="1"/>
  <c r="BQ19" i="1"/>
  <c r="BQ17" i="1"/>
  <c r="BQ64" i="1"/>
  <c r="BQ15" i="1"/>
  <c r="BQ79" i="1"/>
  <c r="BQ111" i="1"/>
  <c r="BQ30" i="1"/>
  <c r="BQ62" i="1"/>
  <c r="BQ94" i="1"/>
  <c r="BQ126" i="1"/>
  <c r="BQ158" i="1"/>
  <c r="BQ190" i="1"/>
  <c r="BQ222" i="1"/>
  <c r="BQ254" i="1"/>
  <c r="BQ286" i="1"/>
  <c r="BQ318" i="1"/>
  <c r="BQ350" i="1"/>
  <c r="BQ382" i="1"/>
  <c r="BQ414" i="1"/>
  <c r="BQ446" i="1"/>
  <c r="BQ478" i="1"/>
  <c r="BQ510" i="1"/>
  <c r="BQ542" i="1"/>
  <c r="BQ574" i="1"/>
  <c r="BQ40" i="1"/>
  <c r="BQ66" i="1"/>
  <c r="BQ98" i="1"/>
  <c r="BQ32" i="1"/>
  <c r="BQ47" i="1"/>
  <c r="BQ13" i="1"/>
  <c r="BQ45" i="1"/>
  <c r="BQ77" i="1"/>
  <c r="BQ109" i="1"/>
  <c r="BQ141" i="1"/>
  <c r="BQ173" i="1"/>
  <c r="BQ205" i="1"/>
  <c r="BQ237" i="1"/>
  <c r="BQ269" i="1"/>
  <c r="BQ301" i="1"/>
  <c r="BQ333" i="1"/>
  <c r="BQ365" i="1"/>
  <c r="BQ397" i="1"/>
  <c r="BQ429" i="1"/>
  <c r="BQ461" i="1"/>
  <c r="BQ493" i="1"/>
  <c r="BQ525" i="1"/>
  <c r="BQ557" i="1"/>
  <c r="BQ589" i="1"/>
  <c r="A95" i="71"/>
  <c r="A29" i="72" s="1"/>
  <c r="CJ168" i="1"/>
  <c r="CH168" i="1"/>
  <c r="CK168" i="1"/>
  <c r="CF168" i="1"/>
  <c r="CI168" i="1"/>
  <c r="CM168" i="1"/>
  <c r="CG168" i="1"/>
  <c r="CL168" i="1"/>
  <c r="CR168" i="1"/>
  <c r="CP168" i="1"/>
  <c r="CQ168" i="1"/>
  <c r="CT168" i="1"/>
  <c r="CO168" i="1"/>
  <c r="CN168" i="1"/>
  <c r="CS168" i="1"/>
  <c r="CU168" i="1"/>
  <c r="CB262" i="1"/>
  <c r="CA262" i="1"/>
  <c r="BZ262" i="1"/>
  <c r="BY262" i="1"/>
  <c r="BX262" i="1"/>
  <c r="BW262" i="1"/>
  <c r="BV262" i="1"/>
  <c r="CC262" i="1"/>
  <c r="CE262" i="1"/>
  <c r="CD262" i="1"/>
  <c r="CB294" i="1"/>
  <c r="CA294" i="1"/>
  <c r="BZ294" i="1"/>
  <c r="BY294" i="1"/>
  <c r="BX294" i="1"/>
  <c r="BW294" i="1"/>
  <c r="BV294" i="1"/>
  <c r="CD294" i="1"/>
  <c r="CC294" i="1"/>
  <c r="CE294" i="1"/>
  <c r="CJ296" i="1"/>
  <c r="CF296" i="1"/>
  <c r="CK296" i="1"/>
  <c r="CM296" i="1"/>
  <c r="CG296" i="1"/>
  <c r="CH296" i="1"/>
  <c r="CL296" i="1"/>
  <c r="CI296" i="1"/>
  <c r="CP296" i="1"/>
  <c r="CQ296" i="1"/>
  <c r="CT296" i="1"/>
  <c r="CU296" i="1"/>
  <c r="CO296" i="1"/>
  <c r="CN296" i="1"/>
  <c r="CS296" i="1"/>
  <c r="CR296" i="1"/>
  <c r="CB326" i="1"/>
  <c r="CA326" i="1"/>
  <c r="BZ326" i="1"/>
  <c r="BY326" i="1"/>
  <c r="BX326" i="1"/>
  <c r="BW326" i="1"/>
  <c r="BV326" i="1"/>
  <c r="CD326" i="1"/>
  <c r="CC326" i="1"/>
  <c r="CE326" i="1"/>
  <c r="CI328" i="1"/>
  <c r="CJ328" i="1"/>
  <c r="CF328" i="1"/>
  <c r="CH328" i="1"/>
  <c r="CM328" i="1"/>
  <c r="CG328" i="1"/>
  <c r="CL328" i="1"/>
  <c r="CK328" i="1"/>
  <c r="CO328" i="1"/>
  <c r="CP328" i="1"/>
  <c r="CR328" i="1"/>
  <c r="CN328" i="1"/>
  <c r="CQ328" i="1"/>
  <c r="CS328" i="1"/>
  <c r="CU328" i="1"/>
  <c r="CT328" i="1"/>
  <c r="CB358" i="1"/>
  <c r="CA358" i="1"/>
  <c r="BZ358" i="1"/>
  <c r="BY358" i="1"/>
  <c r="BX358" i="1"/>
  <c r="BW358" i="1"/>
  <c r="BV358" i="1"/>
  <c r="CD358" i="1"/>
  <c r="CC358" i="1"/>
  <c r="CE358" i="1"/>
  <c r="CK360" i="1"/>
  <c r="CG360" i="1"/>
  <c r="CM360" i="1"/>
  <c r="CF360" i="1"/>
  <c r="CI360" i="1"/>
  <c r="CJ360" i="1"/>
  <c r="CH360" i="1"/>
  <c r="CL360" i="1"/>
  <c r="CS360" i="1"/>
  <c r="CQ360" i="1"/>
  <c r="CT360" i="1"/>
  <c r="CU360" i="1"/>
  <c r="CR360" i="1"/>
  <c r="CN360" i="1"/>
  <c r="CO360" i="1"/>
  <c r="CP360" i="1"/>
  <c r="CB390" i="1"/>
  <c r="CA390" i="1"/>
  <c r="BZ390" i="1"/>
  <c r="BY390" i="1"/>
  <c r="BX390" i="1"/>
  <c r="BW390" i="1"/>
  <c r="BV390" i="1"/>
  <c r="CD390" i="1"/>
  <c r="CC390" i="1"/>
  <c r="CE390" i="1"/>
  <c r="CH392" i="1"/>
  <c r="CI392" i="1"/>
  <c r="CF392" i="1"/>
  <c r="CL392" i="1"/>
  <c r="CK392" i="1"/>
  <c r="CM392" i="1"/>
  <c r="CG392" i="1"/>
  <c r="CJ392" i="1"/>
  <c r="CR392" i="1"/>
  <c r="CN392" i="1"/>
  <c r="CO392" i="1"/>
  <c r="CP392" i="1"/>
  <c r="CT392" i="1"/>
  <c r="CS392" i="1"/>
  <c r="CQ392" i="1"/>
  <c r="CU392" i="1"/>
  <c r="CB422" i="1"/>
  <c r="CA422" i="1"/>
  <c r="BZ422" i="1"/>
  <c r="BY422" i="1"/>
  <c r="BX422" i="1"/>
  <c r="BW422" i="1"/>
  <c r="BV422" i="1"/>
  <c r="CD422" i="1"/>
  <c r="CC422" i="1"/>
  <c r="CE422" i="1"/>
  <c r="CF424" i="1"/>
  <c r="CG424" i="1"/>
  <c r="CI424" i="1"/>
  <c r="CH424" i="1"/>
  <c r="CJ424" i="1"/>
  <c r="CK424" i="1"/>
  <c r="CL424" i="1"/>
  <c r="CM424" i="1"/>
  <c r="CQ424" i="1"/>
  <c r="CT424" i="1"/>
  <c r="CU424" i="1"/>
  <c r="CS424" i="1"/>
  <c r="CN424" i="1"/>
  <c r="CR424" i="1"/>
  <c r="CO424" i="1"/>
  <c r="CP424" i="1"/>
  <c r="CB454" i="1"/>
  <c r="CA454" i="1"/>
  <c r="BZ454" i="1"/>
  <c r="BY454" i="1"/>
  <c r="BX454" i="1"/>
  <c r="BW454" i="1"/>
  <c r="BV454" i="1"/>
  <c r="CE454" i="1"/>
  <c r="CD454" i="1"/>
  <c r="CC454" i="1"/>
  <c r="CF456" i="1"/>
  <c r="CJ456" i="1"/>
  <c r="CK456" i="1"/>
  <c r="CG456" i="1"/>
  <c r="CH456" i="1"/>
  <c r="CL456" i="1"/>
  <c r="CI456" i="1"/>
  <c r="CM456" i="1"/>
  <c r="CN456" i="1"/>
  <c r="CO456" i="1"/>
  <c r="CP456" i="1"/>
  <c r="CR456" i="1"/>
  <c r="CU456" i="1"/>
  <c r="CT456" i="1"/>
  <c r="CS456" i="1"/>
  <c r="CQ456" i="1"/>
  <c r="CB486" i="1"/>
  <c r="CA486" i="1"/>
  <c r="BZ486" i="1"/>
  <c r="BX486" i="1"/>
  <c r="BW486" i="1"/>
  <c r="BV486" i="1"/>
  <c r="BY486" i="1"/>
  <c r="CC486" i="1"/>
  <c r="CE486" i="1"/>
  <c r="CD486" i="1"/>
  <c r="CF488" i="1"/>
  <c r="CL488" i="1"/>
  <c r="CH488" i="1"/>
  <c r="CG488" i="1"/>
  <c r="CK488" i="1"/>
  <c r="CI488" i="1"/>
  <c r="CM488" i="1"/>
  <c r="CJ488" i="1"/>
  <c r="CS488" i="1"/>
  <c r="CQ488" i="1"/>
  <c r="CT488" i="1"/>
  <c r="CU488" i="1"/>
  <c r="CP488" i="1"/>
  <c r="CR488" i="1"/>
  <c r="CN488" i="1"/>
  <c r="CO488" i="1"/>
  <c r="BW518" i="1"/>
  <c r="BV518" i="1"/>
  <c r="CB518" i="1"/>
  <c r="CA518" i="1"/>
  <c r="BZ518" i="1"/>
  <c r="BY518" i="1"/>
  <c r="BX518" i="1"/>
  <c r="CC518" i="1"/>
  <c r="CE518" i="1"/>
  <c r="CD518" i="1"/>
  <c r="CF520" i="1"/>
  <c r="CJ520" i="1"/>
  <c r="CM520" i="1"/>
  <c r="CK520" i="1"/>
  <c r="CG520" i="1"/>
  <c r="CL520" i="1"/>
  <c r="CH520" i="1"/>
  <c r="CR520" i="1"/>
  <c r="CI520" i="1"/>
  <c r="CN520" i="1"/>
  <c r="CO520" i="1"/>
  <c r="CP520" i="1"/>
  <c r="CQ520" i="1"/>
  <c r="CU520" i="1"/>
  <c r="CT520" i="1"/>
  <c r="CS520" i="1"/>
  <c r="CB550" i="1"/>
  <c r="CA550" i="1"/>
  <c r="BZ550" i="1"/>
  <c r="BY550" i="1"/>
  <c r="BX550" i="1"/>
  <c r="BW550" i="1"/>
  <c r="BV550" i="1"/>
  <c r="CE550" i="1"/>
  <c r="CD550" i="1"/>
  <c r="CC550" i="1"/>
  <c r="CF552" i="1"/>
  <c r="CM552" i="1"/>
  <c r="CH552" i="1"/>
  <c r="CG552" i="1"/>
  <c r="CL552" i="1"/>
  <c r="CJ552" i="1"/>
  <c r="CK552" i="1"/>
  <c r="CI552" i="1"/>
  <c r="CQ552" i="1"/>
  <c r="CT552" i="1"/>
  <c r="CU552" i="1"/>
  <c r="CS552" i="1"/>
  <c r="CN552" i="1"/>
  <c r="CR552" i="1"/>
  <c r="CO552" i="1"/>
  <c r="CP552" i="1"/>
  <c r="CB582" i="1"/>
  <c r="CA582" i="1"/>
  <c r="BZ582" i="1"/>
  <c r="BY582" i="1"/>
  <c r="BX582" i="1"/>
  <c r="BW582" i="1"/>
  <c r="BV582" i="1"/>
  <c r="CC582" i="1"/>
  <c r="CE582" i="1"/>
  <c r="CD582" i="1"/>
  <c r="CF584" i="1"/>
  <c r="CM584" i="1"/>
  <c r="CI584" i="1"/>
  <c r="CJ584" i="1"/>
  <c r="CK584" i="1"/>
  <c r="CG584" i="1"/>
  <c r="CL584" i="1"/>
  <c r="CN584" i="1"/>
  <c r="CO584" i="1"/>
  <c r="CP584" i="1"/>
  <c r="CH584" i="1"/>
  <c r="CR584" i="1"/>
  <c r="CT584" i="1"/>
  <c r="CS584" i="1"/>
  <c r="CQ584" i="1"/>
  <c r="CU584" i="1"/>
  <c r="CT41" i="1"/>
  <c r="CK41" i="1"/>
  <c r="CH41" i="1"/>
  <c r="CF41" i="1"/>
  <c r="CG41" i="1"/>
  <c r="CP41" i="1"/>
  <c r="CJ41" i="1"/>
  <c r="CM41" i="1"/>
  <c r="CI41" i="1"/>
  <c r="CL41" i="1"/>
  <c r="CN41" i="1"/>
  <c r="CQ41" i="1"/>
  <c r="CR41" i="1"/>
  <c r="CS41" i="1"/>
  <c r="CO41" i="1"/>
  <c r="CU41" i="1"/>
  <c r="CL73" i="1"/>
  <c r="CI73" i="1"/>
  <c r="CM73" i="1"/>
  <c r="CJ73" i="1"/>
  <c r="CP73" i="1"/>
  <c r="CS73" i="1"/>
  <c r="CH73" i="1"/>
  <c r="CK73" i="1"/>
  <c r="CG73" i="1"/>
  <c r="CF73" i="1"/>
  <c r="CR73" i="1"/>
  <c r="CO73" i="1"/>
  <c r="CT73" i="1"/>
  <c r="CU73" i="1"/>
  <c r="CQ73" i="1"/>
  <c r="CN73" i="1"/>
  <c r="CB103" i="1"/>
  <c r="CA103" i="1"/>
  <c r="BY103" i="1"/>
  <c r="BZ103" i="1"/>
  <c r="BX103" i="1"/>
  <c r="BW103" i="1"/>
  <c r="BV103" i="1"/>
  <c r="CE103" i="1"/>
  <c r="CC103" i="1"/>
  <c r="CD103" i="1"/>
  <c r="CB199" i="1"/>
  <c r="CA199" i="1"/>
  <c r="BZ199" i="1"/>
  <c r="BY199" i="1"/>
  <c r="BX199" i="1"/>
  <c r="BW199" i="1"/>
  <c r="BV199" i="1"/>
  <c r="CE199" i="1"/>
  <c r="CC199" i="1"/>
  <c r="CD199" i="1"/>
  <c r="CB391" i="1"/>
  <c r="CA391" i="1"/>
  <c r="BY391" i="1"/>
  <c r="BX391" i="1"/>
  <c r="BW391" i="1"/>
  <c r="BV391" i="1"/>
  <c r="BZ391" i="1"/>
  <c r="CC391" i="1"/>
  <c r="CE391" i="1"/>
  <c r="CD391" i="1"/>
  <c r="CI40" i="1"/>
  <c r="CM40" i="1"/>
  <c r="CG40" i="1"/>
  <c r="CF40" i="1"/>
  <c r="CJ40" i="1"/>
  <c r="CH40" i="1"/>
  <c r="CL40" i="1"/>
  <c r="CK40" i="1"/>
  <c r="CN40" i="1"/>
  <c r="CP40" i="1"/>
  <c r="CR40" i="1"/>
  <c r="CO40" i="1"/>
  <c r="CT40" i="1"/>
  <c r="CQ40" i="1"/>
  <c r="CU40" i="1"/>
  <c r="CS40" i="1"/>
  <c r="CB70" i="1"/>
  <c r="CA70" i="1"/>
  <c r="BZ70" i="1"/>
  <c r="BY70" i="1"/>
  <c r="BX70" i="1"/>
  <c r="BW70" i="1"/>
  <c r="BV70" i="1"/>
  <c r="CD70" i="1"/>
  <c r="CC70" i="1"/>
  <c r="CE70" i="1"/>
  <c r="CJ104" i="1"/>
  <c r="CH104" i="1"/>
  <c r="CK104" i="1"/>
  <c r="CI104" i="1"/>
  <c r="CF104" i="1"/>
  <c r="CG104" i="1"/>
  <c r="CM104" i="1"/>
  <c r="CL104" i="1"/>
  <c r="CS104" i="1"/>
  <c r="CU104" i="1"/>
  <c r="CN104" i="1"/>
  <c r="CO104" i="1"/>
  <c r="CR104" i="1"/>
  <c r="CQ104" i="1"/>
  <c r="CT104" i="1"/>
  <c r="CP104" i="1"/>
  <c r="CB134" i="1"/>
  <c r="CA134" i="1"/>
  <c r="BZ134" i="1"/>
  <c r="BY134" i="1"/>
  <c r="BX134" i="1"/>
  <c r="BW134" i="1"/>
  <c r="BV134" i="1"/>
  <c r="CC134" i="1"/>
  <c r="CE134" i="1"/>
  <c r="CD134" i="1"/>
  <c r="CG200" i="1"/>
  <c r="CM200" i="1"/>
  <c r="CF200" i="1"/>
  <c r="CL200" i="1"/>
  <c r="CH200" i="1"/>
  <c r="CK200" i="1"/>
  <c r="CI200" i="1"/>
  <c r="CJ200" i="1"/>
  <c r="CO200" i="1"/>
  <c r="CU200" i="1"/>
  <c r="CP200" i="1"/>
  <c r="CR200" i="1"/>
  <c r="CT200" i="1"/>
  <c r="CS200" i="1"/>
  <c r="CN200" i="1"/>
  <c r="CQ200" i="1"/>
  <c r="CL264" i="1"/>
  <c r="CI264" i="1"/>
  <c r="CG264" i="1"/>
  <c r="CJ264" i="1"/>
  <c r="CF264" i="1"/>
  <c r="CH264" i="1"/>
  <c r="CK264" i="1"/>
  <c r="CM264" i="1"/>
  <c r="CP264" i="1"/>
  <c r="CR264" i="1"/>
  <c r="CO264" i="1"/>
  <c r="CN264" i="1"/>
  <c r="CU264" i="1"/>
  <c r="CT264" i="1"/>
  <c r="CS264" i="1"/>
  <c r="CQ264" i="1"/>
  <c r="BX53" i="1"/>
  <c r="CB53" i="1"/>
  <c r="CA53" i="1"/>
  <c r="BZ53" i="1"/>
  <c r="BY53" i="1"/>
  <c r="BW53" i="1"/>
  <c r="BV53" i="1"/>
  <c r="CC53" i="1"/>
  <c r="CD53" i="1"/>
  <c r="CE53" i="1"/>
  <c r="CF55" i="1"/>
  <c r="CL55" i="1"/>
  <c r="CH55" i="1"/>
  <c r="CG55" i="1"/>
  <c r="CJ55" i="1"/>
  <c r="CM55" i="1"/>
  <c r="CQ55" i="1"/>
  <c r="CK55" i="1"/>
  <c r="CI55" i="1"/>
  <c r="CU55" i="1"/>
  <c r="CN55" i="1"/>
  <c r="CT55" i="1"/>
  <c r="CS55" i="1"/>
  <c r="CR55" i="1"/>
  <c r="CP55" i="1"/>
  <c r="CO55" i="1"/>
  <c r="CB85" i="1"/>
  <c r="CA85" i="1"/>
  <c r="BZ85" i="1"/>
  <c r="BY85" i="1"/>
  <c r="BX85" i="1"/>
  <c r="BW85" i="1"/>
  <c r="BV85" i="1"/>
  <c r="CC85" i="1"/>
  <c r="CD85" i="1"/>
  <c r="CE85" i="1"/>
  <c r="CI87" i="1"/>
  <c r="CM87" i="1"/>
  <c r="CJ87" i="1"/>
  <c r="CF87" i="1"/>
  <c r="CL87" i="1"/>
  <c r="CG87" i="1"/>
  <c r="CK87" i="1"/>
  <c r="CH87" i="1"/>
  <c r="CO87" i="1"/>
  <c r="CU87" i="1"/>
  <c r="CN87" i="1"/>
  <c r="CT87" i="1"/>
  <c r="CS87" i="1"/>
  <c r="CP87" i="1"/>
  <c r="CR87" i="1"/>
  <c r="CQ87" i="1"/>
  <c r="CB117" i="1"/>
  <c r="CA117" i="1"/>
  <c r="BZ117" i="1"/>
  <c r="BY117" i="1"/>
  <c r="BX117" i="1"/>
  <c r="BW117" i="1"/>
  <c r="BV117" i="1"/>
  <c r="CE117" i="1"/>
  <c r="CD117" i="1"/>
  <c r="CC117" i="1"/>
  <c r="CL119" i="1"/>
  <c r="CH119" i="1"/>
  <c r="CK119" i="1"/>
  <c r="CF119" i="1"/>
  <c r="CJ119" i="1"/>
  <c r="CG119" i="1"/>
  <c r="CI119" i="1"/>
  <c r="CU119" i="1"/>
  <c r="CO119" i="1"/>
  <c r="CR119" i="1"/>
  <c r="CM119" i="1"/>
  <c r="CP119" i="1"/>
  <c r="CQ119" i="1"/>
  <c r="CN119" i="1"/>
  <c r="CT119" i="1"/>
  <c r="CS119" i="1"/>
  <c r="CB149" i="1"/>
  <c r="CA149" i="1"/>
  <c r="BZ149" i="1"/>
  <c r="BY149" i="1"/>
  <c r="BX149" i="1"/>
  <c r="BW149" i="1"/>
  <c r="BV149" i="1"/>
  <c r="CE149" i="1"/>
  <c r="CC149" i="1"/>
  <c r="CD149" i="1"/>
  <c r="CJ151" i="1"/>
  <c r="CG151" i="1"/>
  <c r="CI151" i="1"/>
  <c r="CF151" i="1"/>
  <c r="CH151" i="1"/>
  <c r="CL151" i="1"/>
  <c r="CN151" i="1"/>
  <c r="CQ151" i="1"/>
  <c r="CK151" i="1"/>
  <c r="CS151" i="1"/>
  <c r="CR151" i="1"/>
  <c r="CP151" i="1"/>
  <c r="CO151" i="1"/>
  <c r="CU151" i="1"/>
  <c r="CM151" i="1"/>
  <c r="CT151" i="1"/>
  <c r="CB181" i="1"/>
  <c r="CA181" i="1"/>
  <c r="BZ181" i="1"/>
  <c r="BY181" i="1"/>
  <c r="BX181" i="1"/>
  <c r="BW181" i="1"/>
  <c r="BV181" i="1"/>
  <c r="CC181" i="1"/>
  <c r="CD181" i="1"/>
  <c r="CE181" i="1"/>
  <c r="CK183" i="1"/>
  <c r="CL183" i="1"/>
  <c r="CG183" i="1"/>
  <c r="CH183" i="1"/>
  <c r="CI183" i="1"/>
  <c r="CF183" i="1"/>
  <c r="CM183" i="1"/>
  <c r="CJ183" i="1"/>
  <c r="CN183" i="1"/>
  <c r="CT183" i="1"/>
  <c r="CS183" i="1"/>
  <c r="CR183" i="1"/>
  <c r="CP183" i="1"/>
  <c r="CQ183" i="1"/>
  <c r="CO183" i="1"/>
  <c r="CU183" i="1"/>
  <c r="CB213" i="1"/>
  <c r="CA213" i="1"/>
  <c r="BZ213" i="1"/>
  <c r="BY213" i="1"/>
  <c r="BX213" i="1"/>
  <c r="BW213" i="1"/>
  <c r="BV213" i="1"/>
  <c r="CE213" i="1"/>
  <c r="CC213" i="1"/>
  <c r="CD213" i="1"/>
  <c r="CG215" i="1"/>
  <c r="CI215" i="1"/>
  <c r="CJ215" i="1"/>
  <c r="CK215" i="1"/>
  <c r="CF215" i="1"/>
  <c r="CH215" i="1"/>
  <c r="CM215" i="1"/>
  <c r="CL215" i="1"/>
  <c r="CU215" i="1"/>
  <c r="CN215" i="1"/>
  <c r="CT215" i="1"/>
  <c r="CS215" i="1"/>
  <c r="CP215" i="1"/>
  <c r="CR215" i="1"/>
  <c r="CQ215" i="1"/>
  <c r="CO215" i="1"/>
  <c r="CB245" i="1"/>
  <c r="CA245" i="1"/>
  <c r="BZ245" i="1"/>
  <c r="BY245" i="1"/>
  <c r="BX245" i="1"/>
  <c r="BW245" i="1"/>
  <c r="BV245" i="1"/>
  <c r="CE245" i="1"/>
  <c r="CD245" i="1"/>
  <c r="CC245" i="1"/>
  <c r="CF247" i="1"/>
  <c r="CM247" i="1"/>
  <c r="CJ247" i="1"/>
  <c r="CG247" i="1"/>
  <c r="CH247" i="1"/>
  <c r="CU247" i="1"/>
  <c r="CO247" i="1"/>
  <c r="CR247" i="1"/>
  <c r="CL247" i="1"/>
  <c r="CI247" i="1"/>
  <c r="CQ247" i="1"/>
  <c r="CN247" i="1"/>
  <c r="CT247" i="1"/>
  <c r="CS247" i="1"/>
  <c r="CK247" i="1"/>
  <c r="CP247" i="1"/>
  <c r="CB277" i="1"/>
  <c r="CA277" i="1"/>
  <c r="BZ277" i="1"/>
  <c r="BY277" i="1"/>
  <c r="BX277" i="1"/>
  <c r="BW277" i="1"/>
  <c r="BV277" i="1"/>
  <c r="CE277" i="1"/>
  <c r="CD277" i="1"/>
  <c r="CC277" i="1"/>
  <c r="CG279" i="1"/>
  <c r="CI279" i="1"/>
  <c r="CK279" i="1"/>
  <c r="CF279" i="1"/>
  <c r="CQ279" i="1"/>
  <c r="CH279" i="1"/>
  <c r="CJ279" i="1"/>
  <c r="CL279" i="1"/>
  <c r="CM279" i="1"/>
  <c r="CO279" i="1"/>
  <c r="CP279" i="1"/>
  <c r="CU279" i="1"/>
  <c r="CT279" i="1"/>
  <c r="CS279" i="1"/>
  <c r="CR279" i="1"/>
  <c r="CN279" i="1"/>
  <c r="CB309" i="1"/>
  <c r="CA309" i="1"/>
  <c r="BZ309" i="1"/>
  <c r="BY309" i="1"/>
  <c r="BX309" i="1"/>
  <c r="BW309" i="1"/>
  <c r="BV309" i="1"/>
  <c r="CE309" i="1"/>
  <c r="CD309" i="1"/>
  <c r="CC309" i="1"/>
  <c r="CF311" i="1"/>
  <c r="CH311" i="1"/>
  <c r="CG311" i="1"/>
  <c r="CI311" i="1"/>
  <c r="CJ311" i="1"/>
  <c r="CK311" i="1"/>
  <c r="CL311" i="1"/>
  <c r="CM311" i="1"/>
  <c r="CS311" i="1"/>
  <c r="CR311" i="1"/>
  <c r="CQ311" i="1"/>
  <c r="CN311" i="1"/>
  <c r="CU311" i="1"/>
  <c r="CT311" i="1"/>
  <c r="CP311" i="1"/>
  <c r="CO311" i="1"/>
  <c r="BV341" i="1"/>
  <c r="CB341" i="1"/>
  <c r="CA341" i="1"/>
  <c r="BW341" i="1"/>
  <c r="BZ341" i="1"/>
  <c r="BY341" i="1"/>
  <c r="BX341" i="1"/>
  <c r="CE341" i="1"/>
  <c r="CC341" i="1"/>
  <c r="CD341" i="1"/>
  <c r="CK343" i="1"/>
  <c r="CF343" i="1"/>
  <c r="CG343" i="1"/>
  <c r="CI343" i="1"/>
  <c r="CM343" i="1"/>
  <c r="CH343" i="1"/>
  <c r="CJ343" i="1"/>
  <c r="CL343" i="1"/>
  <c r="CU343" i="1"/>
  <c r="CT343" i="1"/>
  <c r="CO343" i="1"/>
  <c r="CS343" i="1"/>
  <c r="CR343" i="1"/>
  <c r="CQ343" i="1"/>
  <c r="CN343" i="1"/>
  <c r="CP343" i="1"/>
  <c r="CA373" i="1"/>
  <c r="BY373" i="1"/>
  <c r="CB373" i="1"/>
  <c r="BZ373" i="1"/>
  <c r="BX373" i="1"/>
  <c r="BW373" i="1"/>
  <c r="BV373" i="1"/>
  <c r="CD373" i="1"/>
  <c r="CE373" i="1"/>
  <c r="CC373" i="1"/>
  <c r="CK375" i="1"/>
  <c r="CF375" i="1"/>
  <c r="CH375" i="1"/>
  <c r="CJ375" i="1"/>
  <c r="CL375" i="1"/>
  <c r="CM375" i="1"/>
  <c r="CI375" i="1"/>
  <c r="CG375" i="1"/>
  <c r="CT375" i="1"/>
  <c r="CU375" i="1"/>
  <c r="CP375" i="1"/>
  <c r="CN375" i="1"/>
  <c r="CQ375" i="1"/>
  <c r="CR375" i="1"/>
  <c r="CO375" i="1"/>
  <c r="CS375" i="1"/>
  <c r="BV405" i="1"/>
  <c r="CB405" i="1"/>
  <c r="CA405" i="1"/>
  <c r="BZ405" i="1"/>
  <c r="BY405" i="1"/>
  <c r="BX405" i="1"/>
  <c r="BW405" i="1"/>
  <c r="CC405" i="1"/>
  <c r="CD405" i="1"/>
  <c r="CE405" i="1"/>
  <c r="CL407" i="1"/>
  <c r="CJ407" i="1"/>
  <c r="CM407" i="1"/>
  <c r="CF407" i="1"/>
  <c r="CI407" i="1"/>
  <c r="CK407" i="1"/>
  <c r="CG407" i="1"/>
  <c r="CH407" i="1"/>
  <c r="CP407" i="1"/>
  <c r="CQ407" i="1"/>
  <c r="CR407" i="1"/>
  <c r="CS407" i="1"/>
  <c r="CO407" i="1"/>
  <c r="CT407" i="1"/>
  <c r="CU407" i="1"/>
  <c r="CN407" i="1"/>
  <c r="BV437" i="1"/>
  <c r="CB437" i="1"/>
  <c r="BY437" i="1"/>
  <c r="CA437" i="1"/>
  <c r="BZ437" i="1"/>
  <c r="BX437" i="1"/>
  <c r="BW437" i="1"/>
  <c r="CD437" i="1"/>
  <c r="CC437" i="1"/>
  <c r="CE437" i="1"/>
  <c r="CF439" i="1"/>
  <c r="CL439" i="1"/>
  <c r="CI439" i="1"/>
  <c r="CM439" i="1"/>
  <c r="CN439" i="1"/>
  <c r="CG439" i="1"/>
  <c r="CH439" i="1"/>
  <c r="CJ439" i="1"/>
  <c r="CK439" i="1"/>
  <c r="CR439" i="1"/>
  <c r="CO439" i="1"/>
  <c r="CS439" i="1"/>
  <c r="CT439" i="1"/>
  <c r="CU439" i="1"/>
  <c r="CP439" i="1"/>
  <c r="CQ439" i="1"/>
  <c r="CB469" i="1"/>
  <c r="CA469" i="1"/>
  <c r="BZ469" i="1"/>
  <c r="BY469" i="1"/>
  <c r="BX469" i="1"/>
  <c r="BW469" i="1"/>
  <c r="BV469" i="1"/>
  <c r="CE469" i="1"/>
  <c r="CD469" i="1"/>
  <c r="CC469" i="1"/>
  <c r="CJ471" i="1"/>
  <c r="CF471" i="1"/>
  <c r="CM471" i="1"/>
  <c r="CG471" i="1"/>
  <c r="CL471" i="1"/>
  <c r="CK471" i="1"/>
  <c r="CH471" i="1"/>
  <c r="CI471" i="1"/>
  <c r="CQ471" i="1"/>
  <c r="CR471" i="1"/>
  <c r="CS471" i="1"/>
  <c r="CO471" i="1"/>
  <c r="CT471" i="1"/>
  <c r="CU471" i="1"/>
  <c r="CP471" i="1"/>
  <c r="CN471" i="1"/>
  <c r="BV501" i="1"/>
  <c r="CB501" i="1"/>
  <c r="CA501" i="1"/>
  <c r="BZ501" i="1"/>
  <c r="BY501" i="1"/>
  <c r="BX501" i="1"/>
  <c r="BW501" i="1"/>
  <c r="CC501" i="1"/>
  <c r="CD501" i="1"/>
  <c r="CE501" i="1"/>
  <c r="CI503" i="1"/>
  <c r="CM503" i="1"/>
  <c r="CK503" i="1"/>
  <c r="CG503" i="1"/>
  <c r="CH503" i="1"/>
  <c r="CJ503" i="1"/>
  <c r="CL503" i="1"/>
  <c r="CF503" i="1"/>
  <c r="CP503" i="1"/>
  <c r="CN503" i="1"/>
  <c r="CQ503" i="1"/>
  <c r="CR503" i="1"/>
  <c r="CO503" i="1"/>
  <c r="CS503" i="1"/>
  <c r="CT503" i="1"/>
  <c r="CU503" i="1"/>
  <c r="BV533" i="1"/>
  <c r="CB533" i="1"/>
  <c r="CA533" i="1"/>
  <c r="BZ533" i="1"/>
  <c r="BY533" i="1"/>
  <c r="BX533" i="1"/>
  <c r="BW533" i="1"/>
  <c r="CC533" i="1"/>
  <c r="CD533" i="1"/>
  <c r="CE533" i="1"/>
  <c r="CG535" i="1"/>
  <c r="CL535" i="1"/>
  <c r="CH535" i="1"/>
  <c r="CJ535" i="1"/>
  <c r="CF535" i="1"/>
  <c r="CK535" i="1"/>
  <c r="CM535" i="1"/>
  <c r="CP535" i="1"/>
  <c r="CQ535" i="1"/>
  <c r="CR535" i="1"/>
  <c r="CS535" i="1"/>
  <c r="CO535" i="1"/>
  <c r="CT535" i="1"/>
  <c r="CU535" i="1"/>
  <c r="CI535" i="1"/>
  <c r="CN535" i="1"/>
  <c r="BV565" i="1"/>
  <c r="CB565" i="1"/>
  <c r="CA565" i="1"/>
  <c r="BY565" i="1"/>
  <c r="BZ565" i="1"/>
  <c r="BX565" i="1"/>
  <c r="BW565" i="1"/>
  <c r="CC565" i="1"/>
  <c r="CD565" i="1"/>
  <c r="CE565" i="1"/>
  <c r="CJ567" i="1"/>
  <c r="CK567" i="1"/>
  <c r="CF567" i="1"/>
  <c r="CG567" i="1"/>
  <c r="CH567" i="1"/>
  <c r="CL567" i="1"/>
  <c r="CN567" i="1"/>
  <c r="CM567" i="1"/>
  <c r="CU567" i="1"/>
  <c r="CP567" i="1"/>
  <c r="CQ567" i="1"/>
  <c r="CR567" i="1"/>
  <c r="CI567" i="1"/>
  <c r="CO567" i="1"/>
  <c r="CS567" i="1"/>
  <c r="CT567" i="1"/>
  <c r="BV597" i="1"/>
  <c r="CB597" i="1"/>
  <c r="CA597" i="1"/>
  <c r="BZ597" i="1"/>
  <c r="BY597" i="1"/>
  <c r="BX597" i="1"/>
  <c r="BW597" i="1"/>
  <c r="CE597" i="1"/>
  <c r="CD597" i="1"/>
  <c r="CC597" i="1"/>
  <c r="CF599" i="1"/>
  <c r="CH599" i="1"/>
  <c r="CG599" i="1"/>
  <c r="CQ599" i="1"/>
  <c r="CR599" i="1"/>
  <c r="CS599" i="1"/>
  <c r="CO599" i="1"/>
  <c r="CT599" i="1"/>
  <c r="CU599" i="1"/>
  <c r="CI599" i="1"/>
  <c r="CL599" i="1"/>
  <c r="CJ599" i="1"/>
  <c r="CK599" i="1"/>
  <c r="CM599" i="1"/>
  <c r="CN599" i="1"/>
  <c r="CP599" i="1"/>
  <c r="BW7" i="1"/>
  <c r="BV7" i="1"/>
  <c r="CB7" i="1"/>
  <c r="BZ7" i="1"/>
  <c r="BY7" i="1"/>
  <c r="BX7" i="1"/>
  <c r="CA7" i="1"/>
  <c r="CC7" i="1"/>
  <c r="CD7" i="1"/>
  <c r="CE7" i="1"/>
  <c r="CH297" i="1"/>
  <c r="CP297" i="1"/>
  <c r="CO297" i="1"/>
  <c r="CJ297" i="1"/>
  <c r="CF297" i="1"/>
  <c r="CK297" i="1"/>
  <c r="CL297" i="1"/>
  <c r="CQ297" i="1"/>
  <c r="CR297" i="1"/>
  <c r="CI297" i="1"/>
  <c r="CT297" i="1"/>
  <c r="CM297" i="1"/>
  <c r="CU297" i="1"/>
  <c r="CN297" i="1"/>
  <c r="CS297" i="1"/>
  <c r="CG297" i="1"/>
  <c r="CB487" i="1"/>
  <c r="CA487" i="1"/>
  <c r="BZ487" i="1"/>
  <c r="BY487" i="1"/>
  <c r="BX487" i="1"/>
  <c r="BW487" i="1"/>
  <c r="BV487" i="1"/>
  <c r="CE487" i="1"/>
  <c r="CD487" i="1"/>
  <c r="CC487" i="1"/>
  <c r="CG8" i="1"/>
  <c r="CF8" i="1"/>
  <c r="CJ8" i="1"/>
  <c r="CH8" i="1"/>
  <c r="CL8" i="1"/>
  <c r="CK8" i="1"/>
  <c r="CI8" i="1"/>
  <c r="CM8" i="1"/>
  <c r="CT8" i="1"/>
  <c r="CQ8" i="1"/>
  <c r="CN8" i="1"/>
  <c r="CO8" i="1"/>
  <c r="CP8" i="1"/>
  <c r="CU8" i="1"/>
  <c r="CS8" i="1"/>
  <c r="CR8" i="1"/>
  <c r="CB38" i="1"/>
  <c r="CA38" i="1"/>
  <c r="BZ38" i="1"/>
  <c r="BY38" i="1"/>
  <c r="BX38" i="1"/>
  <c r="BW38" i="1"/>
  <c r="BV38" i="1"/>
  <c r="CC38" i="1"/>
  <c r="CE38" i="1"/>
  <c r="CD38" i="1"/>
  <c r="CL72" i="1"/>
  <c r="CK72" i="1"/>
  <c r="CF72" i="1"/>
  <c r="CI72" i="1"/>
  <c r="CM72" i="1"/>
  <c r="CG72" i="1"/>
  <c r="CJ72" i="1"/>
  <c r="CH72" i="1"/>
  <c r="CO72" i="1"/>
  <c r="CN72" i="1"/>
  <c r="CU72" i="1"/>
  <c r="CS72" i="1"/>
  <c r="CR72" i="1"/>
  <c r="CT72" i="1"/>
  <c r="CQ72" i="1"/>
  <c r="CP72" i="1"/>
  <c r="BZ102" i="1"/>
  <c r="BX102" i="1"/>
  <c r="BW102" i="1"/>
  <c r="BV102" i="1"/>
  <c r="CB102" i="1"/>
  <c r="CA102" i="1"/>
  <c r="BY102" i="1"/>
  <c r="CD102" i="1"/>
  <c r="CE102" i="1"/>
  <c r="CC102" i="1"/>
  <c r="CB166" i="1"/>
  <c r="CA166" i="1"/>
  <c r="BZ166" i="1"/>
  <c r="BY166" i="1"/>
  <c r="BX166" i="1"/>
  <c r="BW166" i="1"/>
  <c r="BV166" i="1"/>
  <c r="CC166" i="1"/>
  <c r="CE166" i="1"/>
  <c r="CD166" i="1"/>
  <c r="CJ232" i="1"/>
  <c r="CF232" i="1"/>
  <c r="CH232" i="1"/>
  <c r="CL232" i="1"/>
  <c r="CK232" i="1"/>
  <c r="CI232" i="1"/>
  <c r="CM232" i="1"/>
  <c r="CG232" i="1"/>
  <c r="CN232" i="1"/>
  <c r="CS232" i="1"/>
  <c r="CQ232" i="1"/>
  <c r="CT232" i="1"/>
  <c r="CU232" i="1"/>
  <c r="CP232" i="1"/>
  <c r="CO232" i="1"/>
  <c r="CR232" i="1"/>
  <c r="CF38" i="1"/>
  <c r="CK38" i="1"/>
  <c r="CH38" i="1"/>
  <c r="CG38" i="1"/>
  <c r="CO38" i="1"/>
  <c r="CI38" i="1"/>
  <c r="CP38" i="1"/>
  <c r="CM38" i="1"/>
  <c r="CU38" i="1"/>
  <c r="CN38" i="1"/>
  <c r="CJ38" i="1"/>
  <c r="CQ38" i="1"/>
  <c r="CS38" i="1"/>
  <c r="CL38" i="1"/>
  <c r="CR38" i="1"/>
  <c r="CT38" i="1"/>
  <c r="CB68" i="1"/>
  <c r="CA68" i="1"/>
  <c r="BZ68" i="1"/>
  <c r="BY68" i="1"/>
  <c r="BX68" i="1"/>
  <c r="BW68" i="1"/>
  <c r="BV68" i="1"/>
  <c r="CC68" i="1"/>
  <c r="CE68" i="1"/>
  <c r="CD68" i="1"/>
  <c r="CI70" i="1"/>
  <c r="CH70" i="1"/>
  <c r="CM70" i="1"/>
  <c r="CL70" i="1"/>
  <c r="CK70" i="1"/>
  <c r="CJ70" i="1"/>
  <c r="CF70" i="1"/>
  <c r="CG70" i="1"/>
  <c r="CN70" i="1"/>
  <c r="CP70" i="1"/>
  <c r="CS70" i="1"/>
  <c r="CT70" i="1"/>
  <c r="CO70" i="1"/>
  <c r="CR70" i="1"/>
  <c r="CQ70" i="1"/>
  <c r="CU70" i="1"/>
  <c r="CB100" i="1"/>
  <c r="CA100" i="1"/>
  <c r="BZ100" i="1"/>
  <c r="BY100" i="1"/>
  <c r="BX100" i="1"/>
  <c r="BW100" i="1"/>
  <c r="BV100" i="1"/>
  <c r="CE100" i="1"/>
  <c r="CC100" i="1"/>
  <c r="CD100" i="1"/>
  <c r="CL102" i="1"/>
  <c r="CK102" i="1"/>
  <c r="CF102" i="1"/>
  <c r="CH102" i="1"/>
  <c r="CG102" i="1"/>
  <c r="CS102" i="1"/>
  <c r="CT102" i="1"/>
  <c r="CM102" i="1"/>
  <c r="CI102" i="1"/>
  <c r="CO102" i="1"/>
  <c r="CJ102" i="1"/>
  <c r="CU102" i="1"/>
  <c r="CN102" i="1"/>
  <c r="CR102" i="1"/>
  <c r="CQ102" i="1"/>
  <c r="CP102" i="1"/>
  <c r="CB132" i="1"/>
  <c r="CA132" i="1"/>
  <c r="BZ132" i="1"/>
  <c r="BY132" i="1"/>
  <c r="BX132" i="1"/>
  <c r="BW132" i="1"/>
  <c r="BV132" i="1"/>
  <c r="CD132" i="1"/>
  <c r="CC132" i="1"/>
  <c r="CE132" i="1"/>
  <c r="CJ134" i="1"/>
  <c r="CG134" i="1"/>
  <c r="CP134" i="1"/>
  <c r="CL134" i="1"/>
  <c r="CK134" i="1"/>
  <c r="CQ134" i="1"/>
  <c r="CM134" i="1"/>
  <c r="CI134" i="1"/>
  <c r="CH134" i="1"/>
  <c r="CN134" i="1"/>
  <c r="CF134" i="1"/>
  <c r="CU134" i="1"/>
  <c r="CS134" i="1"/>
  <c r="CT134" i="1"/>
  <c r="CO134" i="1"/>
  <c r="CR134" i="1"/>
  <c r="CB164" i="1"/>
  <c r="CA164" i="1"/>
  <c r="BZ164" i="1"/>
  <c r="BY164" i="1"/>
  <c r="BX164" i="1"/>
  <c r="BW164" i="1"/>
  <c r="BV164" i="1"/>
  <c r="CC164" i="1"/>
  <c r="CD164" i="1"/>
  <c r="CE164" i="1"/>
  <c r="CM166" i="1"/>
  <c r="CG166" i="1"/>
  <c r="CK166" i="1"/>
  <c r="CL166" i="1"/>
  <c r="CU166" i="1"/>
  <c r="CO166" i="1"/>
  <c r="CF166" i="1"/>
  <c r="CS166" i="1"/>
  <c r="CI166" i="1"/>
  <c r="CH166" i="1"/>
  <c r="CJ166" i="1"/>
  <c r="CQ166" i="1"/>
  <c r="CP166" i="1"/>
  <c r="CN166" i="1"/>
  <c r="CT166" i="1"/>
  <c r="CR166" i="1"/>
  <c r="CB196" i="1"/>
  <c r="CA196" i="1"/>
  <c r="BZ196" i="1"/>
  <c r="BY196" i="1"/>
  <c r="BX196" i="1"/>
  <c r="BW196" i="1"/>
  <c r="BV196" i="1"/>
  <c r="CE196" i="1"/>
  <c r="CD196" i="1"/>
  <c r="CC196" i="1"/>
  <c r="CJ198" i="1"/>
  <c r="CG198" i="1"/>
  <c r="CI198" i="1"/>
  <c r="CH198" i="1"/>
  <c r="CN198" i="1"/>
  <c r="CF198" i="1"/>
  <c r="CK198" i="1"/>
  <c r="CL198" i="1"/>
  <c r="CM198" i="1"/>
  <c r="CP198" i="1"/>
  <c r="CQ198" i="1"/>
  <c r="CR198" i="1"/>
  <c r="CU198" i="1"/>
  <c r="CS198" i="1"/>
  <c r="CT198" i="1"/>
  <c r="CO198" i="1"/>
  <c r="CB228" i="1"/>
  <c r="CA228" i="1"/>
  <c r="BZ228" i="1"/>
  <c r="BY228" i="1"/>
  <c r="BX228" i="1"/>
  <c r="BW228" i="1"/>
  <c r="BV228" i="1"/>
  <c r="CE228" i="1"/>
  <c r="CC228" i="1"/>
  <c r="CD228" i="1"/>
  <c r="CM230" i="1"/>
  <c r="CL230" i="1"/>
  <c r="CI230" i="1"/>
  <c r="CK230" i="1"/>
  <c r="CJ230" i="1"/>
  <c r="CG230" i="1"/>
  <c r="CS230" i="1"/>
  <c r="CH230" i="1"/>
  <c r="CT230" i="1"/>
  <c r="CF230" i="1"/>
  <c r="CO230" i="1"/>
  <c r="CR230" i="1"/>
  <c r="CP230" i="1"/>
  <c r="CQ230" i="1"/>
  <c r="CN230" i="1"/>
  <c r="CU230" i="1"/>
  <c r="CB260" i="1"/>
  <c r="CA260" i="1"/>
  <c r="BZ260" i="1"/>
  <c r="BY260" i="1"/>
  <c r="BX260" i="1"/>
  <c r="BW260" i="1"/>
  <c r="BV260" i="1"/>
  <c r="CE260" i="1"/>
  <c r="CD260" i="1"/>
  <c r="CC260" i="1"/>
  <c r="CL262" i="1"/>
  <c r="CK262" i="1"/>
  <c r="CJ262" i="1"/>
  <c r="CP262" i="1"/>
  <c r="CH262" i="1"/>
  <c r="CI262" i="1"/>
  <c r="CG262" i="1"/>
  <c r="CQ262" i="1"/>
  <c r="CF262" i="1"/>
  <c r="CN262" i="1"/>
  <c r="CM262" i="1"/>
  <c r="CU262" i="1"/>
  <c r="CS262" i="1"/>
  <c r="CO262" i="1"/>
  <c r="CR262" i="1"/>
  <c r="CT262" i="1"/>
  <c r="BY292" i="1"/>
  <c r="BX292" i="1"/>
  <c r="BW292" i="1"/>
  <c r="BV292" i="1"/>
  <c r="CB292" i="1"/>
  <c r="CA292" i="1"/>
  <c r="BZ292" i="1"/>
  <c r="CD292" i="1"/>
  <c r="CE292" i="1"/>
  <c r="CC292" i="1"/>
  <c r="CM294" i="1"/>
  <c r="CJ294" i="1"/>
  <c r="CG294" i="1"/>
  <c r="CI294" i="1"/>
  <c r="CF294" i="1"/>
  <c r="CO294" i="1"/>
  <c r="CH294" i="1"/>
  <c r="CK294" i="1"/>
  <c r="CL294" i="1"/>
  <c r="CN294" i="1"/>
  <c r="CT294" i="1"/>
  <c r="CU294" i="1"/>
  <c r="CP294" i="1"/>
  <c r="CR294" i="1"/>
  <c r="CS294" i="1"/>
  <c r="CQ294" i="1"/>
  <c r="CB324" i="1"/>
  <c r="CA324" i="1"/>
  <c r="BZ324" i="1"/>
  <c r="BY324" i="1"/>
  <c r="BX324" i="1"/>
  <c r="BW324" i="1"/>
  <c r="BV324" i="1"/>
  <c r="CC324" i="1"/>
  <c r="CD324" i="1"/>
  <c r="CE324" i="1"/>
  <c r="CK326" i="1"/>
  <c r="CJ326" i="1"/>
  <c r="CI326" i="1"/>
  <c r="CN326" i="1"/>
  <c r="CG326" i="1"/>
  <c r="CH326" i="1"/>
  <c r="CL326" i="1"/>
  <c r="CM326" i="1"/>
  <c r="CP326" i="1"/>
  <c r="CF326" i="1"/>
  <c r="CR326" i="1"/>
  <c r="CQ326" i="1"/>
  <c r="CO326" i="1"/>
  <c r="CS326" i="1"/>
  <c r="CT326" i="1"/>
  <c r="CU326" i="1"/>
  <c r="CB356" i="1"/>
  <c r="CA356" i="1"/>
  <c r="BZ356" i="1"/>
  <c r="BY356" i="1"/>
  <c r="BX356" i="1"/>
  <c r="BW356" i="1"/>
  <c r="BV356" i="1"/>
  <c r="CD356" i="1"/>
  <c r="CC356" i="1"/>
  <c r="CE356" i="1"/>
  <c r="CI358" i="1"/>
  <c r="CG358" i="1"/>
  <c r="CF358" i="1"/>
  <c r="CM358" i="1"/>
  <c r="CJ358" i="1"/>
  <c r="CK358" i="1"/>
  <c r="CH358" i="1"/>
  <c r="CU358" i="1"/>
  <c r="CN358" i="1"/>
  <c r="CT358" i="1"/>
  <c r="CL358" i="1"/>
  <c r="CR358" i="1"/>
  <c r="CO358" i="1"/>
  <c r="CP358" i="1"/>
  <c r="CS358" i="1"/>
  <c r="CQ358" i="1"/>
  <c r="CB388" i="1"/>
  <c r="CA388" i="1"/>
  <c r="BZ388" i="1"/>
  <c r="BY388" i="1"/>
  <c r="BX388" i="1"/>
  <c r="BW388" i="1"/>
  <c r="BV388" i="1"/>
  <c r="CC388" i="1"/>
  <c r="CD388" i="1"/>
  <c r="CE388" i="1"/>
  <c r="CI390" i="1"/>
  <c r="CH390" i="1"/>
  <c r="CL390" i="1"/>
  <c r="CF390" i="1"/>
  <c r="CG390" i="1"/>
  <c r="CJ390" i="1"/>
  <c r="CS390" i="1"/>
  <c r="CK390" i="1"/>
  <c r="CM390" i="1"/>
  <c r="CP390" i="1"/>
  <c r="CO390" i="1"/>
  <c r="CR390" i="1"/>
  <c r="CU390" i="1"/>
  <c r="CQ390" i="1"/>
  <c r="CT390" i="1"/>
  <c r="CN390" i="1"/>
  <c r="CA420" i="1"/>
  <c r="BZ420" i="1"/>
  <c r="BY420" i="1"/>
  <c r="BX420" i="1"/>
  <c r="BW420" i="1"/>
  <c r="BV420" i="1"/>
  <c r="CB420" i="1"/>
  <c r="CC420" i="1"/>
  <c r="CD420" i="1"/>
  <c r="CE420" i="1"/>
  <c r="CJ422" i="1"/>
  <c r="CL422" i="1"/>
  <c r="CI422" i="1"/>
  <c r="CG422" i="1"/>
  <c r="CN422" i="1"/>
  <c r="CH422" i="1"/>
  <c r="CF422" i="1"/>
  <c r="CK422" i="1"/>
  <c r="CT422" i="1"/>
  <c r="CM422" i="1"/>
  <c r="CU422" i="1"/>
  <c r="CP422" i="1"/>
  <c r="CS422" i="1"/>
  <c r="CQ422" i="1"/>
  <c r="CO422" i="1"/>
  <c r="CR422" i="1"/>
  <c r="CB452" i="1"/>
  <c r="BW452" i="1"/>
  <c r="CA452" i="1"/>
  <c r="BZ452" i="1"/>
  <c r="BY452" i="1"/>
  <c r="BX452" i="1"/>
  <c r="BV452" i="1"/>
  <c r="CD452" i="1"/>
  <c r="CC452" i="1"/>
  <c r="CE452" i="1"/>
  <c r="CI454" i="1"/>
  <c r="CH454" i="1"/>
  <c r="CM454" i="1"/>
  <c r="CL454" i="1"/>
  <c r="CF454" i="1"/>
  <c r="CJ454" i="1"/>
  <c r="CG454" i="1"/>
  <c r="CO454" i="1"/>
  <c r="CR454" i="1"/>
  <c r="CQ454" i="1"/>
  <c r="CK454" i="1"/>
  <c r="CS454" i="1"/>
  <c r="CP454" i="1"/>
  <c r="CU454" i="1"/>
  <c r="CN454" i="1"/>
  <c r="CT454" i="1"/>
  <c r="BY484" i="1"/>
  <c r="BX484" i="1"/>
  <c r="CB484" i="1"/>
  <c r="CA484" i="1"/>
  <c r="BZ484" i="1"/>
  <c r="BW484" i="1"/>
  <c r="BV484" i="1"/>
  <c r="CC484" i="1"/>
  <c r="CD484" i="1"/>
  <c r="CE484" i="1"/>
  <c r="CI486" i="1"/>
  <c r="CK486" i="1"/>
  <c r="CG486" i="1"/>
  <c r="CM486" i="1"/>
  <c r="CJ486" i="1"/>
  <c r="CF486" i="1"/>
  <c r="CU486" i="1"/>
  <c r="CP486" i="1"/>
  <c r="CN486" i="1"/>
  <c r="CH486" i="1"/>
  <c r="CL486" i="1"/>
  <c r="CT486" i="1"/>
  <c r="CO486" i="1"/>
  <c r="CR486" i="1"/>
  <c r="CS486" i="1"/>
  <c r="CQ486" i="1"/>
  <c r="CA516" i="1"/>
  <c r="CB516" i="1"/>
  <c r="BZ516" i="1"/>
  <c r="BY516" i="1"/>
  <c r="BX516" i="1"/>
  <c r="BW516" i="1"/>
  <c r="BV516" i="1"/>
  <c r="CE516" i="1"/>
  <c r="CC516" i="1"/>
  <c r="CD516" i="1"/>
  <c r="CL518" i="1"/>
  <c r="CK518" i="1"/>
  <c r="CG518" i="1"/>
  <c r="CI518" i="1"/>
  <c r="CS518" i="1"/>
  <c r="CF518" i="1"/>
  <c r="CO518" i="1"/>
  <c r="CR518" i="1"/>
  <c r="CJ518" i="1"/>
  <c r="CM518" i="1"/>
  <c r="CH518" i="1"/>
  <c r="CN518" i="1"/>
  <c r="CT518" i="1"/>
  <c r="CP518" i="1"/>
  <c r="CU518" i="1"/>
  <c r="CQ518" i="1"/>
  <c r="BZ548" i="1"/>
  <c r="BY548" i="1"/>
  <c r="BX548" i="1"/>
  <c r="BW548" i="1"/>
  <c r="BV548" i="1"/>
  <c r="CB548" i="1"/>
  <c r="CA548" i="1"/>
  <c r="CE548" i="1"/>
  <c r="CC548" i="1"/>
  <c r="CD548" i="1"/>
  <c r="CJ550" i="1"/>
  <c r="CL550" i="1"/>
  <c r="CI550" i="1"/>
  <c r="CM550" i="1"/>
  <c r="CH550" i="1"/>
  <c r="CN550" i="1"/>
  <c r="CG550" i="1"/>
  <c r="CT550" i="1"/>
  <c r="CF550" i="1"/>
  <c r="CU550" i="1"/>
  <c r="CP550" i="1"/>
  <c r="CK550" i="1"/>
  <c r="CO550" i="1"/>
  <c r="CR550" i="1"/>
  <c r="CS550" i="1"/>
  <c r="CQ550" i="1"/>
  <c r="CA580" i="1"/>
  <c r="BZ580" i="1"/>
  <c r="BY580" i="1"/>
  <c r="BX580" i="1"/>
  <c r="BW580" i="1"/>
  <c r="BV580" i="1"/>
  <c r="CB580" i="1"/>
  <c r="CE580" i="1"/>
  <c r="CC580" i="1"/>
  <c r="CD580" i="1"/>
  <c r="CM582" i="1"/>
  <c r="CK582" i="1"/>
  <c r="CI582" i="1"/>
  <c r="CL582" i="1"/>
  <c r="CR582" i="1"/>
  <c r="CN582" i="1"/>
  <c r="CH582" i="1"/>
  <c r="CQ582" i="1"/>
  <c r="CG582" i="1"/>
  <c r="CS582" i="1"/>
  <c r="CF582" i="1"/>
  <c r="CJ582" i="1"/>
  <c r="CT582" i="1"/>
  <c r="CO582" i="1"/>
  <c r="CP582" i="1"/>
  <c r="CU582" i="1"/>
  <c r="CB135" i="1"/>
  <c r="CA135" i="1"/>
  <c r="BZ135" i="1"/>
  <c r="BY135" i="1"/>
  <c r="BX135" i="1"/>
  <c r="BW135" i="1"/>
  <c r="BV135" i="1"/>
  <c r="CE135" i="1"/>
  <c r="CC135" i="1"/>
  <c r="CD135" i="1"/>
  <c r="BY263" i="1"/>
  <c r="BX263" i="1"/>
  <c r="BW263" i="1"/>
  <c r="BV263" i="1"/>
  <c r="CB263" i="1"/>
  <c r="CA263" i="1"/>
  <c r="BZ263" i="1"/>
  <c r="CE263" i="1"/>
  <c r="CC263" i="1"/>
  <c r="CD263" i="1"/>
  <c r="CB327" i="1"/>
  <c r="CA327" i="1"/>
  <c r="BZ327" i="1"/>
  <c r="BY327" i="1"/>
  <c r="BX327" i="1"/>
  <c r="BW327" i="1"/>
  <c r="BV327" i="1"/>
  <c r="CD327" i="1"/>
  <c r="CE327" i="1"/>
  <c r="CC327" i="1"/>
  <c r="BW423" i="1"/>
  <c r="CB423" i="1"/>
  <c r="CA423" i="1"/>
  <c r="BZ423" i="1"/>
  <c r="BY423" i="1"/>
  <c r="BX423" i="1"/>
  <c r="BV423" i="1"/>
  <c r="CC423" i="1"/>
  <c r="CD423" i="1"/>
  <c r="CE423" i="1"/>
  <c r="BZ16" i="1"/>
  <c r="BY16" i="1"/>
  <c r="BX16" i="1"/>
  <c r="BW16" i="1"/>
  <c r="CA16" i="1"/>
  <c r="CB16" i="1"/>
  <c r="BV16" i="1"/>
  <c r="CD16" i="1"/>
  <c r="CE16" i="1"/>
  <c r="CC16" i="1"/>
  <c r="CG136" i="1"/>
  <c r="CJ136" i="1"/>
  <c r="CH136" i="1"/>
  <c r="CM136" i="1"/>
  <c r="CF136" i="1"/>
  <c r="CK136" i="1"/>
  <c r="CI136" i="1"/>
  <c r="CL136" i="1"/>
  <c r="CT136" i="1"/>
  <c r="CP136" i="1"/>
  <c r="CO136" i="1"/>
  <c r="CN136" i="1"/>
  <c r="CS136" i="1"/>
  <c r="CU136" i="1"/>
  <c r="CR136" i="1"/>
  <c r="CQ136" i="1"/>
  <c r="CB198" i="1"/>
  <c r="CA198" i="1"/>
  <c r="BZ198" i="1"/>
  <c r="BY198" i="1"/>
  <c r="BX198" i="1"/>
  <c r="BW198" i="1"/>
  <c r="BV198" i="1"/>
  <c r="CC198" i="1"/>
  <c r="CD198" i="1"/>
  <c r="CE198" i="1"/>
  <c r="CB230" i="1"/>
  <c r="CA230" i="1"/>
  <c r="BZ230" i="1"/>
  <c r="BY230" i="1"/>
  <c r="BX230" i="1"/>
  <c r="BW230" i="1"/>
  <c r="BV230" i="1"/>
  <c r="CC230" i="1"/>
  <c r="CE230" i="1"/>
  <c r="CD230" i="1"/>
  <c r="CB6" i="1"/>
  <c r="CA6" i="1"/>
  <c r="BZ6" i="1"/>
  <c r="BX6" i="1"/>
  <c r="BY6" i="1"/>
  <c r="BW6" i="1"/>
  <c r="BV6" i="1"/>
  <c r="CC6" i="1"/>
  <c r="CD6" i="1"/>
  <c r="CE6" i="1"/>
  <c r="BW21" i="1"/>
  <c r="BV21" i="1"/>
  <c r="CB21" i="1"/>
  <c r="CA21" i="1"/>
  <c r="BX21" i="1"/>
  <c r="BZ21" i="1"/>
  <c r="BY21" i="1"/>
  <c r="CC21" i="1"/>
  <c r="CD21" i="1"/>
  <c r="CE21" i="1"/>
  <c r="CF23" i="1"/>
  <c r="CI23" i="1"/>
  <c r="CG23" i="1"/>
  <c r="CK23" i="1"/>
  <c r="CJ23" i="1"/>
  <c r="CQ23" i="1"/>
  <c r="CM23" i="1"/>
  <c r="CH23" i="1"/>
  <c r="CL23" i="1"/>
  <c r="CN23" i="1"/>
  <c r="CU23" i="1"/>
  <c r="CT23" i="1"/>
  <c r="CS23" i="1"/>
  <c r="CR23" i="1"/>
  <c r="CP23" i="1"/>
  <c r="CO23" i="1"/>
  <c r="CB36" i="1"/>
  <c r="CA36" i="1"/>
  <c r="BZ36" i="1"/>
  <c r="BY36" i="1"/>
  <c r="BX36" i="1"/>
  <c r="BW36" i="1"/>
  <c r="BV36" i="1"/>
  <c r="CC36" i="1"/>
  <c r="CE36" i="1"/>
  <c r="CD36" i="1"/>
  <c r="CF6" i="1"/>
  <c r="CG6" i="1"/>
  <c r="CM6" i="1"/>
  <c r="CL6" i="1"/>
  <c r="CJ6" i="1"/>
  <c r="CK6" i="1"/>
  <c r="CH6" i="1"/>
  <c r="CI6" i="1"/>
  <c r="CN6" i="1"/>
  <c r="CO6" i="1"/>
  <c r="CP6" i="1"/>
  <c r="CR6" i="1"/>
  <c r="CQ6" i="1"/>
  <c r="CU6" i="1"/>
  <c r="CS6" i="1"/>
  <c r="CT6" i="1"/>
  <c r="CB19" i="1"/>
  <c r="CA19" i="1"/>
  <c r="BZ19" i="1"/>
  <c r="BY19" i="1"/>
  <c r="BX19" i="1"/>
  <c r="BW19" i="1"/>
  <c r="BV19" i="1"/>
  <c r="CD19" i="1"/>
  <c r="CC19" i="1"/>
  <c r="CE19" i="1"/>
  <c r="CO21" i="1"/>
  <c r="CP21" i="1"/>
  <c r="CH21" i="1"/>
  <c r="CG21" i="1"/>
  <c r="CF21" i="1"/>
  <c r="CI21" i="1"/>
  <c r="CM21" i="1"/>
  <c r="CR21" i="1"/>
  <c r="CS21" i="1"/>
  <c r="CT21" i="1"/>
  <c r="CU21" i="1"/>
  <c r="CQ21" i="1"/>
  <c r="CK21" i="1"/>
  <c r="CJ21" i="1"/>
  <c r="CN21" i="1"/>
  <c r="CL21" i="1"/>
  <c r="CB51" i="1"/>
  <c r="CA51" i="1"/>
  <c r="BZ51" i="1"/>
  <c r="BY51" i="1"/>
  <c r="BX51" i="1"/>
  <c r="BW51" i="1"/>
  <c r="BV51" i="1"/>
  <c r="CD51" i="1"/>
  <c r="CC51" i="1"/>
  <c r="CE51" i="1"/>
  <c r="CP53" i="1"/>
  <c r="CS53" i="1"/>
  <c r="CF53" i="1"/>
  <c r="CH53" i="1"/>
  <c r="CT53" i="1"/>
  <c r="CU53" i="1"/>
  <c r="CI53" i="1"/>
  <c r="CO53" i="1"/>
  <c r="CJ53" i="1"/>
  <c r="CN53" i="1"/>
  <c r="CQ53" i="1"/>
  <c r="CG53" i="1"/>
  <c r="CR53" i="1"/>
  <c r="CM53" i="1"/>
  <c r="CL53" i="1"/>
  <c r="CK53" i="1"/>
  <c r="CB83" i="1"/>
  <c r="CA83" i="1"/>
  <c r="BZ83" i="1"/>
  <c r="BY83" i="1"/>
  <c r="BX83" i="1"/>
  <c r="BW83" i="1"/>
  <c r="BV83" i="1"/>
  <c r="CC83" i="1"/>
  <c r="CE83" i="1"/>
  <c r="CD83" i="1"/>
  <c r="CI85" i="1"/>
  <c r="CP85" i="1"/>
  <c r="CF85" i="1"/>
  <c r="CG85" i="1"/>
  <c r="CH85" i="1"/>
  <c r="CL85" i="1"/>
  <c r="CU85" i="1"/>
  <c r="CK85" i="1"/>
  <c r="CM85" i="1"/>
  <c r="CQ85" i="1"/>
  <c r="CR85" i="1"/>
  <c r="CS85" i="1"/>
  <c r="CO85" i="1"/>
  <c r="CJ85" i="1"/>
  <c r="CN85" i="1"/>
  <c r="CT85" i="1"/>
  <c r="CB115" i="1"/>
  <c r="CA115" i="1"/>
  <c r="BZ115" i="1"/>
  <c r="BY115" i="1"/>
  <c r="BX115" i="1"/>
  <c r="BW115" i="1"/>
  <c r="BV115" i="1"/>
  <c r="CC115" i="1"/>
  <c r="CE115" i="1"/>
  <c r="CD115" i="1"/>
  <c r="CF117" i="1"/>
  <c r="CP117" i="1"/>
  <c r="CO117" i="1"/>
  <c r="CQ117" i="1"/>
  <c r="CU117" i="1"/>
  <c r="CH117" i="1"/>
  <c r="CI117" i="1"/>
  <c r="CT117" i="1"/>
  <c r="CG117" i="1"/>
  <c r="CR117" i="1"/>
  <c r="CJ117" i="1"/>
  <c r="CM117" i="1"/>
  <c r="CS117" i="1"/>
  <c r="CL117" i="1"/>
  <c r="CN117" i="1"/>
  <c r="CK117" i="1"/>
  <c r="CB147" i="1"/>
  <c r="CA147" i="1"/>
  <c r="BZ147" i="1"/>
  <c r="BY147" i="1"/>
  <c r="BX147" i="1"/>
  <c r="BW147" i="1"/>
  <c r="BV147" i="1"/>
  <c r="CD147" i="1"/>
  <c r="CC147" i="1"/>
  <c r="CE147" i="1"/>
  <c r="CI149" i="1"/>
  <c r="CH149" i="1"/>
  <c r="CP149" i="1"/>
  <c r="CK149" i="1"/>
  <c r="CT149" i="1"/>
  <c r="CF149" i="1"/>
  <c r="CG149" i="1"/>
  <c r="CM149" i="1"/>
  <c r="CR149" i="1"/>
  <c r="CS149" i="1"/>
  <c r="CL149" i="1"/>
  <c r="CU149" i="1"/>
  <c r="CQ149" i="1"/>
  <c r="CJ149" i="1"/>
  <c r="CN149" i="1"/>
  <c r="CO149" i="1"/>
  <c r="CB179" i="1"/>
  <c r="CA179" i="1"/>
  <c r="BZ179" i="1"/>
  <c r="BY179" i="1"/>
  <c r="BX179" i="1"/>
  <c r="BW179" i="1"/>
  <c r="BV179" i="1"/>
  <c r="CD179" i="1"/>
  <c r="CC179" i="1"/>
  <c r="CE179" i="1"/>
  <c r="CH181" i="1"/>
  <c r="CG181" i="1"/>
  <c r="CF181" i="1"/>
  <c r="CP181" i="1"/>
  <c r="CL181" i="1"/>
  <c r="CM181" i="1"/>
  <c r="CO181" i="1"/>
  <c r="CN181" i="1"/>
  <c r="CI181" i="1"/>
  <c r="CT181" i="1"/>
  <c r="CQ181" i="1"/>
  <c r="CU181" i="1"/>
  <c r="CR181" i="1"/>
  <c r="CJ181" i="1"/>
  <c r="CS181" i="1"/>
  <c r="CK181" i="1"/>
  <c r="CB211" i="1"/>
  <c r="CA211" i="1"/>
  <c r="BZ211" i="1"/>
  <c r="BY211" i="1"/>
  <c r="BX211" i="1"/>
  <c r="BW211" i="1"/>
  <c r="BV211" i="1"/>
  <c r="CE211" i="1"/>
  <c r="CD211" i="1"/>
  <c r="CC211" i="1"/>
  <c r="CP213" i="1"/>
  <c r="CH213" i="1"/>
  <c r="CJ213" i="1"/>
  <c r="CI213" i="1"/>
  <c r="CK213" i="1"/>
  <c r="CL213" i="1"/>
  <c r="CU213" i="1"/>
  <c r="CQ213" i="1"/>
  <c r="CR213" i="1"/>
  <c r="CS213" i="1"/>
  <c r="CF213" i="1"/>
  <c r="CG213" i="1"/>
  <c r="CT213" i="1"/>
  <c r="CO213" i="1"/>
  <c r="CN213" i="1"/>
  <c r="CM213" i="1"/>
  <c r="BW243" i="1"/>
  <c r="BV243" i="1"/>
  <c r="CB243" i="1"/>
  <c r="CA243" i="1"/>
  <c r="BZ243" i="1"/>
  <c r="BY243" i="1"/>
  <c r="BX243" i="1"/>
  <c r="CC243" i="1"/>
  <c r="CD243" i="1"/>
  <c r="CE243" i="1"/>
  <c r="CG245" i="1"/>
  <c r="CP245" i="1"/>
  <c r="CQ245" i="1"/>
  <c r="CU245" i="1"/>
  <c r="CF245" i="1"/>
  <c r="CT245" i="1"/>
  <c r="CH245" i="1"/>
  <c r="CI245" i="1"/>
  <c r="CO245" i="1"/>
  <c r="CK245" i="1"/>
  <c r="CR245" i="1"/>
  <c r="CJ245" i="1"/>
  <c r="CN245" i="1"/>
  <c r="CM245" i="1"/>
  <c r="CS245" i="1"/>
  <c r="CL245" i="1"/>
  <c r="CB275" i="1"/>
  <c r="CA275" i="1"/>
  <c r="BZ275" i="1"/>
  <c r="BY275" i="1"/>
  <c r="BX275" i="1"/>
  <c r="BW275" i="1"/>
  <c r="BV275" i="1"/>
  <c r="CC275" i="1"/>
  <c r="CD275" i="1"/>
  <c r="CE275" i="1"/>
  <c r="CP277" i="1"/>
  <c r="CT277" i="1"/>
  <c r="CK277" i="1"/>
  <c r="CH277" i="1"/>
  <c r="CI277" i="1"/>
  <c r="CG277" i="1"/>
  <c r="CS277" i="1"/>
  <c r="CU277" i="1"/>
  <c r="CL277" i="1"/>
  <c r="CJ277" i="1"/>
  <c r="CF277" i="1"/>
  <c r="CM277" i="1"/>
  <c r="CO277" i="1"/>
  <c r="CQ277" i="1"/>
  <c r="CR277" i="1"/>
  <c r="CN277" i="1"/>
  <c r="CB307" i="1"/>
  <c r="CA307" i="1"/>
  <c r="BZ307" i="1"/>
  <c r="BY307" i="1"/>
  <c r="BX307" i="1"/>
  <c r="BW307" i="1"/>
  <c r="BV307" i="1"/>
  <c r="CC307" i="1"/>
  <c r="CD307" i="1"/>
  <c r="CE307" i="1"/>
  <c r="CP309" i="1"/>
  <c r="CH309" i="1"/>
  <c r="CL309" i="1"/>
  <c r="CM309" i="1"/>
  <c r="CO309" i="1"/>
  <c r="CF309" i="1"/>
  <c r="CG309" i="1"/>
  <c r="CQ309" i="1"/>
  <c r="CT309" i="1"/>
  <c r="CI309" i="1"/>
  <c r="CN309" i="1"/>
  <c r="CS309" i="1"/>
  <c r="CK309" i="1"/>
  <c r="CU309" i="1"/>
  <c r="CR309" i="1"/>
  <c r="CJ309" i="1"/>
  <c r="CB339" i="1"/>
  <c r="CA339" i="1"/>
  <c r="BZ339" i="1"/>
  <c r="BY339" i="1"/>
  <c r="BX339" i="1"/>
  <c r="BW339" i="1"/>
  <c r="BV339" i="1"/>
  <c r="CE339" i="1"/>
  <c r="CC339" i="1"/>
  <c r="CD339" i="1"/>
  <c r="CF341" i="1"/>
  <c r="CP341" i="1"/>
  <c r="CI341" i="1"/>
  <c r="CJ341" i="1"/>
  <c r="CL341" i="1"/>
  <c r="CU341" i="1"/>
  <c r="CO341" i="1"/>
  <c r="CG341" i="1"/>
  <c r="CR341" i="1"/>
  <c r="CH341" i="1"/>
  <c r="CS341" i="1"/>
  <c r="CT341" i="1"/>
  <c r="CK341" i="1"/>
  <c r="CQ341" i="1"/>
  <c r="CM341" i="1"/>
  <c r="CN341" i="1"/>
  <c r="CB371" i="1"/>
  <c r="CA371" i="1"/>
  <c r="BZ371" i="1"/>
  <c r="BY371" i="1"/>
  <c r="BX371" i="1"/>
  <c r="BW371" i="1"/>
  <c r="BV371" i="1"/>
  <c r="CD371" i="1"/>
  <c r="CE371" i="1"/>
  <c r="CC371" i="1"/>
  <c r="CP373" i="1"/>
  <c r="CK373" i="1"/>
  <c r="CF373" i="1"/>
  <c r="CM373" i="1"/>
  <c r="CR373" i="1"/>
  <c r="CJ373" i="1"/>
  <c r="CQ373" i="1"/>
  <c r="CG373" i="1"/>
  <c r="CH373" i="1"/>
  <c r="CO373" i="1"/>
  <c r="CL373" i="1"/>
  <c r="CI373" i="1"/>
  <c r="CN373" i="1"/>
  <c r="CS373" i="1"/>
  <c r="CT373" i="1"/>
  <c r="CU373" i="1"/>
  <c r="CB403" i="1"/>
  <c r="BZ403" i="1"/>
  <c r="BY403" i="1"/>
  <c r="BX403" i="1"/>
  <c r="BW403" i="1"/>
  <c r="BV403" i="1"/>
  <c r="CA403" i="1"/>
  <c r="CC403" i="1"/>
  <c r="CE403" i="1"/>
  <c r="CD403" i="1"/>
  <c r="CP405" i="1"/>
  <c r="CI405" i="1"/>
  <c r="CF405" i="1"/>
  <c r="CG405" i="1"/>
  <c r="CK405" i="1"/>
  <c r="CT405" i="1"/>
  <c r="CS405" i="1"/>
  <c r="CL405" i="1"/>
  <c r="CR405" i="1"/>
  <c r="CM405" i="1"/>
  <c r="CQ405" i="1"/>
  <c r="CH405" i="1"/>
  <c r="CJ405" i="1"/>
  <c r="CO405" i="1"/>
  <c r="CN405" i="1"/>
  <c r="CU405" i="1"/>
  <c r="CB435" i="1"/>
  <c r="CA435" i="1"/>
  <c r="BZ435" i="1"/>
  <c r="BY435" i="1"/>
  <c r="BX435" i="1"/>
  <c r="BW435" i="1"/>
  <c r="BV435" i="1"/>
  <c r="CC435" i="1"/>
  <c r="CE435" i="1"/>
  <c r="CD435" i="1"/>
  <c r="CP437" i="1"/>
  <c r="CG437" i="1"/>
  <c r="CI437" i="1"/>
  <c r="CR437" i="1"/>
  <c r="CU437" i="1"/>
  <c r="CN437" i="1"/>
  <c r="CS437" i="1"/>
  <c r="CL437" i="1"/>
  <c r="CF437" i="1"/>
  <c r="CK437" i="1"/>
  <c r="CM437" i="1"/>
  <c r="CQ437" i="1"/>
  <c r="CH437" i="1"/>
  <c r="CO437" i="1"/>
  <c r="CJ437" i="1"/>
  <c r="CT437" i="1"/>
  <c r="CB467" i="1"/>
  <c r="CA467" i="1"/>
  <c r="BZ467" i="1"/>
  <c r="BY467" i="1"/>
  <c r="BX467" i="1"/>
  <c r="BW467" i="1"/>
  <c r="BV467" i="1"/>
  <c r="CE467" i="1"/>
  <c r="CC467" i="1"/>
  <c r="CD467" i="1"/>
  <c r="CP469" i="1"/>
  <c r="CF469" i="1"/>
  <c r="CH469" i="1"/>
  <c r="CL469" i="1"/>
  <c r="CJ469" i="1"/>
  <c r="CO469" i="1"/>
  <c r="CT469" i="1"/>
  <c r="CS469" i="1"/>
  <c r="CG469" i="1"/>
  <c r="CR469" i="1"/>
  <c r="CK469" i="1"/>
  <c r="CQ469" i="1"/>
  <c r="CI469" i="1"/>
  <c r="CU469" i="1"/>
  <c r="CM469" i="1"/>
  <c r="CN469" i="1"/>
  <c r="CB499" i="1"/>
  <c r="CA499" i="1"/>
  <c r="BZ499" i="1"/>
  <c r="BY499" i="1"/>
  <c r="BX499" i="1"/>
  <c r="BW499" i="1"/>
  <c r="BV499" i="1"/>
  <c r="CE499" i="1"/>
  <c r="CD499" i="1"/>
  <c r="CC499" i="1"/>
  <c r="CP501" i="1"/>
  <c r="CM501" i="1"/>
  <c r="CH501" i="1"/>
  <c r="CF501" i="1"/>
  <c r="CG501" i="1"/>
  <c r="CI501" i="1"/>
  <c r="CK501" i="1"/>
  <c r="CQ501" i="1"/>
  <c r="CJ501" i="1"/>
  <c r="CO501" i="1"/>
  <c r="CU501" i="1"/>
  <c r="CN501" i="1"/>
  <c r="CL501" i="1"/>
  <c r="CR501" i="1"/>
  <c r="CS501" i="1"/>
  <c r="CT501" i="1"/>
  <c r="CB531" i="1"/>
  <c r="CA531" i="1"/>
  <c r="BZ531" i="1"/>
  <c r="BY531" i="1"/>
  <c r="BX531" i="1"/>
  <c r="BW531" i="1"/>
  <c r="BV531" i="1"/>
  <c r="CD531" i="1"/>
  <c r="CE531" i="1"/>
  <c r="CC531" i="1"/>
  <c r="CP533" i="1"/>
  <c r="CG533" i="1"/>
  <c r="CT533" i="1"/>
  <c r="CH533" i="1"/>
  <c r="CI533" i="1"/>
  <c r="CS533" i="1"/>
  <c r="CL533" i="1"/>
  <c r="CR533" i="1"/>
  <c r="CK533" i="1"/>
  <c r="CM533" i="1"/>
  <c r="CQ533" i="1"/>
  <c r="CO533" i="1"/>
  <c r="CJ533" i="1"/>
  <c r="CF533" i="1"/>
  <c r="CN533" i="1"/>
  <c r="CU533" i="1"/>
  <c r="CB563" i="1"/>
  <c r="CA563" i="1"/>
  <c r="BW563" i="1"/>
  <c r="BV563" i="1"/>
  <c r="BZ563" i="1"/>
  <c r="BY563" i="1"/>
  <c r="BX563" i="1"/>
  <c r="CD563" i="1"/>
  <c r="CE563" i="1"/>
  <c r="CC563" i="1"/>
  <c r="CP565" i="1"/>
  <c r="CG565" i="1"/>
  <c r="CI565" i="1"/>
  <c r="CJ565" i="1"/>
  <c r="CH565" i="1"/>
  <c r="CR565" i="1"/>
  <c r="CU565" i="1"/>
  <c r="CN565" i="1"/>
  <c r="CL565" i="1"/>
  <c r="CK565" i="1"/>
  <c r="CQ565" i="1"/>
  <c r="CM565" i="1"/>
  <c r="CO565" i="1"/>
  <c r="CF565" i="1"/>
  <c r="CS565" i="1"/>
  <c r="CT565" i="1"/>
  <c r="CB595" i="1"/>
  <c r="CA595" i="1"/>
  <c r="BZ595" i="1"/>
  <c r="BY595" i="1"/>
  <c r="BX595" i="1"/>
  <c r="BW595" i="1"/>
  <c r="BV595" i="1"/>
  <c r="CD595" i="1"/>
  <c r="CE595" i="1"/>
  <c r="CC595" i="1"/>
  <c r="CP597" i="1"/>
  <c r="CF597" i="1"/>
  <c r="CG597" i="1"/>
  <c r="CH597" i="1"/>
  <c r="CT597" i="1"/>
  <c r="CI597" i="1"/>
  <c r="CS597" i="1"/>
  <c r="CL597" i="1"/>
  <c r="CR597" i="1"/>
  <c r="CQ597" i="1"/>
  <c r="CK597" i="1"/>
  <c r="CM597" i="1"/>
  <c r="CN597" i="1"/>
  <c r="CO597" i="1"/>
  <c r="CU597" i="1"/>
  <c r="CJ597" i="1"/>
  <c r="CA34" i="1"/>
  <c r="BZ34" i="1"/>
  <c r="BY34" i="1"/>
  <c r="CB34" i="1"/>
  <c r="BX34" i="1"/>
  <c r="BW34" i="1"/>
  <c r="BV34" i="1"/>
  <c r="CD34" i="1"/>
  <c r="CE34" i="1"/>
  <c r="CC34" i="1"/>
  <c r="CM36" i="1"/>
  <c r="CK36" i="1"/>
  <c r="CI36" i="1"/>
  <c r="CJ36" i="1"/>
  <c r="CL36" i="1"/>
  <c r="CP36" i="1"/>
  <c r="CR36" i="1"/>
  <c r="CF36" i="1"/>
  <c r="CO36" i="1"/>
  <c r="CN36" i="1"/>
  <c r="CT36" i="1"/>
  <c r="CH36" i="1"/>
  <c r="CQ36" i="1"/>
  <c r="CG36" i="1"/>
  <c r="CU36" i="1"/>
  <c r="CS36" i="1"/>
  <c r="CA66" i="1"/>
  <c r="CB66" i="1"/>
  <c r="BZ66" i="1"/>
  <c r="BY66" i="1"/>
  <c r="BX66" i="1"/>
  <c r="BW66" i="1"/>
  <c r="BV66" i="1"/>
  <c r="CD66" i="1"/>
  <c r="CE66" i="1"/>
  <c r="CC66" i="1"/>
  <c r="CM68" i="1"/>
  <c r="CJ68" i="1"/>
  <c r="CK68" i="1"/>
  <c r="CI68" i="1"/>
  <c r="CL68" i="1"/>
  <c r="CF68" i="1"/>
  <c r="CG68" i="1"/>
  <c r="CO68" i="1"/>
  <c r="CN68" i="1"/>
  <c r="CU68" i="1"/>
  <c r="CS68" i="1"/>
  <c r="CR68" i="1"/>
  <c r="CT68" i="1"/>
  <c r="CH68" i="1"/>
  <c r="CQ68" i="1"/>
  <c r="CP68" i="1"/>
  <c r="CB98" i="1"/>
  <c r="CA98" i="1"/>
  <c r="BZ98" i="1"/>
  <c r="BY98" i="1"/>
  <c r="BX98" i="1"/>
  <c r="BW98" i="1"/>
  <c r="BV98" i="1"/>
  <c r="CD98" i="1"/>
  <c r="CE98" i="1"/>
  <c r="CC98" i="1"/>
  <c r="CI100" i="1"/>
  <c r="CL100" i="1"/>
  <c r="CJ100" i="1"/>
  <c r="CM100" i="1"/>
  <c r="CK100" i="1"/>
  <c r="CS100" i="1"/>
  <c r="CU100" i="1"/>
  <c r="CN100" i="1"/>
  <c r="CF100" i="1"/>
  <c r="CO100" i="1"/>
  <c r="CR100" i="1"/>
  <c r="CH100" i="1"/>
  <c r="CQ100" i="1"/>
  <c r="CT100" i="1"/>
  <c r="CG100" i="1"/>
  <c r="CP100" i="1"/>
  <c r="CB130" i="1"/>
  <c r="CA130" i="1"/>
  <c r="BZ130" i="1"/>
  <c r="BY130" i="1"/>
  <c r="BX130" i="1"/>
  <c r="BW130" i="1"/>
  <c r="BV130" i="1"/>
  <c r="CC130" i="1"/>
  <c r="CE130" i="1"/>
  <c r="CD130" i="1"/>
  <c r="CK132" i="1"/>
  <c r="CI132" i="1"/>
  <c r="CL132" i="1"/>
  <c r="CJ132" i="1"/>
  <c r="CM132" i="1"/>
  <c r="CT132" i="1"/>
  <c r="CG132" i="1"/>
  <c r="CH132" i="1"/>
  <c r="CP132" i="1"/>
  <c r="CO132" i="1"/>
  <c r="CF132" i="1"/>
  <c r="CN132" i="1"/>
  <c r="CS132" i="1"/>
  <c r="CU132" i="1"/>
  <c r="CR132" i="1"/>
  <c r="CQ132" i="1"/>
  <c r="CB162" i="1"/>
  <c r="CA162" i="1"/>
  <c r="BZ162" i="1"/>
  <c r="BY162" i="1"/>
  <c r="BX162" i="1"/>
  <c r="BW162" i="1"/>
  <c r="BV162" i="1"/>
  <c r="CC162" i="1"/>
  <c r="CD162" i="1"/>
  <c r="CE162" i="1"/>
  <c r="CL164" i="1"/>
  <c r="CI164" i="1"/>
  <c r="CM164" i="1"/>
  <c r="CJ164" i="1"/>
  <c r="CG164" i="1"/>
  <c r="CK164" i="1"/>
  <c r="CR164" i="1"/>
  <c r="CF164" i="1"/>
  <c r="CP164" i="1"/>
  <c r="CQ164" i="1"/>
  <c r="CO164" i="1"/>
  <c r="CN164" i="1"/>
  <c r="CS164" i="1"/>
  <c r="CU164" i="1"/>
  <c r="CH164" i="1"/>
  <c r="CT164" i="1"/>
  <c r="CB194" i="1"/>
  <c r="CA194" i="1"/>
  <c r="BZ194" i="1"/>
  <c r="BY194" i="1"/>
  <c r="BX194" i="1"/>
  <c r="BW194" i="1"/>
  <c r="BV194" i="1"/>
  <c r="CC194" i="1"/>
  <c r="CD194" i="1"/>
  <c r="CE194" i="1"/>
  <c r="CK196" i="1"/>
  <c r="CJ196" i="1"/>
  <c r="CI196" i="1"/>
  <c r="CF196" i="1"/>
  <c r="CM196" i="1"/>
  <c r="CL196" i="1"/>
  <c r="CG196" i="1"/>
  <c r="CO196" i="1"/>
  <c r="CU196" i="1"/>
  <c r="CP196" i="1"/>
  <c r="CR196" i="1"/>
  <c r="CH196" i="1"/>
  <c r="CN196" i="1"/>
  <c r="CT196" i="1"/>
  <c r="CS196" i="1"/>
  <c r="CQ196" i="1"/>
  <c r="CB226" i="1"/>
  <c r="BW226" i="1"/>
  <c r="BV226" i="1"/>
  <c r="CA226" i="1"/>
  <c r="BZ226" i="1"/>
  <c r="BY226" i="1"/>
  <c r="BX226" i="1"/>
  <c r="CC226" i="1"/>
  <c r="CE226" i="1"/>
  <c r="CD226" i="1"/>
  <c r="CM228" i="1"/>
  <c r="CJ228" i="1"/>
  <c r="CI228" i="1"/>
  <c r="CL228" i="1"/>
  <c r="CK228" i="1"/>
  <c r="CN228" i="1"/>
  <c r="CF228" i="1"/>
  <c r="CH228" i="1"/>
  <c r="CS228" i="1"/>
  <c r="CG228" i="1"/>
  <c r="CQ228" i="1"/>
  <c r="CT228" i="1"/>
  <c r="CU228" i="1"/>
  <c r="CP228" i="1"/>
  <c r="CO228" i="1"/>
  <c r="CR228" i="1"/>
  <c r="CB258" i="1"/>
  <c r="CA258" i="1"/>
  <c r="BZ258" i="1"/>
  <c r="BY258" i="1"/>
  <c r="BX258" i="1"/>
  <c r="BW258" i="1"/>
  <c r="BV258" i="1"/>
  <c r="CD258" i="1"/>
  <c r="CC258" i="1"/>
  <c r="CE258" i="1"/>
  <c r="CJ260" i="1"/>
  <c r="CM260" i="1"/>
  <c r="CK260" i="1"/>
  <c r="CI260" i="1"/>
  <c r="CL260" i="1"/>
  <c r="CG260" i="1"/>
  <c r="CH260" i="1"/>
  <c r="CP260" i="1"/>
  <c r="CR260" i="1"/>
  <c r="CO260" i="1"/>
  <c r="CN260" i="1"/>
  <c r="CF260" i="1"/>
  <c r="CU260" i="1"/>
  <c r="CT260" i="1"/>
  <c r="CS260" i="1"/>
  <c r="CQ260" i="1"/>
  <c r="CB290" i="1"/>
  <c r="CA290" i="1"/>
  <c r="BZ290" i="1"/>
  <c r="BY290" i="1"/>
  <c r="BX290" i="1"/>
  <c r="BW290" i="1"/>
  <c r="BV290" i="1"/>
  <c r="CD290" i="1"/>
  <c r="CC290" i="1"/>
  <c r="CE290" i="1"/>
  <c r="CJ292" i="1"/>
  <c r="CF292" i="1"/>
  <c r="CK292" i="1"/>
  <c r="CI292" i="1"/>
  <c r="CL292" i="1"/>
  <c r="CM292" i="1"/>
  <c r="CP292" i="1"/>
  <c r="CQ292" i="1"/>
  <c r="CT292" i="1"/>
  <c r="CU292" i="1"/>
  <c r="CH292" i="1"/>
  <c r="CO292" i="1"/>
  <c r="CG292" i="1"/>
  <c r="CN292" i="1"/>
  <c r="CS292" i="1"/>
  <c r="CR292" i="1"/>
  <c r="CB322" i="1"/>
  <c r="CA322" i="1"/>
  <c r="BZ322" i="1"/>
  <c r="BY322" i="1"/>
  <c r="BX322" i="1"/>
  <c r="BW322" i="1"/>
  <c r="BV322" i="1"/>
  <c r="CE322" i="1"/>
  <c r="CC322" i="1"/>
  <c r="CD322" i="1"/>
  <c r="CK324" i="1"/>
  <c r="CJ324" i="1"/>
  <c r="CL324" i="1"/>
  <c r="CM324" i="1"/>
  <c r="CI324" i="1"/>
  <c r="CH324" i="1"/>
  <c r="CO324" i="1"/>
  <c r="CF324" i="1"/>
  <c r="CP324" i="1"/>
  <c r="CR324" i="1"/>
  <c r="CN324" i="1"/>
  <c r="CG324" i="1"/>
  <c r="CQ324" i="1"/>
  <c r="CU324" i="1"/>
  <c r="CT324" i="1"/>
  <c r="CS324" i="1"/>
  <c r="CB354" i="1"/>
  <c r="CA354" i="1"/>
  <c r="BZ354" i="1"/>
  <c r="BY354" i="1"/>
  <c r="BX354" i="1"/>
  <c r="BW354" i="1"/>
  <c r="BV354" i="1"/>
  <c r="CC354" i="1"/>
  <c r="CD354" i="1"/>
  <c r="CE354" i="1"/>
  <c r="CK356" i="1"/>
  <c r="CI356" i="1"/>
  <c r="CJ356" i="1"/>
  <c r="CM356" i="1"/>
  <c r="CL356" i="1"/>
  <c r="CF356" i="1"/>
  <c r="CS356" i="1"/>
  <c r="CQ356" i="1"/>
  <c r="CT356" i="1"/>
  <c r="CH356" i="1"/>
  <c r="CU356" i="1"/>
  <c r="CG356" i="1"/>
  <c r="CR356" i="1"/>
  <c r="CN356" i="1"/>
  <c r="CO356" i="1"/>
  <c r="CP356" i="1"/>
  <c r="CB386" i="1"/>
  <c r="CA386" i="1"/>
  <c r="BZ386" i="1"/>
  <c r="BY386" i="1"/>
  <c r="BX386" i="1"/>
  <c r="BW386" i="1"/>
  <c r="BV386" i="1"/>
  <c r="CD386" i="1"/>
  <c r="CC386" i="1"/>
  <c r="CE386" i="1"/>
  <c r="CL388" i="1"/>
  <c r="CM388" i="1"/>
  <c r="CJ388" i="1"/>
  <c r="CK388" i="1"/>
  <c r="CI388" i="1"/>
  <c r="CF388" i="1"/>
  <c r="CH388" i="1"/>
  <c r="CR388" i="1"/>
  <c r="CN388" i="1"/>
  <c r="CO388" i="1"/>
  <c r="CP388" i="1"/>
  <c r="CG388" i="1"/>
  <c r="CS388" i="1"/>
  <c r="CT388" i="1"/>
  <c r="CQ388" i="1"/>
  <c r="CU388" i="1"/>
  <c r="CB418" i="1"/>
  <c r="CA418" i="1"/>
  <c r="BZ418" i="1"/>
  <c r="BY418" i="1"/>
  <c r="BX418" i="1"/>
  <c r="BW418" i="1"/>
  <c r="BV418" i="1"/>
  <c r="CD418" i="1"/>
  <c r="CC418" i="1"/>
  <c r="CE418" i="1"/>
  <c r="CM420" i="1"/>
  <c r="CI420" i="1"/>
  <c r="CJ420" i="1"/>
  <c r="CL420" i="1"/>
  <c r="CK420" i="1"/>
  <c r="CH420" i="1"/>
  <c r="CQ420" i="1"/>
  <c r="CT420" i="1"/>
  <c r="CU420" i="1"/>
  <c r="CG420" i="1"/>
  <c r="CF420" i="1"/>
  <c r="CS420" i="1"/>
  <c r="CN420" i="1"/>
  <c r="CR420" i="1"/>
  <c r="CO420" i="1"/>
  <c r="CP420" i="1"/>
  <c r="CB450" i="1"/>
  <c r="CA450" i="1"/>
  <c r="BZ450" i="1"/>
  <c r="BY450" i="1"/>
  <c r="BX450" i="1"/>
  <c r="BW450" i="1"/>
  <c r="BV450" i="1"/>
  <c r="CE450" i="1"/>
  <c r="CD450" i="1"/>
  <c r="CC450" i="1"/>
  <c r="CJ452" i="1"/>
  <c r="CI452" i="1"/>
  <c r="CK452" i="1"/>
  <c r="CL452" i="1"/>
  <c r="CM452" i="1"/>
  <c r="CN452" i="1"/>
  <c r="CO452" i="1"/>
  <c r="CP452" i="1"/>
  <c r="CG452" i="1"/>
  <c r="CH452" i="1"/>
  <c r="CR452" i="1"/>
  <c r="CF452" i="1"/>
  <c r="CU452" i="1"/>
  <c r="CT452" i="1"/>
  <c r="CS452" i="1"/>
  <c r="CQ452" i="1"/>
  <c r="CB482" i="1"/>
  <c r="CA482" i="1"/>
  <c r="BZ482" i="1"/>
  <c r="BY482" i="1"/>
  <c r="BX482" i="1"/>
  <c r="BW482" i="1"/>
  <c r="BV482" i="1"/>
  <c r="CC482" i="1"/>
  <c r="CD482" i="1"/>
  <c r="CE482" i="1"/>
  <c r="CJ484" i="1"/>
  <c r="CI484" i="1"/>
  <c r="CL484" i="1"/>
  <c r="CK484" i="1"/>
  <c r="CM484" i="1"/>
  <c r="CF484" i="1"/>
  <c r="CS484" i="1"/>
  <c r="CQ484" i="1"/>
  <c r="CT484" i="1"/>
  <c r="CU484" i="1"/>
  <c r="CG484" i="1"/>
  <c r="CH484" i="1"/>
  <c r="CP484" i="1"/>
  <c r="CO484" i="1"/>
  <c r="CR484" i="1"/>
  <c r="CN484" i="1"/>
  <c r="BW514" i="1"/>
  <c r="BV514" i="1"/>
  <c r="CB514" i="1"/>
  <c r="CA514" i="1"/>
  <c r="BZ514" i="1"/>
  <c r="BY514" i="1"/>
  <c r="BX514" i="1"/>
  <c r="CC514" i="1"/>
  <c r="CE514" i="1"/>
  <c r="CD514" i="1"/>
  <c r="CI516" i="1"/>
  <c r="CJ516" i="1"/>
  <c r="CK516" i="1"/>
  <c r="CL516" i="1"/>
  <c r="CM516" i="1"/>
  <c r="CH516" i="1"/>
  <c r="CR516" i="1"/>
  <c r="CF516" i="1"/>
  <c r="CN516" i="1"/>
  <c r="CO516" i="1"/>
  <c r="CP516" i="1"/>
  <c r="CG516" i="1"/>
  <c r="CQ516" i="1"/>
  <c r="CU516" i="1"/>
  <c r="CT516" i="1"/>
  <c r="CS516" i="1"/>
  <c r="BW546" i="1"/>
  <c r="BV546" i="1"/>
  <c r="BZ546" i="1"/>
  <c r="BY546" i="1"/>
  <c r="BX546" i="1"/>
  <c r="CB546" i="1"/>
  <c r="CA546" i="1"/>
  <c r="CC546" i="1"/>
  <c r="CE546" i="1"/>
  <c r="CD546" i="1"/>
  <c r="CJ548" i="1"/>
  <c r="CL548" i="1"/>
  <c r="CK548" i="1"/>
  <c r="CM548" i="1"/>
  <c r="CI548" i="1"/>
  <c r="CQ548" i="1"/>
  <c r="CT548" i="1"/>
  <c r="CU548" i="1"/>
  <c r="CG548" i="1"/>
  <c r="CH548" i="1"/>
  <c r="CF548" i="1"/>
  <c r="CS548" i="1"/>
  <c r="CO548" i="1"/>
  <c r="CN548" i="1"/>
  <c r="CR548" i="1"/>
  <c r="CP548" i="1"/>
  <c r="BW578" i="1"/>
  <c r="BV578" i="1"/>
  <c r="CB578" i="1"/>
  <c r="CA578" i="1"/>
  <c r="BZ578" i="1"/>
  <c r="BY578" i="1"/>
  <c r="BX578" i="1"/>
  <c r="CD578" i="1"/>
  <c r="CC578" i="1"/>
  <c r="CE578" i="1"/>
  <c r="CJ580" i="1"/>
  <c r="CM580" i="1"/>
  <c r="CG580" i="1"/>
  <c r="CI580" i="1"/>
  <c r="CK580" i="1"/>
  <c r="CL580" i="1"/>
  <c r="CN580" i="1"/>
  <c r="CO580" i="1"/>
  <c r="CP580" i="1"/>
  <c r="CH580" i="1"/>
  <c r="CR580" i="1"/>
  <c r="CF580" i="1"/>
  <c r="CS580" i="1"/>
  <c r="CQ580" i="1"/>
  <c r="CU580" i="1"/>
  <c r="CT580" i="1"/>
  <c r="CP585" i="1"/>
  <c r="CF585" i="1"/>
  <c r="CH585" i="1"/>
  <c r="CJ585" i="1"/>
  <c r="CG585" i="1"/>
  <c r="CM585" i="1"/>
  <c r="CS585" i="1"/>
  <c r="CR585" i="1"/>
  <c r="CL585" i="1"/>
  <c r="CI585" i="1"/>
  <c r="CQ585" i="1"/>
  <c r="CK585" i="1"/>
  <c r="CO585" i="1"/>
  <c r="CN585" i="1"/>
  <c r="CT585" i="1"/>
  <c r="CU585" i="1"/>
  <c r="CJ19" i="1"/>
  <c r="CG19" i="1"/>
  <c r="CM19" i="1"/>
  <c r="CI19" i="1"/>
  <c r="CK19" i="1"/>
  <c r="CH19" i="1"/>
  <c r="CF19" i="1"/>
  <c r="CQ19" i="1"/>
  <c r="CL19" i="1"/>
  <c r="CN19" i="1"/>
  <c r="CU19" i="1"/>
  <c r="CT19" i="1"/>
  <c r="CR19" i="1"/>
  <c r="CP19" i="1"/>
  <c r="CO19" i="1"/>
  <c r="CS19" i="1"/>
  <c r="CB49" i="1"/>
  <c r="CA49" i="1"/>
  <c r="BZ49" i="1"/>
  <c r="BY49" i="1"/>
  <c r="BX49" i="1"/>
  <c r="BW49" i="1"/>
  <c r="BV49" i="1"/>
  <c r="CE49" i="1"/>
  <c r="CC49" i="1"/>
  <c r="CD49" i="1"/>
  <c r="CF51" i="1"/>
  <c r="CJ51" i="1"/>
  <c r="CL51" i="1"/>
  <c r="CG51" i="1"/>
  <c r="CI51" i="1"/>
  <c r="CK51" i="1"/>
  <c r="CH51" i="1"/>
  <c r="CT51" i="1"/>
  <c r="CS51" i="1"/>
  <c r="CM51" i="1"/>
  <c r="CQ51" i="1"/>
  <c r="CU51" i="1"/>
  <c r="CR51" i="1"/>
  <c r="CN51" i="1"/>
  <c r="CP51" i="1"/>
  <c r="CO51" i="1"/>
  <c r="CB81" i="1"/>
  <c r="CA81" i="1"/>
  <c r="BZ81" i="1"/>
  <c r="BV81" i="1"/>
  <c r="BY81" i="1"/>
  <c r="BX81" i="1"/>
  <c r="BW81" i="1"/>
  <c r="CE81" i="1"/>
  <c r="CC81" i="1"/>
  <c r="CD81" i="1"/>
  <c r="CI83" i="1"/>
  <c r="CH83" i="1"/>
  <c r="CF83" i="1"/>
  <c r="CJ83" i="1"/>
  <c r="CG83" i="1"/>
  <c r="CK83" i="1"/>
  <c r="CM83" i="1"/>
  <c r="CL83" i="1"/>
  <c r="CS83" i="1"/>
  <c r="CN83" i="1"/>
  <c r="CO83" i="1"/>
  <c r="CU83" i="1"/>
  <c r="CT83" i="1"/>
  <c r="CP83" i="1"/>
  <c r="CR83" i="1"/>
  <c r="CQ83" i="1"/>
  <c r="CB113" i="1"/>
  <c r="CA113" i="1"/>
  <c r="BZ113" i="1"/>
  <c r="BY113" i="1"/>
  <c r="BX113" i="1"/>
  <c r="BW113" i="1"/>
  <c r="BV113" i="1"/>
  <c r="CD113" i="1"/>
  <c r="CE113" i="1"/>
  <c r="CC113" i="1"/>
  <c r="CL115" i="1"/>
  <c r="CG115" i="1"/>
  <c r="CH115" i="1"/>
  <c r="CF115" i="1"/>
  <c r="CJ115" i="1"/>
  <c r="CI115" i="1"/>
  <c r="CK115" i="1"/>
  <c r="CO115" i="1"/>
  <c r="CR115" i="1"/>
  <c r="CM115" i="1"/>
  <c r="CP115" i="1"/>
  <c r="CQ115" i="1"/>
  <c r="CU115" i="1"/>
  <c r="CN115" i="1"/>
  <c r="CT115" i="1"/>
  <c r="CS115" i="1"/>
  <c r="CB145" i="1"/>
  <c r="CA145" i="1"/>
  <c r="BZ145" i="1"/>
  <c r="BY145" i="1"/>
  <c r="BX145" i="1"/>
  <c r="BW145" i="1"/>
  <c r="BV145" i="1"/>
  <c r="CD145" i="1"/>
  <c r="CE145" i="1"/>
  <c r="CC145" i="1"/>
  <c r="CI147" i="1"/>
  <c r="CF147" i="1"/>
  <c r="CK147" i="1"/>
  <c r="CM147" i="1"/>
  <c r="CJ147" i="1"/>
  <c r="CH147" i="1"/>
  <c r="CL147" i="1"/>
  <c r="CG147" i="1"/>
  <c r="CN147" i="1"/>
  <c r="CQ147" i="1"/>
  <c r="CS147" i="1"/>
  <c r="CR147" i="1"/>
  <c r="CP147" i="1"/>
  <c r="CO147" i="1"/>
  <c r="CU147" i="1"/>
  <c r="CT147" i="1"/>
  <c r="CB177" i="1"/>
  <c r="CA177" i="1"/>
  <c r="BZ177" i="1"/>
  <c r="BY177" i="1"/>
  <c r="BX177" i="1"/>
  <c r="BW177" i="1"/>
  <c r="BV177" i="1"/>
  <c r="CD177" i="1"/>
  <c r="CE177" i="1"/>
  <c r="CC177" i="1"/>
  <c r="CG179" i="1"/>
  <c r="CH179" i="1"/>
  <c r="CL179" i="1"/>
  <c r="CK179" i="1"/>
  <c r="CF179" i="1"/>
  <c r="CM179" i="1"/>
  <c r="CJ179" i="1"/>
  <c r="CI179" i="1"/>
  <c r="CT179" i="1"/>
  <c r="CS179" i="1"/>
  <c r="CR179" i="1"/>
  <c r="CP179" i="1"/>
  <c r="CQ179" i="1"/>
  <c r="CO179" i="1"/>
  <c r="CU179" i="1"/>
  <c r="CN179" i="1"/>
  <c r="CB209" i="1"/>
  <c r="CA209" i="1"/>
  <c r="BZ209" i="1"/>
  <c r="BY209" i="1"/>
  <c r="BX209" i="1"/>
  <c r="BW209" i="1"/>
  <c r="BV209" i="1"/>
  <c r="CD209" i="1"/>
  <c r="CE209" i="1"/>
  <c r="CC209" i="1"/>
  <c r="CK211" i="1"/>
  <c r="CM211" i="1"/>
  <c r="CI211" i="1"/>
  <c r="CH211" i="1"/>
  <c r="CF211" i="1"/>
  <c r="CJ211" i="1"/>
  <c r="CL211" i="1"/>
  <c r="CG211" i="1"/>
  <c r="CS211" i="1"/>
  <c r="CN211" i="1"/>
  <c r="CU211" i="1"/>
  <c r="CT211" i="1"/>
  <c r="CP211" i="1"/>
  <c r="CR211" i="1"/>
  <c r="CQ211" i="1"/>
  <c r="CO211" i="1"/>
  <c r="CB241" i="1"/>
  <c r="CA241" i="1"/>
  <c r="BZ241" i="1"/>
  <c r="BY241" i="1"/>
  <c r="BX241" i="1"/>
  <c r="BW241" i="1"/>
  <c r="BV241" i="1"/>
  <c r="CD241" i="1"/>
  <c r="CE241" i="1"/>
  <c r="CC241" i="1"/>
  <c r="CH243" i="1"/>
  <c r="CJ243" i="1"/>
  <c r="CG243" i="1"/>
  <c r="CI243" i="1"/>
  <c r="CK243" i="1"/>
  <c r="CF243" i="1"/>
  <c r="CL243" i="1"/>
  <c r="CO243" i="1"/>
  <c r="CR243" i="1"/>
  <c r="CM243" i="1"/>
  <c r="CU243" i="1"/>
  <c r="CN243" i="1"/>
  <c r="CT243" i="1"/>
  <c r="CS243" i="1"/>
  <c r="CQ243" i="1"/>
  <c r="CP243" i="1"/>
  <c r="CB273" i="1"/>
  <c r="CA273" i="1"/>
  <c r="BZ273" i="1"/>
  <c r="BY273" i="1"/>
  <c r="BX273" i="1"/>
  <c r="BW273" i="1"/>
  <c r="BV273" i="1"/>
  <c r="CD273" i="1"/>
  <c r="CE273" i="1"/>
  <c r="CC273" i="1"/>
  <c r="CF275" i="1"/>
  <c r="CK275" i="1"/>
  <c r="CM275" i="1"/>
  <c r="CG275" i="1"/>
  <c r="CI275" i="1"/>
  <c r="CH275" i="1"/>
  <c r="CJ275" i="1"/>
  <c r="CQ275" i="1"/>
  <c r="CL275" i="1"/>
  <c r="CN275" i="1"/>
  <c r="CO275" i="1"/>
  <c r="CP275" i="1"/>
  <c r="CU275" i="1"/>
  <c r="CT275" i="1"/>
  <c r="CS275" i="1"/>
  <c r="CR275" i="1"/>
  <c r="CB305" i="1"/>
  <c r="CA305" i="1"/>
  <c r="BZ305" i="1"/>
  <c r="BY305" i="1"/>
  <c r="BX305" i="1"/>
  <c r="BW305" i="1"/>
  <c r="BV305" i="1"/>
  <c r="CC305" i="1"/>
  <c r="CD305" i="1"/>
  <c r="CE305" i="1"/>
  <c r="CJ307" i="1"/>
  <c r="CI307" i="1"/>
  <c r="CH307" i="1"/>
  <c r="CG307" i="1"/>
  <c r="CL307" i="1"/>
  <c r="CK307" i="1"/>
  <c r="CF307" i="1"/>
  <c r="CM307" i="1"/>
  <c r="CS307" i="1"/>
  <c r="CR307" i="1"/>
  <c r="CQ307" i="1"/>
  <c r="CU307" i="1"/>
  <c r="CT307" i="1"/>
  <c r="CP307" i="1"/>
  <c r="CN307" i="1"/>
  <c r="CO307" i="1"/>
  <c r="CB337" i="1"/>
  <c r="CA337" i="1"/>
  <c r="BZ337" i="1"/>
  <c r="BY337" i="1"/>
  <c r="BX337" i="1"/>
  <c r="BW337" i="1"/>
  <c r="BV337" i="1"/>
  <c r="CC337" i="1"/>
  <c r="CD337" i="1"/>
  <c r="CE337" i="1"/>
  <c r="CF339" i="1"/>
  <c r="CK339" i="1"/>
  <c r="CG339" i="1"/>
  <c r="CH339" i="1"/>
  <c r="CJ339" i="1"/>
  <c r="CI339" i="1"/>
  <c r="CM339" i="1"/>
  <c r="CS339" i="1"/>
  <c r="CL339" i="1"/>
  <c r="CT339" i="1"/>
  <c r="CO339" i="1"/>
  <c r="CR339" i="1"/>
  <c r="CQ339" i="1"/>
  <c r="CN339" i="1"/>
  <c r="CU339" i="1"/>
  <c r="CP339" i="1"/>
  <c r="CB369" i="1"/>
  <c r="CA369" i="1"/>
  <c r="BZ369" i="1"/>
  <c r="BY369" i="1"/>
  <c r="BX369" i="1"/>
  <c r="BW369" i="1"/>
  <c r="BV369" i="1"/>
  <c r="CC369" i="1"/>
  <c r="CE369" i="1"/>
  <c r="CD369" i="1"/>
  <c r="CI371" i="1"/>
  <c r="CJ371" i="1"/>
  <c r="CL371" i="1"/>
  <c r="CH371" i="1"/>
  <c r="CF371" i="1"/>
  <c r="CG371" i="1"/>
  <c r="CM371" i="1"/>
  <c r="CK371" i="1"/>
  <c r="CU371" i="1"/>
  <c r="CT371" i="1"/>
  <c r="CP371" i="1"/>
  <c r="CN371" i="1"/>
  <c r="CQ371" i="1"/>
  <c r="CR371" i="1"/>
  <c r="CO371" i="1"/>
  <c r="CS371" i="1"/>
  <c r="CA401" i="1"/>
  <c r="BZ401" i="1"/>
  <c r="CB401" i="1"/>
  <c r="BY401" i="1"/>
  <c r="BX401" i="1"/>
  <c r="BW401" i="1"/>
  <c r="BV401" i="1"/>
  <c r="CC401" i="1"/>
  <c r="CE401" i="1"/>
  <c r="CD401" i="1"/>
  <c r="CG403" i="1"/>
  <c r="CH403" i="1"/>
  <c r="CM403" i="1"/>
  <c r="CF403" i="1"/>
  <c r="CJ403" i="1"/>
  <c r="CI403" i="1"/>
  <c r="CK403" i="1"/>
  <c r="CL403" i="1"/>
  <c r="CN403" i="1"/>
  <c r="CP403" i="1"/>
  <c r="CQ403" i="1"/>
  <c r="CR403" i="1"/>
  <c r="CS403" i="1"/>
  <c r="CO403" i="1"/>
  <c r="CT403" i="1"/>
  <c r="CU403" i="1"/>
  <c r="CB433" i="1"/>
  <c r="CA433" i="1"/>
  <c r="BZ433" i="1"/>
  <c r="BY433" i="1"/>
  <c r="BX433" i="1"/>
  <c r="BW433" i="1"/>
  <c r="BV433" i="1"/>
  <c r="CC433" i="1"/>
  <c r="CE433" i="1"/>
  <c r="CD433" i="1"/>
  <c r="CL435" i="1"/>
  <c r="CM435" i="1"/>
  <c r="CI435" i="1"/>
  <c r="CF435" i="1"/>
  <c r="CJ435" i="1"/>
  <c r="CG435" i="1"/>
  <c r="CH435" i="1"/>
  <c r="CK435" i="1"/>
  <c r="CO435" i="1"/>
  <c r="CS435" i="1"/>
  <c r="CT435" i="1"/>
  <c r="CU435" i="1"/>
  <c r="CP435" i="1"/>
  <c r="CN435" i="1"/>
  <c r="CQ435" i="1"/>
  <c r="CR435" i="1"/>
  <c r="CB465" i="1"/>
  <c r="CA465" i="1"/>
  <c r="BZ465" i="1"/>
  <c r="BY465" i="1"/>
  <c r="BX465" i="1"/>
  <c r="BW465" i="1"/>
  <c r="BV465" i="1"/>
  <c r="CD465" i="1"/>
  <c r="CC465" i="1"/>
  <c r="CE465" i="1"/>
  <c r="CJ467" i="1"/>
  <c r="CF467" i="1"/>
  <c r="CK467" i="1"/>
  <c r="CG467" i="1"/>
  <c r="CH467" i="1"/>
  <c r="CL467" i="1"/>
  <c r="CI467" i="1"/>
  <c r="CM467" i="1"/>
  <c r="CR467" i="1"/>
  <c r="CS467" i="1"/>
  <c r="CO467" i="1"/>
  <c r="CT467" i="1"/>
  <c r="CU467" i="1"/>
  <c r="CN467" i="1"/>
  <c r="CQ467" i="1"/>
  <c r="CP467" i="1"/>
  <c r="BZ497" i="1"/>
  <c r="BY497" i="1"/>
  <c r="BX497" i="1"/>
  <c r="BW497" i="1"/>
  <c r="BV497" i="1"/>
  <c r="CB497" i="1"/>
  <c r="CA497" i="1"/>
  <c r="CD497" i="1"/>
  <c r="CC497" i="1"/>
  <c r="CE497" i="1"/>
  <c r="CM499" i="1"/>
  <c r="CI499" i="1"/>
  <c r="CL499" i="1"/>
  <c r="CH499" i="1"/>
  <c r="CK499" i="1"/>
  <c r="CF499" i="1"/>
  <c r="CJ499" i="1"/>
  <c r="CG499" i="1"/>
  <c r="CN499" i="1"/>
  <c r="CQ499" i="1"/>
  <c r="CR499" i="1"/>
  <c r="CO499" i="1"/>
  <c r="CS499" i="1"/>
  <c r="CT499" i="1"/>
  <c r="CU499" i="1"/>
  <c r="CP499" i="1"/>
  <c r="CB529" i="1"/>
  <c r="BW529" i="1"/>
  <c r="BV529" i="1"/>
  <c r="BX529" i="1"/>
  <c r="CA529" i="1"/>
  <c r="BZ529" i="1"/>
  <c r="BY529" i="1"/>
  <c r="CD529" i="1"/>
  <c r="CC529" i="1"/>
  <c r="CE529" i="1"/>
  <c r="CK531" i="1"/>
  <c r="CF531" i="1"/>
  <c r="CG531" i="1"/>
  <c r="CH531" i="1"/>
  <c r="CL531" i="1"/>
  <c r="CI531" i="1"/>
  <c r="CN531" i="1"/>
  <c r="CP531" i="1"/>
  <c r="CQ531" i="1"/>
  <c r="CJ531" i="1"/>
  <c r="CR531" i="1"/>
  <c r="CS531" i="1"/>
  <c r="CO531" i="1"/>
  <c r="CT531" i="1"/>
  <c r="CU531" i="1"/>
  <c r="CM531" i="1"/>
  <c r="CB561" i="1"/>
  <c r="CA561" i="1"/>
  <c r="BZ561" i="1"/>
  <c r="BY561" i="1"/>
  <c r="BX561" i="1"/>
  <c r="BW561" i="1"/>
  <c r="BV561" i="1"/>
  <c r="CD561" i="1"/>
  <c r="CC561" i="1"/>
  <c r="CE561" i="1"/>
  <c r="CF563" i="1"/>
  <c r="CJ563" i="1"/>
  <c r="CG563" i="1"/>
  <c r="CH563" i="1"/>
  <c r="CK563" i="1"/>
  <c r="CM563" i="1"/>
  <c r="CI563" i="1"/>
  <c r="CL563" i="1"/>
  <c r="CU563" i="1"/>
  <c r="CP563" i="1"/>
  <c r="CN563" i="1"/>
  <c r="CQ563" i="1"/>
  <c r="CR563" i="1"/>
  <c r="CO563" i="1"/>
  <c r="CS563" i="1"/>
  <c r="CT563" i="1"/>
  <c r="CB593" i="1"/>
  <c r="CA593" i="1"/>
  <c r="BZ593" i="1"/>
  <c r="BY593" i="1"/>
  <c r="BX593" i="1"/>
  <c r="BW593" i="1"/>
  <c r="BV593" i="1"/>
  <c r="CE593" i="1"/>
  <c r="CD593" i="1"/>
  <c r="CC593" i="1"/>
  <c r="CJ595" i="1"/>
  <c r="CF595" i="1"/>
  <c r="CK595" i="1"/>
  <c r="CI595" i="1"/>
  <c r="CL595" i="1"/>
  <c r="CG595" i="1"/>
  <c r="CH595" i="1"/>
  <c r="CR595" i="1"/>
  <c r="CS595" i="1"/>
  <c r="CO595" i="1"/>
  <c r="CT595" i="1"/>
  <c r="CU595" i="1"/>
  <c r="CM595" i="1"/>
  <c r="CN595" i="1"/>
  <c r="CP595" i="1"/>
  <c r="CQ595" i="1"/>
  <c r="CB64" i="1"/>
  <c r="CA64" i="1"/>
  <c r="BZ64" i="1"/>
  <c r="BY64" i="1"/>
  <c r="BX64" i="1"/>
  <c r="BW64" i="1"/>
  <c r="BV64" i="1"/>
  <c r="CC64" i="1"/>
  <c r="CD64" i="1"/>
  <c r="CE64" i="1"/>
  <c r="CL66" i="1"/>
  <c r="CI66" i="1"/>
  <c r="CM66" i="1"/>
  <c r="CG66" i="1"/>
  <c r="CJ66" i="1"/>
  <c r="CH66" i="1"/>
  <c r="CF66" i="1"/>
  <c r="CK66" i="1"/>
  <c r="CN66" i="1"/>
  <c r="CR66" i="1"/>
  <c r="CP66" i="1"/>
  <c r="CQ66" i="1"/>
  <c r="CS66" i="1"/>
  <c r="CT66" i="1"/>
  <c r="CO66" i="1"/>
  <c r="CU66" i="1"/>
  <c r="CB96" i="1"/>
  <c r="BZ96" i="1"/>
  <c r="BY96" i="1"/>
  <c r="BX96" i="1"/>
  <c r="CA96" i="1"/>
  <c r="BW96" i="1"/>
  <c r="BV96" i="1"/>
  <c r="CC96" i="1"/>
  <c r="CD96" i="1"/>
  <c r="CE96" i="1"/>
  <c r="CF98" i="1"/>
  <c r="CJ98" i="1"/>
  <c r="CG98" i="1"/>
  <c r="CI98" i="1"/>
  <c r="CL98" i="1"/>
  <c r="CH98" i="1"/>
  <c r="CS98" i="1"/>
  <c r="CT98" i="1"/>
  <c r="CM98" i="1"/>
  <c r="CK98" i="1"/>
  <c r="CU98" i="1"/>
  <c r="CN98" i="1"/>
  <c r="CO98" i="1"/>
  <c r="CR98" i="1"/>
  <c r="CQ98" i="1"/>
  <c r="CP98" i="1"/>
  <c r="CB128" i="1"/>
  <c r="CA128" i="1"/>
  <c r="BZ128" i="1"/>
  <c r="BY128" i="1"/>
  <c r="BX128" i="1"/>
  <c r="BW128" i="1"/>
  <c r="BV128" i="1"/>
  <c r="CE128" i="1"/>
  <c r="CD128" i="1"/>
  <c r="CC128" i="1"/>
  <c r="CI130" i="1"/>
  <c r="CK130" i="1"/>
  <c r="CH130" i="1"/>
  <c r="CM130" i="1"/>
  <c r="CF130" i="1"/>
  <c r="CG130" i="1"/>
  <c r="CL130" i="1"/>
  <c r="CJ130" i="1"/>
  <c r="CP130" i="1"/>
  <c r="CQ130" i="1"/>
  <c r="CN130" i="1"/>
  <c r="CU130" i="1"/>
  <c r="CS130" i="1"/>
  <c r="CT130" i="1"/>
  <c r="CO130" i="1"/>
  <c r="CR130" i="1"/>
  <c r="CB160" i="1"/>
  <c r="CA160" i="1"/>
  <c r="BZ160" i="1"/>
  <c r="BY160" i="1"/>
  <c r="BX160" i="1"/>
  <c r="BW160" i="1"/>
  <c r="BV160" i="1"/>
  <c r="CE160" i="1"/>
  <c r="CC160" i="1"/>
  <c r="CD160" i="1"/>
  <c r="CG162" i="1"/>
  <c r="CH162" i="1"/>
  <c r="CF162" i="1"/>
  <c r="CK162" i="1"/>
  <c r="CL162" i="1"/>
  <c r="CI162" i="1"/>
  <c r="CU162" i="1"/>
  <c r="CO162" i="1"/>
  <c r="CJ162" i="1"/>
  <c r="CS162" i="1"/>
  <c r="CT162" i="1"/>
  <c r="CM162" i="1"/>
  <c r="CQ162" i="1"/>
  <c r="CP162" i="1"/>
  <c r="CN162" i="1"/>
  <c r="CR162" i="1"/>
  <c r="CB192" i="1"/>
  <c r="CA192" i="1"/>
  <c r="BZ192" i="1"/>
  <c r="BY192" i="1"/>
  <c r="BX192" i="1"/>
  <c r="BW192" i="1"/>
  <c r="BV192" i="1"/>
  <c r="CE192" i="1"/>
  <c r="CC192" i="1"/>
  <c r="CD192" i="1"/>
  <c r="CK194" i="1"/>
  <c r="CM194" i="1"/>
  <c r="CG194" i="1"/>
  <c r="CF194" i="1"/>
  <c r="CI194" i="1"/>
  <c r="CN194" i="1"/>
  <c r="CJ194" i="1"/>
  <c r="CR194" i="1"/>
  <c r="CH194" i="1"/>
  <c r="CL194" i="1"/>
  <c r="CQ194" i="1"/>
  <c r="CP194" i="1"/>
  <c r="CU194" i="1"/>
  <c r="CS194" i="1"/>
  <c r="CT194" i="1"/>
  <c r="CO194" i="1"/>
  <c r="BV224" i="1"/>
  <c r="CB224" i="1"/>
  <c r="CA224" i="1"/>
  <c r="BZ224" i="1"/>
  <c r="BY224" i="1"/>
  <c r="BX224" i="1"/>
  <c r="BW224" i="1"/>
  <c r="CD224" i="1"/>
  <c r="CE224" i="1"/>
  <c r="CC224" i="1"/>
  <c r="CG226" i="1"/>
  <c r="CI226" i="1"/>
  <c r="CM226" i="1"/>
  <c r="CH226" i="1"/>
  <c r="CK226" i="1"/>
  <c r="CS226" i="1"/>
  <c r="CL226" i="1"/>
  <c r="CT226" i="1"/>
  <c r="CJ226" i="1"/>
  <c r="CO226" i="1"/>
  <c r="CF226" i="1"/>
  <c r="CR226" i="1"/>
  <c r="CP226" i="1"/>
  <c r="CQ226" i="1"/>
  <c r="CN226" i="1"/>
  <c r="CU226" i="1"/>
  <c r="BV256" i="1"/>
  <c r="CB256" i="1"/>
  <c r="CA256" i="1"/>
  <c r="BZ256" i="1"/>
  <c r="BY256" i="1"/>
  <c r="BX256" i="1"/>
  <c r="BW256" i="1"/>
  <c r="CE256" i="1"/>
  <c r="CD256" i="1"/>
  <c r="CC256" i="1"/>
  <c r="CL258" i="1"/>
  <c r="CM258" i="1"/>
  <c r="CG258" i="1"/>
  <c r="CK258" i="1"/>
  <c r="CH258" i="1"/>
  <c r="CP258" i="1"/>
  <c r="CQ258" i="1"/>
  <c r="CI258" i="1"/>
  <c r="CJ258" i="1"/>
  <c r="CN258" i="1"/>
  <c r="CF258" i="1"/>
  <c r="CU258" i="1"/>
  <c r="CS258" i="1"/>
  <c r="CO258" i="1"/>
  <c r="CR258" i="1"/>
  <c r="CT258" i="1"/>
  <c r="BV288" i="1"/>
  <c r="CB288" i="1"/>
  <c r="CA288" i="1"/>
  <c r="BZ288" i="1"/>
  <c r="BY288" i="1"/>
  <c r="BX288" i="1"/>
  <c r="BW288" i="1"/>
  <c r="CE288" i="1"/>
  <c r="CD288" i="1"/>
  <c r="CC288" i="1"/>
  <c r="CI290" i="1"/>
  <c r="CM290" i="1"/>
  <c r="CG290" i="1"/>
  <c r="CJ290" i="1"/>
  <c r="CO290" i="1"/>
  <c r="CH290" i="1"/>
  <c r="CL290" i="1"/>
  <c r="CF290" i="1"/>
  <c r="CN290" i="1"/>
  <c r="CT290" i="1"/>
  <c r="CK290" i="1"/>
  <c r="CQ290" i="1"/>
  <c r="CU290" i="1"/>
  <c r="CP290" i="1"/>
  <c r="CR290" i="1"/>
  <c r="CS290" i="1"/>
  <c r="BV320" i="1"/>
  <c r="CB320" i="1"/>
  <c r="CA320" i="1"/>
  <c r="BZ320" i="1"/>
  <c r="BY320" i="1"/>
  <c r="BX320" i="1"/>
  <c r="BW320" i="1"/>
  <c r="CE320" i="1"/>
  <c r="CD320" i="1"/>
  <c r="CC320" i="1"/>
  <c r="CF322" i="1"/>
  <c r="CM322" i="1"/>
  <c r="CL322" i="1"/>
  <c r="CN322" i="1"/>
  <c r="CK322" i="1"/>
  <c r="CG322" i="1"/>
  <c r="CH322" i="1"/>
  <c r="CP322" i="1"/>
  <c r="CI322" i="1"/>
  <c r="CJ322" i="1"/>
  <c r="CR322" i="1"/>
  <c r="CO322" i="1"/>
  <c r="CS322" i="1"/>
  <c r="CT322" i="1"/>
  <c r="CQ322" i="1"/>
  <c r="CU322" i="1"/>
  <c r="CB352" i="1"/>
  <c r="BZ352" i="1"/>
  <c r="BY352" i="1"/>
  <c r="BX352" i="1"/>
  <c r="BW352" i="1"/>
  <c r="BV352" i="1"/>
  <c r="CA352" i="1"/>
  <c r="CC352" i="1"/>
  <c r="CD352" i="1"/>
  <c r="CE352" i="1"/>
  <c r="CM354" i="1"/>
  <c r="CG354" i="1"/>
  <c r="CJ354" i="1"/>
  <c r="CI354" i="1"/>
  <c r="CF354" i="1"/>
  <c r="CK354" i="1"/>
  <c r="CH354" i="1"/>
  <c r="CL354" i="1"/>
  <c r="CU354" i="1"/>
  <c r="CP354" i="1"/>
  <c r="CN354" i="1"/>
  <c r="CT354" i="1"/>
  <c r="CQ354" i="1"/>
  <c r="CO354" i="1"/>
  <c r="CR354" i="1"/>
  <c r="CS354" i="1"/>
  <c r="CB384" i="1"/>
  <c r="CA384" i="1"/>
  <c r="BZ384" i="1"/>
  <c r="BY384" i="1"/>
  <c r="BV384" i="1"/>
  <c r="BX384" i="1"/>
  <c r="BW384" i="1"/>
  <c r="CC384" i="1"/>
  <c r="CD384" i="1"/>
  <c r="CE384" i="1"/>
  <c r="CF386" i="1"/>
  <c r="CM386" i="1"/>
  <c r="CL386" i="1"/>
  <c r="CH386" i="1"/>
  <c r="CI386" i="1"/>
  <c r="CJ386" i="1"/>
  <c r="CK386" i="1"/>
  <c r="CG386" i="1"/>
  <c r="CS386" i="1"/>
  <c r="CO386" i="1"/>
  <c r="CR386" i="1"/>
  <c r="CU386" i="1"/>
  <c r="CQ386" i="1"/>
  <c r="CT386" i="1"/>
  <c r="CN386" i="1"/>
  <c r="CP386" i="1"/>
  <c r="CB416" i="1"/>
  <c r="CA416" i="1"/>
  <c r="BZ416" i="1"/>
  <c r="BY416" i="1"/>
  <c r="BX416" i="1"/>
  <c r="BW416" i="1"/>
  <c r="BV416" i="1"/>
  <c r="CC416" i="1"/>
  <c r="CD416" i="1"/>
  <c r="CE416" i="1"/>
  <c r="CI418" i="1"/>
  <c r="CL418" i="1"/>
  <c r="CG418" i="1"/>
  <c r="CK418" i="1"/>
  <c r="CJ418" i="1"/>
  <c r="CF418" i="1"/>
  <c r="CH418" i="1"/>
  <c r="CM418" i="1"/>
  <c r="CT418" i="1"/>
  <c r="CQ418" i="1"/>
  <c r="CU418" i="1"/>
  <c r="CP418" i="1"/>
  <c r="CS418" i="1"/>
  <c r="CO418" i="1"/>
  <c r="CR418" i="1"/>
  <c r="CN418" i="1"/>
  <c r="CA448" i="1"/>
  <c r="BZ448" i="1"/>
  <c r="BY448" i="1"/>
  <c r="BX448" i="1"/>
  <c r="BW448" i="1"/>
  <c r="BV448" i="1"/>
  <c r="CB448" i="1"/>
  <c r="CD448" i="1"/>
  <c r="CC448" i="1"/>
  <c r="CE448" i="1"/>
  <c r="CH450" i="1"/>
  <c r="CF450" i="1"/>
  <c r="CG450" i="1"/>
  <c r="CM450" i="1"/>
  <c r="CL450" i="1"/>
  <c r="CI450" i="1"/>
  <c r="CJ450" i="1"/>
  <c r="CK450" i="1"/>
  <c r="CR450" i="1"/>
  <c r="CN450" i="1"/>
  <c r="CS450" i="1"/>
  <c r="CO450" i="1"/>
  <c r="CP450" i="1"/>
  <c r="CU450" i="1"/>
  <c r="CQ450" i="1"/>
  <c r="CT450" i="1"/>
  <c r="BY480" i="1"/>
  <c r="BX480" i="1"/>
  <c r="BW480" i="1"/>
  <c r="BV480" i="1"/>
  <c r="CB480" i="1"/>
  <c r="CA480" i="1"/>
  <c r="BZ480" i="1"/>
  <c r="CE480" i="1"/>
  <c r="CD480" i="1"/>
  <c r="CC480" i="1"/>
  <c r="CG482" i="1"/>
  <c r="CK482" i="1"/>
  <c r="CJ482" i="1"/>
  <c r="CH482" i="1"/>
  <c r="CM482" i="1"/>
  <c r="CI482" i="1"/>
  <c r="CF482" i="1"/>
  <c r="CU482" i="1"/>
  <c r="CP482" i="1"/>
  <c r="CL482" i="1"/>
  <c r="CT482" i="1"/>
  <c r="CQ482" i="1"/>
  <c r="CO482" i="1"/>
  <c r="CR482" i="1"/>
  <c r="CN482" i="1"/>
  <c r="CS482" i="1"/>
  <c r="CB512" i="1"/>
  <c r="CA512" i="1"/>
  <c r="BZ512" i="1"/>
  <c r="BY512" i="1"/>
  <c r="BX512" i="1"/>
  <c r="BW512" i="1"/>
  <c r="BV512" i="1"/>
  <c r="CC512" i="1"/>
  <c r="CD512" i="1"/>
  <c r="CE512" i="1"/>
  <c r="CF514" i="1"/>
  <c r="CJ514" i="1"/>
  <c r="CK514" i="1"/>
  <c r="CG514" i="1"/>
  <c r="CM514" i="1"/>
  <c r="CH514" i="1"/>
  <c r="CI514" i="1"/>
  <c r="CS514" i="1"/>
  <c r="CO514" i="1"/>
  <c r="CR514" i="1"/>
  <c r="CN514" i="1"/>
  <c r="CL514" i="1"/>
  <c r="CT514" i="1"/>
  <c r="CP514" i="1"/>
  <c r="CU514" i="1"/>
  <c r="CQ514" i="1"/>
  <c r="CB544" i="1"/>
  <c r="CA544" i="1"/>
  <c r="BZ544" i="1"/>
  <c r="BY544" i="1"/>
  <c r="BX544" i="1"/>
  <c r="BW544" i="1"/>
  <c r="BV544" i="1"/>
  <c r="CC544" i="1"/>
  <c r="CD544" i="1"/>
  <c r="CE544" i="1"/>
  <c r="CL546" i="1"/>
  <c r="CK546" i="1"/>
  <c r="CF546" i="1"/>
  <c r="CG546" i="1"/>
  <c r="CM546" i="1"/>
  <c r="CI546" i="1"/>
  <c r="CT546" i="1"/>
  <c r="CQ546" i="1"/>
  <c r="CH546" i="1"/>
  <c r="CJ546" i="1"/>
  <c r="CU546" i="1"/>
  <c r="CP546" i="1"/>
  <c r="CO546" i="1"/>
  <c r="CN546" i="1"/>
  <c r="CR546" i="1"/>
  <c r="CS546" i="1"/>
  <c r="CB576" i="1"/>
  <c r="CA576" i="1"/>
  <c r="BZ576" i="1"/>
  <c r="BY576" i="1"/>
  <c r="BX576" i="1"/>
  <c r="BW576" i="1"/>
  <c r="BV576" i="1"/>
  <c r="CC576" i="1"/>
  <c r="CD576" i="1"/>
  <c r="CE576" i="1"/>
  <c r="CG578" i="1"/>
  <c r="CH578" i="1"/>
  <c r="CM578" i="1"/>
  <c r="CF578" i="1"/>
  <c r="CR578" i="1"/>
  <c r="CN578" i="1"/>
  <c r="CL578" i="1"/>
  <c r="CI578" i="1"/>
  <c r="CK578" i="1"/>
  <c r="CS578" i="1"/>
  <c r="CJ578" i="1"/>
  <c r="CQ578" i="1"/>
  <c r="CT578" i="1"/>
  <c r="CO578" i="1"/>
  <c r="CP578" i="1"/>
  <c r="CU578" i="1"/>
  <c r="CB32" i="1"/>
  <c r="CA32" i="1"/>
  <c r="BZ32" i="1"/>
  <c r="BY32" i="1"/>
  <c r="BX32" i="1"/>
  <c r="BW32" i="1"/>
  <c r="BV32" i="1"/>
  <c r="CC32" i="1"/>
  <c r="CD32" i="1"/>
  <c r="CE32" i="1"/>
  <c r="CP17" i="1"/>
  <c r="CL17" i="1"/>
  <c r="CK17" i="1"/>
  <c r="CJ17" i="1"/>
  <c r="CI17" i="1"/>
  <c r="CM17" i="1"/>
  <c r="CG17" i="1"/>
  <c r="CH17" i="1"/>
  <c r="CR17" i="1"/>
  <c r="CS17" i="1"/>
  <c r="CO17" i="1"/>
  <c r="CT17" i="1"/>
  <c r="CF17" i="1"/>
  <c r="CU17" i="1"/>
  <c r="CQ17" i="1"/>
  <c r="CN17" i="1"/>
  <c r="CB47" i="1"/>
  <c r="CA47" i="1"/>
  <c r="BZ47" i="1"/>
  <c r="BY47" i="1"/>
  <c r="BX47" i="1"/>
  <c r="BW47" i="1"/>
  <c r="BV47" i="1"/>
  <c r="CE47" i="1"/>
  <c r="CD47" i="1"/>
  <c r="CC47" i="1"/>
  <c r="CP49" i="1"/>
  <c r="CI49" i="1"/>
  <c r="CL49" i="1"/>
  <c r="CS49" i="1"/>
  <c r="CT49" i="1"/>
  <c r="CU49" i="1"/>
  <c r="CM49" i="1"/>
  <c r="CO49" i="1"/>
  <c r="CJ49" i="1"/>
  <c r="CQ49" i="1"/>
  <c r="CK49" i="1"/>
  <c r="CR49" i="1"/>
  <c r="CF49" i="1"/>
  <c r="CG49" i="1"/>
  <c r="CH49" i="1"/>
  <c r="CN49" i="1"/>
  <c r="CB79" i="1"/>
  <c r="CA79" i="1"/>
  <c r="BZ79" i="1"/>
  <c r="BY79" i="1"/>
  <c r="BX79" i="1"/>
  <c r="BW79" i="1"/>
  <c r="BV79" i="1"/>
  <c r="CE79" i="1"/>
  <c r="CD79" i="1"/>
  <c r="CC79" i="1"/>
  <c r="CG81" i="1"/>
  <c r="CF81" i="1"/>
  <c r="CL81" i="1"/>
  <c r="CP81" i="1"/>
  <c r="CJ81" i="1"/>
  <c r="CK81" i="1"/>
  <c r="CI81" i="1"/>
  <c r="CH81" i="1"/>
  <c r="CU81" i="1"/>
  <c r="CQ81" i="1"/>
  <c r="CR81" i="1"/>
  <c r="CS81" i="1"/>
  <c r="CO81" i="1"/>
  <c r="CM81" i="1"/>
  <c r="CN81" i="1"/>
  <c r="CT81" i="1"/>
  <c r="CB111" i="1"/>
  <c r="CA111" i="1"/>
  <c r="BZ111" i="1"/>
  <c r="BY111" i="1"/>
  <c r="BX111" i="1"/>
  <c r="BW111" i="1"/>
  <c r="BV111" i="1"/>
  <c r="CE111" i="1"/>
  <c r="CD111" i="1"/>
  <c r="CC111" i="1"/>
  <c r="CJ113" i="1"/>
  <c r="CI113" i="1"/>
  <c r="CP113" i="1"/>
  <c r="CL113" i="1"/>
  <c r="CM113" i="1"/>
  <c r="CT113" i="1"/>
  <c r="CK113" i="1"/>
  <c r="CF113" i="1"/>
  <c r="CG113" i="1"/>
  <c r="CH113" i="1"/>
  <c r="CO113" i="1"/>
  <c r="CR113" i="1"/>
  <c r="CS113" i="1"/>
  <c r="CN113" i="1"/>
  <c r="CQ113" i="1"/>
  <c r="CU113" i="1"/>
  <c r="CB143" i="1"/>
  <c r="CA143" i="1"/>
  <c r="BZ143" i="1"/>
  <c r="BY143" i="1"/>
  <c r="BX143" i="1"/>
  <c r="BW143" i="1"/>
  <c r="BV143" i="1"/>
  <c r="CC143" i="1"/>
  <c r="CE143" i="1"/>
  <c r="CD143" i="1"/>
  <c r="CM145" i="1"/>
  <c r="CL145" i="1"/>
  <c r="CH145" i="1"/>
  <c r="CP145" i="1"/>
  <c r="CF145" i="1"/>
  <c r="CG145" i="1"/>
  <c r="CJ145" i="1"/>
  <c r="CK145" i="1"/>
  <c r="CI145" i="1"/>
  <c r="CS145" i="1"/>
  <c r="CU145" i="1"/>
  <c r="CQ145" i="1"/>
  <c r="CR145" i="1"/>
  <c r="CT145" i="1"/>
  <c r="CN145" i="1"/>
  <c r="CO145" i="1"/>
  <c r="CB175" i="1"/>
  <c r="CA175" i="1"/>
  <c r="BZ175" i="1"/>
  <c r="BY175" i="1"/>
  <c r="BX175" i="1"/>
  <c r="BW175" i="1"/>
  <c r="BV175" i="1"/>
  <c r="CC175" i="1"/>
  <c r="CE175" i="1"/>
  <c r="CD175" i="1"/>
  <c r="CK177" i="1"/>
  <c r="CP177" i="1"/>
  <c r="CO177" i="1"/>
  <c r="CH177" i="1"/>
  <c r="CQ177" i="1"/>
  <c r="CI177" i="1"/>
  <c r="CM177" i="1"/>
  <c r="CJ177" i="1"/>
  <c r="CT177" i="1"/>
  <c r="CF177" i="1"/>
  <c r="CG177" i="1"/>
  <c r="CL177" i="1"/>
  <c r="CU177" i="1"/>
  <c r="CR177" i="1"/>
  <c r="CS177" i="1"/>
  <c r="CN177" i="1"/>
  <c r="CB207" i="1"/>
  <c r="CA207" i="1"/>
  <c r="BZ207" i="1"/>
  <c r="BY207" i="1"/>
  <c r="BX207" i="1"/>
  <c r="BW207" i="1"/>
  <c r="BV207" i="1"/>
  <c r="CD207" i="1"/>
  <c r="CC207" i="1"/>
  <c r="CE207" i="1"/>
  <c r="CH209" i="1"/>
  <c r="CP209" i="1"/>
  <c r="CG209" i="1"/>
  <c r="CL209" i="1"/>
  <c r="CM209" i="1"/>
  <c r="CU209" i="1"/>
  <c r="CR209" i="1"/>
  <c r="CI209" i="1"/>
  <c r="CS209" i="1"/>
  <c r="CJ209" i="1"/>
  <c r="CF209" i="1"/>
  <c r="CK209" i="1"/>
  <c r="CT209" i="1"/>
  <c r="CO209" i="1"/>
  <c r="CN209" i="1"/>
  <c r="CQ209" i="1"/>
  <c r="CB239" i="1"/>
  <c r="CA239" i="1"/>
  <c r="BZ239" i="1"/>
  <c r="BY239" i="1"/>
  <c r="BX239" i="1"/>
  <c r="BW239" i="1"/>
  <c r="BV239" i="1"/>
  <c r="CD239" i="1"/>
  <c r="CC239" i="1"/>
  <c r="CE239" i="1"/>
  <c r="CK241" i="1"/>
  <c r="CJ241" i="1"/>
  <c r="CP241" i="1"/>
  <c r="CG241" i="1"/>
  <c r="CF241" i="1"/>
  <c r="CI241" i="1"/>
  <c r="CH241" i="1"/>
  <c r="CT241" i="1"/>
  <c r="CL241" i="1"/>
  <c r="CM241" i="1"/>
  <c r="CO241" i="1"/>
  <c r="CQ241" i="1"/>
  <c r="CR241" i="1"/>
  <c r="CU241" i="1"/>
  <c r="CN241" i="1"/>
  <c r="CS241" i="1"/>
  <c r="BV271" i="1"/>
  <c r="CB271" i="1"/>
  <c r="CA271" i="1"/>
  <c r="BZ271" i="1"/>
  <c r="BY271" i="1"/>
  <c r="BX271" i="1"/>
  <c r="BW271" i="1"/>
  <c r="CD271" i="1"/>
  <c r="CC271" i="1"/>
  <c r="CE271" i="1"/>
  <c r="CP273" i="1"/>
  <c r="CJ273" i="1"/>
  <c r="CI273" i="1"/>
  <c r="CH273" i="1"/>
  <c r="CM273" i="1"/>
  <c r="CF273" i="1"/>
  <c r="CK273" i="1"/>
  <c r="CS273" i="1"/>
  <c r="CG273" i="1"/>
  <c r="CL273" i="1"/>
  <c r="CU273" i="1"/>
  <c r="CO273" i="1"/>
  <c r="CT273" i="1"/>
  <c r="CQ273" i="1"/>
  <c r="CR273" i="1"/>
  <c r="CN273" i="1"/>
  <c r="CB303" i="1"/>
  <c r="CA303" i="1"/>
  <c r="BZ303" i="1"/>
  <c r="BY303" i="1"/>
  <c r="BX303" i="1"/>
  <c r="BW303" i="1"/>
  <c r="BV303" i="1"/>
  <c r="CC303" i="1"/>
  <c r="CD303" i="1"/>
  <c r="CE303" i="1"/>
  <c r="CF305" i="1"/>
  <c r="CP305" i="1"/>
  <c r="CL305" i="1"/>
  <c r="CJ305" i="1"/>
  <c r="CI305" i="1"/>
  <c r="CH305" i="1"/>
  <c r="CK305" i="1"/>
  <c r="CG305" i="1"/>
  <c r="CQ305" i="1"/>
  <c r="CR305" i="1"/>
  <c r="CM305" i="1"/>
  <c r="CN305" i="1"/>
  <c r="CS305" i="1"/>
  <c r="CT305" i="1"/>
  <c r="CO305" i="1"/>
  <c r="CU305" i="1"/>
  <c r="CB335" i="1"/>
  <c r="CA335" i="1"/>
  <c r="BZ335" i="1"/>
  <c r="BY335" i="1"/>
  <c r="BX335" i="1"/>
  <c r="BW335" i="1"/>
  <c r="BV335" i="1"/>
  <c r="CE335" i="1"/>
  <c r="CC335" i="1"/>
  <c r="CD335" i="1"/>
  <c r="CI337" i="1"/>
  <c r="CP337" i="1"/>
  <c r="CM337" i="1"/>
  <c r="CJ337" i="1"/>
  <c r="CO337" i="1"/>
  <c r="CF337" i="1"/>
  <c r="CK337" i="1"/>
  <c r="CG337" i="1"/>
  <c r="CL337" i="1"/>
  <c r="CS337" i="1"/>
  <c r="CH337" i="1"/>
  <c r="CR337" i="1"/>
  <c r="CT337" i="1"/>
  <c r="CQ337" i="1"/>
  <c r="CN337" i="1"/>
  <c r="CU337" i="1"/>
  <c r="CB367" i="1"/>
  <c r="CA367" i="1"/>
  <c r="BZ367" i="1"/>
  <c r="BY367" i="1"/>
  <c r="BX367" i="1"/>
  <c r="BW367" i="1"/>
  <c r="BV367" i="1"/>
  <c r="CE367" i="1"/>
  <c r="CC367" i="1"/>
  <c r="CD367" i="1"/>
  <c r="CP369" i="1"/>
  <c r="CH369" i="1"/>
  <c r="CJ369" i="1"/>
  <c r="CG369" i="1"/>
  <c r="CF369" i="1"/>
  <c r="CL369" i="1"/>
  <c r="CR369" i="1"/>
  <c r="CI369" i="1"/>
  <c r="CK369" i="1"/>
  <c r="CM369" i="1"/>
  <c r="CN369" i="1"/>
  <c r="CO369" i="1"/>
  <c r="CS369" i="1"/>
  <c r="CT369" i="1"/>
  <c r="CU369" i="1"/>
  <c r="CQ369" i="1"/>
  <c r="CB399" i="1"/>
  <c r="CA399" i="1"/>
  <c r="BZ399" i="1"/>
  <c r="BY399" i="1"/>
  <c r="BX399" i="1"/>
  <c r="BW399" i="1"/>
  <c r="BV399" i="1"/>
  <c r="CE399" i="1"/>
  <c r="CC399" i="1"/>
  <c r="CD399" i="1"/>
  <c r="CP401" i="1"/>
  <c r="CM401" i="1"/>
  <c r="CL401" i="1"/>
  <c r="CJ401" i="1"/>
  <c r="CK401" i="1"/>
  <c r="CG401" i="1"/>
  <c r="CF401" i="1"/>
  <c r="CT401" i="1"/>
  <c r="CS401" i="1"/>
  <c r="CR401" i="1"/>
  <c r="CH401" i="1"/>
  <c r="CI401" i="1"/>
  <c r="CQ401" i="1"/>
  <c r="CO401" i="1"/>
  <c r="CN401" i="1"/>
  <c r="CU401" i="1"/>
  <c r="CB431" i="1"/>
  <c r="CA431" i="1"/>
  <c r="BZ431" i="1"/>
  <c r="BY431" i="1"/>
  <c r="BX431" i="1"/>
  <c r="BW431" i="1"/>
  <c r="BV431" i="1"/>
  <c r="CE431" i="1"/>
  <c r="CC431" i="1"/>
  <c r="CD431" i="1"/>
  <c r="CP433" i="1"/>
  <c r="CG433" i="1"/>
  <c r="CI433" i="1"/>
  <c r="CO433" i="1"/>
  <c r="CK433" i="1"/>
  <c r="CM433" i="1"/>
  <c r="CS433" i="1"/>
  <c r="CH433" i="1"/>
  <c r="CU433" i="1"/>
  <c r="CN433" i="1"/>
  <c r="CF433" i="1"/>
  <c r="CR433" i="1"/>
  <c r="CJ433" i="1"/>
  <c r="CQ433" i="1"/>
  <c r="CL433" i="1"/>
  <c r="CT433" i="1"/>
  <c r="CB463" i="1"/>
  <c r="CA463" i="1"/>
  <c r="BZ463" i="1"/>
  <c r="BY463" i="1"/>
  <c r="BX463" i="1"/>
  <c r="BW463" i="1"/>
  <c r="BV463" i="1"/>
  <c r="CE463" i="1"/>
  <c r="CC463" i="1"/>
  <c r="CD463" i="1"/>
  <c r="CP465" i="1"/>
  <c r="CL465" i="1"/>
  <c r="CI465" i="1"/>
  <c r="CK465" i="1"/>
  <c r="CF465" i="1"/>
  <c r="CJ465" i="1"/>
  <c r="CO465" i="1"/>
  <c r="CT465" i="1"/>
  <c r="CG465" i="1"/>
  <c r="CH465" i="1"/>
  <c r="CS465" i="1"/>
  <c r="CR465" i="1"/>
  <c r="CQ465" i="1"/>
  <c r="CM465" i="1"/>
  <c r="CN465" i="1"/>
  <c r="CU465" i="1"/>
  <c r="CB495" i="1"/>
  <c r="CA495" i="1"/>
  <c r="BZ495" i="1"/>
  <c r="BY495" i="1"/>
  <c r="BX495" i="1"/>
  <c r="BW495" i="1"/>
  <c r="BV495" i="1"/>
  <c r="CE495" i="1"/>
  <c r="CC495" i="1"/>
  <c r="CD495" i="1"/>
  <c r="CP497" i="1"/>
  <c r="CF497" i="1"/>
  <c r="CH497" i="1"/>
  <c r="CG497" i="1"/>
  <c r="CL497" i="1"/>
  <c r="CJ497" i="1"/>
  <c r="CK497" i="1"/>
  <c r="CM497" i="1"/>
  <c r="CQ497" i="1"/>
  <c r="CO497" i="1"/>
  <c r="CU497" i="1"/>
  <c r="CN497" i="1"/>
  <c r="CI497" i="1"/>
  <c r="CS497" i="1"/>
  <c r="CT497" i="1"/>
  <c r="CR497" i="1"/>
  <c r="BX527" i="1"/>
  <c r="BW527" i="1"/>
  <c r="BZ527" i="1"/>
  <c r="BY527" i="1"/>
  <c r="BV527" i="1"/>
  <c r="CB527" i="1"/>
  <c r="CA527" i="1"/>
  <c r="CD527" i="1"/>
  <c r="CE527" i="1"/>
  <c r="CC527" i="1"/>
  <c r="CP529" i="1"/>
  <c r="CI529" i="1"/>
  <c r="CK529" i="1"/>
  <c r="CM529" i="1"/>
  <c r="CH529" i="1"/>
  <c r="CG529" i="1"/>
  <c r="CF529" i="1"/>
  <c r="CL529" i="1"/>
  <c r="CS529" i="1"/>
  <c r="CR529" i="1"/>
  <c r="CQ529" i="1"/>
  <c r="CO529" i="1"/>
  <c r="CJ529" i="1"/>
  <c r="CN529" i="1"/>
  <c r="CT529" i="1"/>
  <c r="CU529" i="1"/>
  <c r="BX559" i="1"/>
  <c r="BW559" i="1"/>
  <c r="BZ559" i="1"/>
  <c r="BY559" i="1"/>
  <c r="BV559" i="1"/>
  <c r="CB559" i="1"/>
  <c r="CA559" i="1"/>
  <c r="CD559" i="1"/>
  <c r="CE559" i="1"/>
  <c r="CC559" i="1"/>
  <c r="CP561" i="1"/>
  <c r="CK561" i="1"/>
  <c r="CM561" i="1"/>
  <c r="CO561" i="1"/>
  <c r="CL561" i="1"/>
  <c r="CS561" i="1"/>
  <c r="CI561" i="1"/>
  <c r="CJ561" i="1"/>
  <c r="CG561" i="1"/>
  <c r="CF561" i="1"/>
  <c r="CU561" i="1"/>
  <c r="CN561" i="1"/>
  <c r="CT561" i="1"/>
  <c r="CR561" i="1"/>
  <c r="CQ561" i="1"/>
  <c r="CH561" i="1"/>
  <c r="BX591" i="1"/>
  <c r="BW591" i="1"/>
  <c r="CB591" i="1"/>
  <c r="CA591" i="1"/>
  <c r="BZ591" i="1"/>
  <c r="BY591" i="1"/>
  <c r="BV591" i="1"/>
  <c r="CD591" i="1"/>
  <c r="CE591" i="1"/>
  <c r="CC591" i="1"/>
  <c r="CP593" i="1"/>
  <c r="CH593" i="1"/>
  <c r="CJ593" i="1"/>
  <c r="CG593" i="1"/>
  <c r="CF593" i="1"/>
  <c r="CI593" i="1"/>
  <c r="CK593" i="1"/>
  <c r="CL593" i="1"/>
  <c r="CM593" i="1"/>
  <c r="CS593" i="1"/>
  <c r="CR593" i="1"/>
  <c r="CQ593" i="1"/>
  <c r="CO593" i="1"/>
  <c r="CN593" i="1"/>
  <c r="CT593" i="1"/>
  <c r="CU593" i="1"/>
  <c r="CB15" i="1"/>
  <c r="CA15" i="1"/>
  <c r="BZ15" i="1"/>
  <c r="BY15" i="1"/>
  <c r="BX15" i="1"/>
  <c r="BW15" i="1"/>
  <c r="BV15" i="1"/>
  <c r="CE15" i="1"/>
  <c r="CD15" i="1"/>
  <c r="CC15" i="1"/>
  <c r="CB94" i="1"/>
  <c r="CA94" i="1"/>
  <c r="BY94" i="1"/>
  <c r="BX94" i="1"/>
  <c r="BW94" i="1"/>
  <c r="BV94" i="1"/>
  <c r="BZ94" i="1"/>
  <c r="CE94" i="1"/>
  <c r="CD94" i="1"/>
  <c r="CC94" i="1"/>
  <c r="CM96" i="1"/>
  <c r="CG96" i="1"/>
  <c r="CN96" i="1"/>
  <c r="CI96" i="1"/>
  <c r="CQ96" i="1"/>
  <c r="CJ96" i="1"/>
  <c r="CF96" i="1"/>
  <c r="CO96" i="1"/>
  <c r="CU96" i="1"/>
  <c r="CS96" i="1"/>
  <c r="CR96" i="1"/>
  <c r="CL96" i="1"/>
  <c r="CT96" i="1"/>
  <c r="CH96" i="1"/>
  <c r="CK96" i="1"/>
  <c r="CP96" i="1"/>
  <c r="CB126" i="1"/>
  <c r="CA126" i="1"/>
  <c r="BZ126" i="1"/>
  <c r="BY126" i="1"/>
  <c r="BX126" i="1"/>
  <c r="BW126" i="1"/>
  <c r="BV126" i="1"/>
  <c r="CE126" i="1"/>
  <c r="CD126" i="1"/>
  <c r="CC126" i="1"/>
  <c r="CM128" i="1"/>
  <c r="CT128" i="1"/>
  <c r="CI128" i="1"/>
  <c r="CH128" i="1"/>
  <c r="CG128" i="1"/>
  <c r="CK128" i="1"/>
  <c r="CL128" i="1"/>
  <c r="CP128" i="1"/>
  <c r="CO128" i="1"/>
  <c r="CJ128" i="1"/>
  <c r="CN128" i="1"/>
  <c r="CS128" i="1"/>
  <c r="CU128" i="1"/>
  <c r="CR128" i="1"/>
  <c r="CF128" i="1"/>
  <c r="CQ128" i="1"/>
  <c r="CB158" i="1"/>
  <c r="CA158" i="1"/>
  <c r="BZ158" i="1"/>
  <c r="BY158" i="1"/>
  <c r="BX158" i="1"/>
  <c r="BW158" i="1"/>
  <c r="BV158" i="1"/>
  <c r="CC158" i="1"/>
  <c r="CE158" i="1"/>
  <c r="CD158" i="1"/>
  <c r="CF160" i="1"/>
  <c r="CM160" i="1"/>
  <c r="CK160" i="1"/>
  <c r="CH160" i="1"/>
  <c r="CR160" i="1"/>
  <c r="CJ160" i="1"/>
  <c r="CP160" i="1"/>
  <c r="CQ160" i="1"/>
  <c r="CG160" i="1"/>
  <c r="CO160" i="1"/>
  <c r="CI160" i="1"/>
  <c r="CN160" i="1"/>
  <c r="CS160" i="1"/>
  <c r="CU160" i="1"/>
  <c r="CL160" i="1"/>
  <c r="CT160" i="1"/>
  <c r="CB190" i="1"/>
  <c r="CA190" i="1"/>
  <c r="BZ190" i="1"/>
  <c r="BW190" i="1"/>
  <c r="BV190" i="1"/>
  <c r="BY190" i="1"/>
  <c r="BX190" i="1"/>
  <c r="CD190" i="1"/>
  <c r="CC190" i="1"/>
  <c r="CE190" i="1"/>
  <c r="CF192" i="1"/>
  <c r="CM192" i="1"/>
  <c r="CG192" i="1"/>
  <c r="CO192" i="1"/>
  <c r="CL192" i="1"/>
  <c r="CH192" i="1"/>
  <c r="CK192" i="1"/>
  <c r="CQ192" i="1"/>
  <c r="CP192" i="1"/>
  <c r="CR192" i="1"/>
  <c r="CJ192" i="1"/>
  <c r="CI192" i="1"/>
  <c r="CN192" i="1"/>
  <c r="CU192" i="1"/>
  <c r="CT192" i="1"/>
  <c r="CS192" i="1"/>
  <c r="CB222" i="1"/>
  <c r="CA222" i="1"/>
  <c r="BZ222" i="1"/>
  <c r="BY222" i="1"/>
  <c r="BX222" i="1"/>
  <c r="BW222" i="1"/>
  <c r="BV222" i="1"/>
  <c r="CD222" i="1"/>
  <c r="CE222" i="1"/>
  <c r="CC222" i="1"/>
  <c r="CM224" i="1"/>
  <c r="CG224" i="1"/>
  <c r="CN224" i="1"/>
  <c r="CH224" i="1"/>
  <c r="CI224" i="1"/>
  <c r="CF224" i="1"/>
  <c r="CJ224" i="1"/>
  <c r="CL224" i="1"/>
  <c r="CS224" i="1"/>
  <c r="CK224" i="1"/>
  <c r="CQ224" i="1"/>
  <c r="CT224" i="1"/>
  <c r="CU224" i="1"/>
  <c r="CP224" i="1"/>
  <c r="CO224" i="1"/>
  <c r="CR224" i="1"/>
  <c r="CA254" i="1"/>
  <c r="BZ254" i="1"/>
  <c r="BY254" i="1"/>
  <c r="BX254" i="1"/>
  <c r="BW254" i="1"/>
  <c r="BV254" i="1"/>
  <c r="CB254" i="1"/>
  <c r="CE254" i="1"/>
  <c r="CC254" i="1"/>
  <c r="CD254" i="1"/>
  <c r="CM256" i="1"/>
  <c r="CF256" i="1"/>
  <c r="CG256" i="1"/>
  <c r="CK256" i="1"/>
  <c r="CL256" i="1"/>
  <c r="CI256" i="1"/>
  <c r="CR256" i="1"/>
  <c r="CO256" i="1"/>
  <c r="CN256" i="1"/>
  <c r="CH256" i="1"/>
  <c r="CJ256" i="1"/>
  <c r="CP256" i="1"/>
  <c r="CU256" i="1"/>
  <c r="CT256" i="1"/>
  <c r="CS256" i="1"/>
  <c r="CQ256" i="1"/>
  <c r="CB286" i="1"/>
  <c r="CA286" i="1"/>
  <c r="BZ286" i="1"/>
  <c r="BY286" i="1"/>
  <c r="BX286" i="1"/>
  <c r="BW286" i="1"/>
  <c r="BV286" i="1"/>
  <c r="CE286" i="1"/>
  <c r="CC286" i="1"/>
  <c r="CD286" i="1"/>
  <c r="CM288" i="1"/>
  <c r="CJ288" i="1"/>
  <c r="CP288" i="1"/>
  <c r="CH288" i="1"/>
  <c r="CF288" i="1"/>
  <c r="CK288" i="1"/>
  <c r="CQ288" i="1"/>
  <c r="CT288" i="1"/>
  <c r="CI288" i="1"/>
  <c r="CU288" i="1"/>
  <c r="CL288" i="1"/>
  <c r="CO288" i="1"/>
  <c r="CN288" i="1"/>
  <c r="CS288" i="1"/>
  <c r="CG288" i="1"/>
  <c r="CR288" i="1"/>
  <c r="CB318" i="1"/>
  <c r="CA318" i="1"/>
  <c r="BZ318" i="1"/>
  <c r="BY318" i="1"/>
  <c r="BX318" i="1"/>
  <c r="BW318" i="1"/>
  <c r="BV318" i="1"/>
  <c r="CE318" i="1"/>
  <c r="CC318" i="1"/>
  <c r="CD318" i="1"/>
  <c r="CF320" i="1"/>
  <c r="CG320" i="1"/>
  <c r="CL320" i="1"/>
  <c r="CM320" i="1"/>
  <c r="CO320" i="1"/>
  <c r="CJ320" i="1"/>
  <c r="CI320" i="1"/>
  <c r="CP320" i="1"/>
  <c r="CH320" i="1"/>
  <c r="CR320" i="1"/>
  <c r="CN320" i="1"/>
  <c r="CK320" i="1"/>
  <c r="CQ320" i="1"/>
  <c r="CU320" i="1"/>
  <c r="CT320" i="1"/>
  <c r="CS320" i="1"/>
  <c r="BV350" i="1"/>
  <c r="CB350" i="1"/>
  <c r="CA350" i="1"/>
  <c r="BZ350" i="1"/>
  <c r="BY350" i="1"/>
  <c r="BX350" i="1"/>
  <c r="BW350" i="1"/>
  <c r="CC350" i="1"/>
  <c r="CD350" i="1"/>
  <c r="CE350" i="1"/>
  <c r="CM352" i="1"/>
  <c r="CF352" i="1"/>
  <c r="CH352" i="1"/>
  <c r="CG352" i="1"/>
  <c r="CI352" i="1"/>
  <c r="CJ352" i="1"/>
  <c r="CS352" i="1"/>
  <c r="CQ352" i="1"/>
  <c r="CT352" i="1"/>
  <c r="CL352" i="1"/>
  <c r="CU352" i="1"/>
  <c r="CK352" i="1"/>
  <c r="CN352" i="1"/>
  <c r="CR352" i="1"/>
  <c r="CO352" i="1"/>
  <c r="CP352" i="1"/>
  <c r="BV382" i="1"/>
  <c r="CB382" i="1"/>
  <c r="CA382" i="1"/>
  <c r="BZ382" i="1"/>
  <c r="BY382" i="1"/>
  <c r="BX382" i="1"/>
  <c r="BW382" i="1"/>
  <c r="CC382" i="1"/>
  <c r="CD382" i="1"/>
  <c r="CE382" i="1"/>
  <c r="CH384" i="1"/>
  <c r="CM384" i="1"/>
  <c r="CJ384" i="1"/>
  <c r="CL384" i="1"/>
  <c r="CI384" i="1"/>
  <c r="CR384" i="1"/>
  <c r="CG384" i="1"/>
  <c r="CN384" i="1"/>
  <c r="CO384" i="1"/>
  <c r="CP384" i="1"/>
  <c r="CF384" i="1"/>
  <c r="CS384" i="1"/>
  <c r="CT384" i="1"/>
  <c r="CQ384" i="1"/>
  <c r="CK384" i="1"/>
  <c r="CU384" i="1"/>
  <c r="CB414" i="1"/>
  <c r="CA414" i="1"/>
  <c r="BZ414" i="1"/>
  <c r="BY414" i="1"/>
  <c r="BX414" i="1"/>
  <c r="BW414" i="1"/>
  <c r="BV414" i="1"/>
  <c r="CE414" i="1"/>
  <c r="CD414" i="1"/>
  <c r="CC414" i="1"/>
  <c r="CM416" i="1"/>
  <c r="CF416" i="1"/>
  <c r="CQ416" i="1"/>
  <c r="CT416" i="1"/>
  <c r="CU416" i="1"/>
  <c r="CK416" i="1"/>
  <c r="CL416" i="1"/>
  <c r="CI416" i="1"/>
  <c r="CH416" i="1"/>
  <c r="CJ416" i="1"/>
  <c r="CS416" i="1"/>
  <c r="CG416" i="1"/>
  <c r="CN416" i="1"/>
  <c r="CR416" i="1"/>
  <c r="CO416" i="1"/>
  <c r="CP416" i="1"/>
  <c r="CB446" i="1"/>
  <c r="CA446" i="1"/>
  <c r="BZ446" i="1"/>
  <c r="BY446" i="1"/>
  <c r="BX446" i="1"/>
  <c r="BW446" i="1"/>
  <c r="BV446" i="1"/>
  <c r="CE446" i="1"/>
  <c r="CD446" i="1"/>
  <c r="CC446" i="1"/>
  <c r="CM448" i="1"/>
  <c r="CG448" i="1"/>
  <c r="CO448" i="1"/>
  <c r="CP448" i="1"/>
  <c r="CK448" i="1"/>
  <c r="CL448" i="1"/>
  <c r="CR448" i="1"/>
  <c r="CI448" i="1"/>
  <c r="CH448" i="1"/>
  <c r="CJ448" i="1"/>
  <c r="CF448" i="1"/>
  <c r="CU448" i="1"/>
  <c r="CT448" i="1"/>
  <c r="CS448" i="1"/>
  <c r="CN448" i="1"/>
  <c r="CQ448" i="1"/>
  <c r="CA478" i="1"/>
  <c r="CB478" i="1"/>
  <c r="BZ478" i="1"/>
  <c r="BY478" i="1"/>
  <c r="BX478" i="1"/>
  <c r="BW478" i="1"/>
  <c r="BV478" i="1"/>
  <c r="CD478" i="1"/>
  <c r="CE478" i="1"/>
  <c r="CC478" i="1"/>
  <c r="CM480" i="1"/>
  <c r="CF480" i="1"/>
  <c r="CJ480" i="1"/>
  <c r="CG480" i="1"/>
  <c r="CS480" i="1"/>
  <c r="CQ480" i="1"/>
  <c r="CT480" i="1"/>
  <c r="CU480" i="1"/>
  <c r="CK480" i="1"/>
  <c r="CI480" i="1"/>
  <c r="CL480" i="1"/>
  <c r="CP480" i="1"/>
  <c r="CH480" i="1"/>
  <c r="CR480" i="1"/>
  <c r="CN480" i="1"/>
  <c r="CO480" i="1"/>
  <c r="BV510" i="1"/>
  <c r="CB510" i="1"/>
  <c r="CA510" i="1"/>
  <c r="BZ510" i="1"/>
  <c r="BY510" i="1"/>
  <c r="BX510" i="1"/>
  <c r="BW510" i="1"/>
  <c r="CD510" i="1"/>
  <c r="CC510" i="1"/>
  <c r="CE510" i="1"/>
  <c r="CF512" i="1"/>
  <c r="CH512" i="1"/>
  <c r="CM512" i="1"/>
  <c r="CI512" i="1"/>
  <c r="CL512" i="1"/>
  <c r="CR512" i="1"/>
  <c r="CJ512" i="1"/>
  <c r="CG512" i="1"/>
  <c r="CN512" i="1"/>
  <c r="CO512" i="1"/>
  <c r="CP512" i="1"/>
  <c r="CU512" i="1"/>
  <c r="CT512" i="1"/>
  <c r="CS512" i="1"/>
  <c r="CK512" i="1"/>
  <c r="CQ512" i="1"/>
  <c r="CB542" i="1"/>
  <c r="BV542" i="1"/>
  <c r="CA542" i="1"/>
  <c r="BW542" i="1"/>
  <c r="BZ542" i="1"/>
  <c r="BY542" i="1"/>
  <c r="BX542" i="1"/>
  <c r="CC542" i="1"/>
  <c r="CD542" i="1"/>
  <c r="CE542" i="1"/>
  <c r="CM544" i="1"/>
  <c r="CQ544" i="1"/>
  <c r="CT544" i="1"/>
  <c r="CU544" i="1"/>
  <c r="CF544" i="1"/>
  <c r="CK544" i="1"/>
  <c r="CL544" i="1"/>
  <c r="CI544" i="1"/>
  <c r="CH544" i="1"/>
  <c r="CJ544" i="1"/>
  <c r="CS544" i="1"/>
  <c r="CG544" i="1"/>
  <c r="CN544" i="1"/>
  <c r="CR544" i="1"/>
  <c r="CO544" i="1"/>
  <c r="CP544" i="1"/>
  <c r="CB574" i="1"/>
  <c r="CA574" i="1"/>
  <c r="BZ574" i="1"/>
  <c r="BY574" i="1"/>
  <c r="BX574" i="1"/>
  <c r="BW574" i="1"/>
  <c r="BV574" i="1"/>
  <c r="CE574" i="1"/>
  <c r="CC574" i="1"/>
  <c r="CD574" i="1"/>
  <c r="CI576" i="1"/>
  <c r="CK576" i="1"/>
  <c r="CF576" i="1"/>
  <c r="CM576" i="1"/>
  <c r="CO576" i="1"/>
  <c r="CP576" i="1"/>
  <c r="CL576" i="1"/>
  <c r="CR576" i="1"/>
  <c r="CH576" i="1"/>
  <c r="CJ576" i="1"/>
  <c r="CG576" i="1"/>
  <c r="CS576" i="1"/>
  <c r="CN576" i="1"/>
  <c r="CQ576" i="1"/>
  <c r="CT576" i="1"/>
  <c r="CU576" i="1"/>
  <c r="BX13" i="1"/>
  <c r="BW13" i="1"/>
  <c r="BV13" i="1"/>
  <c r="CB13" i="1"/>
  <c r="CA13" i="1"/>
  <c r="BZ13" i="1"/>
  <c r="BY13" i="1"/>
  <c r="CC13" i="1"/>
  <c r="CE13" i="1"/>
  <c r="CD13" i="1"/>
  <c r="CB45" i="1"/>
  <c r="CA45" i="1"/>
  <c r="BZ45" i="1"/>
  <c r="BY45" i="1"/>
  <c r="BX45" i="1"/>
  <c r="BW45" i="1"/>
  <c r="BV45" i="1"/>
  <c r="CC45" i="1"/>
  <c r="CD45" i="1"/>
  <c r="CE45" i="1"/>
  <c r="CM79" i="1"/>
  <c r="CL79" i="1"/>
  <c r="CJ79" i="1"/>
  <c r="CG79" i="1"/>
  <c r="CH79" i="1"/>
  <c r="CF79" i="1"/>
  <c r="CK79" i="1"/>
  <c r="CI79" i="1"/>
  <c r="CS79" i="1"/>
  <c r="CP79" i="1"/>
  <c r="CQ79" i="1"/>
  <c r="CO79" i="1"/>
  <c r="CU79" i="1"/>
  <c r="CN79" i="1"/>
  <c r="CT79" i="1"/>
  <c r="CR79" i="1"/>
  <c r="CJ143" i="1"/>
  <c r="CM143" i="1"/>
  <c r="CH143" i="1"/>
  <c r="CG143" i="1"/>
  <c r="CF143" i="1"/>
  <c r="CI143" i="1"/>
  <c r="CK143" i="1"/>
  <c r="CL143" i="1"/>
  <c r="CN143" i="1"/>
  <c r="CQ143" i="1"/>
  <c r="CS143" i="1"/>
  <c r="CR143" i="1"/>
  <c r="CP143" i="1"/>
  <c r="CO143" i="1"/>
  <c r="CU143" i="1"/>
  <c r="CT143" i="1"/>
  <c r="CK175" i="1"/>
  <c r="CL175" i="1"/>
  <c r="CF175" i="1"/>
  <c r="CG175" i="1"/>
  <c r="CJ175" i="1"/>
  <c r="CH175" i="1"/>
  <c r="CI175" i="1"/>
  <c r="CM175" i="1"/>
  <c r="CT175" i="1"/>
  <c r="CS175" i="1"/>
  <c r="CR175" i="1"/>
  <c r="CP175" i="1"/>
  <c r="CQ175" i="1"/>
  <c r="CO175" i="1"/>
  <c r="CU175" i="1"/>
  <c r="CN175" i="1"/>
  <c r="CB205" i="1"/>
  <c r="CA205" i="1"/>
  <c r="BZ205" i="1"/>
  <c r="BY205" i="1"/>
  <c r="BX205" i="1"/>
  <c r="BW205" i="1"/>
  <c r="BV205" i="1"/>
  <c r="CC205" i="1"/>
  <c r="CE205" i="1"/>
  <c r="CD205" i="1"/>
  <c r="CH207" i="1"/>
  <c r="CI207" i="1"/>
  <c r="CM207" i="1"/>
  <c r="CG207" i="1"/>
  <c r="CL207" i="1"/>
  <c r="CJ207" i="1"/>
  <c r="CF207" i="1"/>
  <c r="CS207" i="1"/>
  <c r="CP207" i="1"/>
  <c r="CU207" i="1"/>
  <c r="CN207" i="1"/>
  <c r="CT207" i="1"/>
  <c r="CK207" i="1"/>
  <c r="CR207" i="1"/>
  <c r="CQ207" i="1"/>
  <c r="CO207" i="1"/>
  <c r="BW237" i="1"/>
  <c r="BV237" i="1"/>
  <c r="CB237" i="1"/>
  <c r="CA237" i="1"/>
  <c r="BZ237" i="1"/>
  <c r="BY237" i="1"/>
  <c r="BX237" i="1"/>
  <c r="CE237" i="1"/>
  <c r="CD237" i="1"/>
  <c r="CC237" i="1"/>
  <c r="CL239" i="1"/>
  <c r="CG239" i="1"/>
  <c r="CF239" i="1"/>
  <c r="CK239" i="1"/>
  <c r="CI239" i="1"/>
  <c r="CM239" i="1"/>
  <c r="CJ239" i="1"/>
  <c r="CH239" i="1"/>
  <c r="CR239" i="1"/>
  <c r="CO239" i="1"/>
  <c r="CP239" i="1"/>
  <c r="CU239" i="1"/>
  <c r="CN239" i="1"/>
  <c r="CT239" i="1"/>
  <c r="CS239" i="1"/>
  <c r="CQ239" i="1"/>
  <c r="BW269" i="1"/>
  <c r="BV269" i="1"/>
  <c r="CB269" i="1"/>
  <c r="CA269" i="1"/>
  <c r="BZ269" i="1"/>
  <c r="BY269" i="1"/>
  <c r="BX269" i="1"/>
  <c r="CC269" i="1"/>
  <c r="CE269" i="1"/>
  <c r="CD269" i="1"/>
  <c r="CI271" i="1"/>
  <c r="CG271" i="1"/>
  <c r="CJ271" i="1"/>
  <c r="CF271" i="1"/>
  <c r="CK271" i="1"/>
  <c r="CM271" i="1"/>
  <c r="CL271" i="1"/>
  <c r="CH271" i="1"/>
  <c r="CQ271" i="1"/>
  <c r="CN271" i="1"/>
  <c r="CO271" i="1"/>
  <c r="CU271" i="1"/>
  <c r="CT271" i="1"/>
  <c r="CS271" i="1"/>
  <c r="CR271" i="1"/>
  <c r="CP271" i="1"/>
  <c r="BW301" i="1"/>
  <c r="BV301" i="1"/>
  <c r="BZ301" i="1"/>
  <c r="BY301" i="1"/>
  <c r="BX301" i="1"/>
  <c r="CB301" i="1"/>
  <c r="CA301" i="1"/>
  <c r="CC301" i="1"/>
  <c r="CD301" i="1"/>
  <c r="CE301" i="1"/>
  <c r="CF303" i="1"/>
  <c r="CG303" i="1"/>
  <c r="CM303" i="1"/>
  <c r="CL303" i="1"/>
  <c r="CH303" i="1"/>
  <c r="CK303" i="1"/>
  <c r="CI303" i="1"/>
  <c r="CT303" i="1"/>
  <c r="CJ303" i="1"/>
  <c r="CS303" i="1"/>
  <c r="CR303" i="1"/>
  <c r="CQ303" i="1"/>
  <c r="CP303" i="1"/>
  <c r="CU303" i="1"/>
  <c r="CN303" i="1"/>
  <c r="CO303" i="1"/>
  <c r="CB333" i="1"/>
  <c r="CA333" i="1"/>
  <c r="BZ333" i="1"/>
  <c r="BY333" i="1"/>
  <c r="BX333" i="1"/>
  <c r="BW333" i="1"/>
  <c r="BV333" i="1"/>
  <c r="CE333" i="1"/>
  <c r="CD333" i="1"/>
  <c r="CC333" i="1"/>
  <c r="CJ335" i="1"/>
  <c r="CK335" i="1"/>
  <c r="CG335" i="1"/>
  <c r="CI335" i="1"/>
  <c r="CL335" i="1"/>
  <c r="CH335" i="1"/>
  <c r="CF335" i="1"/>
  <c r="CM335" i="1"/>
  <c r="CS335" i="1"/>
  <c r="CT335" i="1"/>
  <c r="CO335" i="1"/>
  <c r="CR335" i="1"/>
  <c r="CQ335" i="1"/>
  <c r="CN335" i="1"/>
  <c r="CP335" i="1"/>
  <c r="CU335" i="1"/>
  <c r="CB365" i="1"/>
  <c r="CA365" i="1"/>
  <c r="BZ365" i="1"/>
  <c r="BY365" i="1"/>
  <c r="BX365" i="1"/>
  <c r="BW365" i="1"/>
  <c r="BV365" i="1"/>
  <c r="CE365" i="1"/>
  <c r="CC365" i="1"/>
  <c r="CD365" i="1"/>
  <c r="CM367" i="1"/>
  <c r="CH367" i="1"/>
  <c r="CF367" i="1"/>
  <c r="CG367" i="1"/>
  <c r="CL367" i="1"/>
  <c r="CJ367" i="1"/>
  <c r="CK367" i="1"/>
  <c r="CI367" i="1"/>
  <c r="CP367" i="1"/>
  <c r="CT367" i="1"/>
  <c r="CU367" i="1"/>
  <c r="CN367" i="1"/>
  <c r="CQ367" i="1"/>
  <c r="CR367" i="1"/>
  <c r="CO367" i="1"/>
  <c r="CS367" i="1"/>
  <c r="CB397" i="1"/>
  <c r="CA397" i="1"/>
  <c r="BZ397" i="1"/>
  <c r="BY397" i="1"/>
  <c r="BW397" i="1"/>
  <c r="BV397" i="1"/>
  <c r="BX397" i="1"/>
  <c r="CC397" i="1"/>
  <c r="CE397" i="1"/>
  <c r="CD397" i="1"/>
  <c r="CK399" i="1"/>
  <c r="CI399" i="1"/>
  <c r="CL399" i="1"/>
  <c r="CJ399" i="1"/>
  <c r="CG399" i="1"/>
  <c r="CH399" i="1"/>
  <c r="CF399" i="1"/>
  <c r="CM399" i="1"/>
  <c r="CN399" i="1"/>
  <c r="CQ399" i="1"/>
  <c r="CR399" i="1"/>
  <c r="CS399" i="1"/>
  <c r="CO399" i="1"/>
  <c r="CT399" i="1"/>
  <c r="CU399" i="1"/>
  <c r="CP399" i="1"/>
  <c r="CB429" i="1"/>
  <c r="CA429" i="1"/>
  <c r="BZ429" i="1"/>
  <c r="BY429" i="1"/>
  <c r="BX429" i="1"/>
  <c r="BW429" i="1"/>
  <c r="BV429" i="1"/>
  <c r="CC429" i="1"/>
  <c r="CE429" i="1"/>
  <c r="CD429" i="1"/>
  <c r="CG431" i="1"/>
  <c r="CF431" i="1"/>
  <c r="CI431" i="1"/>
  <c r="CH431" i="1"/>
  <c r="CJ431" i="1"/>
  <c r="CM431" i="1"/>
  <c r="CK431" i="1"/>
  <c r="CL431" i="1"/>
  <c r="CP431" i="1"/>
  <c r="CO431" i="1"/>
  <c r="CS431" i="1"/>
  <c r="CT431" i="1"/>
  <c r="CR431" i="1"/>
  <c r="CU431" i="1"/>
  <c r="CN431" i="1"/>
  <c r="CQ431" i="1"/>
  <c r="BV461" i="1"/>
  <c r="CB461" i="1"/>
  <c r="CA461" i="1"/>
  <c r="BZ461" i="1"/>
  <c r="BY461" i="1"/>
  <c r="BX461" i="1"/>
  <c r="BW461" i="1"/>
  <c r="CD461" i="1"/>
  <c r="CC461" i="1"/>
  <c r="CE461" i="1"/>
  <c r="CG463" i="1"/>
  <c r="CF463" i="1"/>
  <c r="CJ463" i="1"/>
  <c r="CK463" i="1"/>
  <c r="CL463" i="1"/>
  <c r="CH463" i="1"/>
  <c r="CI463" i="1"/>
  <c r="CM463" i="1"/>
  <c r="CS463" i="1"/>
  <c r="CO463" i="1"/>
  <c r="CT463" i="1"/>
  <c r="CU463" i="1"/>
  <c r="CN463" i="1"/>
  <c r="CQ463" i="1"/>
  <c r="CR463" i="1"/>
  <c r="CP463" i="1"/>
  <c r="CB493" i="1"/>
  <c r="CA493" i="1"/>
  <c r="BZ493" i="1"/>
  <c r="BY493" i="1"/>
  <c r="BX493" i="1"/>
  <c r="BW493" i="1"/>
  <c r="BV493" i="1"/>
  <c r="CC493" i="1"/>
  <c r="CD493" i="1"/>
  <c r="CE493" i="1"/>
  <c r="CG495" i="1"/>
  <c r="CM495" i="1"/>
  <c r="CL495" i="1"/>
  <c r="CH495" i="1"/>
  <c r="CI495" i="1"/>
  <c r="CJ495" i="1"/>
  <c r="CF495" i="1"/>
  <c r="CP495" i="1"/>
  <c r="CK495" i="1"/>
  <c r="CN495" i="1"/>
  <c r="CQ495" i="1"/>
  <c r="CR495" i="1"/>
  <c r="CO495" i="1"/>
  <c r="CS495" i="1"/>
  <c r="CT495" i="1"/>
  <c r="CU495" i="1"/>
  <c r="BZ525" i="1"/>
  <c r="BY525" i="1"/>
  <c r="CB525" i="1"/>
  <c r="CA525" i="1"/>
  <c r="BX525" i="1"/>
  <c r="BW525" i="1"/>
  <c r="BV525" i="1"/>
  <c r="CD525" i="1"/>
  <c r="CE525" i="1"/>
  <c r="CC525" i="1"/>
  <c r="CG527" i="1"/>
  <c r="CJ527" i="1"/>
  <c r="CK527" i="1"/>
  <c r="CL527" i="1"/>
  <c r="CF527" i="1"/>
  <c r="CH527" i="1"/>
  <c r="CM527" i="1"/>
  <c r="CI527" i="1"/>
  <c r="CN527" i="1"/>
  <c r="CQ527" i="1"/>
  <c r="CR527" i="1"/>
  <c r="CS527" i="1"/>
  <c r="CO527" i="1"/>
  <c r="CT527" i="1"/>
  <c r="CU527" i="1"/>
  <c r="CP527" i="1"/>
  <c r="BW557" i="1"/>
  <c r="BV557" i="1"/>
  <c r="CB557" i="1"/>
  <c r="CA557" i="1"/>
  <c r="BZ557" i="1"/>
  <c r="BY557" i="1"/>
  <c r="BX557" i="1"/>
  <c r="CE557" i="1"/>
  <c r="CD557" i="1"/>
  <c r="CC557" i="1"/>
  <c r="CH559" i="1"/>
  <c r="CG559" i="1"/>
  <c r="CI559" i="1"/>
  <c r="CJ559" i="1"/>
  <c r="CF559" i="1"/>
  <c r="CK559" i="1"/>
  <c r="CL559" i="1"/>
  <c r="CM559" i="1"/>
  <c r="CP559" i="1"/>
  <c r="CN559" i="1"/>
  <c r="CQ559" i="1"/>
  <c r="CR559" i="1"/>
  <c r="CO559" i="1"/>
  <c r="CS559" i="1"/>
  <c r="CT559" i="1"/>
  <c r="CU559" i="1"/>
  <c r="CB589" i="1"/>
  <c r="CA589" i="1"/>
  <c r="BZ589" i="1"/>
  <c r="BY589" i="1"/>
  <c r="BX589" i="1"/>
  <c r="BW589" i="1"/>
  <c r="BV589" i="1"/>
  <c r="CC589" i="1"/>
  <c r="CE589" i="1"/>
  <c r="CD589" i="1"/>
  <c r="CG591" i="1"/>
  <c r="CF591" i="1"/>
  <c r="CI591" i="1"/>
  <c r="CH591" i="1"/>
  <c r="CJ591" i="1"/>
  <c r="CK591" i="1"/>
  <c r="CL591" i="1"/>
  <c r="CM591" i="1"/>
  <c r="CS591" i="1"/>
  <c r="CO591" i="1"/>
  <c r="CT591" i="1"/>
  <c r="CU591" i="1"/>
  <c r="CN591" i="1"/>
  <c r="CP591" i="1"/>
  <c r="CQ591" i="1"/>
  <c r="CR591" i="1"/>
  <c r="CB39" i="1"/>
  <c r="CA39" i="1"/>
  <c r="BZ39" i="1"/>
  <c r="BY39" i="1"/>
  <c r="BX39" i="1"/>
  <c r="BW39" i="1"/>
  <c r="BV39" i="1"/>
  <c r="CC39" i="1"/>
  <c r="CD39" i="1"/>
  <c r="CE39" i="1"/>
  <c r="CG34" i="1"/>
  <c r="CF34" i="1"/>
  <c r="CL34" i="1"/>
  <c r="CH34" i="1"/>
  <c r="CJ34" i="1"/>
  <c r="CK34" i="1"/>
  <c r="CO34" i="1"/>
  <c r="CU34" i="1"/>
  <c r="CN34" i="1"/>
  <c r="CM34" i="1"/>
  <c r="CI34" i="1"/>
  <c r="CS34" i="1"/>
  <c r="CT34" i="1"/>
  <c r="CP34" i="1"/>
  <c r="CR34" i="1"/>
  <c r="CQ34" i="1"/>
  <c r="CF32" i="1"/>
  <c r="CM32" i="1"/>
  <c r="CH32" i="1"/>
  <c r="CP32" i="1"/>
  <c r="CO32" i="1"/>
  <c r="CR32" i="1"/>
  <c r="CJ32" i="1"/>
  <c r="CN32" i="1"/>
  <c r="CT32" i="1"/>
  <c r="CI32" i="1"/>
  <c r="CL32" i="1"/>
  <c r="CQ32" i="1"/>
  <c r="CK32" i="1"/>
  <c r="CG32" i="1"/>
  <c r="CU32" i="1"/>
  <c r="CS32" i="1"/>
  <c r="CH15" i="1"/>
  <c r="CF15" i="1"/>
  <c r="CK15" i="1"/>
  <c r="CI15" i="1"/>
  <c r="CM15" i="1"/>
  <c r="CL15" i="1"/>
  <c r="CG15" i="1"/>
  <c r="CJ15" i="1"/>
  <c r="CQ15" i="1"/>
  <c r="CN15" i="1"/>
  <c r="CT15" i="1"/>
  <c r="CS15" i="1"/>
  <c r="CR15" i="1"/>
  <c r="CU15" i="1"/>
  <c r="CP15" i="1"/>
  <c r="CO15" i="1"/>
  <c r="CJ47" i="1"/>
  <c r="CH47" i="1"/>
  <c r="CF47" i="1"/>
  <c r="CK47" i="1"/>
  <c r="CI47" i="1"/>
  <c r="CM47" i="1"/>
  <c r="CL47" i="1"/>
  <c r="CG47" i="1"/>
  <c r="CT47" i="1"/>
  <c r="CR47" i="1"/>
  <c r="CQ47" i="1"/>
  <c r="CU47" i="1"/>
  <c r="CS47" i="1"/>
  <c r="CN47" i="1"/>
  <c r="CP47" i="1"/>
  <c r="CO47" i="1"/>
  <c r="CB77" i="1"/>
  <c r="CA77" i="1"/>
  <c r="BZ77" i="1"/>
  <c r="BY77" i="1"/>
  <c r="BX77" i="1"/>
  <c r="BW77" i="1"/>
  <c r="BV77" i="1"/>
  <c r="CD77" i="1"/>
  <c r="CC77" i="1"/>
  <c r="CE77" i="1"/>
  <c r="CB109" i="1"/>
  <c r="CA109" i="1"/>
  <c r="BZ109" i="1"/>
  <c r="BY109" i="1"/>
  <c r="BX109" i="1"/>
  <c r="BW109" i="1"/>
  <c r="BV109" i="1"/>
  <c r="CD109" i="1"/>
  <c r="CE109" i="1"/>
  <c r="CC109" i="1"/>
  <c r="CF111" i="1"/>
  <c r="CK111" i="1"/>
  <c r="CG111" i="1"/>
  <c r="CI111" i="1"/>
  <c r="CL111" i="1"/>
  <c r="CJ111" i="1"/>
  <c r="CM111" i="1"/>
  <c r="CH111" i="1"/>
  <c r="CR111" i="1"/>
  <c r="CQ111" i="1"/>
  <c r="CO111" i="1"/>
  <c r="CU111" i="1"/>
  <c r="CN111" i="1"/>
  <c r="CT111" i="1"/>
  <c r="CS111" i="1"/>
  <c r="CP111" i="1"/>
  <c r="CB141" i="1"/>
  <c r="CA141" i="1"/>
  <c r="BZ141" i="1"/>
  <c r="BY141" i="1"/>
  <c r="BX141" i="1"/>
  <c r="BW141" i="1"/>
  <c r="BV141" i="1"/>
  <c r="CD141" i="1"/>
  <c r="CE141" i="1"/>
  <c r="CC141" i="1"/>
  <c r="CB173" i="1"/>
  <c r="CA173" i="1"/>
  <c r="BZ173" i="1"/>
  <c r="BY173" i="1"/>
  <c r="BX173" i="1"/>
  <c r="BW173" i="1"/>
  <c r="BV173" i="1"/>
  <c r="CD173" i="1"/>
  <c r="CE173" i="1"/>
  <c r="CC173" i="1"/>
  <c r="BV28" i="1"/>
  <c r="CB28" i="1"/>
  <c r="CA28" i="1"/>
  <c r="BZ28" i="1"/>
  <c r="BY28" i="1"/>
  <c r="BX28" i="1"/>
  <c r="BW28" i="1"/>
  <c r="CD28" i="1"/>
  <c r="CE28" i="1"/>
  <c r="CC28" i="1"/>
  <c r="CG30" i="1"/>
  <c r="CJ30" i="1"/>
  <c r="CF30" i="1"/>
  <c r="CH30" i="1"/>
  <c r="CK30" i="1"/>
  <c r="CN30" i="1"/>
  <c r="CL30" i="1"/>
  <c r="CO30" i="1"/>
  <c r="CI30" i="1"/>
  <c r="CR30" i="1"/>
  <c r="CM30" i="1"/>
  <c r="CT30" i="1"/>
  <c r="CQ30" i="1"/>
  <c r="CP30" i="1"/>
  <c r="CU30" i="1"/>
  <c r="CS30" i="1"/>
  <c r="BV60" i="1"/>
  <c r="CB60" i="1"/>
  <c r="CA60" i="1"/>
  <c r="BZ60" i="1"/>
  <c r="BY60" i="1"/>
  <c r="BX60" i="1"/>
  <c r="BW60" i="1"/>
  <c r="CD60" i="1"/>
  <c r="CE60" i="1"/>
  <c r="CC60" i="1"/>
  <c r="CG62" i="1"/>
  <c r="CM62" i="1"/>
  <c r="CI62" i="1"/>
  <c r="CF62" i="1"/>
  <c r="CK62" i="1"/>
  <c r="CL62" i="1"/>
  <c r="CJ62" i="1"/>
  <c r="CH62" i="1"/>
  <c r="CN62" i="1"/>
  <c r="CQ62" i="1"/>
  <c r="CS62" i="1"/>
  <c r="CT62" i="1"/>
  <c r="CO62" i="1"/>
  <c r="CR62" i="1"/>
  <c r="CP62" i="1"/>
  <c r="CU62" i="1"/>
  <c r="BV92" i="1"/>
  <c r="CB92" i="1"/>
  <c r="CA92" i="1"/>
  <c r="BZ92" i="1"/>
  <c r="BY92" i="1"/>
  <c r="BX92" i="1"/>
  <c r="BW92" i="1"/>
  <c r="CE92" i="1"/>
  <c r="CC92" i="1"/>
  <c r="CD92" i="1"/>
  <c r="CJ94" i="1"/>
  <c r="CK94" i="1"/>
  <c r="CF94" i="1"/>
  <c r="CM94" i="1"/>
  <c r="CH94" i="1"/>
  <c r="CL94" i="1"/>
  <c r="CG94" i="1"/>
  <c r="CS94" i="1"/>
  <c r="CT94" i="1"/>
  <c r="CI94" i="1"/>
  <c r="CO94" i="1"/>
  <c r="CR94" i="1"/>
  <c r="CU94" i="1"/>
  <c r="CN94" i="1"/>
  <c r="CQ94" i="1"/>
  <c r="CP94" i="1"/>
  <c r="CB124" i="1"/>
  <c r="CA124" i="1"/>
  <c r="BZ124" i="1"/>
  <c r="BY124" i="1"/>
  <c r="BX124" i="1"/>
  <c r="BW124" i="1"/>
  <c r="BV124" i="1"/>
  <c r="CC124" i="1"/>
  <c r="CD124" i="1"/>
  <c r="CE124" i="1"/>
  <c r="CM126" i="1"/>
  <c r="CG126" i="1"/>
  <c r="CL126" i="1"/>
  <c r="CJ126" i="1"/>
  <c r="CI126" i="1"/>
  <c r="CK126" i="1"/>
  <c r="CF126" i="1"/>
  <c r="CH126" i="1"/>
  <c r="CP126" i="1"/>
  <c r="CQ126" i="1"/>
  <c r="CN126" i="1"/>
  <c r="CU126" i="1"/>
  <c r="CS126" i="1"/>
  <c r="CT126" i="1"/>
  <c r="CO126" i="1"/>
  <c r="CR126" i="1"/>
  <c r="CB156" i="1"/>
  <c r="CA156" i="1"/>
  <c r="BZ156" i="1"/>
  <c r="BY156" i="1"/>
  <c r="BX156" i="1"/>
  <c r="BW156" i="1"/>
  <c r="BV156" i="1"/>
  <c r="CC156" i="1"/>
  <c r="CD156" i="1"/>
  <c r="CE156" i="1"/>
  <c r="CK158" i="1"/>
  <c r="CI158" i="1"/>
  <c r="CH158" i="1"/>
  <c r="CL158" i="1"/>
  <c r="CJ158" i="1"/>
  <c r="CG158" i="1"/>
  <c r="CM158" i="1"/>
  <c r="CF158" i="1"/>
  <c r="CO158" i="1"/>
  <c r="CR158" i="1"/>
  <c r="CT158" i="1"/>
  <c r="CQ158" i="1"/>
  <c r="CP158" i="1"/>
  <c r="CN158" i="1"/>
  <c r="CU158" i="1"/>
  <c r="CS158" i="1"/>
  <c r="CB188" i="1"/>
  <c r="CA188" i="1"/>
  <c r="BZ188" i="1"/>
  <c r="BY188" i="1"/>
  <c r="BX188" i="1"/>
  <c r="BW188" i="1"/>
  <c r="BV188" i="1"/>
  <c r="CC188" i="1"/>
  <c r="CD188" i="1"/>
  <c r="CE188" i="1"/>
  <c r="CG190" i="1"/>
  <c r="CF190" i="1"/>
  <c r="CH190" i="1"/>
  <c r="CI190" i="1"/>
  <c r="CJ190" i="1"/>
  <c r="CM190" i="1"/>
  <c r="CN190" i="1"/>
  <c r="CK190" i="1"/>
  <c r="CP190" i="1"/>
  <c r="CQ190" i="1"/>
  <c r="CL190" i="1"/>
  <c r="CR190" i="1"/>
  <c r="CU190" i="1"/>
  <c r="CS190" i="1"/>
  <c r="CT190" i="1"/>
  <c r="CO190" i="1"/>
  <c r="CB220" i="1"/>
  <c r="CA220" i="1"/>
  <c r="BZ220" i="1"/>
  <c r="BY220" i="1"/>
  <c r="BX220" i="1"/>
  <c r="BW220" i="1"/>
  <c r="BV220" i="1"/>
  <c r="CC220" i="1"/>
  <c r="CD220" i="1"/>
  <c r="CE220" i="1"/>
  <c r="CI222" i="1"/>
  <c r="CH222" i="1"/>
  <c r="CK222" i="1"/>
  <c r="CM222" i="1"/>
  <c r="CF222" i="1"/>
  <c r="CL222" i="1"/>
  <c r="CG222" i="1"/>
  <c r="CS222" i="1"/>
  <c r="CT222" i="1"/>
  <c r="CJ222" i="1"/>
  <c r="CR222" i="1"/>
  <c r="CO222" i="1"/>
  <c r="CP222" i="1"/>
  <c r="CQ222" i="1"/>
  <c r="CN222" i="1"/>
  <c r="CU222" i="1"/>
  <c r="CB252" i="1"/>
  <c r="CA252" i="1"/>
  <c r="BZ252" i="1"/>
  <c r="BY252" i="1"/>
  <c r="BX252" i="1"/>
  <c r="BW252" i="1"/>
  <c r="BV252" i="1"/>
  <c r="CC252" i="1"/>
  <c r="CD252" i="1"/>
  <c r="CE252" i="1"/>
  <c r="CF254" i="1"/>
  <c r="CG254" i="1"/>
  <c r="CI254" i="1"/>
  <c r="CK254" i="1"/>
  <c r="CH254" i="1"/>
  <c r="CL254" i="1"/>
  <c r="CP254" i="1"/>
  <c r="CQ254" i="1"/>
  <c r="CM254" i="1"/>
  <c r="CJ254" i="1"/>
  <c r="CU254" i="1"/>
  <c r="CS254" i="1"/>
  <c r="CO254" i="1"/>
  <c r="CR254" i="1"/>
  <c r="CN254" i="1"/>
  <c r="CT254" i="1"/>
  <c r="CB284" i="1"/>
  <c r="CA284" i="1"/>
  <c r="BZ284" i="1"/>
  <c r="BY284" i="1"/>
  <c r="BX284" i="1"/>
  <c r="BW284" i="1"/>
  <c r="BV284" i="1"/>
  <c r="CC284" i="1"/>
  <c r="CD284" i="1"/>
  <c r="CE284" i="1"/>
  <c r="CM286" i="1"/>
  <c r="CJ286" i="1"/>
  <c r="CF286" i="1"/>
  <c r="CK286" i="1"/>
  <c r="CH286" i="1"/>
  <c r="CL286" i="1"/>
  <c r="CG286" i="1"/>
  <c r="CI286" i="1"/>
  <c r="CN286" i="1"/>
  <c r="CT286" i="1"/>
  <c r="CQ286" i="1"/>
  <c r="CS286" i="1"/>
  <c r="CO286" i="1"/>
  <c r="CU286" i="1"/>
  <c r="CP286" i="1"/>
  <c r="CR286" i="1"/>
  <c r="CB316" i="1"/>
  <c r="CA316" i="1"/>
  <c r="BZ316" i="1"/>
  <c r="BY316" i="1"/>
  <c r="BX316" i="1"/>
  <c r="BW316" i="1"/>
  <c r="BV316" i="1"/>
  <c r="CE316" i="1"/>
  <c r="CC316" i="1"/>
  <c r="CD316" i="1"/>
  <c r="CG318" i="1"/>
  <c r="CF318" i="1"/>
  <c r="CJ318" i="1"/>
  <c r="CH318" i="1"/>
  <c r="CN318" i="1"/>
  <c r="CI318" i="1"/>
  <c r="CK318" i="1"/>
  <c r="CL318" i="1"/>
  <c r="CM318" i="1"/>
  <c r="CR318" i="1"/>
  <c r="CO318" i="1"/>
  <c r="CS318" i="1"/>
  <c r="CP318" i="1"/>
  <c r="CT318" i="1"/>
  <c r="CU318" i="1"/>
  <c r="CQ318" i="1"/>
  <c r="BW348" i="1"/>
  <c r="BV348" i="1"/>
  <c r="CB348" i="1"/>
  <c r="CA348" i="1"/>
  <c r="BZ348" i="1"/>
  <c r="BX348" i="1"/>
  <c r="BY348" i="1"/>
  <c r="CD348" i="1"/>
  <c r="CE348" i="1"/>
  <c r="CC348" i="1"/>
  <c r="CG350" i="1"/>
  <c r="CL350" i="1"/>
  <c r="CM350" i="1"/>
  <c r="CF350" i="1"/>
  <c r="CH350" i="1"/>
  <c r="CJ350" i="1"/>
  <c r="CO350" i="1"/>
  <c r="CI350" i="1"/>
  <c r="CK350" i="1"/>
  <c r="CU350" i="1"/>
  <c r="CP350" i="1"/>
  <c r="CN350" i="1"/>
  <c r="CT350" i="1"/>
  <c r="CQ350" i="1"/>
  <c r="CR350" i="1"/>
  <c r="CS350" i="1"/>
  <c r="CB380" i="1"/>
  <c r="BX380" i="1"/>
  <c r="BW380" i="1"/>
  <c r="BV380" i="1"/>
  <c r="CA380" i="1"/>
  <c r="BY380" i="1"/>
  <c r="BZ380" i="1"/>
  <c r="CD380" i="1"/>
  <c r="CE380" i="1"/>
  <c r="CC380" i="1"/>
  <c r="CH382" i="1"/>
  <c r="CF382" i="1"/>
  <c r="CJ382" i="1"/>
  <c r="CI382" i="1"/>
  <c r="CG382" i="1"/>
  <c r="CL382" i="1"/>
  <c r="CM382" i="1"/>
  <c r="CK382" i="1"/>
  <c r="CS382" i="1"/>
  <c r="CO382" i="1"/>
  <c r="CR382" i="1"/>
  <c r="CQ382" i="1"/>
  <c r="CT382" i="1"/>
  <c r="CN382" i="1"/>
  <c r="CP382" i="1"/>
  <c r="CU382" i="1"/>
  <c r="CB412" i="1"/>
  <c r="CA412" i="1"/>
  <c r="BZ412" i="1"/>
  <c r="BY412" i="1"/>
  <c r="BX412" i="1"/>
  <c r="BW412" i="1"/>
  <c r="BV412" i="1"/>
  <c r="CD412" i="1"/>
  <c r="CC412" i="1"/>
  <c r="CE412" i="1"/>
  <c r="CH414" i="1"/>
  <c r="CM414" i="1"/>
  <c r="CI414" i="1"/>
  <c r="CK414" i="1"/>
  <c r="CO414" i="1"/>
  <c r="CP414" i="1"/>
  <c r="CF414" i="1"/>
  <c r="CG414" i="1"/>
  <c r="CJ414" i="1"/>
  <c r="CL414" i="1"/>
  <c r="CT414" i="1"/>
  <c r="CQ414" i="1"/>
  <c r="CU414" i="1"/>
  <c r="CS414" i="1"/>
  <c r="CR414" i="1"/>
  <c r="CN414" i="1"/>
  <c r="BW444" i="1"/>
  <c r="BV444" i="1"/>
  <c r="CB444" i="1"/>
  <c r="CA444" i="1"/>
  <c r="BZ444" i="1"/>
  <c r="BY444" i="1"/>
  <c r="BX444" i="1"/>
  <c r="CD444" i="1"/>
  <c r="CC444" i="1"/>
  <c r="CE444" i="1"/>
  <c r="CJ446" i="1"/>
  <c r="CL446" i="1"/>
  <c r="CH446" i="1"/>
  <c r="CI446" i="1"/>
  <c r="CK446" i="1"/>
  <c r="CF446" i="1"/>
  <c r="CM446" i="1"/>
  <c r="CG446" i="1"/>
  <c r="CR446" i="1"/>
  <c r="CN446" i="1"/>
  <c r="CS446" i="1"/>
  <c r="CP446" i="1"/>
  <c r="CU446" i="1"/>
  <c r="CQ446" i="1"/>
  <c r="CT446" i="1"/>
  <c r="CO446" i="1"/>
  <c r="CA476" i="1"/>
  <c r="BZ476" i="1"/>
  <c r="BY476" i="1"/>
  <c r="BX476" i="1"/>
  <c r="BW476" i="1"/>
  <c r="BV476" i="1"/>
  <c r="CB476" i="1"/>
  <c r="CC476" i="1"/>
  <c r="CE476" i="1"/>
  <c r="CD476" i="1"/>
  <c r="CI478" i="1"/>
  <c r="CK478" i="1"/>
  <c r="CG478" i="1"/>
  <c r="CH478" i="1"/>
  <c r="CL478" i="1"/>
  <c r="CF478" i="1"/>
  <c r="CM478" i="1"/>
  <c r="CJ478" i="1"/>
  <c r="CU478" i="1"/>
  <c r="CP478" i="1"/>
  <c r="CT478" i="1"/>
  <c r="CQ478" i="1"/>
  <c r="CO478" i="1"/>
  <c r="CR478" i="1"/>
  <c r="CN478" i="1"/>
  <c r="CS478" i="1"/>
  <c r="BY508" i="1"/>
  <c r="BX508" i="1"/>
  <c r="CA508" i="1"/>
  <c r="BZ508" i="1"/>
  <c r="BW508" i="1"/>
  <c r="BV508" i="1"/>
  <c r="CB508" i="1"/>
  <c r="CE508" i="1"/>
  <c r="CC508" i="1"/>
  <c r="CD508" i="1"/>
  <c r="CJ510" i="1"/>
  <c r="CF510" i="1"/>
  <c r="CG510" i="1"/>
  <c r="CL510" i="1"/>
  <c r="CH510" i="1"/>
  <c r="CI510" i="1"/>
  <c r="CK510" i="1"/>
  <c r="CM510" i="1"/>
  <c r="CS510" i="1"/>
  <c r="CO510" i="1"/>
  <c r="CR510" i="1"/>
  <c r="CN510" i="1"/>
  <c r="CT510" i="1"/>
  <c r="CP510" i="1"/>
  <c r="CU510" i="1"/>
  <c r="CQ510" i="1"/>
  <c r="BY540" i="1"/>
  <c r="BX540" i="1"/>
  <c r="CB540" i="1"/>
  <c r="CA540" i="1"/>
  <c r="BZ540" i="1"/>
  <c r="BW540" i="1"/>
  <c r="BV540" i="1"/>
  <c r="CE540" i="1"/>
  <c r="CD540" i="1"/>
  <c r="CC540" i="1"/>
  <c r="CH542" i="1"/>
  <c r="CM542" i="1"/>
  <c r="CF542" i="1"/>
  <c r="CI542" i="1"/>
  <c r="CK542" i="1"/>
  <c r="CO542" i="1"/>
  <c r="CG542" i="1"/>
  <c r="CT542" i="1"/>
  <c r="CQ542" i="1"/>
  <c r="CL542" i="1"/>
  <c r="CU542" i="1"/>
  <c r="CP542" i="1"/>
  <c r="CJ542" i="1"/>
  <c r="CN542" i="1"/>
  <c r="CR542" i="1"/>
  <c r="CS542" i="1"/>
  <c r="BY572" i="1"/>
  <c r="BX572" i="1"/>
  <c r="CB572" i="1"/>
  <c r="CA572" i="1"/>
  <c r="BZ572" i="1"/>
  <c r="BW572" i="1"/>
  <c r="BV572" i="1"/>
  <c r="CD572" i="1"/>
  <c r="CC572" i="1"/>
  <c r="CE572" i="1"/>
  <c r="CK574" i="1"/>
  <c r="CL574" i="1"/>
  <c r="CG574" i="1"/>
  <c r="CM574" i="1"/>
  <c r="CH574" i="1"/>
  <c r="CF574" i="1"/>
  <c r="CR574" i="1"/>
  <c r="CN574" i="1"/>
  <c r="CI574" i="1"/>
  <c r="CS574" i="1"/>
  <c r="CJ574" i="1"/>
  <c r="CQ574" i="1"/>
  <c r="CT574" i="1"/>
  <c r="CO574" i="1"/>
  <c r="CP574" i="1"/>
  <c r="CU574" i="1"/>
  <c r="BY604" i="1"/>
  <c r="BX604" i="1"/>
  <c r="CB604" i="1"/>
  <c r="CA604" i="1"/>
  <c r="BZ604" i="1"/>
  <c r="BW604" i="1"/>
  <c r="BV604" i="1"/>
  <c r="CD604" i="1"/>
  <c r="CC604" i="1"/>
  <c r="CE604" i="1"/>
  <c r="CB17" i="1"/>
  <c r="BX17" i="1"/>
  <c r="BW17" i="1"/>
  <c r="BV17" i="1"/>
  <c r="BZ17" i="1"/>
  <c r="CA17" i="1"/>
  <c r="BY17" i="1"/>
  <c r="CE17" i="1"/>
  <c r="CC17" i="1"/>
  <c r="CD17" i="1"/>
  <c r="CB11" i="1"/>
  <c r="CA11" i="1"/>
  <c r="BZ11" i="1"/>
  <c r="BY11" i="1"/>
  <c r="BX11" i="1"/>
  <c r="BW11" i="1"/>
  <c r="BV11" i="1"/>
  <c r="CC11" i="1"/>
  <c r="CD11" i="1"/>
  <c r="CE11" i="1"/>
  <c r="CB43" i="1"/>
  <c r="BX43" i="1"/>
  <c r="BW43" i="1"/>
  <c r="BV43" i="1"/>
  <c r="CA43" i="1"/>
  <c r="BZ43" i="1"/>
  <c r="BY43" i="1"/>
  <c r="CC43" i="1"/>
  <c r="CD43" i="1"/>
  <c r="CE43" i="1"/>
  <c r="CB139" i="1"/>
  <c r="CA139" i="1"/>
  <c r="BV139" i="1"/>
  <c r="BZ139" i="1"/>
  <c r="BY139" i="1"/>
  <c r="BX139" i="1"/>
  <c r="BW139" i="1"/>
  <c r="CE139" i="1"/>
  <c r="CD139" i="1"/>
  <c r="CC139" i="1"/>
  <c r="CK141" i="1"/>
  <c r="CP141" i="1"/>
  <c r="CH141" i="1"/>
  <c r="CI141" i="1"/>
  <c r="CJ141" i="1"/>
  <c r="CF141" i="1"/>
  <c r="CL141" i="1"/>
  <c r="CM141" i="1"/>
  <c r="CS141" i="1"/>
  <c r="CU141" i="1"/>
  <c r="CG141" i="1"/>
  <c r="CQ141" i="1"/>
  <c r="CR141" i="1"/>
  <c r="CT141" i="1"/>
  <c r="CN141" i="1"/>
  <c r="CO141" i="1"/>
  <c r="CB171" i="1"/>
  <c r="CA171" i="1"/>
  <c r="BX171" i="1"/>
  <c r="BW171" i="1"/>
  <c r="BV171" i="1"/>
  <c r="BZ171" i="1"/>
  <c r="BY171" i="1"/>
  <c r="CE171" i="1"/>
  <c r="CD171" i="1"/>
  <c r="CC171" i="1"/>
  <c r="CF173" i="1"/>
  <c r="CP173" i="1"/>
  <c r="CH173" i="1"/>
  <c r="CL173" i="1"/>
  <c r="CG173" i="1"/>
  <c r="CQ173" i="1"/>
  <c r="CM173" i="1"/>
  <c r="CJ173" i="1"/>
  <c r="CI173" i="1"/>
  <c r="CK173" i="1"/>
  <c r="CO173" i="1"/>
  <c r="CU173" i="1"/>
  <c r="CR173" i="1"/>
  <c r="CS173" i="1"/>
  <c r="CT173" i="1"/>
  <c r="CN173" i="1"/>
  <c r="CB203" i="1"/>
  <c r="CA203" i="1"/>
  <c r="BZ203" i="1"/>
  <c r="BY203" i="1"/>
  <c r="BX203" i="1"/>
  <c r="BW203" i="1"/>
  <c r="BV203" i="1"/>
  <c r="CD203" i="1"/>
  <c r="CE203" i="1"/>
  <c r="CC203" i="1"/>
  <c r="CL205" i="1"/>
  <c r="CP205" i="1"/>
  <c r="CK205" i="1"/>
  <c r="CH205" i="1"/>
  <c r="CI205" i="1"/>
  <c r="CF205" i="1"/>
  <c r="CG205" i="1"/>
  <c r="CR205" i="1"/>
  <c r="CM205" i="1"/>
  <c r="CS205" i="1"/>
  <c r="CJ205" i="1"/>
  <c r="CO205" i="1"/>
  <c r="CN205" i="1"/>
  <c r="CQ205" i="1"/>
  <c r="CU205" i="1"/>
  <c r="CT205" i="1"/>
  <c r="CB235" i="1"/>
  <c r="CA235" i="1"/>
  <c r="BZ235" i="1"/>
  <c r="BY235" i="1"/>
  <c r="BX235" i="1"/>
  <c r="BW235" i="1"/>
  <c r="BV235" i="1"/>
  <c r="CC235" i="1"/>
  <c r="CD235" i="1"/>
  <c r="CE235" i="1"/>
  <c r="CP237" i="1"/>
  <c r="CJ237" i="1"/>
  <c r="CM237" i="1"/>
  <c r="CG237" i="1"/>
  <c r="CL237" i="1"/>
  <c r="CK237" i="1"/>
  <c r="CR237" i="1"/>
  <c r="CF237" i="1"/>
  <c r="CH237" i="1"/>
  <c r="CT237" i="1"/>
  <c r="CI237" i="1"/>
  <c r="CO237" i="1"/>
  <c r="CQ237" i="1"/>
  <c r="CU237" i="1"/>
  <c r="CN237" i="1"/>
  <c r="CS237" i="1"/>
  <c r="CB267" i="1"/>
  <c r="CA267" i="1"/>
  <c r="BZ267" i="1"/>
  <c r="BY267" i="1"/>
  <c r="BX267" i="1"/>
  <c r="BW267" i="1"/>
  <c r="BV267" i="1"/>
  <c r="CE267" i="1"/>
  <c r="CD267" i="1"/>
  <c r="CC267" i="1"/>
  <c r="CP269" i="1"/>
  <c r="CM269" i="1"/>
  <c r="CI269" i="1"/>
  <c r="CJ269" i="1"/>
  <c r="CS269" i="1"/>
  <c r="CK269" i="1"/>
  <c r="CL269" i="1"/>
  <c r="CU269" i="1"/>
  <c r="CF269" i="1"/>
  <c r="CG269" i="1"/>
  <c r="CO269" i="1"/>
  <c r="CT269" i="1"/>
  <c r="CH269" i="1"/>
  <c r="CQ269" i="1"/>
  <c r="CR269" i="1"/>
  <c r="CN269" i="1"/>
  <c r="CA299" i="1"/>
  <c r="BZ299" i="1"/>
  <c r="CB299" i="1"/>
  <c r="BY299" i="1"/>
  <c r="BX299" i="1"/>
  <c r="BW299" i="1"/>
  <c r="BV299" i="1"/>
  <c r="CE299" i="1"/>
  <c r="CD299" i="1"/>
  <c r="CC299" i="1"/>
  <c r="CJ301" i="1"/>
  <c r="CP301" i="1"/>
  <c r="CF301" i="1"/>
  <c r="CM301" i="1"/>
  <c r="CL301" i="1"/>
  <c r="CK301" i="1"/>
  <c r="CH301" i="1"/>
  <c r="CG301" i="1"/>
  <c r="CQ301" i="1"/>
  <c r="CR301" i="1"/>
  <c r="CT301" i="1"/>
  <c r="CI301" i="1"/>
  <c r="CN301" i="1"/>
  <c r="CS301" i="1"/>
  <c r="CO301" i="1"/>
  <c r="CU301" i="1"/>
  <c r="BW331" i="1"/>
  <c r="BV331" i="1"/>
  <c r="CB331" i="1"/>
  <c r="CA331" i="1"/>
  <c r="BZ331" i="1"/>
  <c r="BY331" i="1"/>
  <c r="BX331" i="1"/>
  <c r="CE331" i="1"/>
  <c r="CD331" i="1"/>
  <c r="CC331" i="1"/>
  <c r="CM333" i="1"/>
  <c r="CL333" i="1"/>
  <c r="CP333" i="1"/>
  <c r="CG333" i="1"/>
  <c r="CO333" i="1"/>
  <c r="CH333" i="1"/>
  <c r="CJ333" i="1"/>
  <c r="CK333" i="1"/>
  <c r="CI333" i="1"/>
  <c r="CF333" i="1"/>
  <c r="CR333" i="1"/>
  <c r="CS333" i="1"/>
  <c r="CT333" i="1"/>
  <c r="CQ333" i="1"/>
  <c r="CU333" i="1"/>
  <c r="CN333" i="1"/>
  <c r="BW363" i="1"/>
  <c r="BV363" i="1"/>
  <c r="CB363" i="1"/>
  <c r="CA363" i="1"/>
  <c r="BZ363" i="1"/>
  <c r="BY363" i="1"/>
  <c r="BX363" i="1"/>
  <c r="CC363" i="1"/>
  <c r="CD363" i="1"/>
  <c r="CE363" i="1"/>
  <c r="CP365" i="1"/>
  <c r="CL365" i="1"/>
  <c r="CH365" i="1"/>
  <c r="CG365" i="1"/>
  <c r="CK365" i="1"/>
  <c r="CJ365" i="1"/>
  <c r="CR365" i="1"/>
  <c r="CQ365" i="1"/>
  <c r="CM365" i="1"/>
  <c r="CI365" i="1"/>
  <c r="CN365" i="1"/>
  <c r="CU365" i="1"/>
  <c r="CO365" i="1"/>
  <c r="CS365" i="1"/>
  <c r="CF365" i="1"/>
  <c r="CT365" i="1"/>
  <c r="BW395" i="1"/>
  <c r="BV395" i="1"/>
  <c r="BX395" i="1"/>
  <c r="CB395" i="1"/>
  <c r="CA395" i="1"/>
  <c r="BY395" i="1"/>
  <c r="BZ395" i="1"/>
  <c r="CC395" i="1"/>
  <c r="CD395" i="1"/>
  <c r="CE395" i="1"/>
  <c r="CP397" i="1"/>
  <c r="CG397" i="1"/>
  <c r="CI397" i="1"/>
  <c r="CF397" i="1"/>
  <c r="CH397" i="1"/>
  <c r="CK397" i="1"/>
  <c r="CJ397" i="1"/>
  <c r="CT397" i="1"/>
  <c r="CS397" i="1"/>
  <c r="CR397" i="1"/>
  <c r="CL397" i="1"/>
  <c r="CM397" i="1"/>
  <c r="CQ397" i="1"/>
  <c r="CO397" i="1"/>
  <c r="CN397" i="1"/>
  <c r="CU397" i="1"/>
  <c r="CB427" i="1"/>
  <c r="CA427" i="1"/>
  <c r="BZ427" i="1"/>
  <c r="BW427" i="1"/>
  <c r="BV427" i="1"/>
  <c r="BY427" i="1"/>
  <c r="BX427" i="1"/>
  <c r="CC427" i="1"/>
  <c r="CD427" i="1"/>
  <c r="CE427" i="1"/>
  <c r="CP429" i="1"/>
  <c r="CK429" i="1"/>
  <c r="CM429" i="1"/>
  <c r="CJ429" i="1"/>
  <c r="CO429" i="1"/>
  <c r="CQ429" i="1"/>
  <c r="CT429" i="1"/>
  <c r="CI429" i="1"/>
  <c r="CF429" i="1"/>
  <c r="CG429" i="1"/>
  <c r="CL429" i="1"/>
  <c r="CH429" i="1"/>
  <c r="CU429" i="1"/>
  <c r="CN429" i="1"/>
  <c r="CS429" i="1"/>
  <c r="CR429" i="1"/>
  <c r="CA459" i="1"/>
  <c r="BZ459" i="1"/>
  <c r="BY459" i="1"/>
  <c r="BX459" i="1"/>
  <c r="BW459" i="1"/>
  <c r="BV459" i="1"/>
  <c r="CB459" i="1"/>
  <c r="CD459" i="1"/>
  <c r="CC459" i="1"/>
  <c r="CE459" i="1"/>
  <c r="CP461" i="1"/>
  <c r="CG461" i="1"/>
  <c r="CJ461" i="1"/>
  <c r="CF461" i="1"/>
  <c r="CI461" i="1"/>
  <c r="CM461" i="1"/>
  <c r="CH461" i="1"/>
  <c r="CT461" i="1"/>
  <c r="CK461" i="1"/>
  <c r="CL461" i="1"/>
  <c r="CS461" i="1"/>
  <c r="CR461" i="1"/>
  <c r="CQ461" i="1"/>
  <c r="CO461" i="1"/>
  <c r="CU461" i="1"/>
  <c r="CN461" i="1"/>
  <c r="CB491" i="1"/>
  <c r="CA491" i="1"/>
  <c r="BZ491" i="1"/>
  <c r="BY491" i="1"/>
  <c r="BX491" i="1"/>
  <c r="BW491" i="1"/>
  <c r="BV491" i="1"/>
  <c r="CE491" i="1"/>
  <c r="CD491" i="1"/>
  <c r="CC491" i="1"/>
  <c r="CP493" i="1"/>
  <c r="CJ493" i="1"/>
  <c r="CL493" i="1"/>
  <c r="CH493" i="1"/>
  <c r="CK493" i="1"/>
  <c r="CF493" i="1"/>
  <c r="CQ493" i="1"/>
  <c r="CO493" i="1"/>
  <c r="CG493" i="1"/>
  <c r="CI493" i="1"/>
  <c r="CU493" i="1"/>
  <c r="CN493" i="1"/>
  <c r="CM493" i="1"/>
  <c r="CR493" i="1"/>
  <c r="CS493" i="1"/>
  <c r="CT493" i="1"/>
  <c r="BX523" i="1"/>
  <c r="BW523" i="1"/>
  <c r="BV523" i="1"/>
  <c r="CB523" i="1"/>
  <c r="CA523" i="1"/>
  <c r="BZ523" i="1"/>
  <c r="BY523" i="1"/>
  <c r="CC523" i="1"/>
  <c r="CD523" i="1"/>
  <c r="CE523" i="1"/>
  <c r="CP525" i="1"/>
  <c r="CF525" i="1"/>
  <c r="CL525" i="1"/>
  <c r="CM525" i="1"/>
  <c r="CH525" i="1"/>
  <c r="CJ525" i="1"/>
  <c r="CS525" i="1"/>
  <c r="CR525" i="1"/>
  <c r="CQ525" i="1"/>
  <c r="CG525" i="1"/>
  <c r="CO525" i="1"/>
  <c r="CK525" i="1"/>
  <c r="CI525" i="1"/>
  <c r="CN525" i="1"/>
  <c r="CT525" i="1"/>
  <c r="CU525" i="1"/>
  <c r="BV555" i="1"/>
  <c r="CB555" i="1"/>
  <c r="BW555" i="1"/>
  <c r="CA555" i="1"/>
  <c r="BZ555" i="1"/>
  <c r="BY555" i="1"/>
  <c r="BX555" i="1"/>
  <c r="CC555" i="1"/>
  <c r="CD555" i="1"/>
  <c r="CE555" i="1"/>
  <c r="CP557" i="1"/>
  <c r="CK557" i="1"/>
  <c r="CO557" i="1"/>
  <c r="CQ557" i="1"/>
  <c r="CM557" i="1"/>
  <c r="CT557" i="1"/>
  <c r="CI557" i="1"/>
  <c r="CH557" i="1"/>
  <c r="CJ557" i="1"/>
  <c r="CU557" i="1"/>
  <c r="CN557" i="1"/>
  <c r="CF557" i="1"/>
  <c r="CR557" i="1"/>
  <c r="CG557" i="1"/>
  <c r="CL557" i="1"/>
  <c r="CS557" i="1"/>
  <c r="BV587" i="1"/>
  <c r="CB587" i="1"/>
  <c r="CA587" i="1"/>
  <c r="BZ587" i="1"/>
  <c r="BY587" i="1"/>
  <c r="BX587" i="1"/>
  <c r="BW587" i="1"/>
  <c r="CC587" i="1"/>
  <c r="CE587" i="1"/>
  <c r="CD587" i="1"/>
  <c r="CP589" i="1"/>
  <c r="CL589" i="1"/>
  <c r="CH589" i="1"/>
  <c r="CM589" i="1"/>
  <c r="CI589" i="1"/>
  <c r="CF589" i="1"/>
  <c r="CJ589" i="1"/>
  <c r="CS589" i="1"/>
  <c r="CR589" i="1"/>
  <c r="CQ589" i="1"/>
  <c r="CK589" i="1"/>
  <c r="CG589" i="1"/>
  <c r="CO589" i="1"/>
  <c r="CN589" i="1"/>
  <c r="CT589" i="1"/>
  <c r="CU589" i="1"/>
  <c r="CH124" i="1"/>
  <c r="CG124" i="1"/>
  <c r="CI124" i="1"/>
  <c r="CJ124" i="1"/>
  <c r="CF124" i="1"/>
  <c r="CL124" i="1"/>
  <c r="CK124" i="1"/>
  <c r="CP124" i="1"/>
  <c r="CO124" i="1"/>
  <c r="CN124" i="1"/>
  <c r="CS124" i="1"/>
  <c r="CU124" i="1"/>
  <c r="CM124" i="1"/>
  <c r="CR124" i="1"/>
  <c r="CQ124" i="1"/>
  <c r="CT124" i="1"/>
  <c r="BX218" i="1"/>
  <c r="BW218" i="1"/>
  <c r="BV218" i="1"/>
  <c r="CB218" i="1"/>
  <c r="CA218" i="1"/>
  <c r="BZ218" i="1"/>
  <c r="BY218" i="1"/>
  <c r="CC218" i="1"/>
  <c r="CE218" i="1"/>
  <c r="CD218" i="1"/>
  <c r="BX250" i="1"/>
  <c r="BW250" i="1"/>
  <c r="BV250" i="1"/>
  <c r="CB250" i="1"/>
  <c r="CA250" i="1"/>
  <c r="BZ250" i="1"/>
  <c r="BY250" i="1"/>
  <c r="CC250" i="1"/>
  <c r="CE250" i="1"/>
  <c r="CD250" i="1"/>
  <c r="CI252" i="1"/>
  <c r="CH252" i="1"/>
  <c r="CG252" i="1"/>
  <c r="CF252" i="1"/>
  <c r="CJ252" i="1"/>
  <c r="CM252" i="1"/>
  <c r="CR252" i="1"/>
  <c r="CO252" i="1"/>
  <c r="CN252" i="1"/>
  <c r="CL252" i="1"/>
  <c r="CK252" i="1"/>
  <c r="CU252" i="1"/>
  <c r="CT252" i="1"/>
  <c r="CP252" i="1"/>
  <c r="CS252" i="1"/>
  <c r="CQ252" i="1"/>
  <c r="BX282" i="1"/>
  <c r="BW282" i="1"/>
  <c r="BV282" i="1"/>
  <c r="CB282" i="1"/>
  <c r="CA282" i="1"/>
  <c r="BZ282" i="1"/>
  <c r="BY282" i="1"/>
  <c r="CC282" i="1"/>
  <c r="CE282" i="1"/>
  <c r="CD282" i="1"/>
  <c r="CH284" i="1"/>
  <c r="CG284" i="1"/>
  <c r="CF284" i="1"/>
  <c r="CI284" i="1"/>
  <c r="CP284" i="1"/>
  <c r="CL284" i="1"/>
  <c r="CJ284" i="1"/>
  <c r="CM284" i="1"/>
  <c r="CT284" i="1"/>
  <c r="CU284" i="1"/>
  <c r="CO284" i="1"/>
  <c r="CN284" i="1"/>
  <c r="CS284" i="1"/>
  <c r="CK284" i="1"/>
  <c r="CQ284" i="1"/>
  <c r="CR284" i="1"/>
  <c r="BX314" i="1"/>
  <c r="BW314" i="1"/>
  <c r="BV314" i="1"/>
  <c r="CB314" i="1"/>
  <c r="CA314" i="1"/>
  <c r="BZ314" i="1"/>
  <c r="BY314" i="1"/>
  <c r="CE314" i="1"/>
  <c r="CC314" i="1"/>
  <c r="CD314" i="1"/>
  <c r="CJ316" i="1"/>
  <c r="CG316" i="1"/>
  <c r="CF316" i="1"/>
  <c r="CH316" i="1"/>
  <c r="CO316" i="1"/>
  <c r="CI316" i="1"/>
  <c r="CK316" i="1"/>
  <c r="CM316" i="1"/>
  <c r="CP316" i="1"/>
  <c r="CL316" i="1"/>
  <c r="CR316" i="1"/>
  <c r="CN316" i="1"/>
  <c r="CQ316" i="1"/>
  <c r="CU316" i="1"/>
  <c r="CT316" i="1"/>
  <c r="CS316" i="1"/>
  <c r="CB346" i="1"/>
  <c r="CA346" i="1"/>
  <c r="BZ346" i="1"/>
  <c r="BY346" i="1"/>
  <c r="BX346" i="1"/>
  <c r="BW346" i="1"/>
  <c r="BV346" i="1"/>
  <c r="CD346" i="1"/>
  <c r="CE346" i="1"/>
  <c r="CC346" i="1"/>
  <c r="CG348" i="1"/>
  <c r="CJ348" i="1"/>
  <c r="CL348" i="1"/>
  <c r="CK348" i="1"/>
  <c r="CM348" i="1"/>
  <c r="CH348" i="1"/>
  <c r="CI348" i="1"/>
  <c r="CF348" i="1"/>
  <c r="CS348" i="1"/>
  <c r="CQ348" i="1"/>
  <c r="CT348" i="1"/>
  <c r="CU348" i="1"/>
  <c r="CR348" i="1"/>
  <c r="CN348" i="1"/>
  <c r="CO348" i="1"/>
  <c r="CP348" i="1"/>
  <c r="BX378" i="1"/>
  <c r="CB378" i="1"/>
  <c r="CA378" i="1"/>
  <c r="BZ378" i="1"/>
  <c r="BY378" i="1"/>
  <c r="BW378" i="1"/>
  <c r="BV378" i="1"/>
  <c r="CD378" i="1"/>
  <c r="CE378" i="1"/>
  <c r="CC378" i="1"/>
  <c r="CL380" i="1"/>
  <c r="CF380" i="1"/>
  <c r="CM380" i="1"/>
  <c r="CR380" i="1"/>
  <c r="CK380" i="1"/>
  <c r="CG380" i="1"/>
  <c r="CH380" i="1"/>
  <c r="CI380" i="1"/>
  <c r="CN380" i="1"/>
  <c r="CO380" i="1"/>
  <c r="CP380" i="1"/>
  <c r="CJ380" i="1"/>
  <c r="CT380" i="1"/>
  <c r="CS380" i="1"/>
  <c r="CQ380" i="1"/>
  <c r="CU380" i="1"/>
  <c r="CB410" i="1"/>
  <c r="CA410" i="1"/>
  <c r="BZ410" i="1"/>
  <c r="BY410" i="1"/>
  <c r="BX410" i="1"/>
  <c r="BW410" i="1"/>
  <c r="BV410" i="1"/>
  <c r="CD410" i="1"/>
  <c r="CE410" i="1"/>
  <c r="CC410" i="1"/>
  <c r="CH412" i="1"/>
  <c r="CJ412" i="1"/>
  <c r="CG412" i="1"/>
  <c r="CI412" i="1"/>
  <c r="CL412" i="1"/>
  <c r="CT412" i="1"/>
  <c r="CU412" i="1"/>
  <c r="CM412" i="1"/>
  <c r="CF412" i="1"/>
  <c r="CS412" i="1"/>
  <c r="CK412" i="1"/>
  <c r="CN412" i="1"/>
  <c r="CR412" i="1"/>
  <c r="CO412" i="1"/>
  <c r="CQ412" i="1"/>
  <c r="CP412" i="1"/>
  <c r="CB442" i="1"/>
  <c r="CA442" i="1"/>
  <c r="BZ442" i="1"/>
  <c r="BY442" i="1"/>
  <c r="BX442" i="1"/>
  <c r="BW442" i="1"/>
  <c r="BV442" i="1"/>
  <c r="CD442" i="1"/>
  <c r="CE442" i="1"/>
  <c r="CC442" i="1"/>
  <c r="CK444" i="1"/>
  <c r="CP444" i="1"/>
  <c r="CF444" i="1"/>
  <c r="CH444" i="1"/>
  <c r="CR444" i="1"/>
  <c r="CM444" i="1"/>
  <c r="CG444" i="1"/>
  <c r="CL444" i="1"/>
  <c r="CI444" i="1"/>
  <c r="CJ444" i="1"/>
  <c r="CU444" i="1"/>
  <c r="CT444" i="1"/>
  <c r="CS444" i="1"/>
  <c r="CN444" i="1"/>
  <c r="CQ444" i="1"/>
  <c r="CO444" i="1"/>
  <c r="BW474" i="1"/>
  <c r="BV474" i="1"/>
  <c r="CB474" i="1"/>
  <c r="CA474" i="1"/>
  <c r="BZ474" i="1"/>
  <c r="BY474" i="1"/>
  <c r="BX474" i="1"/>
  <c r="CD474" i="1"/>
  <c r="CE474" i="1"/>
  <c r="CC474" i="1"/>
  <c r="CG476" i="1"/>
  <c r="CI476" i="1"/>
  <c r="CM476" i="1"/>
  <c r="CH476" i="1"/>
  <c r="CJ476" i="1"/>
  <c r="CF476" i="1"/>
  <c r="CK476" i="1"/>
  <c r="CS476" i="1"/>
  <c r="CQ476" i="1"/>
  <c r="CT476" i="1"/>
  <c r="CU476" i="1"/>
  <c r="CL476" i="1"/>
  <c r="CP476" i="1"/>
  <c r="CR476" i="1"/>
  <c r="CN476" i="1"/>
  <c r="CO476" i="1"/>
  <c r="CB506" i="1"/>
  <c r="CA506" i="1"/>
  <c r="BZ506" i="1"/>
  <c r="BY506" i="1"/>
  <c r="BX506" i="1"/>
  <c r="BW506" i="1"/>
  <c r="BV506" i="1"/>
  <c r="CC506" i="1"/>
  <c r="CD506" i="1"/>
  <c r="CE506" i="1"/>
  <c r="CL508" i="1"/>
  <c r="CI508" i="1"/>
  <c r="CR508" i="1"/>
  <c r="CJ508" i="1"/>
  <c r="CK508" i="1"/>
  <c r="CN508" i="1"/>
  <c r="CO508" i="1"/>
  <c r="CP508" i="1"/>
  <c r="CG508" i="1"/>
  <c r="CF508" i="1"/>
  <c r="CH508" i="1"/>
  <c r="CM508" i="1"/>
  <c r="CU508" i="1"/>
  <c r="CT508" i="1"/>
  <c r="CS508" i="1"/>
  <c r="CQ508" i="1"/>
  <c r="CB538" i="1"/>
  <c r="CA538" i="1"/>
  <c r="BZ538" i="1"/>
  <c r="BY538" i="1"/>
  <c r="BX538" i="1"/>
  <c r="BW538" i="1"/>
  <c r="BV538" i="1"/>
  <c r="CE538" i="1"/>
  <c r="CC538" i="1"/>
  <c r="CD538" i="1"/>
  <c r="CF540" i="1"/>
  <c r="CH540" i="1"/>
  <c r="CT540" i="1"/>
  <c r="CU540" i="1"/>
  <c r="CI540" i="1"/>
  <c r="CJ540" i="1"/>
  <c r="CM540" i="1"/>
  <c r="CL540" i="1"/>
  <c r="CS540" i="1"/>
  <c r="CK540" i="1"/>
  <c r="CR540" i="1"/>
  <c r="CQ540" i="1"/>
  <c r="CO540" i="1"/>
  <c r="CP540" i="1"/>
  <c r="CG540" i="1"/>
  <c r="CN540" i="1"/>
  <c r="CB570" i="1"/>
  <c r="CA570" i="1"/>
  <c r="BZ570" i="1"/>
  <c r="BY570" i="1"/>
  <c r="BX570" i="1"/>
  <c r="BW570" i="1"/>
  <c r="BV570" i="1"/>
  <c r="CE570" i="1"/>
  <c r="CC570" i="1"/>
  <c r="CD570" i="1"/>
  <c r="CI572" i="1"/>
  <c r="CH572" i="1"/>
  <c r="CJ572" i="1"/>
  <c r="CK572" i="1"/>
  <c r="CP572" i="1"/>
  <c r="CG572" i="1"/>
  <c r="CM572" i="1"/>
  <c r="CR572" i="1"/>
  <c r="CL572" i="1"/>
  <c r="CF572" i="1"/>
  <c r="CN572" i="1"/>
  <c r="CQ572" i="1"/>
  <c r="CO572" i="1"/>
  <c r="CU572" i="1"/>
  <c r="CT572" i="1"/>
  <c r="CS572" i="1"/>
  <c r="BW602" i="1"/>
  <c r="BV602" i="1"/>
  <c r="BX602" i="1"/>
  <c r="CB602" i="1"/>
  <c r="CA602" i="1"/>
  <c r="BZ602" i="1"/>
  <c r="BY602" i="1"/>
  <c r="CE602" i="1"/>
  <c r="CC602" i="1"/>
  <c r="CD602" i="1"/>
  <c r="CG604" i="1"/>
  <c r="CF604" i="1"/>
  <c r="CK604" i="1"/>
  <c r="CS604" i="1"/>
  <c r="CH604" i="1"/>
  <c r="CI604" i="1"/>
  <c r="CQ604" i="1"/>
  <c r="CT604" i="1"/>
  <c r="CJ604" i="1"/>
  <c r="CU604" i="1"/>
  <c r="CM604" i="1"/>
  <c r="CL604" i="1"/>
  <c r="CR604" i="1"/>
  <c r="CN604" i="1"/>
  <c r="CO604" i="1"/>
  <c r="CP604" i="1"/>
  <c r="CJ169" i="1"/>
  <c r="CF169" i="1"/>
  <c r="CP169" i="1"/>
  <c r="CO169" i="1"/>
  <c r="CI169" i="1"/>
  <c r="CG169" i="1"/>
  <c r="CL169" i="1"/>
  <c r="CK169" i="1"/>
  <c r="CH169" i="1"/>
  <c r="CN169" i="1"/>
  <c r="CQ169" i="1"/>
  <c r="CR169" i="1"/>
  <c r="CT169" i="1"/>
  <c r="CM169" i="1"/>
  <c r="CU169" i="1"/>
  <c r="CS169" i="1"/>
  <c r="BX583" i="1"/>
  <c r="BW583" i="1"/>
  <c r="BV583" i="1"/>
  <c r="CB583" i="1"/>
  <c r="CA583" i="1"/>
  <c r="BZ583" i="1"/>
  <c r="BY583" i="1"/>
  <c r="CC583" i="1"/>
  <c r="CD583" i="1"/>
  <c r="CE583" i="1"/>
  <c r="CB30" i="1"/>
  <c r="CA30" i="1"/>
  <c r="BZ30" i="1"/>
  <c r="BY30" i="1"/>
  <c r="BX30" i="1"/>
  <c r="BW30" i="1"/>
  <c r="BV30" i="1"/>
  <c r="CC30" i="1"/>
  <c r="CD30" i="1"/>
  <c r="CE30" i="1"/>
  <c r="CB62" i="1"/>
  <c r="CA62" i="1"/>
  <c r="BW62" i="1"/>
  <c r="BV62" i="1"/>
  <c r="BZ62" i="1"/>
  <c r="BY62" i="1"/>
  <c r="BX62" i="1"/>
  <c r="CD62" i="1"/>
  <c r="CE62" i="1"/>
  <c r="CC62" i="1"/>
  <c r="CB75" i="1"/>
  <c r="BZ75" i="1"/>
  <c r="BY75" i="1"/>
  <c r="BX75" i="1"/>
  <c r="BW75" i="1"/>
  <c r="BV75" i="1"/>
  <c r="CA75" i="1"/>
  <c r="CE75" i="1"/>
  <c r="CC75" i="1"/>
  <c r="CD75" i="1"/>
  <c r="CM109" i="1"/>
  <c r="CP109" i="1"/>
  <c r="CR109" i="1"/>
  <c r="CF109" i="1"/>
  <c r="CG109" i="1"/>
  <c r="CI109" i="1"/>
  <c r="CH109" i="1"/>
  <c r="CT109" i="1"/>
  <c r="CJ109" i="1"/>
  <c r="CK109" i="1"/>
  <c r="CL109" i="1"/>
  <c r="CO109" i="1"/>
  <c r="CS109" i="1"/>
  <c r="CN109" i="1"/>
  <c r="CQ109" i="1"/>
  <c r="CU109" i="1"/>
  <c r="CG60" i="1"/>
  <c r="CH60" i="1"/>
  <c r="CI60" i="1"/>
  <c r="CJ60" i="1"/>
  <c r="CM60" i="1"/>
  <c r="CO60" i="1"/>
  <c r="CK60" i="1"/>
  <c r="CF60" i="1"/>
  <c r="CN60" i="1"/>
  <c r="CU60" i="1"/>
  <c r="CS60" i="1"/>
  <c r="CR60" i="1"/>
  <c r="CT60" i="1"/>
  <c r="CQ60" i="1"/>
  <c r="CL60" i="1"/>
  <c r="CP60" i="1"/>
  <c r="CB90" i="1"/>
  <c r="CA90" i="1"/>
  <c r="BZ90" i="1"/>
  <c r="BY90" i="1"/>
  <c r="BX90" i="1"/>
  <c r="BW90" i="1"/>
  <c r="BV90" i="1"/>
  <c r="CE90" i="1"/>
  <c r="CD90" i="1"/>
  <c r="CC90" i="1"/>
  <c r="CB154" i="1"/>
  <c r="CA154" i="1"/>
  <c r="BZ154" i="1"/>
  <c r="BY154" i="1"/>
  <c r="BX154" i="1"/>
  <c r="BW154" i="1"/>
  <c r="BV154" i="1"/>
  <c r="CE154" i="1"/>
  <c r="CD154" i="1"/>
  <c r="CC154" i="1"/>
  <c r="CB186" i="1"/>
  <c r="CA186" i="1"/>
  <c r="BZ186" i="1"/>
  <c r="BY186" i="1"/>
  <c r="BX186" i="1"/>
  <c r="BW186" i="1"/>
  <c r="BV186" i="1"/>
  <c r="CE186" i="1"/>
  <c r="CD186" i="1"/>
  <c r="CC186" i="1"/>
  <c r="CF220" i="1"/>
  <c r="CG220" i="1"/>
  <c r="CH220" i="1"/>
  <c r="CI220" i="1"/>
  <c r="CK220" i="1"/>
  <c r="CJ220" i="1"/>
  <c r="CN220" i="1"/>
  <c r="CL220" i="1"/>
  <c r="CM220" i="1"/>
  <c r="CS220" i="1"/>
  <c r="CQ220" i="1"/>
  <c r="CT220" i="1"/>
  <c r="CU220" i="1"/>
  <c r="CP220" i="1"/>
  <c r="CO220" i="1"/>
  <c r="CR220" i="1"/>
  <c r="CA9" i="1"/>
  <c r="BX9" i="1"/>
  <c r="BZ9" i="1"/>
  <c r="BW9" i="1"/>
  <c r="BV9" i="1"/>
  <c r="CB9" i="1"/>
  <c r="BY9" i="1"/>
  <c r="CC9" i="1"/>
  <c r="CD9" i="1"/>
  <c r="CE9" i="1"/>
  <c r="BW41" i="1"/>
  <c r="BV41" i="1"/>
  <c r="CB41" i="1"/>
  <c r="CA41" i="1"/>
  <c r="BZ41" i="1"/>
  <c r="BY41" i="1"/>
  <c r="BX41" i="1"/>
  <c r="CC41" i="1"/>
  <c r="CE41" i="1"/>
  <c r="CD41" i="1"/>
  <c r="CL43" i="1"/>
  <c r="CJ43" i="1"/>
  <c r="CM43" i="1"/>
  <c r="CK43" i="1"/>
  <c r="CH43" i="1"/>
  <c r="CS43" i="1"/>
  <c r="CU43" i="1"/>
  <c r="CR43" i="1"/>
  <c r="CQ43" i="1"/>
  <c r="CG43" i="1"/>
  <c r="CN43" i="1"/>
  <c r="CF43" i="1"/>
  <c r="CT43" i="1"/>
  <c r="CI43" i="1"/>
  <c r="CP43" i="1"/>
  <c r="CO43" i="1"/>
  <c r="BW73" i="1"/>
  <c r="BV73" i="1"/>
  <c r="CB73" i="1"/>
  <c r="CA73" i="1"/>
  <c r="BZ73" i="1"/>
  <c r="BY73" i="1"/>
  <c r="BX73" i="1"/>
  <c r="CE73" i="1"/>
  <c r="CC73" i="1"/>
  <c r="CD73" i="1"/>
  <c r="CK75" i="1"/>
  <c r="CL75" i="1"/>
  <c r="CJ75" i="1"/>
  <c r="CM75" i="1"/>
  <c r="CF75" i="1"/>
  <c r="CG75" i="1"/>
  <c r="CH75" i="1"/>
  <c r="CS75" i="1"/>
  <c r="CP75" i="1"/>
  <c r="CO75" i="1"/>
  <c r="CU75" i="1"/>
  <c r="CN75" i="1"/>
  <c r="CT75" i="1"/>
  <c r="CI75" i="1"/>
  <c r="CR75" i="1"/>
  <c r="CQ75" i="1"/>
  <c r="BW105" i="1"/>
  <c r="BV105" i="1"/>
  <c r="CB105" i="1"/>
  <c r="CA105" i="1"/>
  <c r="BZ105" i="1"/>
  <c r="BY105" i="1"/>
  <c r="BX105" i="1"/>
  <c r="CD105" i="1"/>
  <c r="CE105" i="1"/>
  <c r="CC105" i="1"/>
  <c r="CJ107" i="1"/>
  <c r="CM107" i="1"/>
  <c r="CK107" i="1"/>
  <c r="CL107" i="1"/>
  <c r="CR107" i="1"/>
  <c r="CG107" i="1"/>
  <c r="CQ107" i="1"/>
  <c r="CF107" i="1"/>
  <c r="CO107" i="1"/>
  <c r="CU107" i="1"/>
  <c r="CI107" i="1"/>
  <c r="CN107" i="1"/>
  <c r="CT107" i="1"/>
  <c r="CS107" i="1"/>
  <c r="CH107" i="1"/>
  <c r="CP107" i="1"/>
  <c r="BV137" i="1"/>
  <c r="CB137" i="1"/>
  <c r="CA137" i="1"/>
  <c r="BZ137" i="1"/>
  <c r="BY137" i="1"/>
  <c r="BX137" i="1"/>
  <c r="BW137" i="1"/>
  <c r="CC137" i="1"/>
  <c r="CD137" i="1"/>
  <c r="CE137" i="1"/>
  <c r="CL139" i="1"/>
  <c r="CJ139" i="1"/>
  <c r="CM139" i="1"/>
  <c r="CK139" i="1"/>
  <c r="CN139" i="1"/>
  <c r="CQ139" i="1"/>
  <c r="CU139" i="1"/>
  <c r="CF139" i="1"/>
  <c r="CH139" i="1"/>
  <c r="CR139" i="1"/>
  <c r="CP139" i="1"/>
  <c r="CO139" i="1"/>
  <c r="CG139" i="1"/>
  <c r="CI139" i="1"/>
  <c r="CT139" i="1"/>
  <c r="CS139" i="1"/>
  <c r="BV169" i="1"/>
  <c r="CB169" i="1"/>
  <c r="CA169" i="1"/>
  <c r="BZ169" i="1"/>
  <c r="BY169" i="1"/>
  <c r="BX169" i="1"/>
  <c r="BW169" i="1"/>
  <c r="CD169" i="1"/>
  <c r="CE169" i="1"/>
  <c r="CC169" i="1"/>
  <c r="CM171" i="1"/>
  <c r="CK171" i="1"/>
  <c r="CJ171" i="1"/>
  <c r="CH171" i="1"/>
  <c r="CL171" i="1"/>
  <c r="CT171" i="1"/>
  <c r="CS171" i="1"/>
  <c r="CR171" i="1"/>
  <c r="CP171" i="1"/>
  <c r="CQ171" i="1"/>
  <c r="CG171" i="1"/>
  <c r="CF171" i="1"/>
  <c r="CO171" i="1"/>
  <c r="CU171" i="1"/>
  <c r="CI171" i="1"/>
  <c r="CN171" i="1"/>
  <c r="BV201" i="1"/>
  <c r="CB201" i="1"/>
  <c r="CA201" i="1"/>
  <c r="BZ201" i="1"/>
  <c r="BY201" i="1"/>
  <c r="BX201" i="1"/>
  <c r="BW201" i="1"/>
  <c r="CC201" i="1"/>
  <c r="CD201" i="1"/>
  <c r="CE201" i="1"/>
  <c r="CL203" i="1"/>
  <c r="CM203" i="1"/>
  <c r="CJ203" i="1"/>
  <c r="CI203" i="1"/>
  <c r="CK203" i="1"/>
  <c r="CH203" i="1"/>
  <c r="CS203" i="1"/>
  <c r="CP203" i="1"/>
  <c r="CU203" i="1"/>
  <c r="CN203" i="1"/>
  <c r="CT203" i="1"/>
  <c r="CR203" i="1"/>
  <c r="CG203" i="1"/>
  <c r="CQ203" i="1"/>
  <c r="CF203" i="1"/>
  <c r="CO203" i="1"/>
  <c r="BX233" i="1"/>
  <c r="BW233" i="1"/>
  <c r="BV233" i="1"/>
  <c r="CB233" i="1"/>
  <c r="CA233" i="1"/>
  <c r="BZ233" i="1"/>
  <c r="BY233" i="1"/>
  <c r="CC233" i="1"/>
  <c r="CE233" i="1"/>
  <c r="CD233" i="1"/>
  <c r="CJ235" i="1"/>
  <c r="CK235" i="1"/>
  <c r="CM235" i="1"/>
  <c r="CL235" i="1"/>
  <c r="CR235" i="1"/>
  <c r="CG235" i="1"/>
  <c r="CI235" i="1"/>
  <c r="CO235" i="1"/>
  <c r="CU235" i="1"/>
  <c r="CH235" i="1"/>
  <c r="CN235" i="1"/>
  <c r="CT235" i="1"/>
  <c r="CS235" i="1"/>
  <c r="CP235" i="1"/>
  <c r="CF235" i="1"/>
  <c r="CQ235" i="1"/>
  <c r="CB265" i="1"/>
  <c r="CA265" i="1"/>
  <c r="BZ265" i="1"/>
  <c r="BY265" i="1"/>
  <c r="BX265" i="1"/>
  <c r="BW265" i="1"/>
  <c r="BV265" i="1"/>
  <c r="CD265" i="1"/>
  <c r="CE265" i="1"/>
  <c r="CC265" i="1"/>
  <c r="CK267" i="1"/>
  <c r="CL267" i="1"/>
  <c r="CH267" i="1"/>
  <c r="CJ267" i="1"/>
  <c r="CM267" i="1"/>
  <c r="CQ267" i="1"/>
  <c r="CU267" i="1"/>
  <c r="CF267" i="1"/>
  <c r="CN267" i="1"/>
  <c r="CI267" i="1"/>
  <c r="CO267" i="1"/>
  <c r="CT267" i="1"/>
  <c r="CS267" i="1"/>
  <c r="CR267" i="1"/>
  <c r="CG267" i="1"/>
  <c r="CP267" i="1"/>
  <c r="CB297" i="1"/>
  <c r="CA297" i="1"/>
  <c r="BZ297" i="1"/>
  <c r="BY297" i="1"/>
  <c r="BX297" i="1"/>
  <c r="BW297" i="1"/>
  <c r="BV297" i="1"/>
  <c r="CE297" i="1"/>
  <c r="CD297" i="1"/>
  <c r="CC297" i="1"/>
  <c r="CJ299" i="1"/>
  <c r="CK299" i="1"/>
  <c r="CF299" i="1"/>
  <c r="CG299" i="1"/>
  <c r="CL299" i="1"/>
  <c r="CM299" i="1"/>
  <c r="CT299" i="1"/>
  <c r="CS299" i="1"/>
  <c r="CR299" i="1"/>
  <c r="CQ299" i="1"/>
  <c r="CI299" i="1"/>
  <c r="CH299" i="1"/>
  <c r="CP299" i="1"/>
  <c r="CU299" i="1"/>
  <c r="CN299" i="1"/>
  <c r="CO299" i="1"/>
  <c r="CB329" i="1"/>
  <c r="CA329" i="1"/>
  <c r="BZ329" i="1"/>
  <c r="BY329" i="1"/>
  <c r="BX329" i="1"/>
  <c r="BW329" i="1"/>
  <c r="BV329" i="1"/>
  <c r="CC329" i="1"/>
  <c r="CE329" i="1"/>
  <c r="CD329" i="1"/>
  <c r="CK331" i="1"/>
  <c r="CM331" i="1"/>
  <c r="CI331" i="1"/>
  <c r="CL331" i="1"/>
  <c r="CJ331" i="1"/>
  <c r="CH331" i="1"/>
  <c r="CS331" i="1"/>
  <c r="CT331" i="1"/>
  <c r="CO331" i="1"/>
  <c r="CG331" i="1"/>
  <c r="CF331" i="1"/>
  <c r="CR331" i="1"/>
  <c r="CQ331" i="1"/>
  <c r="CN331" i="1"/>
  <c r="CU331" i="1"/>
  <c r="CP331" i="1"/>
  <c r="CB361" i="1"/>
  <c r="CA361" i="1"/>
  <c r="BZ361" i="1"/>
  <c r="BY361" i="1"/>
  <c r="BX361" i="1"/>
  <c r="BW361" i="1"/>
  <c r="BV361" i="1"/>
  <c r="CC361" i="1"/>
  <c r="CE361" i="1"/>
  <c r="CD361" i="1"/>
  <c r="CK363" i="1"/>
  <c r="CL363" i="1"/>
  <c r="CJ363" i="1"/>
  <c r="CM363" i="1"/>
  <c r="CP363" i="1"/>
  <c r="CG363" i="1"/>
  <c r="CQ363" i="1"/>
  <c r="CF363" i="1"/>
  <c r="CI363" i="1"/>
  <c r="CH363" i="1"/>
  <c r="CU363" i="1"/>
  <c r="CN363" i="1"/>
  <c r="CR363" i="1"/>
  <c r="CO363" i="1"/>
  <c r="CS363" i="1"/>
  <c r="CT363" i="1"/>
  <c r="CB393" i="1"/>
  <c r="CA393" i="1"/>
  <c r="BZ393" i="1"/>
  <c r="BY393" i="1"/>
  <c r="BX393" i="1"/>
  <c r="BW393" i="1"/>
  <c r="BV393" i="1"/>
  <c r="CC393" i="1"/>
  <c r="CE393" i="1"/>
  <c r="CD393" i="1"/>
  <c r="CM395" i="1"/>
  <c r="CK395" i="1"/>
  <c r="CL395" i="1"/>
  <c r="CJ395" i="1"/>
  <c r="CH395" i="1"/>
  <c r="CN395" i="1"/>
  <c r="CF395" i="1"/>
  <c r="CI395" i="1"/>
  <c r="CG395" i="1"/>
  <c r="CR395" i="1"/>
  <c r="CS395" i="1"/>
  <c r="CO395" i="1"/>
  <c r="CT395" i="1"/>
  <c r="CU395" i="1"/>
  <c r="CP395" i="1"/>
  <c r="CQ395" i="1"/>
  <c r="CB425" i="1"/>
  <c r="CA425" i="1"/>
  <c r="BZ425" i="1"/>
  <c r="BY425" i="1"/>
  <c r="BX425" i="1"/>
  <c r="BW425" i="1"/>
  <c r="BV425" i="1"/>
  <c r="CD425" i="1"/>
  <c r="CE425" i="1"/>
  <c r="CC425" i="1"/>
  <c r="CK427" i="1"/>
  <c r="CJ427" i="1"/>
  <c r="CL427" i="1"/>
  <c r="CM427" i="1"/>
  <c r="CH427" i="1"/>
  <c r="CI427" i="1"/>
  <c r="CF427" i="1"/>
  <c r="CG427" i="1"/>
  <c r="CP427" i="1"/>
  <c r="CQ427" i="1"/>
  <c r="CO427" i="1"/>
  <c r="CS427" i="1"/>
  <c r="CT427" i="1"/>
  <c r="CU427" i="1"/>
  <c r="CN427" i="1"/>
  <c r="CR427" i="1"/>
  <c r="CB457" i="1"/>
  <c r="CA457" i="1"/>
  <c r="BZ457" i="1"/>
  <c r="BY457" i="1"/>
  <c r="BX457" i="1"/>
  <c r="BW457" i="1"/>
  <c r="BV457" i="1"/>
  <c r="CD457" i="1"/>
  <c r="CE457" i="1"/>
  <c r="CC457" i="1"/>
  <c r="CK459" i="1"/>
  <c r="CJ459" i="1"/>
  <c r="CL459" i="1"/>
  <c r="CM459" i="1"/>
  <c r="CO459" i="1"/>
  <c r="CT459" i="1"/>
  <c r="CU459" i="1"/>
  <c r="CH459" i="1"/>
  <c r="CI459" i="1"/>
  <c r="CN459" i="1"/>
  <c r="CF459" i="1"/>
  <c r="CG459" i="1"/>
  <c r="CQ459" i="1"/>
  <c r="CR459" i="1"/>
  <c r="CS459" i="1"/>
  <c r="CP459" i="1"/>
  <c r="CB489" i="1"/>
  <c r="CA489" i="1"/>
  <c r="BZ489" i="1"/>
  <c r="BY489" i="1"/>
  <c r="BX489" i="1"/>
  <c r="BW489" i="1"/>
  <c r="BV489" i="1"/>
  <c r="CC489" i="1"/>
  <c r="CE489" i="1"/>
  <c r="CD489" i="1"/>
  <c r="CK491" i="1"/>
  <c r="CM491" i="1"/>
  <c r="CG491" i="1"/>
  <c r="CL491" i="1"/>
  <c r="CJ491" i="1"/>
  <c r="CP491" i="1"/>
  <c r="CQ491" i="1"/>
  <c r="CH491" i="1"/>
  <c r="CF491" i="1"/>
  <c r="CI491" i="1"/>
  <c r="CN491" i="1"/>
  <c r="CR491" i="1"/>
  <c r="CO491" i="1"/>
  <c r="CS491" i="1"/>
  <c r="CT491" i="1"/>
  <c r="CU491" i="1"/>
  <c r="BZ521" i="1"/>
  <c r="BY521" i="1"/>
  <c r="CB521" i="1"/>
  <c r="CA521" i="1"/>
  <c r="BV521" i="1"/>
  <c r="BX521" i="1"/>
  <c r="BW521" i="1"/>
  <c r="CC521" i="1"/>
  <c r="CE521" i="1"/>
  <c r="CD521" i="1"/>
  <c r="CK523" i="1"/>
  <c r="CJ523" i="1"/>
  <c r="CI523" i="1"/>
  <c r="CL523" i="1"/>
  <c r="CM523" i="1"/>
  <c r="CH523" i="1"/>
  <c r="CF523" i="1"/>
  <c r="CN523" i="1"/>
  <c r="CG523" i="1"/>
  <c r="CR523" i="1"/>
  <c r="CS523" i="1"/>
  <c r="CO523" i="1"/>
  <c r="CT523" i="1"/>
  <c r="CU523" i="1"/>
  <c r="CP523" i="1"/>
  <c r="CQ523" i="1"/>
  <c r="BZ553" i="1"/>
  <c r="BY553" i="1"/>
  <c r="CB553" i="1"/>
  <c r="CA553" i="1"/>
  <c r="BX553" i="1"/>
  <c r="BW553" i="1"/>
  <c r="BV553" i="1"/>
  <c r="CE553" i="1"/>
  <c r="CC553" i="1"/>
  <c r="CD553" i="1"/>
  <c r="CM555" i="1"/>
  <c r="CK555" i="1"/>
  <c r="CL555" i="1"/>
  <c r="CJ555" i="1"/>
  <c r="CH555" i="1"/>
  <c r="CI555" i="1"/>
  <c r="CF555" i="1"/>
  <c r="CG555" i="1"/>
  <c r="CP555" i="1"/>
  <c r="CQ555" i="1"/>
  <c r="CN555" i="1"/>
  <c r="CU555" i="1"/>
  <c r="CR555" i="1"/>
  <c r="CO555" i="1"/>
  <c r="CS555" i="1"/>
  <c r="CT555" i="1"/>
  <c r="BZ585" i="1"/>
  <c r="BY585" i="1"/>
  <c r="CB585" i="1"/>
  <c r="CA585" i="1"/>
  <c r="BX585" i="1"/>
  <c r="BW585" i="1"/>
  <c r="BV585" i="1"/>
  <c r="CD585" i="1"/>
  <c r="CE585" i="1"/>
  <c r="CC585" i="1"/>
  <c r="CK587" i="1"/>
  <c r="CJ587" i="1"/>
  <c r="CL587" i="1"/>
  <c r="CF587" i="1"/>
  <c r="CM587" i="1"/>
  <c r="CO587" i="1"/>
  <c r="CT587" i="1"/>
  <c r="CU587" i="1"/>
  <c r="CH587" i="1"/>
  <c r="CI587" i="1"/>
  <c r="CN587" i="1"/>
  <c r="CG587" i="1"/>
  <c r="CP587" i="1"/>
  <c r="CQ587" i="1"/>
  <c r="CR587" i="1"/>
  <c r="CS587" i="1"/>
  <c r="CG201" i="1"/>
  <c r="CP201" i="1"/>
  <c r="CL201" i="1"/>
  <c r="CH201" i="1"/>
  <c r="CF201" i="1"/>
  <c r="CJ201" i="1"/>
  <c r="CO201" i="1"/>
  <c r="CK201" i="1"/>
  <c r="CI201" i="1"/>
  <c r="CN201" i="1"/>
  <c r="CM201" i="1"/>
  <c r="CQ201" i="1"/>
  <c r="CU201" i="1"/>
  <c r="CR201" i="1"/>
  <c r="CS201" i="1"/>
  <c r="CT201" i="1"/>
  <c r="CM64" i="1"/>
  <c r="CI64" i="1"/>
  <c r="CJ64" i="1"/>
  <c r="CF64" i="1"/>
  <c r="CK64" i="1"/>
  <c r="CO64" i="1"/>
  <c r="CG64" i="1"/>
  <c r="CL64" i="1"/>
  <c r="CN64" i="1"/>
  <c r="CU64" i="1"/>
  <c r="CS64" i="1"/>
  <c r="CR64" i="1"/>
  <c r="CT64" i="1"/>
  <c r="CQ64" i="1"/>
  <c r="CH64" i="1"/>
  <c r="CP64" i="1"/>
  <c r="CF13" i="1"/>
  <c r="CH13" i="1"/>
  <c r="CM13" i="1"/>
  <c r="CK13" i="1"/>
  <c r="CL13" i="1"/>
  <c r="CI13" i="1"/>
  <c r="CJ13" i="1"/>
  <c r="CP13" i="1"/>
  <c r="CG13" i="1"/>
  <c r="CR13" i="1"/>
  <c r="CS13" i="1"/>
  <c r="CO13" i="1"/>
  <c r="CT13" i="1"/>
  <c r="CU13" i="1"/>
  <c r="CQ13" i="1"/>
  <c r="CN13" i="1"/>
  <c r="CP45" i="1"/>
  <c r="CG45" i="1"/>
  <c r="CM45" i="1"/>
  <c r="CL45" i="1"/>
  <c r="CS45" i="1"/>
  <c r="CT45" i="1"/>
  <c r="CU45" i="1"/>
  <c r="CF45" i="1"/>
  <c r="CI45" i="1"/>
  <c r="CO45" i="1"/>
  <c r="CH45" i="1"/>
  <c r="CQ45" i="1"/>
  <c r="CR45" i="1"/>
  <c r="CJ45" i="1"/>
  <c r="CK45" i="1"/>
  <c r="CN45" i="1"/>
  <c r="CH77" i="1"/>
  <c r="CJ77" i="1"/>
  <c r="CP77" i="1"/>
  <c r="CF77" i="1"/>
  <c r="CM77" i="1"/>
  <c r="CL77" i="1"/>
  <c r="CK77" i="1"/>
  <c r="CI77" i="1"/>
  <c r="CG77" i="1"/>
  <c r="CU77" i="1"/>
  <c r="CQ77" i="1"/>
  <c r="CR77" i="1"/>
  <c r="CS77" i="1"/>
  <c r="CO77" i="1"/>
  <c r="CN77" i="1"/>
  <c r="CT77" i="1"/>
  <c r="CB107" i="1"/>
  <c r="CA107" i="1"/>
  <c r="BZ107" i="1"/>
  <c r="BY107" i="1"/>
  <c r="BX107" i="1"/>
  <c r="BW107" i="1"/>
  <c r="BV107" i="1"/>
  <c r="CC107" i="1"/>
  <c r="CD107" i="1"/>
  <c r="CE107" i="1"/>
  <c r="CB26" i="1"/>
  <c r="BY26" i="1"/>
  <c r="CA26" i="1"/>
  <c r="BZ26" i="1"/>
  <c r="BW26" i="1"/>
  <c r="BV26" i="1"/>
  <c r="BX26" i="1"/>
  <c r="CD26" i="1"/>
  <c r="CC26" i="1"/>
  <c r="CE26" i="1"/>
  <c r="CI28" i="1"/>
  <c r="CH28" i="1"/>
  <c r="CP28" i="1"/>
  <c r="CF28" i="1"/>
  <c r="CG28" i="1"/>
  <c r="CJ28" i="1"/>
  <c r="CR28" i="1"/>
  <c r="CO28" i="1"/>
  <c r="CN28" i="1"/>
  <c r="CT28" i="1"/>
  <c r="CM28" i="1"/>
  <c r="CQ28" i="1"/>
  <c r="CL28" i="1"/>
  <c r="CK28" i="1"/>
  <c r="CU28" i="1"/>
  <c r="CS28" i="1"/>
  <c r="CB58" i="1"/>
  <c r="CA58" i="1"/>
  <c r="BZ58" i="1"/>
  <c r="BY58" i="1"/>
  <c r="BX58" i="1"/>
  <c r="BW58" i="1"/>
  <c r="BV58" i="1"/>
  <c r="CD58" i="1"/>
  <c r="CC58" i="1"/>
  <c r="CE58" i="1"/>
  <c r="CJ92" i="1"/>
  <c r="CK92" i="1"/>
  <c r="CG92" i="1"/>
  <c r="CH92" i="1"/>
  <c r="CN92" i="1"/>
  <c r="CM92" i="1"/>
  <c r="CQ92" i="1"/>
  <c r="CL92" i="1"/>
  <c r="CI92" i="1"/>
  <c r="CF92" i="1"/>
  <c r="CO92" i="1"/>
  <c r="CU92" i="1"/>
  <c r="CS92" i="1"/>
  <c r="CR92" i="1"/>
  <c r="CT92" i="1"/>
  <c r="CP92" i="1"/>
  <c r="CB122" i="1"/>
  <c r="CA122" i="1"/>
  <c r="BZ122" i="1"/>
  <c r="BY122" i="1"/>
  <c r="BX122" i="1"/>
  <c r="BW122" i="1"/>
  <c r="BV122" i="1"/>
  <c r="CE122" i="1"/>
  <c r="CD122" i="1"/>
  <c r="CC122" i="1"/>
  <c r="CJ156" i="1"/>
  <c r="CF156" i="1"/>
  <c r="CL156" i="1"/>
  <c r="CG156" i="1"/>
  <c r="CH156" i="1"/>
  <c r="CR156" i="1"/>
  <c r="CP156" i="1"/>
  <c r="CI156" i="1"/>
  <c r="CQ156" i="1"/>
  <c r="CK156" i="1"/>
  <c r="CO156" i="1"/>
  <c r="CM156" i="1"/>
  <c r="CN156" i="1"/>
  <c r="CS156" i="1"/>
  <c r="CU156" i="1"/>
  <c r="CT156" i="1"/>
  <c r="CI188" i="1"/>
  <c r="CJ188" i="1"/>
  <c r="CM188" i="1"/>
  <c r="CK188" i="1"/>
  <c r="CO188" i="1"/>
  <c r="CF188" i="1"/>
  <c r="CG188" i="1"/>
  <c r="CH188" i="1"/>
  <c r="CQ188" i="1"/>
  <c r="CP188" i="1"/>
  <c r="CR188" i="1"/>
  <c r="CN188" i="1"/>
  <c r="CL188" i="1"/>
  <c r="CT188" i="1"/>
  <c r="CU188" i="1"/>
  <c r="CS188" i="1"/>
  <c r="CL11" i="1"/>
  <c r="CK11" i="1"/>
  <c r="CJ11" i="1"/>
  <c r="CM11" i="1"/>
  <c r="CQ11" i="1"/>
  <c r="CS11" i="1"/>
  <c r="CN11" i="1"/>
  <c r="CT11" i="1"/>
  <c r="CF11" i="1"/>
  <c r="CR11" i="1"/>
  <c r="CI11" i="1"/>
  <c r="CU11" i="1"/>
  <c r="CH11" i="1"/>
  <c r="CP11" i="1"/>
  <c r="CO11" i="1"/>
  <c r="CG11" i="1"/>
  <c r="BY24" i="1"/>
  <c r="BX24" i="1"/>
  <c r="BW24" i="1"/>
  <c r="BV24" i="1"/>
  <c r="CB24" i="1"/>
  <c r="CA24" i="1"/>
  <c r="BZ24" i="1"/>
  <c r="CD24" i="1"/>
  <c r="CE24" i="1"/>
  <c r="CC24" i="1"/>
  <c r="CK26" i="1"/>
  <c r="CH26" i="1"/>
  <c r="CF26" i="1"/>
  <c r="CJ26" i="1"/>
  <c r="CL26" i="1"/>
  <c r="CI26" i="1"/>
  <c r="CG26" i="1"/>
  <c r="CN26" i="1"/>
  <c r="CM26" i="1"/>
  <c r="CR26" i="1"/>
  <c r="CO26" i="1"/>
  <c r="CS26" i="1"/>
  <c r="CP26" i="1"/>
  <c r="CQ26" i="1"/>
  <c r="CU26" i="1"/>
  <c r="CT26" i="1"/>
  <c r="CA56" i="1"/>
  <c r="BZ56" i="1"/>
  <c r="BY56" i="1"/>
  <c r="BX56" i="1"/>
  <c r="BW56" i="1"/>
  <c r="BV56" i="1"/>
  <c r="CB56" i="1"/>
  <c r="CE56" i="1"/>
  <c r="CC56" i="1"/>
  <c r="CD56" i="1"/>
  <c r="CG58" i="1"/>
  <c r="CK58" i="1"/>
  <c r="CM58" i="1"/>
  <c r="CH58" i="1"/>
  <c r="CF58" i="1"/>
  <c r="CJ58" i="1"/>
  <c r="CL58" i="1"/>
  <c r="CI58" i="1"/>
  <c r="CN58" i="1"/>
  <c r="CP58" i="1"/>
  <c r="CO58" i="1"/>
  <c r="CQ58" i="1"/>
  <c r="CS58" i="1"/>
  <c r="CT58" i="1"/>
  <c r="CR58" i="1"/>
  <c r="CU58" i="1"/>
  <c r="CB88" i="1"/>
  <c r="CA88" i="1"/>
  <c r="BZ88" i="1"/>
  <c r="BY88" i="1"/>
  <c r="BX88" i="1"/>
  <c r="BW88" i="1"/>
  <c r="BV88" i="1"/>
  <c r="CE88" i="1"/>
  <c r="CC88" i="1"/>
  <c r="CD88" i="1"/>
  <c r="CF90" i="1"/>
  <c r="CJ90" i="1"/>
  <c r="CG90" i="1"/>
  <c r="CK90" i="1"/>
  <c r="CH90" i="1"/>
  <c r="CI90" i="1"/>
  <c r="CL90" i="1"/>
  <c r="CM90" i="1"/>
  <c r="CS90" i="1"/>
  <c r="CT90" i="1"/>
  <c r="CU90" i="1"/>
  <c r="CN90" i="1"/>
  <c r="CO90" i="1"/>
  <c r="CR90" i="1"/>
  <c r="CQ90" i="1"/>
  <c r="CP90" i="1"/>
  <c r="CB120" i="1"/>
  <c r="BW120" i="1"/>
  <c r="BV120" i="1"/>
  <c r="CA120" i="1"/>
  <c r="BZ120" i="1"/>
  <c r="BY120" i="1"/>
  <c r="BX120" i="1"/>
  <c r="CE120" i="1"/>
  <c r="CD120" i="1"/>
  <c r="CC120" i="1"/>
  <c r="CM122" i="1"/>
  <c r="CH122" i="1"/>
  <c r="CF122" i="1"/>
  <c r="CK122" i="1"/>
  <c r="CI122" i="1"/>
  <c r="CG122" i="1"/>
  <c r="CJ122" i="1"/>
  <c r="CL122" i="1"/>
  <c r="CP122" i="1"/>
  <c r="CQ122" i="1"/>
  <c r="CU122" i="1"/>
  <c r="CN122" i="1"/>
  <c r="CS122" i="1"/>
  <c r="CT122" i="1"/>
  <c r="CO122" i="1"/>
  <c r="CR122" i="1"/>
  <c r="CB152" i="1"/>
  <c r="BY152" i="1"/>
  <c r="BX152" i="1"/>
  <c r="BW152" i="1"/>
  <c r="BV152" i="1"/>
  <c r="CA152" i="1"/>
  <c r="BZ152" i="1"/>
  <c r="CC152" i="1"/>
  <c r="CE152" i="1"/>
  <c r="CD152" i="1"/>
  <c r="CJ154" i="1"/>
  <c r="CM154" i="1"/>
  <c r="CG154" i="1"/>
  <c r="CL154" i="1"/>
  <c r="CF154" i="1"/>
  <c r="CI154" i="1"/>
  <c r="CK154" i="1"/>
  <c r="CH154" i="1"/>
  <c r="CR154" i="1"/>
  <c r="CS154" i="1"/>
  <c r="CQ154" i="1"/>
  <c r="CP154" i="1"/>
  <c r="CN154" i="1"/>
  <c r="CU154" i="1"/>
  <c r="CT154" i="1"/>
  <c r="CO154" i="1"/>
  <c r="CB184" i="1"/>
  <c r="CA184" i="1"/>
  <c r="BZ184" i="1"/>
  <c r="BY184" i="1"/>
  <c r="BX184" i="1"/>
  <c r="BW184" i="1"/>
  <c r="BV184" i="1"/>
  <c r="CD184" i="1"/>
  <c r="CE184" i="1"/>
  <c r="CC184" i="1"/>
  <c r="CJ186" i="1"/>
  <c r="CI186" i="1"/>
  <c r="CL186" i="1"/>
  <c r="CG186" i="1"/>
  <c r="CM186" i="1"/>
  <c r="CK186" i="1"/>
  <c r="CH186" i="1"/>
  <c r="CF186" i="1"/>
  <c r="CN186" i="1"/>
  <c r="CQ186" i="1"/>
  <c r="CR186" i="1"/>
  <c r="CP186" i="1"/>
  <c r="CU186" i="1"/>
  <c r="CS186" i="1"/>
  <c r="CT186" i="1"/>
  <c r="CO186" i="1"/>
  <c r="CB216" i="1"/>
  <c r="CA216" i="1"/>
  <c r="BZ216" i="1"/>
  <c r="BY216" i="1"/>
  <c r="BX216" i="1"/>
  <c r="BW216" i="1"/>
  <c r="BV216" i="1"/>
  <c r="CD216" i="1"/>
  <c r="CE216" i="1"/>
  <c r="CC216" i="1"/>
  <c r="CG218" i="1"/>
  <c r="CL218" i="1"/>
  <c r="CH218" i="1"/>
  <c r="CF218" i="1"/>
  <c r="CJ218" i="1"/>
  <c r="CI218" i="1"/>
  <c r="CK218" i="1"/>
  <c r="CM218" i="1"/>
  <c r="CS218" i="1"/>
  <c r="CT218" i="1"/>
  <c r="CO218" i="1"/>
  <c r="CR218" i="1"/>
  <c r="CP218" i="1"/>
  <c r="CQ218" i="1"/>
  <c r="CN218" i="1"/>
  <c r="CU218" i="1"/>
  <c r="CB248" i="1"/>
  <c r="CA248" i="1"/>
  <c r="BZ248" i="1"/>
  <c r="BY248" i="1"/>
  <c r="BX248" i="1"/>
  <c r="BW248" i="1"/>
  <c r="BV248" i="1"/>
  <c r="CE248" i="1"/>
  <c r="CD248" i="1"/>
  <c r="CC248" i="1"/>
  <c r="CI250" i="1"/>
  <c r="CK250" i="1"/>
  <c r="CH250" i="1"/>
  <c r="CM250" i="1"/>
  <c r="CF250" i="1"/>
  <c r="CJ250" i="1"/>
  <c r="CL250" i="1"/>
  <c r="CG250" i="1"/>
  <c r="CQ250" i="1"/>
  <c r="CN250" i="1"/>
  <c r="CS250" i="1"/>
  <c r="CT250" i="1"/>
  <c r="CO250" i="1"/>
  <c r="CR250" i="1"/>
  <c r="CP250" i="1"/>
  <c r="CU250" i="1"/>
  <c r="CB280" i="1"/>
  <c r="CA280" i="1"/>
  <c r="BZ280" i="1"/>
  <c r="BY280" i="1"/>
  <c r="BX280" i="1"/>
  <c r="BW280" i="1"/>
  <c r="BV280" i="1"/>
  <c r="CE280" i="1"/>
  <c r="CD280" i="1"/>
  <c r="CC280" i="1"/>
  <c r="CH282" i="1"/>
  <c r="CF282" i="1"/>
  <c r="CI282" i="1"/>
  <c r="CG282" i="1"/>
  <c r="CL282" i="1"/>
  <c r="CJ282" i="1"/>
  <c r="CK282" i="1"/>
  <c r="CM282" i="1"/>
  <c r="CS282" i="1"/>
  <c r="CQ282" i="1"/>
  <c r="CU282" i="1"/>
  <c r="CO282" i="1"/>
  <c r="CP282" i="1"/>
  <c r="CN282" i="1"/>
  <c r="CR282" i="1"/>
  <c r="CT282" i="1"/>
  <c r="CB312" i="1"/>
  <c r="CA312" i="1"/>
  <c r="BZ312" i="1"/>
  <c r="BY312" i="1"/>
  <c r="BX312" i="1"/>
  <c r="BW312" i="1"/>
  <c r="BV312" i="1"/>
  <c r="CC312" i="1"/>
  <c r="CE312" i="1"/>
  <c r="CD312" i="1"/>
  <c r="CK314" i="1"/>
  <c r="CJ314" i="1"/>
  <c r="CG314" i="1"/>
  <c r="CH314" i="1"/>
  <c r="CF314" i="1"/>
  <c r="CL314" i="1"/>
  <c r="CI314" i="1"/>
  <c r="CN314" i="1"/>
  <c r="CO314" i="1"/>
  <c r="CM314" i="1"/>
  <c r="CP314" i="1"/>
  <c r="CR314" i="1"/>
  <c r="CS314" i="1"/>
  <c r="CT314" i="1"/>
  <c r="CU314" i="1"/>
  <c r="CQ314" i="1"/>
  <c r="BX344" i="1"/>
  <c r="BW344" i="1"/>
  <c r="BV344" i="1"/>
  <c r="CB344" i="1"/>
  <c r="CA344" i="1"/>
  <c r="BZ344" i="1"/>
  <c r="BY344" i="1"/>
  <c r="CD344" i="1"/>
  <c r="CC344" i="1"/>
  <c r="CE344" i="1"/>
  <c r="CH346" i="1"/>
  <c r="CI346" i="1"/>
  <c r="CG346" i="1"/>
  <c r="CK346" i="1"/>
  <c r="CF346" i="1"/>
  <c r="CJ346" i="1"/>
  <c r="CL346" i="1"/>
  <c r="CM346" i="1"/>
  <c r="CP346" i="1"/>
  <c r="CN346" i="1"/>
  <c r="CT346" i="1"/>
  <c r="CQ346" i="1"/>
  <c r="CO346" i="1"/>
  <c r="CR346" i="1"/>
  <c r="CS346" i="1"/>
  <c r="CU346" i="1"/>
  <c r="BX376" i="1"/>
  <c r="BW376" i="1"/>
  <c r="BV376" i="1"/>
  <c r="CB376" i="1"/>
  <c r="CA376" i="1"/>
  <c r="BZ376" i="1"/>
  <c r="BY376" i="1"/>
  <c r="CD376" i="1"/>
  <c r="CE376" i="1"/>
  <c r="CC376" i="1"/>
  <c r="CJ378" i="1"/>
  <c r="CG378" i="1"/>
  <c r="CM378" i="1"/>
  <c r="CI378" i="1"/>
  <c r="CK378" i="1"/>
  <c r="CH378" i="1"/>
  <c r="CF378" i="1"/>
  <c r="CL378" i="1"/>
  <c r="CO378" i="1"/>
  <c r="CR378" i="1"/>
  <c r="CN378" i="1"/>
  <c r="CS378" i="1"/>
  <c r="CQ378" i="1"/>
  <c r="CT378" i="1"/>
  <c r="CP378" i="1"/>
  <c r="CU378" i="1"/>
  <c r="CB408" i="1"/>
  <c r="CA408" i="1"/>
  <c r="BZ408" i="1"/>
  <c r="BY408" i="1"/>
  <c r="BX408" i="1"/>
  <c r="BW408" i="1"/>
  <c r="BV408" i="1"/>
  <c r="CD408" i="1"/>
  <c r="CC408" i="1"/>
  <c r="CE408" i="1"/>
  <c r="CH410" i="1"/>
  <c r="CI410" i="1"/>
  <c r="CL410" i="1"/>
  <c r="CF410" i="1"/>
  <c r="CM410" i="1"/>
  <c r="CG410" i="1"/>
  <c r="CK410" i="1"/>
  <c r="CJ410" i="1"/>
  <c r="CQ410" i="1"/>
  <c r="CU410" i="1"/>
  <c r="CP410" i="1"/>
  <c r="CS410" i="1"/>
  <c r="CR410" i="1"/>
  <c r="CO410" i="1"/>
  <c r="CT410" i="1"/>
  <c r="CN410" i="1"/>
  <c r="CB440" i="1"/>
  <c r="CA440" i="1"/>
  <c r="BZ440" i="1"/>
  <c r="BY440" i="1"/>
  <c r="BX440" i="1"/>
  <c r="BW440" i="1"/>
  <c r="BV440" i="1"/>
  <c r="CC440" i="1"/>
  <c r="CD440" i="1"/>
  <c r="CE440" i="1"/>
  <c r="CF442" i="1"/>
  <c r="CJ442" i="1"/>
  <c r="CG442" i="1"/>
  <c r="CK442" i="1"/>
  <c r="CH442" i="1"/>
  <c r="CI442" i="1"/>
  <c r="CL442" i="1"/>
  <c r="CM442" i="1"/>
  <c r="CR442" i="1"/>
  <c r="CN442" i="1"/>
  <c r="CS442" i="1"/>
  <c r="CU442" i="1"/>
  <c r="CQ442" i="1"/>
  <c r="CO442" i="1"/>
  <c r="CT442" i="1"/>
  <c r="CP442" i="1"/>
  <c r="CB472" i="1"/>
  <c r="CA472" i="1"/>
  <c r="BZ472" i="1"/>
  <c r="BY472" i="1"/>
  <c r="BX472" i="1"/>
  <c r="BW472" i="1"/>
  <c r="BV472" i="1"/>
  <c r="CE472" i="1"/>
  <c r="CC472" i="1"/>
  <c r="CD472" i="1"/>
  <c r="CJ474" i="1"/>
  <c r="CK474" i="1"/>
  <c r="CF474" i="1"/>
  <c r="CG474" i="1"/>
  <c r="CL474" i="1"/>
  <c r="CH474" i="1"/>
  <c r="CI474" i="1"/>
  <c r="CM474" i="1"/>
  <c r="CP474" i="1"/>
  <c r="CO474" i="1"/>
  <c r="CT474" i="1"/>
  <c r="CQ474" i="1"/>
  <c r="CR474" i="1"/>
  <c r="CN474" i="1"/>
  <c r="CS474" i="1"/>
  <c r="CU474" i="1"/>
  <c r="CB504" i="1"/>
  <c r="CA504" i="1"/>
  <c r="BZ504" i="1"/>
  <c r="BY504" i="1"/>
  <c r="BW504" i="1"/>
  <c r="BV504" i="1"/>
  <c r="BX504" i="1"/>
  <c r="CE504" i="1"/>
  <c r="CC504" i="1"/>
  <c r="CD504" i="1"/>
  <c r="CJ506" i="1"/>
  <c r="CH506" i="1"/>
  <c r="CI506" i="1"/>
  <c r="CL506" i="1"/>
  <c r="CM506" i="1"/>
  <c r="CF506" i="1"/>
  <c r="CG506" i="1"/>
  <c r="CK506" i="1"/>
  <c r="CR506" i="1"/>
  <c r="CN506" i="1"/>
  <c r="CT506" i="1"/>
  <c r="CO506" i="1"/>
  <c r="CP506" i="1"/>
  <c r="CU506" i="1"/>
  <c r="CS506" i="1"/>
  <c r="CQ506" i="1"/>
  <c r="BW536" i="1"/>
  <c r="BV536" i="1"/>
  <c r="BX536" i="1"/>
  <c r="CB536" i="1"/>
  <c r="CA536" i="1"/>
  <c r="BZ536" i="1"/>
  <c r="BY536" i="1"/>
  <c r="CD536" i="1"/>
  <c r="CE536" i="1"/>
  <c r="CC536" i="1"/>
  <c r="CF538" i="1"/>
  <c r="CG538" i="1"/>
  <c r="CL538" i="1"/>
  <c r="CH538" i="1"/>
  <c r="CI538" i="1"/>
  <c r="CJ538" i="1"/>
  <c r="CM538" i="1"/>
  <c r="CK538" i="1"/>
  <c r="CQ538" i="1"/>
  <c r="CU538" i="1"/>
  <c r="CP538" i="1"/>
  <c r="CO538" i="1"/>
  <c r="CN538" i="1"/>
  <c r="CR538" i="1"/>
  <c r="CT538" i="1"/>
  <c r="CS538" i="1"/>
  <c r="BW568" i="1"/>
  <c r="BV568" i="1"/>
  <c r="CB568" i="1"/>
  <c r="CA568" i="1"/>
  <c r="BZ568" i="1"/>
  <c r="BX568" i="1"/>
  <c r="BY568" i="1"/>
  <c r="CD568" i="1"/>
  <c r="CE568" i="1"/>
  <c r="CC568" i="1"/>
  <c r="CG570" i="1"/>
  <c r="CK570" i="1"/>
  <c r="CH570" i="1"/>
  <c r="CI570" i="1"/>
  <c r="CL570" i="1"/>
  <c r="CF570" i="1"/>
  <c r="CJ570" i="1"/>
  <c r="CR570" i="1"/>
  <c r="CN570" i="1"/>
  <c r="CM570" i="1"/>
  <c r="CS570" i="1"/>
  <c r="CQ570" i="1"/>
  <c r="CT570" i="1"/>
  <c r="CO570" i="1"/>
  <c r="CP570" i="1"/>
  <c r="CU570" i="1"/>
  <c r="BW600" i="1"/>
  <c r="BV600" i="1"/>
  <c r="CB600" i="1"/>
  <c r="CA600" i="1"/>
  <c r="BZ600" i="1"/>
  <c r="BY600" i="1"/>
  <c r="BX600" i="1"/>
  <c r="CD600" i="1"/>
  <c r="CE600" i="1"/>
  <c r="CC600" i="1"/>
  <c r="CF602" i="1"/>
  <c r="CJ602" i="1"/>
  <c r="CM602" i="1"/>
  <c r="CG602" i="1"/>
  <c r="CK602" i="1"/>
  <c r="CH602" i="1"/>
  <c r="CI602" i="1"/>
  <c r="CL602" i="1"/>
  <c r="CP602" i="1"/>
  <c r="CO602" i="1"/>
  <c r="CT602" i="1"/>
  <c r="CQ602" i="1"/>
  <c r="CU602" i="1"/>
  <c r="CN602" i="1"/>
  <c r="CR602" i="1"/>
  <c r="CS602" i="1"/>
  <c r="CH265" i="1"/>
  <c r="CP265" i="1"/>
  <c r="CG265" i="1"/>
  <c r="CM265" i="1"/>
  <c r="CF265" i="1"/>
  <c r="CI265" i="1"/>
  <c r="CL265" i="1"/>
  <c r="CS265" i="1"/>
  <c r="CJ265" i="1"/>
  <c r="CK265" i="1"/>
  <c r="CO265" i="1"/>
  <c r="CT265" i="1"/>
  <c r="CQ265" i="1"/>
  <c r="CU265" i="1"/>
  <c r="CR265" i="1"/>
  <c r="CN265" i="1"/>
  <c r="BW118" i="1"/>
  <c r="BV118" i="1"/>
  <c r="CB118" i="1"/>
  <c r="CA118" i="1"/>
  <c r="BZ118" i="1"/>
  <c r="BY118" i="1"/>
  <c r="BX118" i="1"/>
  <c r="CC118" i="1"/>
  <c r="CE118" i="1"/>
  <c r="CD118" i="1"/>
  <c r="BW150" i="1"/>
  <c r="BV150" i="1"/>
  <c r="CB150" i="1"/>
  <c r="CA150" i="1"/>
  <c r="BZ150" i="1"/>
  <c r="BY150" i="1"/>
  <c r="BX150" i="1"/>
  <c r="CD150" i="1"/>
  <c r="CC150" i="1"/>
  <c r="CE150" i="1"/>
  <c r="CG184" i="1"/>
  <c r="CL184" i="1"/>
  <c r="CM184" i="1"/>
  <c r="CO184" i="1"/>
  <c r="CI184" i="1"/>
  <c r="CJ184" i="1"/>
  <c r="CK184" i="1"/>
  <c r="CF184" i="1"/>
  <c r="CH184" i="1"/>
  <c r="CQ184" i="1"/>
  <c r="CP184" i="1"/>
  <c r="CR184" i="1"/>
  <c r="CN184" i="1"/>
  <c r="CS184" i="1"/>
  <c r="CU184" i="1"/>
  <c r="CT184" i="1"/>
  <c r="CB214" i="1"/>
  <c r="CA214" i="1"/>
  <c r="BZ214" i="1"/>
  <c r="BY214" i="1"/>
  <c r="BX214" i="1"/>
  <c r="BW214" i="1"/>
  <c r="BV214" i="1"/>
  <c r="CE214" i="1"/>
  <c r="CC214" i="1"/>
  <c r="CD214" i="1"/>
  <c r="CJ216" i="1"/>
  <c r="CI216" i="1"/>
  <c r="CL216" i="1"/>
  <c r="CM216" i="1"/>
  <c r="CF216" i="1"/>
  <c r="CN216" i="1"/>
  <c r="CH216" i="1"/>
  <c r="CK216" i="1"/>
  <c r="CS216" i="1"/>
  <c r="CQ216" i="1"/>
  <c r="CT216" i="1"/>
  <c r="CG216" i="1"/>
  <c r="CU216" i="1"/>
  <c r="CP216" i="1"/>
  <c r="CO216" i="1"/>
  <c r="CR216" i="1"/>
  <c r="CB246" i="1"/>
  <c r="CA246" i="1"/>
  <c r="BZ246" i="1"/>
  <c r="BY246" i="1"/>
  <c r="BX246" i="1"/>
  <c r="BW246" i="1"/>
  <c r="BV246" i="1"/>
  <c r="CE246" i="1"/>
  <c r="CC246" i="1"/>
  <c r="CD246" i="1"/>
  <c r="CM248" i="1"/>
  <c r="CL248" i="1"/>
  <c r="CH248" i="1"/>
  <c r="CG248" i="1"/>
  <c r="CK248" i="1"/>
  <c r="CJ248" i="1"/>
  <c r="CI248" i="1"/>
  <c r="CF248" i="1"/>
  <c r="CR248" i="1"/>
  <c r="CO248" i="1"/>
  <c r="CN248" i="1"/>
  <c r="CP248" i="1"/>
  <c r="CU248" i="1"/>
  <c r="CT248" i="1"/>
  <c r="CS248" i="1"/>
  <c r="CQ248" i="1"/>
  <c r="BW278" i="1"/>
  <c r="BV278" i="1"/>
  <c r="CB278" i="1"/>
  <c r="CA278" i="1"/>
  <c r="BZ278" i="1"/>
  <c r="BY278" i="1"/>
  <c r="BX278" i="1"/>
  <c r="CD278" i="1"/>
  <c r="CC278" i="1"/>
  <c r="CE278" i="1"/>
  <c r="CK280" i="1"/>
  <c r="CM280" i="1"/>
  <c r="CP280" i="1"/>
  <c r="CG280" i="1"/>
  <c r="CL280" i="1"/>
  <c r="CH280" i="1"/>
  <c r="CF280" i="1"/>
  <c r="CI280" i="1"/>
  <c r="CJ280" i="1"/>
  <c r="CU280" i="1"/>
  <c r="CO280" i="1"/>
  <c r="CN280" i="1"/>
  <c r="CS280" i="1"/>
  <c r="CQ280" i="1"/>
  <c r="CT280" i="1"/>
  <c r="CR280" i="1"/>
  <c r="CB310" i="1"/>
  <c r="CA310" i="1"/>
  <c r="BZ310" i="1"/>
  <c r="BY310" i="1"/>
  <c r="BX310" i="1"/>
  <c r="BW310" i="1"/>
  <c r="BV310" i="1"/>
  <c r="CD310" i="1"/>
  <c r="CC310" i="1"/>
  <c r="CE310" i="1"/>
  <c r="CH312" i="1"/>
  <c r="CG312" i="1"/>
  <c r="CK312" i="1"/>
  <c r="CF312" i="1"/>
  <c r="CJ312" i="1"/>
  <c r="CI312" i="1"/>
  <c r="CL312" i="1"/>
  <c r="CO312" i="1"/>
  <c r="CM312" i="1"/>
  <c r="CP312" i="1"/>
  <c r="CR312" i="1"/>
  <c r="CN312" i="1"/>
  <c r="CQ312" i="1"/>
  <c r="CU312" i="1"/>
  <c r="CT312" i="1"/>
  <c r="CS312" i="1"/>
  <c r="CB342" i="1"/>
  <c r="CA342" i="1"/>
  <c r="BZ342" i="1"/>
  <c r="BY342" i="1"/>
  <c r="BX342" i="1"/>
  <c r="BW342" i="1"/>
  <c r="BV342" i="1"/>
  <c r="CD342" i="1"/>
  <c r="CC342" i="1"/>
  <c r="CE342" i="1"/>
  <c r="CK344" i="1"/>
  <c r="CJ344" i="1"/>
  <c r="CG344" i="1"/>
  <c r="CN344" i="1"/>
  <c r="CL344" i="1"/>
  <c r="CH344" i="1"/>
  <c r="CM344" i="1"/>
  <c r="CI344" i="1"/>
  <c r="CF344" i="1"/>
  <c r="CS344" i="1"/>
  <c r="CQ344" i="1"/>
  <c r="CP344" i="1"/>
  <c r="CT344" i="1"/>
  <c r="CU344" i="1"/>
  <c r="CO344" i="1"/>
  <c r="CR344" i="1"/>
  <c r="CB374" i="1"/>
  <c r="CA374" i="1"/>
  <c r="BZ374" i="1"/>
  <c r="BY374" i="1"/>
  <c r="BX374" i="1"/>
  <c r="BW374" i="1"/>
  <c r="BV374" i="1"/>
  <c r="CC374" i="1"/>
  <c r="CE374" i="1"/>
  <c r="CD374" i="1"/>
  <c r="CG376" i="1"/>
  <c r="CF376" i="1"/>
  <c r="CI376" i="1"/>
  <c r="CK376" i="1"/>
  <c r="CJ376" i="1"/>
  <c r="CH376" i="1"/>
  <c r="CR376" i="1"/>
  <c r="CL376" i="1"/>
  <c r="CM376" i="1"/>
  <c r="CO376" i="1"/>
  <c r="CP376" i="1"/>
  <c r="CT376" i="1"/>
  <c r="CS376" i="1"/>
  <c r="CQ376" i="1"/>
  <c r="CN376" i="1"/>
  <c r="CU376" i="1"/>
  <c r="CB406" i="1"/>
  <c r="CA406" i="1"/>
  <c r="BZ406" i="1"/>
  <c r="BY406" i="1"/>
  <c r="BX406" i="1"/>
  <c r="BW406" i="1"/>
  <c r="BV406" i="1"/>
  <c r="CE406" i="1"/>
  <c r="CC406" i="1"/>
  <c r="CD406" i="1"/>
  <c r="CL408" i="1"/>
  <c r="CK408" i="1"/>
  <c r="CF408" i="1"/>
  <c r="CH408" i="1"/>
  <c r="CG408" i="1"/>
  <c r="CU408" i="1"/>
  <c r="CI408" i="1"/>
  <c r="CJ408" i="1"/>
  <c r="CS408" i="1"/>
  <c r="CM408" i="1"/>
  <c r="CN408" i="1"/>
  <c r="CT408" i="1"/>
  <c r="CR408" i="1"/>
  <c r="CO408" i="1"/>
  <c r="CQ408" i="1"/>
  <c r="CP408" i="1"/>
  <c r="CB438" i="1"/>
  <c r="CA438" i="1"/>
  <c r="BZ438" i="1"/>
  <c r="BY438" i="1"/>
  <c r="BX438" i="1"/>
  <c r="BW438" i="1"/>
  <c r="BV438" i="1"/>
  <c r="CE438" i="1"/>
  <c r="CC438" i="1"/>
  <c r="CD438" i="1"/>
  <c r="CH440" i="1"/>
  <c r="CL440" i="1"/>
  <c r="CF440" i="1"/>
  <c r="CI440" i="1"/>
  <c r="CG440" i="1"/>
  <c r="CJ440" i="1"/>
  <c r="CR440" i="1"/>
  <c r="CK440" i="1"/>
  <c r="CM440" i="1"/>
  <c r="CU440" i="1"/>
  <c r="CP440" i="1"/>
  <c r="CT440" i="1"/>
  <c r="CS440" i="1"/>
  <c r="CN440" i="1"/>
  <c r="CQ440" i="1"/>
  <c r="CO440" i="1"/>
  <c r="CB470" i="1"/>
  <c r="CA470" i="1"/>
  <c r="BZ470" i="1"/>
  <c r="BY470" i="1"/>
  <c r="BX470" i="1"/>
  <c r="BW470" i="1"/>
  <c r="BV470" i="1"/>
  <c r="CD470" i="1"/>
  <c r="CC470" i="1"/>
  <c r="CE470" i="1"/>
  <c r="CK472" i="1"/>
  <c r="CM472" i="1"/>
  <c r="CH472" i="1"/>
  <c r="CJ472" i="1"/>
  <c r="CG472" i="1"/>
  <c r="CF472" i="1"/>
  <c r="CS472" i="1"/>
  <c r="CN472" i="1"/>
  <c r="CQ472" i="1"/>
  <c r="CT472" i="1"/>
  <c r="CU472" i="1"/>
  <c r="CI472" i="1"/>
  <c r="CL472" i="1"/>
  <c r="CP472" i="1"/>
  <c r="CR472" i="1"/>
  <c r="CO472" i="1"/>
  <c r="CB502" i="1"/>
  <c r="BV502" i="1"/>
  <c r="CA502" i="1"/>
  <c r="BZ502" i="1"/>
  <c r="BY502" i="1"/>
  <c r="BX502" i="1"/>
  <c r="BW502" i="1"/>
  <c r="CD502" i="1"/>
  <c r="CC502" i="1"/>
  <c r="CE502" i="1"/>
  <c r="CG504" i="1"/>
  <c r="CM504" i="1"/>
  <c r="CR504" i="1"/>
  <c r="CO504" i="1"/>
  <c r="CP504" i="1"/>
  <c r="CH504" i="1"/>
  <c r="CK504" i="1"/>
  <c r="CF504" i="1"/>
  <c r="CI504" i="1"/>
  <c r="CJ504" i="1"/>
  <c r="CL504" i="1"/>
  <c r="CN504" i="1"/>
  <c r="CU504" i="1"/>
  <c r="CT504" i="1"/>
  <c r="CS504" i="1"/>
  <c r="CQ504" i="1"/>
  <c r="CA534" i="1"/>
  <c r="BZ534" i="1"/>
  <c r="BX534" i="1"/>
  <c r="BW534" i="1"/>
  <c r="BV534" i="1"/>
  <c r="CB534" i="1"/>
  <c r="BY534" i="1"/>
  <c r="CE534" i="1"/>
  <c r="CC534" i="1"/>
  <c r="CD534" i="1"/>
  <c r="CH536" i="1"/>
  <c r="CJ536" i="1"/>
  <c r="CL536" i="1"/>
  <c r="CG536" i="1"/>
  <c r="CU536" i="1"/>
  <c r="CM536" i="1"/>
  <c r="CS536" i="1"/>
  <c r="CN536" i="1"/>
  <c r="CI536" i="1"/>
  <c r="CK536" i="1"/>
  <c r="CF536" i="1"/>
  <c r="CO536" i="1"/>
  <c r="CQ536" i="1"/>
  <c r="CP536" i="1"/>
  <c r="CT536" i="1"/>
  <c r="CR536" i="1"/>
  <c r="CA566" i="1"/>
  <c r="BZ566" i="1"/>
  <c r="CB566" i="1"/>
  <c r="BY566" i="1"/>
  <c r="BX566" i="1"/>
  <c r="BW566" i="1"/>
  <c r="BV566" i="1"/>
  <c r="CE566" i="1"/>
  <c r="CC566" i="1"/>
  <c r="CD566" i="1"/>
  <c r="CL568" i="1"/>
  <c r="CM568" i="1"/>
  <c r="CI568" i="1"/>
  <c r="CH568" i="1"/>
  <c r="CG568" i="1"/>
  <c r="CK568" i="1"/>
  <c r="CF568" i="1"/>
  <c r="CR568" i="1"/>
  <c r="CJ568" i="1"/>
  <c r="CN568" i="1"/>
  <c r="CQ568" i="1"/>
  <c r="CO568" i="1"/>
  <c r="CP568" i="1"/>
  <c r="CU568" i="1"/>
  <c r="CT568" i="1"/>
  <c r="CS568" i="1"/>
  <c r="CA598" i="1"/>
  <c r="BZ598" i="1"/>
  <c r="CB598" i="1"/>
  <c r="BY598" i="1"/>
  <c r="BX598" i="1"/>
  <c r="BW598" i="1"/>
  <c r="BV598" i="1"/>
  <c r="CC598" i="1"/>
  <c r="CE598" i="1"/>
  <c r="CD598" i="1"/>
  <c r="CG600" i="1"/>
  <c r="CI600" i="1"/>
  <c r="CK600" i="1"/>
  <c r="CJ600" i="1"/>
  <c r="CS600" i="1"/>
  <c r="CN600" i="1"/>
  <c r="CL600" i="1"/>
  <c r="CM600" i="1"/>
  <c r="CF600" i="1"/>
  <c r="CQ600" i="1"/>
  <c r="CT600" i="1"/>
  <c r="CU600" i="1"/>
  <c r="CR600" i="1"/>
  <c r="CO600" i="1"/>
  <c r="CP600" i="1"/>
  <c r="CH600" i="1"/>
  <c r="BY295" i="1"/>
  <c r="BX295" i="1"/>
  <c r="BW295" i="1"/>
  <c r="BV295" i="1"/>
  <c r="CB295" i="1"/>
  <c r="CA295" i="1"/>
  <c r="BZ295" i="1"/>
  <c r="CE295" i="1"/>
  <c r="CC295" i="1"/>
  <c r="CD295" i="1"/>
  <c r="CP553" i="1"/>
  <c r="CQ553" i="1"/>
  <c r="CR553" i="1"/>
  <c r="CM553" i="1"/>
  <c r="CU553" i="1"/>
  <c r="CL553" i="1"/>
  <c r="CG553" i="1"/>
  <c r="CH553" i="1"/>
  <c r="CN553" i="1"/>
  <c r="CF553" i="1"/>
  <c r="CT553" i="1"/>
  <c r="CJ553" i="1"/>
  <c r="CI553" i="1"/>
  <c r="CK553" i="1"/>
  <c r="CO553" i="1"/>
  <c r="CS553" i="1"/>
  <c r="CM24" i="1"/>
  <c r="CL24" i="1"/>
  <c r="CK24" i="1"/>
  <c r="CG24" i="1"/>
  <c r="CF24" i="1"/>
  <c r="CH24" i="1"/>
  <c r="CI24" i="1"/>
  <c r="CJ24" i="1"/>
  <c r="CR24" i="1"/>
  <c r="CO24" i="1"/>
  <c r="CN24" i="1"/>
  <c r="CP24" i="1"/>
  <c r="CQ24" i="1"/>
  <c r="CU24" i="1"/>
  <c r="CS24" i="1"/>
  <c r="CT24" i="1"/>
  <c r="CL56" i="1"/>
  <c r="CK56" i="1"/>
  <c r="CJ56" i="1"/>
  <c r="CG56" i="1"/>
  <c r="CM56" i="1"/>
  <c r="CN56" i="1"/>
  <c r="CF56" i="1"/>
  <c r="CO56" i="1"/>
  <c r="CH56" i="1"/>
  <c r="CP56" i="1"/>
  <c r="CI56" i="1"/>
  <c r="CU56" i="1"/>
  <c r="CS56" i="1"/>
  <c r="CR56" i="1"/>
  <c r="CT56" i="1"/>
  <c r="CQ56" i="1"/>
  <c r="CH88" i="1"/>
  <c r="CG88" i="1"/>
  <c r="CK88" i="1"/>
  <c r="CL88" i="1"/>
  <c r="CJ88" i="1"/>
  <c r="CF88" i="1"/>
  <c r="CN88" i="1"/>
  <c r="CQ88" i="1"/>
  <c r="CM88" i="1"/>
  <c r="CI88" i="1"/>
  <c r="CU88" i="1"/>
  <c r="CS88" i="1"/>
  <c r="CR88" i="1"/>
  <c r="CT88" i="1"/>
  <c r="CP88" i="1"/>
  <c r="CO88" i="1"/>
  <c r="CK120" i="1"/>
  <c r="CF120" i="1"/>
  <c r="CL120" i="1"/>
  <c r="CM120" i="1"/>
  <c r="CJ120" i="1"/>
  <c r="CG120" i="1"/>
  <c r="CH120" i="1"/>
  <c r="CI120" i="1"/>
  <c r="CP120" i="1"/>
  <c r="CO120" i="1"/>
  <c r="CN120" i="1"/>
  <c r="CS120" i="1"/>
  <c r="CU120" i="1"/>
  <c r="CR120" i="1"/>
  <c r="CQ120" i="1"/>
  <c r="CT120" i="1"/>
  <c r="CI152" i="1"/>
  <c r="CF152" i="1"/>
  <c r="CH152" i="1"/>
  <c r="CG152" i="1"/>
  <c r="CJ152" i="1"/>
  <c r="CK152" i="1"/>
  <c r="CL152" i="1"/>
  <c r="CR152" i="1"/>
  <c r="CP152" i="1"/>
  <c r="CM152" i="1"/>
  <c r="CO152" i="1"/>
  <c r="CN152" i="1"/>
  <c r="CS152" i="1"/>
  <c r="CU152" i="1"/>
  <c r="CT152" i="1"/>
  <c r="CQ152" i="1"/>
  <c r="BW182" i="1"/>
  <c r="BV182" i="1"/>
  <c r="CB182" i="1"/>
  <c r="CA182" i="1"/>
  <c r="BZ182" i="1"/>
  <c r="BY182" i="1"/>
  <c r="BX182" i="1"/>
  <c r="CE182" i="1"/>
  <c r="CC182" i="1"/>
  <c r="CD182" i="1"/>
  <c r="CF7" i="1"/>
  <c r="CG7" i="1"/>
  <c r="CQ7" i="1"/>
  <c r="CS7" i="1"/>
  <c r="CO7" i="1"/>
  <c r="CT7" i="1"/>
  <c r="CJ7" i="1"/>
  <c r="CI7" i="1"/>
  <c r="CH7" i="1"/>
  <c r="CL7" i="1"/>
  <c r="CM7" i="1"/>
  <c r="CR7" i="1"/>
  <c r="CN7" i="1"/>
  <c r="CU7" i="1"/>
  <c r="CP7" i="1"/>
  <c r="CK7" i="1"/>
  <c r="CB37" i="1"/>
  <c r="CA37" i="1"/>
  <c r="BZ37" i="1"/>
  <c r="BY37" i="1"/>
  <c r="BV37" i="1"/>
  <c r="BX37" i="1"/>
  <c r="BW37" i="1"/>
  <c r="CC37" i="1"/>
  <c r="CE37" i="1"/>
  <c r="CD37" i="1"/>
  <c r="CG39" i="1"/>
  <c r="CL39" i="1"/>
  <c r="CI39" i="1"/>
  <c r="CR39" i="1"/>
  <c r="CQ39" i="1"/>
  <c r="CF39" i="1"/>
  <c r="CU39" i="1"/>
  <c r="CN39" i="1"/>
  <c r="CS39" i="1"/>
  <c r="CJ39" i="1"/>
  <c r="CT39" i="1"/>
  <c r="CM39" i="1"/>
  <c r="CP39" i="1"/>
  <c r="CH39" i="1"/>
  <c r="CO39" i="1"/>
  <c r="CK39" i="1"/>
  <c r="CB69" i="1"/>
  <c r="CA69" i="1"/>
  <c r="BZ69" i="1"/>
  <c r="BX69" i="1"/>
  <c r="BY69" i="1"/>
  <c r="BW69" i="1"/>
  <c r="BV69" i="1"/>
  <c r="CD69" i="1"/>
  <c r="CC69" i="1"/>
  <c r="CE69" i="1"/>
  <c r="CJ71" i="1"/>
  <c r="CK71" i="1"/>
  <c r="CF71" i="1"/>
  <c r="CL71" i="1"/>
  <c r="CS71" i="1"/>
  <c r="CP71" i="1"/>
  <c r="CG71" i="1"/>
  <c r="CO71" i="1"/>
  <c r="CU71" i="1"/>
  <c r="CN71" i="1"/>
  <c r="CT71" i="1"/>
  <c r="CM71" i="1"/>
  <c r="CI71" i="1"/>
  <c r="CR71" i="1"/>
  <c r="CQ71" i="1"/>
  <c r="CH71" i="1"/>
  <c r="CB101" i="1"/>
  <c r="CA101" i="1"/>
  <c r="BZ101" i="1"/>
  <c r="BY101" i="1"/>
  <c r="BX101" i="1"/>
  <c r="BW101" i="1"/>
  <c r="BV101" i="1"/>
  <c r="CD101" i="1"/>
  <c r="CC101" i="1"/>
  <c r="CE101" i="1"/>
  <c r="CH103" i="1"/>
  <c r="CM103" i="1"/>
  <c r="CR103" i="1"/>
  <c r="CK103" i="1"/>
  <c r="CF103" i="1"/>
  <c r="CG103" i="1"/>
  <c r="CQ103" i="1"/>
  <c r="CJ103" i="1"/>
  <c r="CO103" i="1"/>
  <c r="CU103" i="1"/>
  <c r="CN103" i="1"/>
  <c r="CT103" i="1"/>
  <c r="CI103" i="1"/>
  <c r="CS103" i="1"/>
  <c r="CL103" i="1"/>
  <c r="CP103" i="1"/>
  <c r="BZ133" i="1"/>
  <c r="BY133" i="1"/>
  <c r="BX133" i="1"/>
  <c r="BW133" i="1"/>
  <c r="BV133" i="1"/>
  <c r="CB133" i="1"/>
  <c r="CA133" i="1"/>
  <c r="CD133" i="1"/>
  <c r="CC133" i="1"/>
  <c r="CE133" i="1"/>
  <c r="CF135" i="1"/>
  <c r="CG135" i="1"/>
  <c r="CQ135" i="1"/>
  <c r="CU135" i="1"/>
  <c r="CO135" i="1"/>
  <c r="CJ135" i="1"/>
  <c r="CI135" i="1"/>
  <c r="CH135" i="1"/>
  <c r="CL135" i="1"/>
  <c r="CM135" i="1"/>
  <c r="CR135" i="1"/>
  <c r="CP135" i="1"/>
  <c r="CK135" i="1"/>
  <c r="CN135" i="1"/>
  <c r="CT135" i="1"/>
  <c r="CS135" i="1"/>
  <c r="CB165" i="1"/>
  <c r="CA165" i="1"/>
  <c r="BZ165" i="1"/>
  <c r="BY165" i="1"/>
  <c r="BX165" i="1"/>
  <c r="BW165" i="1"/>
  <c r="BV165" i="1"/>
  <c r="CD165" i="1"/>
  <c r="CC165" i="1"/>
  <c r="CE165" i="1"/>
  <c r="CT167" i="1"/>
  <c r="CG167" i="1"/>
  <c r="CK167" i="1"/>
  <c r="CI167" i="1"/>
  <c r="CF167" i="1"/>
  <c r="CL167" i="1"/>
  <c r="CS167" i="1"/>
  <c r="CR167" i="1"/>
  <c r="CH167" i="1"/>
  <c r="CP167" i="1"/>
  <c r="CQ167" i="1"/>
  <c r="CJ167" i="1"/>
  <c r="CO167" i="1"/>
  <c r="CU167" i="1"/>
  <c r="CM167" i="1"/>
  <c r="CN167" i="1"/>
  <c r="CB197" i="1"/>
  <c r="CA197" i="1"/>
  <c r="BZ197" i="1"/>
  <c r="BY197" i="1"/>
  <c r="BX197" i="1"/>
  <c r="BW197" i="1"/>
  <c r="BV197" i="1"/>
  <c r="CD197" i="1"/>
  <c r="CC197" i="1"/>
  <c r="CE197" i="1"/>
  <c r="CM199" i="1"/>
  <c r="CG199" i="1"/>
  <c r="CF199" i="1"/>
  <c r="CL199" i="1"/>
  <c r="CS199" i="1"/>
  <c r="CP199" i="1"/>
  <c r="CH199" i="1"/>
  <c r="CI199" i="1"/>
  <c r="CU199" i="1"/>
  <c r="CN199" i="1"/>
  <c r="CT199" i="1"/>
  <c r="CR199" i="1"/>
  <c r="CK199" i="1"/>
  <c r="CQ199" i="1"/>
  <c r="CJ199" i="1"/>
  <c r="CO199" i="1"/>
  <c r="CB229" i="1"/>
  <c r="CA229" i="1"/>
  <c r="BZ229" i="1"/>
  <c r="BY229" i="1"/>
  <c r="BX229" i="1"/>
  <c r="BW229" i="1"/>
  <c r="BV229" i="1"/>
  <c r="CD229" i="1"/>
  <c r="CE229" i="1"/>
  <c r="CC229" i="1"/>
  <c r="CF231" i="1"/>
  <c r="CR231" i="1"/>
  <c r="CG231" i="1"/>
  <c r="CK231" i="1"/>
  <c r="CM231" i="1"/>
  <c r="CO231" i="1"/>
  <c r="CI231" i="1"/>
  <c r="CU231" i="1"/>
  <c r="CL231" i="1"/>
  <c r="CN231" i="1"/>
  <c r="CT231" i="1"/>
  <c r="CH231" i="1"/>
  <c r="CS231" i="1"/>
  <c r="CP231" i="1"/>
  <c r="CJ231" i="1"/>
  <c r="CQ231" i="1"/>
  <c r="CB261" i="1"/>
  <c r="CA261" i="1"/>
  <c r="BZ261" i="1"/>
  <c r="BY261" i="1"/>
  <c r="BX261" i="1"/>
  <c r="BW261" i="1"/>
  <c r="BV261" i="1"/>
  <c r="CD261" i="1"/>
  <c r="CE261" i="1"/>
  <c r="CC261" i="1"/>
  <c r="CG263" i="1"/>
  <c r="CF263" i="1"/>
  <c r="CI263" i="1"/>
  <c r="CQ263" i="1"/>
  <c r="CU263" i="1"/>
  <c r="CO263" i="1"/>
  <c r="CJ263" i="1"/>
  <c r="CH263" i="1"/>
  <c r="CL263" i="1"/>
  <c r="CM263" i="1"/>
  <c r="CN263" i="1"/>
  <c r="CT263" i="1"/>
  <c r="CS263" i="1"/>
  <c r="CR263" i="1"/>
  <c r="CP263" i="1"/>
  <c r="CK263" i="1"/>
  <c r="CB293" i="1"/>
  <c r="CA293" i="1"/>
  <c r="BZ293" i="1"/>
  <c r="BY293" i="1"/>
  <c r="BX293" i="1"/>
  <c r="BW293" i="1"/>
  <c r="BV293" i="1"/>
  <c r="CD293" i="1"/>
  <c r="CE293" i="1"/>
  <c r="CC293" i="1"/>
  <c r="CF295" i="1"/>
  <c r="CJ295" i="1"/>
  <c r="CK295" i="1"/>
  <c r="CT295" i="1"/>
  <c r="CI295" i="1"/>
  <c r="CG295" i="1"/>
  <c r="CS295" i="1"/>
  <c r="CR295" i="1"/>
  <c r="CQ295" i="1"/>
  <c r="CM295" i="1"/>
  <c r="CO295" i="1"/>
  <c r="CL295" i="1"/>
  <c r="CP295" i="1"/>
  <c r="CU295" i="1"/>
  <c r="CH295" i="1"/>
  <c r="CN295" i="1"/>
  <c r="CB325" i="1"/>
  <c r="CA325" i="1"/>
  <c r="BV325" i="1"/>
  <c r="BZ325" i="1"/>
  <c r="BY325" i="1"/>
  <c r="BX325" i="1"/>
  <c r="BW325" i="1"/>
  <c r="CD325" i="1"/>
  <c r="CE325" i="1"/>
  <c r="CC325" i="1"/>
  <c r="CH327" i="1"/>
  <c r="CL327" i="1"/>
  <c r="CS327" i="1"/>
  <c r="CM327" i="1"/>
  <c r="CF327" i="1"/>
  <c r="CG327" i="1"/>
  <c r="CK327" i="1"/>
  <c r="CJ327" i="1"/>
  <c r="CR327" i="1"/>
  <c r="CQ327" i="1"/>
  <c r="CI327" i="1"/>
  <c r="CN327" i="1"/>
  <c r="CU327" i="1"/>
  <c r="CT327" i="1"/>
  <c r="CP327" i="1"/>
  <c r="CO327" i="1"/>
  <c r="BY357" i="1"/>
  <c r="BX357" i="1"/>
  <c r="BW357" i="1"/>
  <c r="BV357" i="1"/>
  <c r="CB357" i="1"/>
  <c r="CA357" i="1"/>
  <c r="BZ357" i="1"/>
  <c r="CC357" i="1"/>
  <c r="CD357" i="1"/>
  <c r="CE357" i="1"/>
  <c r="CF359" i="1"/>
  <c r="CI359" i="1"/>
  <c r="CH359" i="1"/>
  <c r="CJ359" i="1"/>
  <c r="CG359" i="1"/>
  <c r="CP359" i="1"/>
  <c r="CK359" i="1"/>
  <c r="CQ359" i="1"/>
  <c r="CR359" i="1"/>
  <c r="CM359" i="1"/>
  <c r="CL359" i="1"/>
  <c r="CU359" i="1"/>
  <c r="CN359" i="1"/>
  <c r="CT359" i="1"/>
  <c r="CO359" i="1"/>
  <c r="CS359" i="1"/>
  <c r="BY389" i="1"/>
  <c r="BX389" i="1"/>
  <c r="BW389" i="1"/>
  <c r="BV389" i="1"/>
  <c r="CB389" i="1"/>
  <c r="CA389" i="1"/>
  <c r="BZ389" i="1"/>
  <c r="CC389" i="1"/>
  <c r="CD389" i="1"/>
  <c r="CE389" i="1"/>
  <c r="CM391" i="1"/>
  <c r="CL391" i="1"/>
  <c r="CN391" i="1"/>
  <c r="CJ391" i="1"/>
  <c r="CK391" i="1"/>
  <c r="CI391" i="1"/>
  <c r="CS391" i="1"/>
  <c r="CO391" i="1"/>
  <c r="CT391" i="1"/>
  <c r="CF391" i="1"/>
  <c r="CH391" i="1"/>
  <c r="CU391" i="1"/>
  <c r="CG391" i="1"/>
  <c r="CP391" i="1"/>
  <c r="CQ391" i="1"/>
  <c r="CR391" i="1"/>
  <c r="CB421" i="1"/>
  <c r="CA421" i="1"/>
  <c r="BZ421" i="1"/>
  <c r="BY421" i="1"/>
  <c r="BX421" i="1"/>
  <c r="BW421" i="1"/>
  <c r="BV421" i="1"/>
  <c r="CC421" i="1"/>
  <c r="CD421" i="1"/>
  <c r="CE421" i="1"/>
  <c r="CG423" i="1"/>
  <c r="CF423" i="1"/>
  <c r="CL423" i="1"/>
  <c r="CM423" i="1"/>
  <c r="CJ423" i="1"/>
  <c r="CI423" i="1"/>
  <c r="CK423" i="1"/>
  <c r="CP423" i="1"/>
  <c r="CQ423" i="1"/>
  <c r="CR423" i="1"/>
  <c r="CH423" i="1"/>
  <c r="CO423" i="1"/>
  <c r="CS423" i="1"/>
  <c r="CT423" i="1"/>
  <c r="CU423" i="1"/>
  <c r="CN423" i="1"/>
  <c r="CB453" i="1"/>
  <c r="CA453" i="1"/>
  <c r="BZ453" i="1"/>
  <c r="BY453" i="1"/>
  <c r="BX453" i="1"/>
  <c r="BW453" i="1"/>
  <c r="BV453" i="1"/>
  <c r="CE453" i="1"/>
  <c r="CC453" i="1"/>
  <c r="CD453" i="1"/>
  <c r="CG455" i="1"/>
  <c r="CH455" i="1"/>
  <c r="CU455" i="1"/>
  <c r="CL455" i="1"/>
  <c r="CM455" i="1"/>
  <c r="CN455" i="1"/>
  <c r="CJ455" i="1"/>
  <c r="CI455" i="1"/>
  <c r="CK455" i="1"/>
  <c r="CF455" i="1"/>
  <c r="CR455" i="1"/>
  <c r="CO455" i="1"/>
  <c r="CS455" i="1"/>
  <c r="CT455" i="1"/>
  <c r="CP455" i="1"/>
  <c r="CQ455" i="1"/>
  <c r="BW485" i="1"/>
  <c r="BV485" i="1"/>
  <c r="CB485" i="1"/>
  <c r="CA485" i="1"/>
  <c r="BZ485" i="1"/>
  <c r="BY485" i="1"/>
  <c r="BX485" i="1"/>
  <c r="CE485" i="1"/>
  <c r="CC485" i="1"/>
  <c r="CD485" i="1"/>
  <c r="CK487" i="1"/>
  <c r="CF487" i="1"/>
  <c r="CG487" i="1"/>
  <c r="CI487" i="1"/>
  <c r="CP487" i="1"/>
  <c r="CQ487" i="1"/>
  <c r="CH487" i="1"/>
  <c r="CR487" i="1"/>
  <c r="CL487" i="1"/>
  <c r="CJ487" i="1"/>
  <c r="CM487" i="1"/>
  <c r="CO487" i="1"/>
  <c r="CS487" i="1"/>
  <c r="CT487" i="1"/>
  <c r="CU487" i="1"/>
  <c r="CN487" i="1"/>
  <c r="CA517" i="1"/>
  <c r="BZ517" i="1"/>
  <c r="BY517" i="1"/>
  <c r="BX517" i="1"/>
  <c r="BW517" i="1"/>
  <c r="BV517" i="1"/>
  <c r="CB517" i="1"/>
  <c r="CC517" i="1"/>
  <c r="CD517" i="1"/>
  <c r="CE517" i="1"/>
  <c r="CG519" i="1"/>
  <c r="CM519" i="1"/>
  <c r="CI519" i="1"/>
  <c r="CL519" i="1"/>
  <c r="CJ519" i="1"/>
  <c r="CN519" i="1"/>
  <c r="CK519" i="1"/>
  <c r="CH519" i="1"/>
  <c r="CS519" i="1"/>
  <c r="CO519" i="1"/>
  <c r="CT519" i="1"/>
  <c r="CU519" i="1"/>
  <c r="CP519" i="1"/>
  <c r="CQ519" i="1"/>
  <c r="CR519" i="1"/>
  <c r="CF519" i="1"/>
  <c r="BX549" i="1"/>
  <c r="BW549" i="1"/>
  <c r="BV549" i="1"/>
  <c r="BY549" i="1"/>
  <c r="CB549" i="1"/>
  <c r="CA549" i="1"/>
  <c r="BZ549" i="1"/>
  <c r="CD549" i="1"/>
  <c r="CE549" i="1"/>
  <c r="CC549" i="1"/>
  <c r="CF551" i="1"/>
  <c r="CG551" i="1"/>
  <c r="CL551" i="1"/>
  <c r="CM551" i="1"/>
  <c r="CJ551" i="1"/>
  <c r="CI551" i="1"/>
  <c r="CK551" i="1"/>
  <c r="CP551" i="1"/>
  <c r="CQ551" i="1"/>
  <c r="CR551" i="1"/>
  <c r="CH551" i="1"/>
  <c r="CN551" i="1"/>
  <c r="CO551" i="1"/>
  <c r="CS551" i="1"/>
  <c r="CT551" i="1"/>
  <c r="CU551" i="1"/>
  <c r="BX581" i="1"/>
  <c r="BW581" i="1"/>
  <c r="BV581" i="1"/>
  <c r="CB581" i="1"/>
  <c r="CA581" i="1"/>
  <c r="BZ581" i="1"/>
  <c r="BY581" i="1"/>
  <c r="CD581" i="1"/>
  <c r="CE581" i="1"/>
  <c r="CC581" i="1"/>
  <c r="CF583" i="1"/>
  <c r="CJ583" i="1"/>
  <c r="CL583" i="1"/>
  <c r="CU583" i="1"/>
  <c r="CG583" i="1"/>
  <c r="CM583" i="1"/>
  <c r="CN583" i="1"/>
  <c r="CI583" i="1"/>
  <c r="CK583" i="1"/>
  <c r="CH583" i="1"/>
  <c r="CT583" i="1"/>
  <c r="CP583" i="1"/>
  <c r="CQ583" i="1"/>
  <c r="CR583" i="1"/>
  <c r="CO583" i="1"/>
  <c r="CS583" i="1"/>
  <c r="CP361" i="1"/>
  <c r="CF361" i="1"/>
  <c r="CL361" i="1"/>
  <c r="CH361" i="1"/>
  <c r="CK361" i="1"/>
  <c r="CG361" i="1"/>
  <c r="CI361" i="1"/>
  <c r="CJ361" i="1"/>
  <c r="CQ361" i="1"/>
  <c r="CM361" i="1"/>
  <c r="CN361" i="1"/>
  <c r="CU361" i="1"/>
  <c r="CO361" i="1"/>
  <c r="CS361" i="1"/>
  <c r="CT361" i="1"/>
  <c r="CR361" i="1"/>
  <c r="CP393" i="1"/>
  <c r="CG393" i="1"/>
  <c r="CI393" i="1"/>
  <c r="CM393" i="1"/>
  <c r="CJ393" i="1"/>
  <c r="CK393" i="1"/>
  <c r="CL393" i="1"/>
  <c r="CF393" i="1"/>
  <c r="CH393" i="1"/>
  <c r="CS393" i="1"/>
  <c r="CR393" i="1"/>
  <c r="CQ393" i="1"/>
  <c r="CO393" i="1"/>
  <c r="CN393" i="1"/>
  <c r="CT393" i="1"/>
  <c r="CU393" i="1"/>
  <c r="CP425" i="1"/>
  <c r="CJ425" i="1"/>
  <c r="CM425" i="1"/>
  <c r="CF425" i="1"/>
  <c r="CH425" i="1"/>
  <c r="CL425" i="1"/>
  <c r="CQ425" i="1"/>
  <c r="CR425" i="1"/>
  <c r="CU425" i="1"/>
  <c r="CK425" i="1"/>
  <c r="CG425" i="1"/>
  <c r="CI425" i="1"/>
  <c r="CN425" i="1"/>
  <c r="CS425" i="1"/>
  <c r="CO425" i="1"/>
  <c r="CT425" i="1"/>
  <c r="BX455" i="1"/>
  <c r="BW455" i="1"/>
  <c r="BV455" i="1"/>
  <c r="CA455" i="1"/>
  <c r="BZ455" i="1"/>
  <c r="BY455" i="1"/>
  <c r="CB455" i="1"/>
  <c r="CD455" i="1"/>
  <c r="CC455" i="1"/>
  <c r="CE455" i="1"/>
  <c r="CI489" i="1"/>
  <c r="CP489" i="1"/>
  <c r="CF489" i="1"/>
  <c r="CH489" i="1"/>
  <c r="CL489" i="1"/>
  <c r="CM489" i="1"/>
  <c r="CJ489" i="1"/>
  <c r="CK489" i="1"/>
  <c r="CG489" i="1"/>
  <c r="CQ489" i="1"/>
  <c r="CU489" i="1"/>
  <c r="CN489" i="1"/>
  <c r="CT489" i="1"/>
  <c r="CR489" i="1"/>
  <c r="CO489" i="1"/>
  <c r="CS489" i="1"/>
  <c r="CB519" i="1"/>
  <c r="CA519" i="1"/>
  <c r="BZ519" i="1"/>
  <c r="BY519" i="1"/>
  <c r="BX519" i="1"/>
  <c r="BW519" i="1"/>
  <c r="BV519" i="1"/>
  <c r="CD519" i="1"/>
  <c r="CE519" i="1"/>
  <c r="CC519" i="1"/>
  <c r="BV551" i="1"/>
  <c r="BX551" i="1"/>
  <c r="BW551" i="1"/>
  <c r="CB551" i="1"/>
  <c r="CA551" i="1"/>
  <c r="BZ551" i="1"/>
  <c r="BY551" i="1"/>
  <c r="CD551" i="1"/>
  <c r="CE551" i="1"/>
  <c r="CC551" i="1"/>
  <c r="BX22" i="1"/>
  <c r="BW22" i="1"/>
  <c r="BV22" i="1"/>
  <c r="CB22" i="1"/>
  <c r="CA22" i="1"/>
  <c r="BZ22" i="1"/>
  <c r="BY22" i="1"/>
  <c r="CE22" i="1"/>
  <c r="CC22" i="1"/>
  <c r="CD22" i="1"/>
  <c r="BX54" i="1"/>
  <c r="BW54" i="1"/>
  <c r="BV54" i="1"/>
  <c r="CB54" i="1"/>
  <c r="CA54" i="1"/>
  <c r="BZ54" i="1"/>
  <c r="BY54" i="1"/>
  <c r="CD54" i="1"/>
  <c r="CE54" i="1"/>
  <c r="CC54" i="1"/>
  <c r="BX86" i="1"/>
  <c r="BW86" i="1"/>
  <c r="BV86" i="1"/>
  <c r="CB86" i="1"/>
  <c r="CA86" i="1"/>
  <c r="BZ86" i="1"/>
  <c r="BY86" i="1"/>
  <c r="CD86" i="1"/>
  <c r="CE86" i="1"/>
  <c r="CC86" i="1"/>
  <c r="CB20" i="1"/>
  <c r="CA20" i="1"/>
  <c r="BZ20" i="1"/>
  <c r="BY20" i="1"/>
  <c r="BX20" i="1"/>
  <c r="BW20" i="1"/>
  <c r="BV20" i="1"/>
  <c r="CE20" i="1"/>
  <c r="CC20" i="1"/>
  <c r="CD20" i="1"/>
  <c r="CI22" i="1"/>
  <c r="CG22" i="1"/>
  <c r="CL22" i="1"/>
  <c r="CJ22" i="1"/>
  <c r="CM22" i="1"/>
  <c r="CH22" i="1"/>
  <c r="CK22" i="1"/>
  <c r="CN22" i="1"/>
  <c r="CR22" i="1"/>
  <c r="CO22" i="1"/>
  <c r="CT22" i="1"/>
  <c r="CP22" i="1"/>
  <c r="CF22" i="1"/>
  <c r="CQ22" i="1"/>
  <c r="CU22" i="1"/>
  <c r="CS22" i="1"/>
  <c r="CB52" i="1"/>
  <c r="CA52" i="1"/>
  <c r="BZ52" i="1"/>
  <c r="BY52" i="1"/>
  <c r="BX52" i="1"/>
  <c r="BW52" i="1"/>
  <c r="BV52" i="1"/>
  <c r="CD52" i="1"/>
  <c r="CE52" i="1"/>
  <c r="CC52" i="1"/>
  <c r="CH54" i="1"/>
  <c r="CK54" i="1"/>
  <c r="CI54" i="1"/>
  <c r="CG54" i="1"/>
  <c r="CL54" i="1"/>
  <c r="CJ54" i="1"/>
  <c r="CP54" i="1"/>
  <c r="CM54" i="1"/>
  <c r="CF54" i="1"/>
  <c r="CU54" i="1"/>
  <c r="CN54" i="1"/>
  <c r="CO54" i="1"/>
  <c r="CQ54" i="1"/>
  <c r="CT54" i="1"/>
  <c r="CR54" i="1"/>
  <c r="CS54" i="1"/>
  <c r="BW84" i="1"/>
  <c r="BV84" i="1"/>
  <c r="CB84" i="1"/>
  <c r="CA84" i="1"/>
  <c r="BZ84" i="1"/>
  <c r="BY84" i="1"/>
  <c r="BX84" i="1"/>
  <c r="CE84" i="1"/>
  <c r="CC84" i="1"/>
  <c r="CD84" i="1"/>
  <c r="CJ86" i="1"/>
  <c r="CM86" i="1"/>
  <c r="CH86" i="1"/>
  <c r="CK86" i="1"/>
  <c r="CI86" i="1"/>
  <c r="CG86" i="1"/>
  <c r="CL86" i="1"/>
  <c r="CF86" i="1"/>
  <c r="CT86" i="1"/>
  <c r="CO86" i="1"/>
  <c r="CR86" i="1"/>
  <c r="CN86" i="1"/>
  <c r="CS86" i="1"/>
  <c r="CQ86" i="1"/>
  <c r="CP86" i="1"/>
  <c r="CU86" i="1"/>
  <c r="CB116" i="1"/>
  <c r="CA116" i="1"/>
  <c r="BZ116" i="1"/>
  <c r="BY116" i="1"/>
  <c r="BX116" i="1"/>
  <c r="BW116" i="1"/>
  <c r="BV116" i="1"/>
  <c r="CE116" i="1"/>
  <c r="CC116" i="1"/>
  <c r="CD116" i="1"/>
  <c r="CI118" i="1"/>
  <c r="CG118" i="1"/>
  <c r="CL118" i="1"/>
  <c r="CJ118" i="1"/>
  <c r="CM118" i="1"/>
  <c r="CH118" i="1"/>
  <c r="CK118" i="1"/>
  <c r="CQ118" i="1"/>
  <c r="CF118" i="1"/>
  <c r="CN118" i="1"/>
  <c r="CP118" i="1"/>
  <c r="CU118" i="1"/>
  <c r="CS118" i="1"/>
  <c r="CT118" i="1"/>
  <c r="CO118" i="1"/>
  <c r="CR118" i="1"/>
  <c r="CB148" i="1"/>
  <c r="CA148" i="1"/>
  <c r="BZ148" i="1"/>
  <c r="BY148" i="1"/>
  <c r="BX148" i="1"/>
  <c r="BW148" i="1"/>
  <c r="BV148" i="1"/>
  <c r="CC148" i="1"/>
  <c r="CD148" i="1"/>
  <c r="CE148" i="1"/>
  <c r="CI150" i="1"/>
  <c r="CG150" i="1"/>
  <c r="CK150" i="1"/>
  <c r="CJ150" i="1"/>
  <c r="CH150" i="1"/>
  <c r="CM150" i="1"/>
  <c r="CL150" i="1"/>
  <c r="CR150" i="1"/>
  <c r="CT150" i="1"/>
  <c r="CQ150" i="1"/>
  <c r="CP150" i="1"/>
  <c r="CN150" i="1"/>
  <c r="CU150" i="1"/>
  <c r="CS150" i="1"/>
  <c r="CF150" i="1"/>
  <c r="CO150" i="1"/>
  <c r="CB180" i="1"/>
  <c r="CA180" i="1"/>
  <c r="BZ180" i="1"/>
  <c r="BY180" i="1"/>
  <c r="BX180" i="1"/>
  <c r="BW180" i="1"/>
  <c r="BV180" i="1"/>
  <c r="CC180" i="1"/>
  <c r="CD180" i="1"/>
  <c r="CE180" i="1"/>
  <c r="CL182" i="1"/>
  <c r="CM182" i="1"/>
  <c r="CG182" i="1"/>
  <c r="CH182" i="1"/>
  <c r="CK182" i="1"/>
  <c r="CI182" i="1"/>
  <c r="CJ182" i="1"/>
  <c r="CN182" i="1"/>
  <c r="CF182" i="1"/>
  <c r="CO182" i="1"/>
  <c r="CU182" i="1"/>
  <c r="CP182" i="1"/>
  <c r="CR182" i="1"/>
  <c r="CQ182" i="1"/>
  <c r="CS182" i="1"/>
  <c r="CT182" i="1"/>
  <c r="BZ212" i="1"/>
  <c r="BY212" i="1"/>
  <c r="BX212" i="1"/>
  <c r="BW212" i="1"/>
  <c r="BV212" i="1"/>
  <c r="CB212" i="1"/>
  <c r="CA212" i="1"/>
  <c r="CD212" i="1"/>
  <c r="CC212" i="1"/>
  <c r="CE212" i="1"/>
  <c r="CG214" i="1"/>
  <c r="CK214" i="1"/>
  <c r="CH214" i="1"/>
  <c r="CL214" i="1"/>
  <c r="CJ214" i="1"/>
  <c r="CM214" i="1"/>
  <c r="CI214" i="1"/>
  <c r="CT214" i="1"/>
  <c r="CR214" i="1"/>
  <c r="CO214" i="1"/>
  <c r="CP214" i="1"/>
  <c r="CQ214" i="1"/>
  <c r="CN214" i="1"/>
  <c r="CU214" i="1"/>
  <c r="CS214" i="1"/>
  <c r="CF214" i="1"/>
  <c r="BZ244" i="1"/>
  <c r="BY244" i="1"/>
  <c r="BX244" i="1"/>
  <c r="BW244" i="1"/>
  <c r="BV244" i="1"/>
  <c r="CB244" i="1"/>
  <c r="CA244" i="1"/>
  <c r="CE244" i="1"/>
  <c r="CC244" i="1"/>
  <c r="CD244" i="1"/>
  <c r="CM246" i="1"/>
  <c r="CH246" i="1"/>
  <c r="CI246" i="1"/>
  <c r="CG246" i="1"/>
  <c r="CL246" i="1"/>
  <c r="CJ246" i="1"/>
  <c r="CK246" i="1"/>
  <c r="CQ246" i="1"/>
  <c r="CF246" i="1"/>
  <c r="CO246" i="1"/>
  <c r="CT246" i="1"/>
  <c r="CR246" i="1"/>
  <c r="CP246" i="1"/>
  <c r="CN246" i="1"/>
  <c r="CS246" i="1"/>
  <c r="CU246" i="1"/>
  <c r="BZ276" i="1"/>
  <c r="BY276" i="1"/>
  <c r="BX276" i="1"/>
  <c r="BW276" i="1"/>
  <c r="BV276" i="1"/>
  <c r="CB276" i="1"/>
  <c r="CA276" i="1"/>
  <c r="CE276" i="1"/>
  <c r="CD276" i="1"/>
  <c r="CC276" i="1"/>
  <c r="CJ278" i="1"/>
  <c r="CK278" i="1"/>
  <c r="CH278" i="1"/>
  <c r="CG278" i="1"/>
  <c r="CL278" i="1"/>
  <c r="CM278" i="1"/>
  <c r="CI278" i="1"/>
  <c r="CP278" i="1"/>
  <c r="CS278" i="1"/>
  <c r="CU278" i="1"/>
  <c r="CF278" i="1"/>
  <c r="CO278" i="1"/>
  <c r="CQ278" i="1"/>
  <c r="CR278" i="1"/>
  <c r="CT278" i="1"/>
  <c r="CN278" i="1"/>
  <c r="BZ308" i="1"/>
  <c r="BY308" i="1"/>
  <c r="BX308" i="1"/>
  <c r="BW308" i="1"/>
  <c r="BV308" i="1"/>
  <c r="CA308" i="1"/>
  <c r="CB308" i="1"/>
  <c r="CD308" i="1"/>
  <c r="CC308" i="1"/>
  <c r="CE308" i="1"/>
  <c r="CI310" i="1"/>
  <c r="CG310" i="1"/>
  <c r="CH310" i="1"/>
  <c r="CK310" i="1"/>
  <c r="CL310" i="1"/>
  <c r="CJ310" i="1"/>
  <c r="CM310" i="1"/>
  <c r="CF310" i="1"/>
  <c r="CO310" i="1"/>
  <c r="CN310" i="1"/>
  <c r="CS310" i="1"/>
  <c r="CT310" i="1"/>
  <c r="CR310" i="1"/>
  <c r="CU310" i="1"/>
  <c r="CP310" i="1"/>
  <c r="CQ310" i="1"/>
  <c r="CB340" i="1"/>
  <c r="CA340" i="1"/>
  <c r="BZ340" i="1"/>
  <c r="BY340" i="1"/>
  <c r="BX340" i="1"/>
  <c r="BW340" i="1"/>
  <c r="BV340" i="1"/>
  <c r="CD340" i="1"/>
  <c r="CC340" i="1"/>
  <c r="CE340" i="1"/>
  <c r="CH342" i="1"/>
  <c r="CK342" i="1"/>
  <c r="CG342" i="1"/>
  <c r="CL342" i="1"/>
  <c r="CJ342" i="1"/>
  <c r="CM342" i="1"/>
  <c r="CI342" i="1"/>
  <c r="CP342" i="1"/>
  <c r="CN342" i="1"/>
  <c r="CT342" i="1"/>
  <c r="CF342" i="1"/>
  <c r="CQ342" i="1"/>
  <c r="CO342" i="1"/>
  <c r="CR342" i="1"/>
  <c r="CS342" i="1"/>
  <c r="CU342" i="1"/>
  <c r="BZ372" i="1"/>
  <c r="BV372" i="1"/>
  <c r="CA372" i="1"/>
  <c r="BY372" i="1"/>
  <c r="BX372" i="1"/>
  <c r="BW372" i="1"/>
  <c r="CB372" i="1"/>
  <c r="CD372" i="1"/>
  <c r="CC372" i="1"/>
  <c r="CE372" i="1"/>
  <c r="CH374" i="1"/>
  <c r="CK374" i="1"/>
  <c r="CI374" i="1"/>
  <c r="CM374" i="1"/>
  <c r="CG374" i="1"/>
  <c r="CL374" i="1"/>
  <c r="CJ374" i="1"/>
  <c r="CF374" i="1"/>
  <c r="CO374" i="1"/>
  <c r="CR374" i="1"/>
  <c r="CN374" i="1"/>
  <c r="CS374" i="1"/>
  <c r="CQ374" i="1"/>
  <c r="CT374" i="1"/>
  <c r="CP374" i="1"/>
  <c r="CU374" i="1"/>
  <c r="CB404" i="1"/>
  <c r="CA404" i="1"/>
  <c r="BZ404" i="1"/>
  <c r="BY404" i="1"/>
  <c r="BX404" i="1"/>
  <c r="BW404" i="1"/>
  <c r="BV404" i="1"/>
  <c r="CD404" i="1"/>
  <c r="CC404" i="1"/>
  <c r="CE404" i="1"/>
  <c r="CL406" i="1"/>
  <c r="CM406" i="1"/>
  <c r="CH406" i="1"/>
  <c r="CJ406" i="1"/>
  <c r="CK406" i="1"/>
  <c r="CI406" i="1"/>
  <c r="CG406" i="1"/>
  <c r="CF406" i="1"/>
  <c r="CN406" i="1"/>
  <c r="CQ406" i="1"/>
  <c r="CU406" i="1"/>
  <c r="CP406" i="1"/>
  <c r="CS406" i="1"/>
  <c r="CR406" i="1"/>
  <c r="CO406" i="1"/>
  <c r="CT406" i="1"/>
  <c r="CB436" i="1"/>
  <c r="CA436" i="1"/>
  <c r="BZ436" i="1"/>
  <c r="BY436" i="1"/>
  <c r="BX436" i="1"/>
  <c r="BW436" i="1"/>
  <c r="BV436" i="1"/>
  <c r="CE436" i="1"/>
  <c r="CC436" i="1"/>
  <c r="CD436" i="1"/>
  <c r="CH438" i="1"/>
  <c r="CG438" i="1"/>
  <c r="CJ438" i="1"/>
  <c r="CI438" i="1"/>
  <c r="CK438" i="1"/>
  <c r="CL438" i="1"/>
  <c r="CM438" i="1"/>
  <c r="CN438" i="1"/>
  <c r="CF438" i="1"/>
  <c r="CS438" i="1"/>
  <c r="CR438" i="1"/>
  <c r="CU438" i="1"/>
  <c r="CP438" i="1"/>
  <c r="CQ438" i="1"/>
  <c r="CT438" i="1"/>
  <c r="CO438" i="1"/>
  <c r="BY468" i="1"/>
  <c r="BX468" i="1"/>
  <c r="BW468" i="1"/>
  <c r="BV468" i="1"/>
  <c r="CB468" i="1"/>
  <c r="CA468" i="1"/>
  <c r="BZ468" i="1"/>
  <c r="CE468" i="1"/>
  <c r="CC468" i="1"/>
  <c r="CD468" i="1"/>
  <c r="CH470" i="1"/>
  <c r="CG470" i="1"/>
  <c r="CI470" i="1"/>
  <c r="CK470" i="1"/>
  <c r="CL470" i="1"/>
  <c r="CM470" i="1"/>
  <c r="CJ470" i="1"/>
  <c r="CP470" i="1"/>
  <c r="CO470" i="1"/>
  <c r="CT470" i="1"/>
  <c r="CQ470" i="1"/>
  <c r="CF470" i="1"/>
  <c r="CR470" i="1"/>
  <c r="CN470" i="1"/>
  <c r="CS470" i="1"/>
  <c r="CU470" i="1"/>
  <c r="CB500" i="1"/>
  <c r="CA500" i="1"/>
  <c r="BZ500" i="1"/>
  <c r="BY500" i="1"/>
  <c r="BX500" i="1"/>
  <c r="BW500" i="1"/>
  <c r="BV500" i="1"/>
  <c r="CD500" i="1"/>
  <c r="CC500" i="1"/>
  <c r="CE500" i="1"/>
  <c r="CH502" i="1"/>
  <c r="CL502" i="1"/>
  <c r="CM502" i="1"/>
  <c r="CI502" i="1"/>
  <c r="CJ502" i="1"/>
  <c r="CK502" i="1"/>
  <c r="CG502" i="1"/>
  <c r="CR502" i="1"/>
  <c r="CN502" i="1"/>
  <c r="CT502" i="1"/>
  <c r="CF502" i="1"/>
  <c r="CO502" i="1"/>
  <c r="CP502" i="1"/>
  <c r="CU502" i="1"/>
  <c r="CS502" i="1"/>
  <c r="CQ502" i="1"/>
  <c r="BX532" i="1"/>
  <c r="BW532" i="1"/>
  <c r="CB532" i="1"/>
  <c r="CA532" i="1"/>
  <c r="BZ532" i="1"/>
  <c r="BY532" i="1"/>
  <c r="BV532" i="1"/>
  <c r="CE532" i="1"/>
  <c r="CD532" i="1"/>
  <c r="CC532" i="1"/>
  <c r="CK534" i="1"/>
  <c r="CH534" i="1"/>
  <c r="CI534" i="1"/>
  <c r="CL534" i="1"/>
  <c r="CM534" i="1"/>
  <c r="CG534" i="1"/>
  <c r="CN534" i="1"/>
  <c r="CF534" i="1"/>
  <c r="CJ534" i="1"/>
  <c r="CQ534" i="1"/>
  <c r="CU534" i="1"/>
  <c r="CP534" i="1"/>
  <c r="CO534" i="1"/>
  <c r="CR534" i="1"/>
  <c r="CT534" i="1"/>
  <c r="CS534" i="1"/>
  <c r="BY564" i="1"/>
  <c r="BX564" i="1"/>
  <c r="BW564" i="1"/>
  <c r="BV564" i="1"/>
  <c r="CB564" i="1"/>
  <c r="CA564" i="1"/>
  <c r="BZ564" i="1"/>
  <c r="CE564" i="1"/>
  <c r="CC564" i="1"/>
  <c r="CD564" i="1"/>
  <c r="CH566" i="1"/>
  <c r="CK566" i="1"/>
  <c r="CG566" i="1"/>
  <c r="CL566" i="1"/>
  <c r="CM566" i="1"/>
  <c r="CI566" i="1"/>
  <c r="CJ566" i="1"/>
  <c r="CN566" i="1"/>
  <c r="CF566" i="1"/>
  <c r="CS566" i="1"/>
  <c r="CT566" i="1"/>
  <c r="CO566" i="1"/>
  <c r="CP566" i="1"/>
  <c r="CR566" i="1"/>
  <c r="CU566" i="1"/>
  <c r="CQ566" i="1"/>
  <c r="CA596" i="1"/>
  <c r="BZ596" i="1"/>
  <c r="BY596" i="1"/>
  <c r="BX596" i="1"/>
  <c r="BW596" i="1"/>
  <c r="BV596" i="1"/>
  <c r="CB596" i="1"/>
  <c r="CE596" i="1"/>
  <c r="CC596" i="1"/>
  <c r="CD596" i="1"/>
  <c r="CH598" i="1"/>
  <c r="CG598" i="1"/>
  <c r="CJ598" i="1"/>
  <c r="CI598" i="1"/>
  <c r="CK598" i="1"/>
  <c r="CL598" i="1"/>
  <c r="CM598" i="1"/>
  <c r="CP598" i="1"/>
  <c r="CO598" i="1"/>
  <c r="CT598" i="1"/>
  <c r="CQ598" i="1"/>
  <c r="CF598" i="1"/>
  <c r="CN598" i="1"/>
  <c r="CR598" i="1"/>
  <c r="CS598" i="1"/>
  <c r="CU598" i="1"/>
  <c r="BY67" i="1"/>
  <c r="BX67" i="1"/>
  <c r="BW67" i="1"/>
  <c r="BV67" i="1"/>
  <c r="CB67" i="1"/>
  <c r="CA67" i="1"/>
  <c r="BZ67" i="1"/>
  <c r="CE67" i="1"/>
  <c r="CD67" i="1"/>
  <c r="CC67" i="1"/>
  <c r="BX131" i="1"/>
  <c r="BW131" i="1"/>
  <c r="BV131" i="1"/>
  <c r="CB131" i="1"/>
  <c r="CA131" i="1"/>
  <c r="BZ131" i="1"/>
  <c r="BY131" i="1"/>
  <c r="CE131" i="1"/>
  <c r="CD131" i="1"/>
  <c r="CC131" i="1"/>
  <c r="BX163" i="1"/>
  <c r="BW163" i="1"/>
  <c r="BV163" i="1"/>
  <c r="CB163" i="1"/>
  <c r="CA163" i="1"/>
  <c r="BZ163" i="1"/>
  <c r="BY163" i="1"/>
  <c r="CE163" i="1"/>
  <c r="CC163" i="1"/>
  <c r="CD163" i="1"/>
  <c r="BX195" i="1"/>
  <c r="BW195" i="1"/>
  <c r="BV195" i="1"/>
  <c r="CB195" i="1"/>
  <c r="CA195" i="1"/>
  <c r="BZ195" i="1"/>
  <c r="BY195" i="1"/>
  <c r="CE195" i="1"/>
  <c r="CC195" i="1"/>
  <c r="CD195" i="1"/>
  <c r="CP197" i="1"/>
  <c r="CH197" i="1"/>
  <c r="CL197" i="1"/>
  <c r="CG197" i="1"/>
  <c r="CI197" i="1"/>
  <c r="CF197" i="1"/>
  <c r="CJ197" i="1"/>
  <c r="CK197" i="1"/>
  <c r="CO197" i="1"/>
  <c r="CS197" i="1"/>
  <c r="CM197" i="1"/>
  <c r="CN197" i="1"/>
  <c r="CQ197" i="1"/>
  <c r="CU197" i="1"/>
  <c r="CR197" i="1"/>
  <c r="CT197" i="1"/>
  <c r="CB227" i="1"/>
  <c r="CA227" i="1"/>
  <c r="BZ227" i="1"/>
  <c r="BY227" i="1"/>
  <c r="BX227" i="1"/>
  <c r="BW227" i="1"/>
  <c r="BV227" i="1"/>
  <c r="CD227" i="1"/>
  <c r="CE227" i="1"/>
  <c r="CC227" i="1"/>
  <c r="CJ229" i="1"/>
  <c r="CP229" i="1"/>
  <c r="CL229" i="1"/>
  <c r="CG229" i="1"/>
  <c r="CM229" i="1"/>
  <c r="CI229" i="1"/>
  <c r="CF229" i="1"/>
  <c r="CH229" i="1"/>
  <c r="CU229" i="1"/>
  <c r="CK229" i="1"/>
  <c r="CQ229" i="1"/>
  <c r="CR229" i="1"/>
  <c r="CT229" i="1"/>
  <c r="CO229" i="1"/>
  <c r="CN229" i="1"/>
  <c r="CS229" i="1"/>
  <c r="CB259" i="1"/>
  <c r="CA259" i="1"/>
  <c r="BZ259" i="1"/>
  <c r="BY259" i="1"/>
  <c r="BX259" i="1"/>
  <c r="BW259" i="1"/>
  <c r="BV259" i="1"/>
  <c r="CD259" i="1"/>
  <c r="CE259" i="1"/>
  <c r="CC259" i="1"/>
  <c r="CL261" i="1"/>
  <c r="CM261" i="1"/>
  <c r="CG261" i="1"/>
  <c r="CI261" i="1"/>
  <c r="CP261" i="1"/>
  <c r="CH261" i="1"/>
  <c r="CJ261" i="1"/>
  <c r="CQ261" i="1"/>
  <c r="CF261" i="1"/>
  <c r="CS261" i="1"/>
  <c r="CO261" i="1"/>
  <c r="CK261" i="1"/>
  <c r="CT261" i="1"/>
  <c r="CU261" i="1"/>
  <c r="CR261" i="1"/>
  <c r="CN261" i="1"/>
  <c r="CB291" i="1"/>
  <c r="CA291" i="1"/>
  <c r="BZ291" i="1"/>
  <c r="BY291" i="1"/>
  <c r="BX291" i="1"/>
  <c r="BW291" i="1"/>
  <c r="BV291" i="1"/>
  <c r="CE291" i="1"/>
  <c r="CD291" i="1"/>
  <c r="CC291" i="1"/>
  <c r="CP293" i="1"/>
  <c r="CF293" i="1"/>
  <c r="CH293" i="1"/>
  <c r="CO293" i="1"/>
  <c r="CJ293" i="1"/>
  <c r="CG293" i="1"/>
  <c r="CL293" i="1"/>
  <c r="CI293" i="1"/>
  <c r="CQ293" i="1"/>
  <c r="CR293" i="1"/>
  <c r="CM293" i="1"/>
  <c r="CT293" i="1"/>
  <c r="CU293" i="1"/>
  <c r="CK293" i="1"/>
  <c r="CN293" i="1"/>
  <c r="CS293" i="1"/>
  <c r="CB323" i="1"/>
  <c r="CA323" i="1"/>
  <c r="BZ323" i="1"/>
  <c r="BY323" i="1"/>
  <c r="BX323" i="1"/>
  <c r="BW323" i="1"/>
  <c r="BV323" i="1"/>
  <c r="CE323" i="1"/>
  <c r="CC323" i="1"/>
  <c r="CD323" i="1"/>
  <c r="CI325" i="1"/>
  <c r="CP325" i="1"/>
  <c r="CG325" i="1"/>
  <c r="CH325" i="1"/>
  <c r="CK325" i="1"/>
  <c r="CF325" i="1"/>
  <c r="CO325" i="1"/>
  <c r="CJ325" i="1"/>
  <c r="CL325" i="1"/>
  <c r="CM325" i="1"/>
  <c r="CS325" i="1"/>
  <c r="CT325" i="1"/>
  <c r="CQ325" i="1"/>
  <c r="CU325" i="1"/>
  <c r="CR325" i="1"/>
  <c r="CN325" i="1"/>
  <c r="BX355" i="1"/>
  <c r="BW355" i="1"/>
  <c r="BV355" i="1"/>
  <c r="CB355" i="1"/>
  <c r="CA355" i="1"/>
  <c r="BY355" i="1"/>
  <c r="BZ355" i="1"/>
  <c r="CE355" i="1"/>
  <c r="CC355" i="1"/>
  <c r="CD355" i="1"/>
  <c r="CF357" i="1"/>
  <c r="CH357" i="1"/>
  <c r="CP357" i="1"/>
  <c r="CI357" i="1"/>
  <c r="CL357" i="1"/>
  <c r="CG357" i="1"/>
  <c r="CK357" i="1"/>
  <c r="CM357" i="1"/>
  <c r="CJ357" i="1"/>
  <c r="CQ357" i="1"/>
  <c r="CN357" i="1"/>
  <c r="CU357" i="1"/>
  <c r="CO357" i="1"/>
  <c r="CS357" i="1"/>
  <c r="CT357" i="1"/>
  <c r="CR357" i="1"/>
  <c r="CB387" i="1"/>
  <c r="CA387" i="1"/>
  <c r="BZ387" i="1"/>
  <c r="BY387" i="1"/>
  <c r="BX387" i="1"/>
  <c r="BW387" i="1"/>
  <c r="BV387" i="1"/>
  <c r="CE387" i="1"/>
  <c r="CC387" i="1"/>
  <c r="CD387" i="1"/>
  <c r="CP389" i="1"/>
  <c r="CK389" i="1"/>
  <c r="CG389" i="1"/>
  <c r="CF389" i="1"/>
  <c r="CM389" i="1"/>
  <c r="CH389" i="1"/>
  <c r="CI389" i="1"/>
  <c r="CJ389" i="1"/>
  <c r="CL389" i="1"/>
  <c r="CS389" i="1"/>
  <c r="CR389" i="1"/>
  <c r="CQ389" i="1"/>
  <c r="CO389" i="1"/>
  <c r="CN389" i="1"/>
  <c r="CT389" i="1"/>
  <c r="CU389" i="1"/>
  <c r="BV419" i="1"/>
  <c r="CA419" i="1"/>
  <c r="BZ419" i="1"/>
  <c r="BY419" i="1"/>
  <c r="BX419" i="1"/>
  <c r="BW419" i="1"/>
  <c r="CB419" i="1"/>
  <c r="CE419" i="1"/>
  <c r="CC419" i="1"/>
  <c r="CD419" i="1"/>
  <c r="CP421" i="1"/>
  <c r="CI421" i="1"/>
  <c r="CF421" i="1"/>
  <c r="CG421" i="1"/>
  <c r="CJ421" i="1"/>
  <c r="CL421" i="1"/>
  <c r="CR421" i="1"/>
  <c r="CH421" i="1"/>
  <c r="CK421" i="1"/>
  <c r="CM421" i="1"/>
  <c r="CN421" i="1"/>
  <c r="CU421" i="1"/>
  <c r="CT421" i="1"/>
  <c r="CS421" i="1"/>
  <c r="CQ421" i="1"/>
  <c r="CO421" i="1"/>
  <c r="BY451" i="1"/>
  <c r="BX451" i="1"/>
  <c r="BW451" i="1"/>
  <c r="BV451" i="1"/>
  <c r="CB451" i="1"/>
  <c r="CA451" i="1"/>
  <c r="BZ451" i="1"/>
  <c r="CE451" i="1"/>
  <c r="CD451" i="1"/>
  <c r="CC451" i="1"/>
  <c r="CP453" i="1"/>
  <c r="CM453" i="1"/>
  <c r="CK453" i="1"/>
  <c r="CI453" i="1"/>
  <c r="CJ453" i="1"/>
  <c r="CL453" i="1"/>
  <c r="CG453" i="1"/>
  <c r="CH453" i="1"/>
  <c r="CF453" i="1"/>
  <c r="CS453" i="1"/>
  <c r="CR453" i="1"/>
  <c r="CQ453" i="1"/>
  <c r="CO453" i="1"/>
  <c r="CN453" i="1"/>
  <c r="CT453" i="1"/>
  <c r="CU453" i="1"/>
  <c r="CA483" i="1"/>
  <c r="BZ483" i="1"/>
  <c r="BY483" i="1"/>
  <c r="BX483" i="1"/>
  <c r="BW483" i="1"/>
  <c r="BV483" i="1"/>
  <c r="CB483" i="1"/>
  <c r="CC483" i="1"/>
  <c r="CE483" i="1"/>
  <c r="CD483" i="1"/>
  <c r="CP485" i="1"/>
  <c r="CJ485" i="1"/>
  <c r="CL485" i="1"/>
  <c r="CF485" i="1"/>
  <c r="CI485" i="1"/>
  <c r="CM485" i="1"/>
  <c r="CG485" i="1"/>
  <c r="CH485" i="1"/>
  <c r="CQ485" i="1"/>
  <c r="CO485" i="1"/>
  <c r="CU485" i="1"/>
  <c r="CN485" i="1"/>
  <c r="CT485" i="1"/>
  <c r="CK485" i="1"/>
  <c r="CR485" i="1"/>
  <c r="CS485" i="1"/>
  <c r="CB515" i="1"/>
  <c r="CA515" i="1"/>
  <c r="BZ515" i="1"/>
  <c r="BY515" i="1"/>
  <c r="BX515" i="1"/>
  <c r="BW515" i="1"/>
  <c r="BV515" i="1"/>
  <c r="CE515" i="1"/>
  <c r="CD515" i="1"/>
  <c r="CC515" i="1"/>
  <c r="CF517" i="1"/>
  <c r="CP517" i="1"/>
  <c r="CK517" i="1"/>
  <c r="CH517" i="1"/>
  <c r="CI517" i="1"/>
  <c r="CJ517" i="1"/>
  <c r="CL517" i="1"/>
  <c r="CG517" i="1"/>
  <c r="CM517" i="1"/>
  <c r="CR517" i="1"/>
  <c r="CQ517" i="1"/>
  <c r="CO517" i="1"/>
  <c r="CN517" i="1"/>
  <c r="CS517" i="1"/>
  <c r="CT517" i="1"/>
  <c r="CU517" i="1"/>
  <c r="CB547" i="1"/>
  <c r="CA547" i="1"/>
  <c r="BZ547" i="1"/>
  <c r="BY547" i="1"/>
  <c r="BX547" i="1"/>
  <c r="BW547" i="1"/>
  <c r="BV547" i="1"/>
  <c r="CE547" i="1"/>
  <c r="CC547" i="1"/>
  <c r="CD547" i="1"/>
  <c r="CP549" i="1"/>
  <c r="CI549" i="1"/>
  <c r="CG549" i="1"/>
  <c r="CR549" i="1"/>
  <c r="CH549" i="1"/>
  <c r="CF549" i="1"/>
  <c r="CL549" i="1"/>
  <c r="CU549" i="1"/>
  <c r="CN549" i="1"/>
  <c r="CJ549" i="1"/>
  <c r="CT549" i="1"/>
  <c r="CS549" i="1"/>
  <c r="CM549" i="1"/>
  <c r="CQ549" i="1"/>
  <c r="CO549" i="1"/>
  <c r="CK549" i="1"/>
  <c r="CB579" i="1"/>
  <c r="CA579" i="1"/>
  <c r="BX579" i="1"/>
  <c r="BW579" i="1"/>
  <c r="BV579" i="1"/>
  <c r="BZ579" i="1"/>
  <c r="BY579" i="1"/>
  <c r="CE579" i="1"/>
  <c r="CC579" i="1"/>
  <c r="CD579" i="1"/>
  <c r="CP581" i="1"/>
  <c r="CH581" i="1"/>
  <c r="CI581" i="1"/>
  <c r="CF581" i="1"/>
  <c r="CJ581" i="1"/>
  <c r="CL581" i="1"/>
  <c r="CM581" i="1"/>
  <c r="CK581" i="1"/>
  <c r="CG581" i="1"/>
  <c r="CR581" i="1"/>
  <c r="CQ581" i="1"/>
  <c r="CO581" i="1"/>
  <c r="CS581" i="1"/>
  <c r="CN581" i="1"/>
  <c r="CT581" i="1"/>
  <c r="CU581" i="1"/>
  <c r="CB167" i="1"/>
  <c r="CA167" i="1"/>
  <c r="BZ167" i="1"/>
  <c r="BY167" i="1"/>
  <c r="BX167" i="1"/>
  <c r="BW167" i="1"/>
  <c r="BV167" i="1"/>
  <c r="CC167" i="1"/>
  <c r="CD167" i="1"/>
  <c r="CE167" i="1"/>
  <c r="CA359" i="1"/>
  <c r="BZ359" i="1"/>
  <c r="BY359" i="1"/>
  <c r="BX359" i="1"/>
  <c r="BW359" i="1"/>
  <c r="BV359" i="1"/>
  <c r="CB359" i="1"/>
  <c r="CC359" i="1"/>
  <c r="CD359" i="1"/>
  <c r="CE359" i="1"/>
  <c r="BY35" i="1"/>
  <c r="BX35" i="1"/>
  <c r="BW35" i="1"/>
  <c r="BV35" i="1"/>
  <c r="CB35" i="1"/>
  <c r="CA35" i="1"/>
  <c r="BZ35" i="1"/>
  <c r="CE35" i="1"/>
  <c r="CC35" i="1"/>
  <c r="CD35" i="1"/>
  <c r="CL37" i="1"/>
  <c r="CH37" i="1"/>
  <c r="CK37" i="1"/>
  <c r="CG37" i="1"/>
  <c r="CP37" i="1"/>
  <c r="CI37" i="1"/>
  <c r="CF37" i="1"/>
  <c r="CM37" i="1"/>
  <c r="CJ37" i="1"/>
  <c r="CN37" i="1"/>
  <c r="CQ37" i="1"/>
  <c r="CR37" i="1"/>
  <c r="CS37" i="1"/>
  <c r="CO37" i="1"/>
  <c r="CT37" i="1"/>
  <c r="CU37" i="1"/>
  <c r="CM69" i="1"/>
  <c r="CF69" i="1"/>
  <c r="CH69" i="1"/>
  <c r="CP69" i="1"/>
  <c r="CG69" i="1"/>
  <c r="CL69" i="1"/>
  <c r="CI69" i="1"/>
  <c r="CK69" i="1"/>
  <c r="CJ69" i="1"/>
  <c r="CR69" i="1"/>
  <c r="CS69" i="1"/>
  <c r="CO69" i="1"/>
  <c r="CN69" i="1"/>
  <c r="CT69" i="1"/>
  <c r="CU69" i="1"/>
  <c r="CQ69" i="1"/>
  <c r="BY99" i="1"/>
  <c r="BX99" i="1"/>
  <c r="BW99" i="1"/>
  <c r="BV99" i="1"/>
  <c r="CB99" i="1"/>
  <c r="CA99" i="1"/>
  <c r="BZ99" i="1"/>
  <c r="CE99" i="1"/>
  <c r="CD99" i="1"/>
  <c r="CC99" i="1"/>
  <c r="CI101" i="1"/>
  <c r="CK101" i="1"/>
  <c r="CF101" i="1"/>
  <c r="CL101" i="1"/>
  <c r="CP101" i="1"/>
  <c r="CJ101" i="1"/>
  <c r="CG101" i="1"/>
  <c r="CM101" i="1"/>
  <c r="CH101" i="1"/>
  <c r="CT101" i="1"/>
  <c r="CQ101" i="1"/>
  <c r="CR101" i="1"/>
  <c r="CO101" i="1"/>
  <c r="CS101" i="1"/>
  <c r="CN101" i="1"/>
  <c r="CU101" i="1"/>
  <c r="CK133" i="1"/>
  <c r="CH133" i="1"/>
  <c r="CP133" i="1"/>
  <c r="CM133" i="1"/>
  <c r="CF133" i="1"/>
  <c r="CJ133" i="1"/>
  <c r="CQ133" i="1"/>
  <c r="CL133" i="1"/>
  <c r="CG133" i="1"/>
  <c r="CI133" i="1"/>
  <c r="CS133" i="1"/>
  <c r="CU133" i="1"/>
  <c r="CR133" i="1"/>
  <c r="CT133" i="1"/>
  <c r="CN133" i="1"/>
  <c r="CO133" i="1"/>
  <c r="CJ165" i="1"/>
  <c r="CI165" i="1"/>
  <c r="CP165" i="1"/>
  <c r="CO165" i="1"/>
  <c r="CM165" i="1"/>
  <c r="CF165" i="1"/>
  <c r="CK165" i="1"/>
  <c r="CH165" i="1"/>
  <c r="CL165" i="1"/>
  <c r="CG165" i="1"/>
  <c r="CN165" i="1"/>
  <c r="CQ165" i="1"/>
  <c r="CR165" i="1"/>
  <c r="CT165" i="1"/>
  <c r="CU165" i="1"/>
  <c r="CS165" i="1"/>
  <c r="CA18" i="1"/>
  <c r="BZ18" i="1"/>
  <c r="BY18" i="1"/>
  <c r="CB18" i="1"/>
  <c r="BX18" i="1"/>
  <c r="BW18" i="1"/>
  <c r="BV18" i="1"/>
  <c r="CC18" i="1"/>
  <c r="CD18" i="1"/>
  <c r="CE18" i="1"/>
  <c r="CG20" i="1"/>
  <c r="CI20" i="1"/>
  <c r="CF20" i="1"/>
  <c r="CJ20" i="1"/>
  <c r="CL20" i="1"/>
  <c r="CH20" i="1"/>
  <c r="CM20" i="1"/>
  <c r="CK20" i="1"/>
  <c r="CN20" i="1"/>
  <c r="CP20" i="1"/>
  <c r="CR20" i="1"/>
  <c r="CQ20" i="1"/>
  <c r="CO20" i="1"/>
  <c r="CU20" i="1"/>
  <c r="CS20" i="1"/>
  <c r="CT20" i="1"/>
  <c r="BY50" i="1"/>
  <c r="BX50" i="1"/>
  <c r="CB50" i="1"/>
  <c r="BW50" i="1"/>
  <c r="CA50" i="1"/>
  <c r="BZ50" i="1"/>
  <c r="BV50" i="1"/>
  <c r="CE50" i="1"/>
  <c r="CC50" i="1"/>
  <c r="CD50" i="1"/>
  <c r="CH52" i="1"/>
  <c r="CG52" i="1"/>
  <c r="CN52" i="1"/>
  <c r="CJ52" i="1"/>
  <c r="CF52" i="1"/>
  <c r="CI52" i="1"/>
  <c r="CK52" i="1"/>
  <c r="CL52" i="1"/>
  <c r="CP52" i="1"/>
  <c r="CO52" i="1"/>
  <c r="CM52" i="1"/>
  <c r="CU52" i="1"/>
  <c r="CS52" i="1"/>
  <c r="CR52" i="1"/>
  <c r="CT52" i="1"/>
  <c r="CQ52" i="1"/>
  <c r="CB82" i="1"/>
  <c r="CA82" i="1"/>
  <c r="BZ82" i="1"/>
  <c r="BY82" i="1"/>
  <c r="BX82" i="1"/>
  <c r="BW82" i="1"/>
  <c r="BV82" i="1"/>
  <c r="CD82" i="1"/>
  <c r="CE82" i="1"/>
  <c r="CC82" i="1"/>
  <c r="CL84" i="1"/>
  <c r="CI84" i="1"/>
  <c r="CF84" i="1"/>
  <c r="CK84" i="1"/>
  <c r="CH84" i="1"/>
  <c r="CG84" i="1"/>
  <c r="CM84" i="1"/>
  <c r="CJ84" i="1"/>
  <c r="CQ84" i="1"/>
  <c r="CN84" i="1"/>
  <c r="CU84" i="1"/>
  <c r="CS84" i="1"/>
  <c r="CR84" i="1"/>
  <c r="CT84" i="1"/>
  <c r="CP84" i="1"/>
  <c r="CO84" i="1"/>
  <c r="CB114" i="1"/>
  <c r="CA114" i="1"/>
  <c r="BZ114" i="1"/>
  <c r="BY114" i="1"/>
  <c r="BX114" i="1"/>
  <c r="BW114" i="1"/>
  <c r="BV114" i="1"/>
  <c r="CD114" i="1"/>
  <c r="CC114" i="1"/>
  <c r="CE114" i="1"/>
  <c r="CF116" i="1"/>
  <c r="CK116" i="1"/>
  <c r="CJ116" i="1"/>
  <c r="CG116" i="1"/>
  <c r="CH116" i="1"/>
  <c r="CS116" i="1"/>
  <c r="CU116" i="1"/>
  <c r="CL116" i="1"/>
  <c r="CI116" i="1"/>
  <c r="CM116" i="1"/>
  <c r="CP116" i="1"/>
  <c r="CO116" i="1"/>
  <c r="CN116" i="1"/>
  <c r="CR116" i="1"/>
  <c r="CQ116" i="1"/>
  <c r="CT116" i="1"/>
  <c r="CB146" i="1"/>
  <c r="CA146" i="1"/>
  <c r="BZ146" i="1"/>
  <c r="BY146" i="1"/>
  <c r="BX146" i="1"/>
  <c r="BW146" i="1"/>
  <c r="BV146" i="1"/>
  <c r="CE146" i="1"/>
  <c r="CD146" i="1"/>
  <c r="CC146" i="1"/>
  <c r="CM148" i="1"/>
  <c r="CL148" i="1"/>
  <c r="CH148" i="1"/>
  <c r="CI148" i="1"/>
  <c r="CJ148" i="1"/>
  <c r="CK148" i="1"/>
  <c r="CG148" i="1"/>
  <c r="CP148" i="1"/>
  <c r="CF148" i="1"/>
  <c r="CO148" i="1"/>
  <c r="CN148" i="1"/>
  <c r="CS148" i="1"/>
  <c r="CU148" i="1"/>
  <c r="CT148" i="1"/>
  <c r="CR148" i="1"/>
  <c r="CQ148" i="1"/>
  <c r="CB178" i="1"/>
  <c r="CA178" i="1"/>
  <c r="BZ178" i="1"/>
  <c r="BY178" i="1"/>
  <c r="BX178" i="1"/>
  <c r="BW178" i="1"/>
  <c r="BV178" i="1"/>
  <c r="CD178" i="1"/>
  <c r="CC178" i="1"/>
  <c r="CE178" i="1"/>
  <c r="CG180" i="1"/>
  <c r="CF180" i="1"/>
  <c r="CI180" i="1"/>
  <c r="CH180" i="1"/>
  <c r="CO180" i="1"/>
  <c r="CM180" i="1"/>
  <c r="CK180" i="1"/>
  <c r="CJ180" i="1"/>
  <c r="CQ180" i="1"/>
  <c r="CP180" i="1"/>
  <c r="CL180" i="1"/>
  <c r="CN180" i="1"/>
  <c r="CS180" i="1"/>
  <c r="CU180" i="1"/>
  <c r="CT180" i="1"/>
  <c r="CR180" i="1"/>
  <c r="CB210" i="1"/>
  <c r="CA210" i="1"/>
  <c r="BZ210" i="1"/>
  <c r="BY210" i="1"/>
  <c r="BX210" i="1"/>
  <c r="BW210" i="1"/>
  <c r="BV210" i="1"/>
  <c r="CD210" i="1"/>
  <c r="CC210" i="1"/>
  <c r="CE210" i="1"/>
  <c r="CM212" i="1"/>
  <c r="CF212" i="1"/>
  <c r="CI212" i="1"/>
  <c r="CL212" i="1"/>
  <c r="CH212" i="1"/>
  <c r="CG212" i="1"/>
  <c r="CK212" i="1"/>
  <c r="CS212" i="1"/>
  <c r="CN212" i="1"/>
  <c r="CU212" i="1"/>
  <c r="CJ212" i="1"/>
  <c r="CT212" i="1"/>
  <c r="CP212" i="1"/>
  <c r="CO212" i="1"/>
  <c r="CR212" i="1"/>
  <c r="CQ212" i="1"/>
  <c r="CB242" i="1"/>
  <c r="CA242" i="1"/>
  <c r="BZ242" i="1"/>
  <c r="BY242" i="1"/>
  <c r="BX242" i="1"/>
  <c r="BW242" i="1"/>
  <c r="BV242" i="1"/>
  <c r="CD242" i="1"/>
  <c r="CC242" i="1"/>
  <c r="CE242" i="1"/>
  <c r="CI244" i="1"/>
  <c r="CK244" i="1"/>
  <c r="CH244" i="1"/>
  <c r="CL244" i="1"/>
  <c r="CM244" i="1"/>
  <c r="CJ244" i="1"/>
  <c r="CG244" i="1"/>
  <c r="CF244" i="1"/>
  <c r="CO244" i="1"/>
  <c r="CN244" i="1"/>
  <c r="CQ244" i="1"/>
  <c r="CP244" i="1"/>
  <c r="CU244" i="1"/>
  <c r="CT244" i="1"/>
  <c r="CS244" i="1"/>
  <c r="CR244" i="1"/>
  <c r="CB274" i="1"/>
  <c r="CA274" i="1"/>
  <c r="BZ274" i="1"/>
  <c r="BY274" i="1"/>
  <c r="BX274" i="1"/>
  <c r="BW274" i="1"/>
  <c r="BV274" i="1"/>
  <c r="CE274" i="1"/>
  <c r="CD274" i="1"/>
  <c r="CC274" i="1"/>
  <c r="CJ276" i="1"/>
  <c r="CF276" i="1"/>
  <c r="CP276" i="1"/>
  <c r="CK276" i="1"/>
  <c r="CL276" i="1"/>
  <c r="CM276" i="1"/>
  <c r="CG276" i="1"/>
  <c r="CH276" i="1"/>
  <c r="CI276" i="1"/>
  <c r="CU276" i="1"/>
  <c r="CO276" i="1"/>
  <c r="CN276" i="1"/>
  <c r="CS276" i="1"/>
  <c r="CQ276" i="1"/>
  <c r="CT276" i="1"/>
  <c r="CR276" i="1"/>
  <c r="CB306" i="1"/>
  <c r="CA306" i="1"/>
  <c r="BZ306" i="1"/>
  <c r="BY306" i="1"/>
  <c r="BX306" i="1"/>
  <c r="BW306" i="1"/>
  <c r="BV306" i="1"/>
  <c r="CC306" i="1"/>
  <c r="CE306" i="1"/>
  <c r="CD306" i="1"/>
  <c r="CL308" i="1"/>
  <c r="CK308" i="1"/>
  <c r="CG308" i="1"/>
  <c r="CM308" i="1"/>
  <c r="CI308" i="1"/>
  <c r="CO308" i="1"/>
  <c r="CF308" i="1"/>
  <c r="CJ308" i="1"/>
  <c r="CH308" i="1"/>
  <c r="CQ308" i="1"/>
  <c r="CP308" i="1"/>
  <c r="CR308" i="1"/>
  <c r="CN308" i="1"/>
  <c r="CU308" i="1"/>
  <c r="CT308" i="1"/>
  <c r="CS308" i="1"/>
  <c r="BZ338" i="1"/>
  <c r="BY338" i="1"/>
  <c r="BX338" i="1"/>
  <c r="BW338" i="1"/>
  <c r="BV338" i="1"/>
  <c r="CB338" i="1"/>
  <c r="CA338" i="1"/>
  <c r="CC338" i="1"/>
  <c r="CD338" i="1"/>
  <c r="CE338" i="1"/>
  <c r="CF340" i="1"/>
  <c r="CG340" i="1"/>
  <c r="CH340" i="1"/>
  <c r="CI340" i="1"/>
  <c r="CK340" i="1"/>
  <c r="CL340" i="1"/>
  <c r="CM340" i="1"/>
  <c r="CJ340" i="1"/>
  <c r="CS340" i="1"/>
  <c r="CP340" i="1"/>
  <c r="CT340" i="1"/>
  <c r="CU340" i="1"/>
  <c r="CO340" i="1"/>
  <c r="CN340" i="1"/>
  <c r="CR340" i="1"/>
  <c r="CQ340" i="1"/>
  <c r="BZ370" i="1"/>
  <c r="BY370" i="1"/>
  <c r="BX370" i="1"/>
  <c r="BW370" i="1"/>
  <c r="BV370" i="1"/>
  <c r="CB370" i="1"/>
  <c r="CA370" i="1"/>
  <c r="CC370" i="1"/>
  <c r="CD370" i="1"/>
  <c r="CE370" i="1"/>
  <c r="CK372" i="1"/>
  <c r="CJ372" i="1"/>
  <c r="CM372" i="1"/>
  <c r="CI372" i="1"/>
  <c r="CG372" i="1"/>
  <c r="CH372" i="1"/>
  <c r="CL372" i="1"/>
  <c r="CF372" i="1"/>
  <c r="CP372" i="1"/>
  <c r="CQ372" i="1"/>
  <c r="CS372" i="1"/>
  <c r="CR372" i="1"/>
  <c r="CN372" i="1"/>
  <c r="CO372" i="1"/>
  <c r="CU372" i="1"/>
  <c r="CT372" i="1"/>
  <c r="CB402" i="1"/>
  <c r="CA402" i="1"/>
  <c r="BZ402" i="1"/>
  <c r="BY402" i="1"/>
  <c r="BX402" i="1"/>
  <c r="BW402" i="1"/>
  <c r="BV402" i="1"/>
  <c r="CD402" i="1"/>
  <c r="CE402" i="1"/>
  <c r="CC402" i="1"/>
  <c r="CG404" i="1"/>
  <c r="CH404" i="1"/>
  <c r="CJ404" i="1"/>
  <c r="CI404" i="1"/>
  <c r="CL404" i="1"/>
  <c r="CF404" i="1"/>
  <c r="CK404" i="1"/>
  <c r="CU404" i="1"/>
  <c r="CM404" i="1"/>
  <c r="CS404" i="1"/>
  <c r="CN404" i="1"/>
  <c r="CO404" i="1"/>
  <c r="CT404" i="1"/>
  <c r="CR404" i="1"/>
  <c r="CQ404" i="1"/>
  <c r="CP404" i="1"/>
  <c r="BX434" i="1"/>
  <c r="BW434" i="1"/>
  <c r="BV434" i="1"/>
  <c r="CA434" i="1"/>
  <c r="CB434" i="1"/>
  <c r="BZ434" i="1"/>
  <c r="BY434" i="1"/>
  <c r="CC434" i="1"/>
  <c r="CD434" i="1"/>
  <c r="CE434" i="1"/>
  <c r="CL436" i="1"/>
  <c r="CK436" i="1"/>
  <c r="CJ436" i="1"/>
  <c r="CG436" i="1"/>
  <c r="CH436" i="1"/>
  <c r="CM436" i="1"/>
  <c r="CI436" i="1"/>
  <c r="CQ436" i="1"/>
  <c r="CR436" i="1"/>
  <c r="CF436" i="1"/>
  <c r="CU436" i="1"/>
  <c r="CT436" i="1"/>
  <c r="CS436" i="1"/>
  <c r="CN436" i="1"/>
  <c r="CO436" i="1"/>
  <c r="CP436" i="1"/>
  <c r="BY466" i="1"/>
  <c r="BX466" i="1"/>
  <c r="BW466" i="1"/>
  <c r="BV466" i="1"/>
  <c r="CB466" i="1"/>
  <c r="CA466" i="1"/>
  <c r="BZ466" i="1"/>
  <c r="CE466" i="1"/>
  <c r="CC466" i="1"/>
  <c r="CD466" i="1"/>
  <c r="CH468" i="1"/>
  <c r="CF468" i="1"/>
  <c r="CG468" i="1"/>
  <c r="CI468" i="1"/>
  <c r="CK468" i="1"/>
  <c r="CJ468" i="1"/>
  <c r="CS468" i="1"/>
  <c r="CN468" i="1"/>
  <c r="CO468" i="1"/>
  <c r="CT468" i="1"/>
  <c r="CU468" i="1"/>
  <c r="CL468" i="1"/>
  <c r="CM468" i="1"/>
  <c r="CR468" i="1"/>
  <c r="CQ468" i="1"/>
  <c r="CP468" i="1"/>
  <c r="CB498" i="1"/>
  <c r="CA498" i="1"/>
  <c r="BX498" i="1"/>
  <c r="BW498" i="1"/>
  <c r="BV498" i="1"/>
  <c r="BZ498" i="1"/>
  <c r="BY498" i="1"/>
  <c r="CE498" i="1"/>
  <c r="CD498" i="1"/>
  <c r="CC498" i="1"/>
  <c r="CK500" i="1"/>
  <c r="CF500" i="1"/>
  <c r="CH500" i="1"/>
  <c r="CI500" i="1"/>
  <c r="CG500" i="1"/>
  <c r="CP500" i="1"/>
  <c r="CL500" i="1"/>
  <c r="CJ500" i="1"/>
  <c r="CM500" i="1"/>
  <c r="CQ500" i="1"/>
  <c r="CO500" i="1"/>
  <c r="CU500" i="1"/>
  <c r="CT500" i="1"/>
  <c r="CS500" i="1"/>
  <c r="CR500" i="1"/>
  <c r="CN500" i="1"/>
  <c r="BY530" i="1"/>
  <c r="BX530" i="1"/>
  <c r="BW530" i="1"/>
  <c r="CB530" i="1"/>
  <c r="CA530" i="1"/>
  <c r="BZ530" i="1"/>
  <c r="BV530" i="1"/>
  <c r="CC530" i="1"/>
  <c r="CD530" i="1"/>
  <c r="CE530" i="1"/>
  <c r="CG532" i="1"/>
  <c r="CM532" i="1"/>
  <c r="CI532" i="1"/>
  <c r="CL532" i="1"/>
  <c r="CK532" i="1"/>
  <c r="CU532" i="1"/>
  <c r="CF532" i="1"/>
  <c r="CH532" i="1"/>
  <c r="CS532" i="1"/>
  <c r="CN532" i="1"/>
  <c r="CO532" i="1"/>
  <c r="CJ532" i="1"/>
  <c r="CQ532" i="1"/>
  <c r="CP532" i="1"/>
  <c r="CR532" i="1"/>
  <c r="CT532" i="1"/>
  <c r="BY562" i="1"/>
  <c r="BX562" i="1"/>
  <c r="BW562" i="1"/>
  <c r="BV562" i="1"/>
  <c r="CB562" i="1"/>
  <c r="CA562" i="1"/>
  <c r="BZ562" i="1"/>
  <c r="CE562" i="1"/>
  <c r="CC562" i="1"/>
  <c r="CD562" i="1"/>
  <c r="CF564" i="1"/>
  <c r="CM564" i="1"/>
  <c r="CI564" i="1"/>
  <c r="CL564" i="1"/>
  <c r="CK564" i="1"/>
  <c r="CJ564" i="1"/>
  <c r="CQ564" i="1"/>
  <c r="CG564" i="1"/>
  <c r="CR564" i="1"/>
  <c r="CH564" i="1"/>
  <c r="CN564" i="1"/>
  <c r="CO564" i="1"/>
  <c r="CP564" i="1"/>
  <c r="CU564" i="1"/>
  <c r="CT564" i="1"/>
  <c r="CS564" i="1"/>
  <c r="BY594" i="1"/>
  <c r="BX594" i="1"/>
  <c r="BW594" i="1"/>
  <c r="BV594" i="1"/>
  <c r="CB594" i="1"/>
  <c r="CA594" i="1"/>
  <c r="BZ594" i="1"/>
  <c r="CE594" i="1"/>
  <c r="CC594" i="1"/>
  <c r="CD594" i="1"/>
  <c r="CM596" i="1"/>
  <c r="CK596" i="1"/>
  <c r="CI596" i="1"/>
  <c r="CS596" i="1"/>
  <c r="CN596" i="1"/>
  <c r="CO596" i="1"/>
  <c r="CJ596" i="1"/>
  <c r="CG596" i="1"/>
  <c r="CT596" i="1"/>
  <c r="CU596" i="1"/>
  <c r="CF596" i="1"/>
  <c r="CL596" i="1"/>
  <c r="CR596" i="1"/>
  <c r="CH596" i="1"/>
  <c r="CQ596" i="1"/>
  <c r="CP596" i="1"/>
  <c r="BX65" i="1"/>
  <c r="BW65" i="1"/>
  <c r="BV65" i="1"/>
  <c r="CB65" i="1"/>
  <c r="CA65" i="1"/>
  <c r="BZ65" i="1"/>
  <c r="BY65" i="1"/>
  <c r="CE65" i="1"/>
  <c r="CD65" i="1"/>
  <c r="CC65" i="1"/>
  <c r="CJ67" i="1"/>
  <c r="CI67" i="1"/>
  <c r="CH67" i="1"/>
  <c r="CG67" i="1"/>
  <c r="CF67" i="1"/>
  <c r="CS67" i="1"/>
  <c r="CP67" i="1"/>
  <c r="CL67" i="1"/>
  <c r="CK67" i="1"/>
  <c r="CO67" i="1"/>
  <c r="CU67" i="1"/>
  <c r="CN67" i="1"/>
  <c r="CT67" i="1"/>
  <c r="CM67" i="1"/>
  <c r="CR67" i="1"/>
  <c r="CQ67" i="1"/>
  <c r="CB97" i="1"/>
  <c r="CA97" i="1"/>
  <c r="BZ97" i="1"/>
  <c r="BY97" i="1"/>
  <c r="BX97" i="1"/>
  <c r="BW97" i="1"/>
  <c r="BV97" i="1"/>
  <c r="CD97" i="1"/>
  <c r="CC97" i="1"/>
  <c r="CE97" i="1"/>
  <c r="CF99" i="1"/>
  <c r="CL99" i="1"/>
  <c r="CR99" i="1"/>
  <c r="CG99" i="1"/>
  <c r="CH99" i="1"/>
  <c r="CI99" i="1"/>
  <c r="CJ99" i="1"/>
  <c r="CK99" i="1"/>
  <c r="CQ99" i="1"/>
  <c r="CO99" i="1"/>
  <c r="CU99" i="1"/>
  <c r="CN99" i="1"/>
  <c r="CT99" i="1"/>
  <c r="CM99" i="1"/>
  <c r="CS99" i="1"/>
  <c r="CP99" i="1"/>
  <c r="CB129" i="1"/>
  <c r="CA129" i="1"/>
  <c r="BZ129" i="1"/>
  <c r="BY129" i="1"/>
  <c r="BX129" i="1"/>
  <c r="BW129" i="1"/>
  <c r="BV129" i="1"/>
  <c r="CC129" i="1"/>
  <c r="CD129" i="1"/>
  <c r="CE129" i="1"/>
  <c r="CI131" i="1"/>
  <c r="CF131" i="1"/>
  <c r="CJ131" i="1"/>
  <c r="CU131" i="1"/>
  <c r="CO131" i="1"/>
  <c r="CG131" i="1"/>
  <c r="CH131" i="1"/>
  <c r="CM131" i="1"/>
  <c r="CL131" i="1"/>
  <c r="CP131" i="1"/>
  <c r="CK131" i="1"/>
  <c r="CR131" i="1"/>
  <c r="CQ131" i="1"/>
  <c r="CN131" i="1"/>
  <c r="CT131" i="1"/>
  <c r="CS131" i="1"/>
  <c r="BV161" i="1"/>
  <c r="CB161" i="1"/>
  <c r="CA161" i="1"/>
  <c r="BZ161" i="1"/>
  <c r="BY161" i="1"/>
  <c r="BX161" i="1"/>
  <c r="BW161" i="1"/>
  <c r="CC161" i="1"/>
  <c r="CD161" i="1"/>
  <c r="CE161" i="1"/>
  <c r="CG163" i="1"/>
  <c r="CM163" i="1"/>
  <c r="CF163" i="1"/>
  <c r="CT163" i="1"/>
  <c r="CK163" i="1"/>
  <c r="CH163" i="1"/>
  <c r="CI163" i="1"/>
  <c r="CJ163" i="1"/>
  <c r="CS163" i="1"/>
  <c r="CR163" i="1"/>
  <c r="CL163" i="1"/>
  <c r="CP163" i="1"/>
  <c r="CQ163" i="1"/>
  <c r="CO163" i="1"/>
  <c r="CU163" i="1"/>
  <c r="CN163" i="1"/>
  <c r="BX193" i="1"/>
  <c r="BW193" i="1"/>
  <c r="BV193" i="1"/>
  <c r="CB193" i="1"/>
  <c r="CA193" i="1"/>
  <c r="BZ193" i="1"/>
  <c r="BY193" i="1"/>
  <c r="CC193" i="1"/>
  <c r="CD193" i="1"/>
  <c r="CE193" i="1"/>
  <c r="CJ195" i="1"/>
  <c r="CK195" i="1"/>
  <c r="CS195" i="1"/>
  <c r="CP195" i="1"/>
  <c r="CL195" i="1"/>
  <c r="CF195" i="1"/>
  <c r="CG195" i="1"/>
  <c r="CH195" i="1"/>
  <c r="CI195" i="1"/>
  <c r="CM195" i="1"/>
  <c r="CU195" i="1"/>
  <c r="CN195" i="1"/>
  <c r="CT195" i="1"/>
  <c r="CR195" i="1"/>
  <c r="CQ195" i="1"/>
  <c r="CO195" i="1"/>
  <c r="CA225" i="1"/>
  <c r="BZ225" i="1"/>
  <c r="BY225" i="1"/>
  <c r="BX225" i="1"/>
  <c r="BW225" i="1"/>
  <c r="CB225" i="1"/>
  <c r="BV225" i="1"/>
  <c r="CD225" i="1"/>
  <c r="CE225" i="1"/>
  <c r="CC225" i="1"/>
  <c r="CH227" i="1"/>
  <c r="CG227" i="1"/>
  <c r="CI227" i="1"/>
  <c r="CJ227" i="1"/>
  <c r="CR227" i="1"/>
  <c r="CM227" i="1"/>
  <c r="CF227" i="1"/>
  <c r="CK227" i="1"/>
  <c r="CO227" i="1"/>
  <c r="CU227" i="1"/>
  <c r="CN227" i="1"/>
  <c r="CT227" i="1"/>
  <c r="CL227" i="1"/>
  <c r="CS227" i="1"/>
  <c r="CP227" i="1"/>
  <c r="CQ227" i="1"/>
  <c r="CA257" i="1"/>
  <c r="BZ257" i="1"/>
  <c r="BY257" i="1"/>
  <c r="BX257" i="1"/>
  <c r="BW257" i="1"/>
  <c r="CB257" i="1"/>
  <c r="BV257" i="1"/>
  <c r="CC257" i="1"/>
  <c r="CD257" i="1"/>
  <c r="CE257" i="1"/>
  <c r="CK259" i="1"/>
  <c r="CJ259" i="1"/>
  <c r="CF259" i="1"/>
  <c r="CM259" i="1"/>
  <c r="CH259" i="1"/>
  <c r="CU259" i="1"/>
  <c r="CO259" i="1"/>
  <c r="CL259" i="1"/>
  <c r="CG259" i="1"/>
  <c r="CN259" i="1"/>
  <c r="CQ259" i="1"/>
  <c r="CT259" i="1"/>
  <c r="CI259" i="1"/>
  <c r="CS259" i="1"/>
  <c r="CR259" i="1"/>
  <c r="CP259" i="1"/>
  <c r="CA289" i="1"/>
  <c r="BZ289" i="1"/>
  <c r="BY289" i="1"/>
  <c r="BX289" i="1"/>
  <c r="BW289" i="1"/>
  <c r="CB289" i="1"/>
  <c r="BV289" i="1"/>
  <c r="CC289" i="1"/>
  <c r="CD289" i="1"/>
  <c r="CE289" i="1"/>
  <c r="CI291" i="1"/>
  <c r="CJ291" i="1"/>
  <c r="CT291" i="1"/>
  <c r="CF291" i="1"/>
  <c r="CM291" i="1"/>
  <c r="CK291" i="1"/>
  <c r="CG291" i="1"/>
  <c r="CH291" i="1"/>
  <c r="CR291" i="1"/>
  <c r="CQ291" i="1"/>
  <c r="CO291" i="1"/>
  <c r="CP291" i="1"/>
  <c r="CU291" i="1"/>
  <c r="CL291" i="1"/>
  <c r="CS291" i="1"/>
  <c r="CN291" i="1"/>
  <c r="CA321" i="1"/>
  <c r="BZ321" i="1"/>
  <c r="BY321" i="1"/>
  <c r="BX321" i="1"/>
  <c r="BW321" i="1"/>
  <c r="BV321" i="1"/>
  <c r="CB321" i="1"/>
  <c r="CC321" i="1"/>
  <c r="CD321" i="1"/>
  <c r="CE321" i="1"/>
  <c r="CF323" i="1"/>
  <c r="CL323" i="1"/>
  <c r="CH323" i="1"/>
  <c r="CS323" i="1"/>
  <c r="CI323" i="1"/>
  <c r="CJ323" i="1"/>
  <c r="CG323" i="1"/>
  <c r="CK323" i="1"/>
  <c r="CR323" i="1"/>
  <c r="CQ323" i="1"/>
  <c r="CM323" i="1"/>
  <c r="CN323" i="1"/>
  <c r="CU323" i="1"/>
  <c r="CP323" i="1"/>
  <c r="CT323" i="1"/>
  <c r="CO323" i="1"/>
  <c r="CB353" i="1"/>
  <c r="CA353" i="1"/>
  <c r="BZ353" i="1"/>
  <c r="BY353" i="1"/>
  <c r="BX353" i="1"/>
  <c r="BW353" i="1"/>
  <c r="BV353" i="1"/>
  <c r="CE353" i="1"/>
  <c r="CD353" i="1"/>
  <c r="CC353" i="1"/>
  <c r="CI355" i="1"/>
  <c r="CH355" i="1"/>
  <c r="CJ355" i="1"/>
  <c r="CK355" i="1"/>
  <c r="CM355" i="1"/>
  <c r="CL355" i="1"/>
  <c r="CF355" i="1"/>
  <c r="CG355" i="1"/>
  <c r="CP355" i="1"/>
  <c r="CQ355" i="1"/>
  <c r="CR355" i="1"/>
  <c r="CS355" i="1"/>
  <c r="CU355" i="1"/>
  <c r="CN355" i="1"/>
  <c r="CO355" i="1"/>
  <c r="CT355" i="1"/>
  <c r="CA385" i="1"/>
  <c r="BZ385" i="1"/>
  <c r="BW385" i="1"/>
  <c r="BV385" i="1"/>
  <c r="CB385" i="1"/>
  <c r="BY385" i="1"/>
  <c r="BX385" i="1"/>
  <c r="CD385" i="1"/>
  <c r="CE385" i="1"/>
  <c r="CC385" i="1"/>
  <c r="CG387" i="1"/>
  <c r="CN387" i="1"/>
  <c r="CF387" i="1"/>
  <c r="CL387" i="1"/>
  <c r="CH387" i="1"/>
  <c r="CM387" i="1"/>
  <c r="CI387" i="1"/>
  <c r="CO387" i="1"/>
  <c r="CT387" i="1"/>
  <c r="CJ387" i="1"/>
  <c r="CU387" i="1"/>
  <c r="CK387" i="1"/>
  <c r="CS387" i="1"/>
  <c r="CP387" i="1"/>
  <c r="CQ387" i="1"/>
  <c r="CR387" i="1"/>
  <c r="CB417" i="1"/>
  <c r="CA417" i="1"/>
  <c r="BZ417" i="1"/>
  <c r="BY417" i="1"/>
  <c r="BX417" i="1"/>
  <c r="BW417" i="1"/>
  <c r="BV417" i="1"/>
  <c r="CD417" i="1"/>
  <c r="CE417" i="1"/>
  <c r="CC417" i="1"/>
  <c r="CG419" i="1"/>
  <c r="CI419" i="1"/>
  <c r="CF419" i="1"/>
  <c r="CJ419" i="1"/>
  <c r="CH419" i="1"/>
  <c r="CM419" i="1"/>
  <c r="CP419" i="1"/>
  <c r="CQ419" i="1"/>
  <c r="CR419" i="1"/>
  <c r="CS419" i="1"/>
  <c r="CK419" i="1"/>
  <c r="CL419" i="1"/>
  <c r="CT419" i="1"/>
  <c r="CU419" i="1"/>
  <c r="CN419" i="1"/>
  <c r="CO419" i="1"/>
  <c r="BY449" i="1"/>
  <c r="CB449" i="1"/>
  <c r="CA449" i="1"/>
  <c r="BZ449" i="1"/>
  <c r="BX449" i="1"/>
  <c r="BW449" i="1"/>
  <c r="BV449" i="1"/>
  <c r="CC449" i="1"/>
  <c r="CD449" i="1"/>
  <c r="CE449" i="1"/>
  <c r="CL451" i="1"/>
  <c r="CH451" i="1"/>
  <c r="CG451" i="1"/>
  <c r="CF451" i="1"/>
  <c r="CN451" i="1"/>
  <c r="CI451" i="1"/>
  <c r="CM451" i="1"/>
  <c r="CJ451" i="1"/>
  <c r="CK451" i="1"/>
  <c r="CR451" i="1"/>
  <c r="CO451" i="1"/>
  <c r="CS451" i="1"/>
  <c r="CT451" i="1"/>
  <c r="CU451" i="1"/>
  <c r="CQ451" i="1"/>
  <c r="CP451" i="1"/>
  <c r="CB481" i="1"/>
  <c r="CA481" i="1"/>
  <c r="BZ481" i="1"/>
  <c r="BY481" i="1"/>
  <c r="BX481" i="1"/>
  <c r="BW481" i="1"/>
  <c r="BV481" i="1"/>
  <c r="CC481" i="1"/>
  <c r="CD481" i="1"/>
  <c r="CE481" i="1"/>
  <c r="CF483" i="1"/>
  <c r="CH483" i="1"/>
  <c r="CJ483" i="1"/>
  <c r="CI483" i="1"/>
  <c r="CK483" i="1"/>
  <c r="CP483" i="1"/>
  <c r="CQ483" i="1"/>
  <c r="CL483" i="1"/>
  <c r="CR483" i="1"/>
  <c r="CS483" i="1"/>
  <c r="CG483" i="1"/>
  <c r="CM483" i="1"/>
  <c r="CO483" i="1"/>
  <c r="CT483" i="1"/>
  <c r="CU483" i="1"/>
  <c r="CN483" i="1"/>
  <c r="BV513" i="1"/>
  <c r="CB513" i="1"/>
  <c r="CA513" i="1"/>
  <c r="BZ513" i="1"/>
  <c r="BY513" i="1"/>
  <c r="BX513" i="1"/>
  <c r="BW513" i="1"/>
  <c r="CC513" i="1"/>
  <c r="CD513" i="1"/>
  <c r="CE513" i="1"/>
  <c r="CK515" i="1"/>
  <c r="CJ515" i="1"/>
  <c r="CF515" i="1"/>
  <c r="CM515" i="1"/>
  <c r="CN515" i="1"/>
  <c r="CL515" i="1"/>
  <c r="CO515" i="1"/>
  <c r="CT515" i="1"/>
  <c r="CU515" i="1"/>
  <c r="CH515" i="1"/>
  <c r="CG515" i="1"/>
  <c r="CI515" i="1"/>
  <c r="CP515" i="1"/>
  <c r="CQ515" i="1"/>
  <c r="CR515" i="1"/>
  <c r="CS515" i="1"/>
  <c r="CB545" i="1"/>
  <c r="CA545" i="1"/>
  <c r="BZ545" i="1"/>
  <c r="BY545" i="1"/>
  <c r="BX545" i="1"/>
  <c r="BW545" i="1"/>
  <c r="BV545" i="1"/>
  <c r="CE545" i="1"/>
  <c r="CD545" i="1"/>
  <c r="CC545" i="1"/>
  <c r="CG547" i="1"/>
  <c r="CH547" i="1"/>
  <c r="CJ547" i="1"/>
  <c r="CK547" i="1"/>
  <c r="CM547" i="1"/>
  <c r="CP547" i="1"/>
  <c r="CQ547" i="1"/>
  <c r="CR547" i="1"/>
  <c r="CS547" i="1"/>
  <c r="CL547" i="1"/>
  <c r="CF547" i="1"/>
  <c r="CI547" i="1"/>
  <c r="CN547" i="1"/>
  <c r="CO547" i="1"/>
  <c r="CT547" i="1"/>
  <c r="CU547" i="1"/>
  <c r="CB577" i="1"/>
  <c r="CA577" i="1"/>
  <c r="BZ577" i="1"/>
  <c r="BY577" i="1"/>
  <c r="BX577" i="1"/>
  <c r="BW577" i="1"/>
  <c r="BV577" i="1"/>
  <c r="CD577" i="1"/>
  <c r="CE577" i="1"/>
  <c r="CC577" i="1"/>
  <c r="CJ579" i="1"/>
  <c r="CI579" i="1"/>
  <c r="CK579" i="1"/>
  <c r="CF579" i="1"/>
  <c r="CH579" i="1"/>
  <c r="CN579" i="1"/>
  <c r="CM579" i="1"/>
  <c r="CL579" i="1"/>
  <c r="CG579" i="1"/>
  <c r="CU579" i="1"/>
  <c r="CP579" i="1"/>
  <c r="CQ579" i="1"/>
  <c r="CR579" i="1"/>
  <c r="CO579" i="1"/>
  <c r="CS579" i="1"/>
  <c r="CT579" i="1"/>
  <c r="BZ80" i="1"/>
  <c r="BY80" i="1"/>
  <c r="BX80" i="1"/>
  <c r="BW80" i="1"/>
  <c r="BV80" i="1"/>
  <c r="CB80" i="1"/>
  <c r="CA80" i="1"/>
  <c r="CC80" i="1"/>
  <c r="CD80" i="1"/>
  <c r="CE80" i="1"/>
  <c r="CM82" i="1"/>
  <c r="CK82" i="1"/>
  <c r="CL82" i="1"/>
  <c r="CN82" i="1"/>
  <c r="CG82" i="1"/>
  <c r="CH82" i="1"/>
  <c r="CF82" i="1"/>
  <c r="CI82" i="1"/>
  <c r="CR82" i="1"/>
  <c r="CS82" i="1"/>
  <c r="CT82" i="1"/>
  <c r="CO82" i="1"/>
  <c r="CJ82" i="1"/>
  <c r="CQ82" i="1"/>
  <c r="CP82" i="1"/>
  <c r="CU82" i="1"/>
  <c r="BZ112" i="1"/>
  <c r="BY112" i="1"/>
  <c r="BX112" i="1"/>
  <c r="BW112" i="1"/>
  <c r="BV112" i="1"/>
  <c r="CB112" i="1"/>
  <c r="CA112" i="1"/>
  <c r="CC112" i="1"/>
  <c r="CD112" i="1"/>
  <c r="CE112" i="1"/>
  <c r="CK114" i="1"/>
  <c r="CL114" i="1"/>
  <c r="CM114" i="1"/>
  <c r="CQ114" i="1"/>
  <c r="CI114" i="1"/>
  <c r="CJ114" i="1"/>
  <c r="CO114" i="1"/>
  <c r="CP114" i="1"/>
  <c r="CU114" i="1"/>
  <c r="CH114" i="1"/>
  <c r="CN114" i="1"/>
  <c r="CS114" i="1"/>
  <c r="CT114" i="1"/>
  <c r="CG114" i="1"/>
  <c r="CF114" i="1"/>
  <c r="CR114" i="1"/>
  <c r="BY144" i="1"/>
  <c r="BX144" i="1"/>
  <c r="BW144" i="1"/>
  <c r="BV144" i="1"/>
  <c r="CB144" i="1"/>
  <c r="CA144" i="1"/>
  <c r="BZ144" i="1"/>
  <c r="CE144" i="1"/>
  <c r="CC144" i="1"/>
  <c r="CD144" i="1"/>
  <c r="CM146" i="1"/>
  <c r="CK146" i="1"/>
  <c r="CL146" i="1"/>
  <c r="CF146" i="1"/>
  <c r="CR146" i="1"/>
  <c r="CP146" i="1"/>
  <c r="CS146" i="1"/>
  <c r="CG146" i="1"/>
  <c r="CQ146" i="1"/>
  <c r="CN146" i="1"/>
  <c r="CU146" i="1"/>
  <c r="CH146" i="1"/>
  <c r="CT146" i="1"/>
  <c r="CJ146" i="1"/>
  <c r="CO146" i="1"/>
  <c r="CI146" i="1"/>
  <c r="BY176" i="1"/>
  <c r="BX176" i="1"/>
  <c r="BW176" i="1"/>
  <c r="BV176" i="1"/>
  <c r="CB176" i="1"/>
  <c r="CA176" i="1"/>
  <c r="BZ176" i="1"/>
  <c r="CE176" i="1"/>
  <c r="CC176" i="1"/>
  <c r="CD176" i="1"/>
  <c r="CL178" i="1"/>
  <c r="CK178" i="1"/>
  <c r="CG178" i="1"/>
  <c r="CH178" i="1"/>
  <c r="CO178" i="1"/>
  <c r="CM178" i="1"/>
  <c r="CJ178" i="1"/>
  <c r="CU178" i="1"/>
  <c r="CQ178" i="1"/>
  <c r="CI178" i="1"/>
  <c r="CR178" i="1"/>
  <c r="CP178" i="1"/>
  <c r="CN178" i="1"/>
  <c r="CS178" i="1"/>
  <c r="CT178" i="1"/>
  <c r="CF178" i="1"/>
  <c r="BY208" i="1"/>
  <c r="BX208" i="1"/>
  <c r="BW208" i="1"/>
  <c r="BV208" i="1"/>
  <c r="CB208" i="1"/>
  <c r="CA208" i="1"/>
  <c r="BZ208" i="1"/>
  <c r="CC208" i="1"/>
  <c r="CD208" i="1"/>
  <c r="CE208" i="1"/>
  <c r="CM210" i="1"/>
  <c r="CL210" i="1"/>
  <c r="CK210" i="1"/>
  <c r="CN210" i="1"/>
  <c r="CF210" i="1"/>
  <c r="CG210" i="1"/>
  <c r="CI210" i="1"/>
  <c r="CR210" i="1"/>
  <c r="CP210" i="1"/>
  <c r="CT210" i="1"/>
  <c r="CO210" i="1"/>
  <c r="CQ210" i="1"/>
  <c r="CU210" i="1"/>
  <c r="CH210" i="1"/>
  <c r="CS210" i="1"/>
  <c r="CJ210" i="1"/>
  <c r="BY240" i="1"/>
  <c r="BX240" i="1"/>
  <c r="BW240" i="1"/>
  <c r="BV240" i="1"/>
  <c r="CB240" i="1"/>
  <c r="CA240" i="1"/>
  <c r="BZ240" i="1"/>
  <c r="CC240" i="1"/>
  <c r="CE240" i="1"/>
  <c r="CD240" i="1"/>
  <c r="CM242" i="1"/>
  <c r="CK242" i="1"/>
  <c r="CL242" i="1"/>
  <c r="CQ242" i="1"/>
  <c r="CN242" i="1"/>
  <c r="CJ242" i="1"/>
  <c r="CO242" i="1"/>
  <c r="CH242" i="1"/>
  <c r="CT242" i="1"/>
  <c r="CF242" i="1"/>
  <c r="CR242" i="1"/>
  <c r="CI242" i="1"/>
  <c r="CP242" i="1"/>
  <c r="CU242" i="1"/>
  <c r="CG242" i="1"/>
  <c r="CS242" i="1"/>
  <c r="CB272" i="1"/>
  <c r="CA272" i="1"/>
  <c r="BZ272" i="1"/>
  <c r="BY272" i="1"/>
  <c r="BX272" i="1"/>
  <c r="BW272" i="1"/>
  <c r="BV272" i="1"/>
  <c r="CC272" i="1"/>
  <c r="CE272" i="1"/>
  <c r="CD272" i="1"/>
  <c r="CI274" i="1"/>
  <c r="CF274" i="1"/>
  <c r="CK274" i="1"/>
  <c r="CL274" i="1"/>
  <c r="CM274" i="1"/>
  <c r="CP274" i="1"/>
  <c r="CS274" i="1"/>
  <c r="CG274" i="1"/>
  <c r="CH274" i="1"/>
  <c r="CU274" i="1"/>
  <c r="CJ274" i="1"/>
  <c r="CO274" i="1"/>
  <c r="CQ274" i="1"/>
  <c r="CN274" i="1"/>
  <c r="CR274" i="1"/>
  <c r="CT274" i="1"/>
  <c r="CB304" i="1"/>
  <c r="CA304" i="1"/>
  <c r="BZ304" i="1"/>
  <c r="BY304" i="1"/>
  <c r="BX304" i="1"/>
  <c r="BW304" i="1"/>
  <c r="BV304" i="1"/>
  <c r="CC304" i="1"/>
  <c r="CE304" i="1"/>
  <c r="CD304" i="1"/>
  <c r="CK306" i="1"/>
  <c r="CL306" i="1"/>
  <c r="CO306" i="1"/>
  <c r="CM306" i="1"/>
  <c r="CJ306" i="1"/>
  <c r="CH306" i="1"/>
  <c r="CF306" i="1"/>
  <c r="CG306" i="1"/>
  <c r="CN306" i="1"/>
  <c r="CT306" i="1"/>
  <c r="CI306" i="1"/>
  <c r="CU306" i="1"/>
  <c r="CP306" i="1"/>
  <c r="CR306" i="1"/>
  <c r="CS306" i="1"/>
  <c r="CQ306" i="1"/>
  <c r="CB336" i="1"/>
  <c r="CA336" i="1"/>
  <c r="BZ336" i="1"/>
  <c r="BY336" i="1"/>
  <c r="BX336" i="1"/>
  <c r="BW336" i="1"/>
  <c r="BV336" i="1"/>
  <c r="CC336" i="1"/>
  <c r="CE336" i="1"/>
  <c r="CD336" i="1"/>
  <c r="CL338" i="1"/>
  <c r="CN338" i="1"/>
  <c r="CM338" i="1"/>
  <c r="CK338" i="1"/>
  <c r="CI338" i="1"/>
  <c r="CP338" i="1"/>
  <c r="CG338" i="1"/>
  <c r="CJ338" i="1"/>
  <c r="CQ338" i="1"/>
  <c r="CO338" i="1"/>
  <c r="CF338" i="1"/>
  <c r="CS338" i="1"/>
  <c r="CR338" i="1"/>
  <c r="CT338" i="1"/>
  <c r="CU338" i="1"/>
  <c r="CH338" i="1"/>
  <c r="CB368" i="1"/>
  <c r="CA368" i="1"/>
  <c r="BZ368" i="1"/>
  <c r="BY368" i="1"/>
  <c r="BX368" i="1"/>
  <c r="BW368" i="1"/>
  <c r="BV368" i="1"/>
  <c r="CC368" i="1"/>
  <c r="CE368" i="1"/>
  <c r="CD368" i="1"/>
  <c r="CM370" i="1"/>
  <c r="CL370" i="1"/>
  <c r="CK370" i="1"/>
  <c r="CJ370" i="1"/>
  <c r="CU370" i="1"/>
  <c r="CH370" i="1"/>
  <c r="CR370" i="1"/>
  <c r="CG370" i="1"/>
  <c r="CN370" i="1"/>
  <c r="CT370" i="1"/>
  <c r="CF370" i="1"/>
  <c r="CI370" i="1"/>
  <c r="CS370" i="1"/>
  <c r="CQ370" i="1"/>
  <c r="CO370" i="1"/>
  <c r="CP370" i="1"/>
  <c r="CB400" i="1"/>
  <c r="CA400" i="1"/>
  <c r="BZ400" i="1"/>
  <c r="BY400" i="1"/>
  <c r="BX400" i="1"/>
  <c r="BW400" i="1"/>
  <c r="BV400" i="1"/>
  <c r="CC400" i="1"/>
  <c r="CE400" i="1"/>
  <c r="CD400" i="1"/>
  <c r="CL402" i="1"/>
  <c r="CM402" i="1"/>
  <c r="CF402" i="1"/>
  <c r="CK402" i="1"/>
  <c r="CQ402" i="1"/>
  <c r="CI402" i="1"/>
  <c r="CS402" i="1"/>
  <c r="CG402" i="1"/>
  <c r="CJ402" i="1"/>
  <c r="CH402" i="1"/>
  <c r="CP402" i="1"/>
  <c r="CO402" i="1"/>
  <c r="CU402" i="1"/>
  <c r="CR402" i="1"/>
  <c r="CT402" i="1"/>
  <c r="CN402" i="1"/>
  <c r="BW432" i="1"/>
  <c r="BV432" i="1"/>
  <c r="CB432" i="1"/>
  <c r="CA432" i="1"/>
  <c r="BZ432" i="1"/>
  <c r="BY432" i="1"/>
  <c r="BX432" i="1"/>
  <c r="CD432" i="1"/>
  <c r="CC432" i="1"/>
  <c r="CE432" i="1"/>
  <c r="CL434" i="1"/>
  <c r="CK434" i="1"/>
  <c r="CM434" i="1"/>
  <c r="CN434" i="1"/>
  <c r="CT434" i="1"/>
  <c r="CI434" i="1"/>
  <c r="CJ434" i="1"/>
  <c r="CG434" i="1"/>
  <c r="CF434" i="1"/>
  <c r="CH434" i="1"/>
  <c r="CU434" i="1"/>
  <c r="CS434" i="1"/>
  <c r="CQ434" i="1"/>
  <c r="CO434" i="1"/>
  <c r="CP434" i="1"/>
  <c r="CR434" i="1"/>
  <c r="CB464" i="1"/>
  <c r="CA464" i="1"/>
  <c r="BZ464" i="1"/>
  <c r="BY464" i="1"/>
  <c r="BX464" i="1"/>
  <c r="BW464" i="1"/>
  <c r="BV464" i="1"/>
  <c r="CE464" i="1"/>
  <c r="CD464" i="1"/>
  <c r="CC464" i="1"/>
  <c r="CL466" i="1"/>
  <c r="CK466" i="1"/>
  <c r="CG466" i="1"/>
  <c r="CI466" i="1"/>
  <c r="CM466" i="1"/>
  <c r="CP466" i="1"/>
  <c r="CO466" i="1"/>
  <c r="CQ466" i="1"/>
  <c r="CJ466" i="1"/>
  <c r="CS466" i="1"/>
  <c r="CF466" i="1"/>
  <c r="CH466" i="1"/>
  <c r="CN466" i="1"/>
  <c r="CT466" i="1"/>
  <c r="CU466" i="1"/>
  <c r="CR466" i="1"/>
  <c r="CB496" i="1"/>
  <c r="CA496" i="1"/>
  <c r="BZ496" i="1"/>
  <c r="BY496" i="1"/>
  <c r="BX496" i="1"/>
  <c r="BW496" i="1"/>
  <c r="BV496" i="1"/>
  <c r="CE496" i="1"/>
  <c r="CD496" i="1"/>
  <c r="CC496" i="1"/>
  <c r="CL498" i="1"/>
  <c r="CH498" i="1"/>
  <c r="CM498" i="1"/>
  <c r="CK498" i="1"/>
  <c r="CF498" i="1"/>
  <c r="CU498" i="1"/>
  <c r="CR498" i="1"/>
  <c r="CN498" i="1"/>
  <c r="CT498" i="1"/>
  <c r="CI498" i="1"/>
  <c r="CG498" i="1"/>
  <c r="CJ498" i="1"/>
  <c r="CO498" i="1"/>
  <c r="CP498" i="1"/>
  <c r="CS498" i="1"/>
  <c r="CQ498" i="1"/>
  <c r="CB528" i="1"/>
  <c r="CA528" i="1"/>
  <c r="BZ528" i="1"/>
  <c r="BY528" i="1"/>
  <c r="BX528" i="1"/>
  <c r="BW528" i="1"/>
  <c r="BV528" i="1"/>
  <c r="CE528" i="1"/>
  <c r="CD528" i="1"/>
  <c r="CC528" i="1"/>
  <c r="CL530" i="1"/>
  <c r="CK530" i="1"/>
  <c r="CM530" i="1"/>
  <c r="CQ530" i="1"/>
  <c r="CI530" i="1"/>
  <c r="CJ530" i="1"/>
  <c r="CG530" i="1"/>
  <c r="CS530" i="1"/>
  <c r="CF530" i="1"/>
  <c r="CH530" i="1"/>
  <c r="CP530" i="1"/>
  <c r="CO530" i="1"/>
  <c r="CR530" i="1"/>
  <c r="CN530" i="1"/>
  <c r="CT530" i="1"/>
  <c r="CU530" i="1"/>
  <c r="CB560" i="1"/>
  <c r="CA560" i="1"/>
  <c r="BZ560" i="1"/>
  <c r="BY560" i="1"/>
  <c r="BX560" i="1"/>
  <c r="BW560" i="1"/>
  <c r="BV560" i="1"/>
  <c r="CC560" i="1"/>
  <c r="CE560" i="1"/>
  <c r="CD560" i="1"/>
  <c r="CL562" i="1"/>
  <c r="CK562" i="1"/>
  <c r="CM562" i="1"/>
  <c r="CT562" i="1"/>
  <c r="CI562" i="1"/>
  <c r="CJ562" i="1"/>
  <c r="CG562" i="1"/>
  <c r="CF562" i="1"/>
  <c r="CH562" i="1"/>
  <c r="CU562" i="1"/>
  <c r="CO562" i="1"/>
  <c r="CN562" i="1"/>
  <c r="CP562" i="1"/>
  <c r="CR562" i="1"/>
  <c r="CQ562" i="1"/>
  <c r="CS562" i="1"/>
  <c r="CB592" i="1"/>
  <c r="CA592" i="1"/>
  <c r="BZ592" i="1"/>
  <c r="BY592" i="1"/>
  <c r="BX592" i="1"/>
  <c r="BW592" i="1"/>
  <c r="BV592" i="1"/>
  <c r="CC592" i="1"/>
  <c r="CE592" i="1"/>
  <c r="CD592" i="1"/>
  <c r="CL594" i="1"/>
  <c r="CK594" i="1"/>
  <c r="CM594" i="1"/>
  <c r="CP594" i="1"/>
  <c r="CO594" i="1"/>
  <c r="CI594" i="1"/>
  <c r="CQ594" i="1"/>
  <c r="CG594" i="1"/>
  <c r="CJ594" i="1"/>
  <c r="CS594" i="1"/>
  <c r="CF594" i="1"/>
  <c r="CH594" i="1"/>
  <c r="CN594" i="1"/>
  <c r="CR594" i="1"/>
  <c r="CT594" i="1"/>
  <c r="CU594" i="1"/>
  <c r="CK35" i="1"/>
  <c r="CJ35" i="1"/>
  <c r="CG35" i="1"/>
  <c r="CF35" i="1"/>
  <c r="CM35" i="1"/>
  <c r="CH35" i="1"/>
  <c r="CR35" i="1"/>
  <c r="CQ35" i="1"/>
  <c r="CI35" i="1"/>
  <c r="CU35" i="1"/>
  <c r="CN35" i="1"/>
  <c r="CS35" i="1"/>
  <c r="CT35" i="1"/>
  <c r="CP35" i="1"/>
  <c r="CL35" i="1"/>
  <c r="CO35" i="1"/>
  <c r="CB127" i="1"/>
  <c r="CA127" i="1"/>
  <c r="BZ127" i="1"/>
  <c r="BY127" i="1"/>
  <c r="BX127" i="1"/>
  <c r="BW127" i="1"/>
  <c r="BV127" i="1"/>
  <c r="CD127" i="1"/>
  <c r="CE127" i="1"/>
  <c r="CC127" i="1"/>
  <c r="CF129" i="1"/>
  <c r="CI129" i="1"/>
  <c r="CG129" i="1"/>
  <c r="CL129" i="1"/>
  <c r="CP129" i="1"/>
  <c r="CJ129" i="1"/>
  <c r="CH129" i="1"/>
  <c r="CK129" i="1"/>
  <c r="CM129" i="1"/>
  <c r="CS129" i="1"/>
  <c r="CR129" i="1"/>
  <c r="CT129" i="1"/>
  <c r="CN129" i="1"/>
  <c r="CO129" i="1"/>
  <c r="CQ129" i="1"/>
  <c r="CU129" i="1"/>
  <c r="CB159" i="1"/>
  <c r="CA159" i="1"/>
  <c r="BZ159" i="1"/>
  <c r="BY159" i="1"/>
  <c r="BX159" i="1"/>
  <c r="BW159" i="1"/>
  <c r="BV159" i="1"/>
  <c r="CC159" i="1"/>
  <c r="CD159" i="1"/>
  <c r="CE159" i="1"/>
  <c r="CG161" i="1"/>
  <c r="CH161" i="1"/>
  <c r="CM161" i="1"/>
  <c r="CP161" i="1"/>
  <c r="CO161" i="1"/>
  <c r="CJ161" i="1"/>
  <c r="CL161" i="1"/>
  <c r="CF161" i="1"/>
  <c r="CI161" i="1"/>
  <c r="CK161" i="1"/>
  <c r="CQ161" i="1"/>
  <c r="CR161" i="1"/>
  <c r="CT161" i="1"/>
  <c r="CU161" i="1"/>
  <c r="CS161" i="1"/>
  <c r="CN161" i="1"/>
  <c r="CB191" i="1"/>
  <c r="CA191" i="1"/>
  <c r="BZ191" i="1"/>
  <c r="BY191" i="1"/>
  <c r="BX191" i="1"/>
  <c r="BW191" i="1"/>
  <c r="BV191" i="1"/>
  <c r="CC191" i="1"/>
  <c r="CD191" i="1"/>
  <c r="CE191" i="1"/>
  <c r="CP193" i="1"/>
  <c r="CL193" i="1"/>
  <c r="CK193" i="1"/>
  <c r="CJ193" i="1"/>
  <c r="CM193" i="1"/>
  <c r="CH193" i="1"/>
  <c r="CF193" i="1"/>
  <c r="CI193" i="1"/>
  <c r="CO193" i="1"/>
  <c r="CS193" i="1"/>
  <c r="CG193" i="1"/>
  <c r="CN193" i="1"/>
  <c r="CQ193" i="1"/>
  <c r="CU193" i="1"/>
  <c r="CR193" i="1"/>
  <c r="CT193" i="1"/>
  <c r="CB223" i="1"/>
  <c r="CA223" i="1"/>
  <c r="BZ223" i="1"/>
  <c r="BY223" i="1"/>
  <c r="BX223" i="1"/>
  <c r="BW223" i="1"/>
  <c r="BV223" i="1"/>
  <c r="CD223" i="1"/>
  <c r="CE223" i="1"/>
  <c r="CC223" i="1"/>
  <c r="CH225" i="1"/>
  <c r="CM225" i="1"/>
  <c r="CP225" i="1"/>
  <c r="CI225" i="1"/>
  <c r="CG225" i="1"/>
  <c r="CK225" i="1"/>
  <c r="CJ225" i="1"/>
  <c r="CL225" i="1"/>
  <c r="CF225" i="1"/>
  <c r="CU225" i="1"/>
  <c r="CQ225" i="1"/>
  <c r="CR225" i="1"/>
  <c r="CT225" i="1"/>
  <c r="CO225" i="1"/>
  <c r="CN225" i="1"/>
  <c r="CS225" i="1"/>
  <c r="CB255" i="1"/>
  <c r="CA255" i="1"/>
  <c r="BZ255" i="1"/>
  <c r="BY255" i="1"/>
  <c r="BX255" i="1"/>
  <c r="BW255" i="1"/>
  <c r="BV255" i="1"/>
  <c r="CD255" i="1"/>
  <c r="CE255" i="1"/>
  <c r="CC255" i="1"/>
  <c r="CK257" i="1"/>
  <c r="CM257" i="1"/>
  <c r="CP257" i="1"/>
  <c r="CF257" i="1"/>
  <c r="CL257" i="1"/>
  <c r="CI257" i="1"/>
  <c r="CG257" i="1"/>
  <c r="CJ257" i="1"/>
  <c r="CH257" i="1"/>
  <c r="CO257" i="1"/>
  <c r="CT257" i="1"/>
  <c r="CQ257" i="1"/>
  <c r="CU257" i="1"/>
  <c r="CR257" i="1"/>
  <c r="CS257" i="1"/>
  <c r="CN257" i="1"/>
  <c r="CB287" i="1"/>
  <c r="CA287" i="1"/>
  <c r="BZ287" i="1"/>
  <c r="BY287" i="1"/>
  <c r="BX287" i="1"/>
  <c r="BW287" i="1"/>
  <c r="BV287" i="1"/>
  <c r="CD287" i="1"/>
  <c r="CE287" i="1"/>
  <c r="CC287" i="1"/>
  <c r="CI289" i="1"/>
  <c r="CP289" i="1"/>
  <c r="CJ289" i="1"/>
  <c r="CF289" i="1"/>
  <c r="CO289" i="1"/>
  <c r="CG289" i="1"/>
  <c r="CK289" i="1"/>
  <c r="CM289" i="1"/>
  <c r="CH289" i="1"/>
  <c r="CL289" i="1"/>
  <c r="CR289" i="1"/>
  <c r="CU289" i="1"/>
  <c r="CN289" i="1"/>
  <c r="CS289" i="1"/>
  <c r="CT289" i="1"/>
  <c r="CQ289" i="1"/>
  <c r="CB319" i="1"/>
  <c r="CA319" i="1"/>
  <c r="BZ319" i="1"/>
  <c r="BY319" i="1"/>
  <c r="BX319" i="1"/>
  <c r="BW319" i="1"/>
  <c r="BV319" i="1"/>
  <c r="CC319" i="1"/>
  <c r="CD319" i="1"/>
  <c r="CE319" i="1"/>
  <c r="CF321" i="1"/>
  <c r="CP321" i="1"/>
  <c r="CG321" i="1"/>
  <c r="CK321" i="1"/>
  <c r="CH321" i="1"/>
  <c r="CL321" i="1"/>
  <c r="CI321" i="1"/>
  <c r="CM321" i="1"/>
  <c r="CJ321" i="1"/>
  <c r="CS321" i="1"/>
  <c r="CT321" i="1"/>
  <c r="CO321" i="1"/>
  <c r="CQ321" i="1"/>
  <c r="CU321" i="1"/>
  <c r="CN321" i="1"/>
  <c r="CR321" i="1"/>
  <c r="CA351" i="1"/>
  <c r="BZ351" i="1"/>
  <c r="BY351" i="1"/>
  <c r="BX351" i="1"/>
  <c r="BW351" i="1"/>
  <c r="CB351" i="1"/>
  <c r="BV351" i="1"/>
  <c r="CC351" i="1"/>
  <c r="CD351" i="1"/>
  <c r="CE351" i="1"/>
  <c r="CJ353" i="1"/>
  <c r="CL353" i="1"/>
  <c r="CI353" i="1"/>
  <c r="CP353" i="1"/>
  <c r="CH353" i="1"/>
  <c r="CF353" i="1"/>
  <c r="CG353" i="1"/>
  <c r="CK353" i="1"/>
  <c r="CM353" i="1"/>
  <c r="CQ353" i="1"/>
  <c r="CN353" i="1"/>
  <c r="CU353" i="1"/>
  <c r="CO353" i="1"/>
  <c r="CT353" i="1"/>
  <c r="CS353" i="1"/>
  <c r="CR353" i="1"/>
  <c r="CA383" i="1"/>
  <c r="BZ383" i="1"/>
  <c r="BY383" i="1"/>
  <c r="BX383" i="1"/>
  <c r="BW383" i="1"/>
  <c r="BV383" i="1"/>
  <c r="CB383" i="1"/>
  <c r="CC383" i="1"/>
  <c r="CD383" i="1"/>
  <c r="CE383" i="1"/>
  <c r="CG385" i="1"/>
  <c r="CH385" i="1"/>
  <c r="CK385" i="1"/>
  <c r="CJ385" i="1"/>
  <c r="CP385" i="1"/>
  <c r="CL385" i="1"/>
  <c r="CF385" i="1"/>
  <c r="CI385" i="1"/>
  <c r="CM385" i="1"/>
  <c r="CS385" i="1"/>
  <c r="CR385" i="1"/>
  <c r="CQ385" i="1"/>
  <c r="CO385" i="1"/>
  <c r="CN385" i="1"/>
  <c r="CT385" i="1"/>
  <c r="CU385" i="1"/>
  <c r="CB415" i="1"/>
  <c r="CA415" i="1"/>
  <c r="BZ415" i="1"/>
  <c r="BY415" i="1"/>
  <c r="BX415" i="1"/>
  <c r="BW415" i="1"/>
  <c r="BV415" i="1"/>
  <c r="CC415" i="1"/>
  <c r="CE415" i="1"/>
  <c r="CD415" i="1"/>
  <c r="CP417" i="1"/>
  <c r="CM417" i="1"/>
  <c r="CG417" i="1"/>
  <c r="CH417" i="1"/>
  <c r="CI417" i="1"/>
  <c r="CJ417" i="1"/>
  <c r="CF417" i="1"/>
  <c r="CS417" i="1"/>
  <c r="CK417" i="1"/>
  <c r="CL417" i="1"/>
  <c r="CN417" i="1"/>
  <c r="CU417" i="1"/>
  <c r="CT417" i="1"/>
  <c r="CR417" i="1"/>
  <c r="CQ417" i="1"/>
  <c r="CO417" i="1"/>
  <c r="BY447" i="1"/>
  <c r="CB447" i="1"/>
  <c r="CA447" i="1"/>
  <c r="BZ447" i="1"/>
  <c r="BX447" i="1"/>
  <c r="BW447" i="1"/>
  <c r="BV447" i="1"/>
  <c r="CD447" i="1"/>
  <c r="CE447" i="1"/>
  <c r="CC447" i="1"/>
  <c r="CP449" i="1"/>
  <c r="CF449" i="1"/>
  <c r="CM449" i="1"/>
  <c r="CG449" i="1"/>
  <c r="CK449" i="1"/>
  <c r="CH449" i="1"/>
  <c r="CL449" i="1"/>
  <c r="CI449" i="1"/>
  <c r="CJ449" i="1"/>
  <c r="CS449" i="1"/>
  <c r="CR449" i="1"/>
  <c r="CQ449" i="1"/>
  <c r="CO449" i="1"/>
  <c r="CN449" i="1"/>
  <c r="CT449" i="1"/>
  <c r="CU449" i="1"/>
  <c r="CB479" i="1"/>
  <c r="CA479" i="1"/>
  <c r="BZ479" i="1"/>
  <c r="BY479" i="1"/>
  <c r="BX479" i="1"/>
  <c r="BW479" i="1"/>
  <c r="BV479" i="1"/>
  <c r="CE479" i="1"/>
  <c r="CC479" i="1"/>
  <c r="CD479" i="1"/>
  <c r="CP481" i="1"/>
  <c r="CL481" i="1"/>
  <c r="CG481" i="1"/>
  <c r="CF481" i="1"/>
  <c r="CJ481" i="1"/>
  <c r="CM481" i="1"/>
  <c r="CK481" i="1"/>
  <c r="CH481" i="1"/>
  <c r="CI481" i="1"/>
  <c r="CO481" i="1"/>
  <c r="CU481" i="1"/>
  <c r="CN481" i="1"/>
  <c r="CT481" i="1"/>
  <c r="CS481" i="1"/>
  <c r="CR481" i="1"/>
  <c r="CQ481" i="1"/>
  <c r="BX511" i="1"/>
  <c r="BW511" i="1"/>
  <c r="BV511" i="1"/>
  <c r="CB511" i="1"/>
  <c r="CA511" i="1"/>
  <c r="BZ511" i="1"/>
  <c r="BY511" i="1"/>
  <c r="CE511" i="1"/>
  <c r="CC511" i="1"/>
  <c r="CD511" i="1"/>
  <c r="CP513" i="1"/>
  <c r="CL513" i="1"/>
  <c r="CI513" i="1"/>
  <c r="CJ513" i="1"/>
  <c r="CM513" i="1"/>
  <c r="CF513" i="1"/>
  <c r="CK513" i="1"/>
  <c r="CG513" i="1"/>
  <c r="CH513" i="1"/>
  <c r="CR513" i="1"/>
  <c r="CQ513" i="1"/>
  <c r="CO513" i="1"/>
  <c r="CS513" i="1"/>
  <c r="CT513" i="1"/>
  <c r="CU513" i="1"/>
  <c r="CN513" i="1"/>
  <c r="BZ543" i="1"/>
  <c r="BY543" i="1"/>
  <c r="BX543" i="1"/>
  <c r="CB543" i="1"/>
  <c r="CA543" i="1"/>
  <c r="BW543" i="1"/>
  <c r="BV543" i="1"/>
  <c r="CD543" i="1"/>
  <c r="CE543" i="1"/>
  <c r="CC543" i="1"/>
  <c r="CP545" i="1"/>
  <c r="CG545" i="1"/>
  <c r="CF545" i="1"/>
  <c r="CH545" i="1"/>
  <c r="CM545" i="1"/>
  <c r="CI545" i="1"/>
  <c r="CJ545" i="1"/>
  <c r="CK545" i="1"/>
  <c r="CS545" i="1"/>
  <c r="CL545" i="1"/>
  <c r="CN545" i="1"/>
  <c r="CT545" i="1"/>
  <c r="CR545" i="1"/>
  <c r="CQ545" i="1"/>
  <c r="CO545" i="1"/>
  <c r="CU545" i="1"/>
  <c r="BZ575" i="1"/>
  <c r="BY575" i="1"/>
  <c r="BX575" i="1"/>
  <c r="BW575" i="1"/>
  <c r="CB575" i="1"/>
  <c r="CA575" i="1"/>
  <c r="BV575" i="1"/>
  <c r="CD575" i="1"/>
  <c r="CE575" i="1"/>
  <c r="CC575" i="1"/>
  <c r="CP577" i="1"/>
  <c r="CL577" i="1"/>
  <c r="CH577" i="1"/>
  <c r="CM577" i="1"/>
  <c r="CI577" i="1"/>
  <c r="CJ577" i="1"/>
  <c r="CF577" i="1"/>
  <c r="CG577" i="1"/>
  <c r="CK577" i="1"/>
  <c r="CR577" i="1"/>
  <c r="CQ577" i="1"/>
  <c r="CO577" i="1"/>
  <c r="CS577" i="1"/>
  <c r="CN577" i="1"/>
  <c r="CT577" i="1"/>
  <c r="CU577" i="1"/>
  <c r="BV33" i="1"/>
  <c r="CB33" i="1"/>
  <c r="CA33" i="1"/>
  <c r="BZ33" i="1"/>
  <c r="BY33" i="1"/>
  <c r="BX33" i="1"/>
  <c r="BW33" i="1"/>
  <c r="CD33" i="1"/>
  <c r="CE33" i="1"/>
  <c r="CC33" i="1"/>
  <c r="BY174" i="1"/>
  <c r="BX174" i="1"/>
  <c r="BW174" i="1"/>
  <c r="BV174" i="1"/>
  <c r="CB174" i="1"/>
  <c r="CA174" i="1"/>
  <c r="BZ174" i="1"/>
  <c r="CD174" i="1"/>
  <c r="CE174" i="1"/>
  <c r="CC174" i="1"/>
  <c r="CK176" i="1"/>
  <c r="CG176" i="1"/>
  <c r="CJ176" i="1"/>
  <c r="CH176" i="1"/>
  <c r="CM176" i="1"/>
  <c r="CL176" i="1"/>
  <c r="CI176" i="1"/>
  <c r="CF176" i="1"/>
  <c r="CQ176" i="1"/>
  <c r="CT176" i="1"/>
  <c r="CP176" i="1"/>
  <c r="CO176" i="1"/>
  <c r="CN176" i="1"/>
  <c r="CS176" i="1"/>
  <c r="CU176" i="1"/>
  <c r="CR176" i="1"/>
  <c r="CB206" i="1"/>
  <c r="CA206" i="1"/>
  <c r="BZ206" i="1"/>
  <c r="BY206" i="1"/>
  <c r="BX206" i="1"/>
  <c r="BW206" i="1"/>
  <c r="BV206" i="1"/>
  <c r="CE206" i="1"/>
  <c r="CD206" i="1"/>
  <c r="CC206" i="1"/>
  <c r="CH208" i="1"/>
  <c r="CI208" i="1"/>
  <c r="CF208" i="1"/>
  <c r="CM208" i="1"/>
  <c r="CG208" i="1"/>
  <c r="CK208" i="1"/>
  <c r="CL208" i="1"/>
  <c r="CJ208" i="1"/>
  <c r="CN208" i="1"/>
  <c r="CU208" i="1"/>
  <c r="CP208" i="1"/>
  <c r="CO208" i="1"/>
  <c r="CT208" i="1"/>
  <c r="CS208" i="1"/>
  <c r="CR208" i="1"/>
  <c r="CQ208" i="1"/>
  <c r="CB238" i="1"/>
  <c r="CA238" i="1"/>
  <c r="BZ238" i="1"/>
  <c r="BY238" i="1"/>
  <c r="BX238" i="1"/>
  <c r="BW238" i="1"/>
  <c r="BV238" i="1"/>
  <c r="CE238" i="1"/>
  <c r="CD238" i="1"/>
  <c r="CC238" i="1"/>
  <c r="CM240" i="1"/>
  <c r="CL240" i="1"/>
  <c r="CI240" i="1"/>
  <c r="CF240" i="1"/>
  <c r="CK240" i="1"/>
  <c r="CG240" i="1"/>
  <c r="CH240" i="1"/>
  <c r="CJ240" i="1"/>
  <c r="CN240" i="1"/>
  <c r="CQ240" i="1"/>
  <c r="CT240" i="1"/>
  <c r="CP240" i="1"/>
  <c r="CO240" i="1"/>
  <c r="CU240" i="1"/>
  <c r="CS240" i="1"/>
  <c r="CR240" i="1"/>
  <c r="CB270" i="1"/>
  <c r="CA270" i="1"/>
  <c r="BZ270" i="1"/>
  <c r="BY270" i="1"/>
  <c r="BX270" i="1"/>
  <c r="BW270" i="1"/>
  <c r="BV270" i="1"/>
  <c r="CE270" i="1"/>
  <c r="CD270" i="1"/>
  <c r="CC270" i="1"/>
  <c r="CF272" i="1"/>
  <c r="CH272" i="1"/>
  <c r="CJ272" i="1"/>
  <c r="CM272" i="1"/>
  <c r="CG272" i="1"/>
  <c r="CI272" i="1"/>
  <c r="CK272" i="1"/>
  <c r="CL272" i="1"/>
  <c r="CP272" i="1"/>
  <c r="CO272" i="1"/>
  <c r="CN272" i="1"/>
  <c r="CS272" i="1"/>
  <c r="CU272" i="1"/>
  <c r="CT272" i="1"/>
  <c r="CR272" i="1"/>
  <c r="CQ272" i="1"/>
  <c r="CB302" i="1"/>
  <c r="CA302" i="1"/>
  <c r="BZ302" i="1"/>
  <c r="BY302" i="1"/>
  <c r="BX302" i="1"/>
  <c r="BW302" i="1"/>
  <c r="BV302" i="1"/>
  <c r="CE302" i="1"/>
  <c r="CD302" i="1"/>
  <c r="CC302" i="1"/>
  <c r="CK304" i="1"/>
  <c r="CG304" i="1"/>
  <c r="CM304" i="1"/>
  <c r="CI304" i="1"/>
  <c r="CF304" i="1"/>
  <c r="CH304" i="1"/>
  <c r="CJ304" i="1"/>
  <c r="CL304" i="1"/>
  <c r="CQ304" i="1"/>
  <c r="CP304" i="1"/>
  <c r="CT304" i="1"/>
  <c r="CR304" i="1"/>
  <c r="CO304" i="1"/>
  <c r="CN304" i="1"/>
  <c r="CU304" i="1"/>
  <c r="CS304" i="1"/>
  <c r="BX334" i="1"/>
  <c r="BW334" i="1"/>
  <c r="BV334" i="1"/>
  <c r="BY334" i="1"/>
  <c r="CB334" i="1"/>
  <c r="CA334" i="1"/>
  <c r="BZ334" i="1"/>
  <c r="CD334" i="1"/>
  <c r="CE334" i="1"/>
  <c r="CC334" i="1"/>
  <c r="CF336" i="1"/>
  <c r="CJ336" i="1"/>
  <c r="CH336" i="1"/>
  <c r="CL336" i="1"/>
  <c r="CM336" i="1"/>
  <c r="CG336" i="1"/>
  <c r="CI336" i="1"/>
  <c r="CK336" i="1"/>
  <c r="CP336" i="1"/>
  <c r="CU336" i="1"/>
  <c r="CO336" i="1"/>
  <c r="CN336" i="1"/>
  <c r="CS336" i="1"/>
  <c r="CR336" i="1"/>
  <c r="CQ336" i="1"/>
  <c r="CT336" i="1"/>
  <c r="CB366" i="1"/>
  <c r="CA366" i="1"/>
  <c r="BZ366" i="1"/>
  <c r="BY366" i="1"/>
  <c r="BX366" i="1"/>
  <c r="BW366" i="1"/>
  <c r="BV366" i="1"/>
  <c r="CE366" i="1"/>
  <c r="CD366" i="1"/>
  <c r="CC366" i="1"/>
  <c r="CG368" i="1"/>
  <c r="CF368" i="1"/>
  <c r="CM368" i="1"/>
  <c r="CI368" i="1"/>
  <c r="CL368" i="1"/>
  <c r="CH368" i="1"/>
  <c r="CJ368" i="1"/>
  <c r="CQ368" i="1"/>
  <c r="CT368" i="1"/>
  <c r="CK368" i="1"/>
  <c r="CS368" i="1"/>
  <c r="CR368" i="1"/>
  <c r="CN368" i="1"/>
  <c r="CO368" i="1"/>
  <c r="CP368" i="1"/>
  <c r="CU368" i="1"/>
  <c r="CB398" i="1"/>
  <c r="CA398" i="1"/>
  <c r="BZ398" i="1"/>
  <c r="BY398" i="1"/>
  <c r="BX398" i="1"/>
  <c r="BW398" i="1"/>
  <c r="BV398" i="1"/>
  <c r="CD398" i="1"/>
  <c r="CE398" i="1"/>
  <c r="CC398" i="1"/>
  <c r="CH400" i="1"/>
  <c r="CJ400" i="1"/>
  <c r="CK400" i="1"/>
  <c r="CL400" i="1"/>
  <c r="CM400" i="1"/>
  <c r="CF400" i="1"/>
  <c r="CG400" i="1"/>
  <c r="CI400" i="1"/>
  <c r="CS400" i="1"/>
  <c r="CN400" i="1"/>
  <c r="CO400" i="1"/>
  <c r="CP400" i="1"/>
  <c r="CT400" i="1"/>
  <c r="CR400" i="1"/>
  <c r="CU400" i="1"/>
  <c r="CQ400" i="1"/>
  <c r="BX430" i="1"/>
  <c r="CB430" i="1"/>
  <c r="CA430" i="1"/>
  <c r="BZ430" i="1"/>
  <c r="BY430" i="1"/>
  <c r="BW430" i="1"/>
  <c r="BV430" i="1"/>
  <c r="CE430" i="1"/>
  <c r="CD430" i="1"/>
  <c r="CC430" i="1"/>
  <c r="CF432" i="1"/>
  <c r="CH432" i="1"/>
  <c r="CK432" i="1"/>
  <c r="CL432" i="1"/>
  <c r="CM432" i="1"/>
  <c r="CG432" i="1"/>
  <c r="CI432" i="1"/>
  <c r="CJ432" i="1"/>
  <c r="CQ432" i="1"/>
  <c r="CT432" i="1"/>
  <c r="CR432" i="1"/>
  <c r="CU432" i="1"/>
  <c r="CS432" i="1"/>
  <c r="CN432" i="1"/>
  <c r="CO432" i="1"/>
  <c r="CP432" i="1"/>
  <c r="CA462" i="1"/>
  <c r="BZ462" i="1"/>
  <c r="BY462" i="1"/>
  <c r="BX462" i="1"/>
  <c r="CB462" i="1"/>
  <c r="BW462" i="1"/>
  <c r="BV462" i="1"/>
  <c r="CE462" i="1"/>
  <c r="CD462" i="1"/>
  <c r="CC462" i="1"/>
  <c r="CL464" i="1"/>
  <c r="CJ464" i="1"/>
  <c r="CF464" i="1"/>
  <c r="CK464" i="1"/>
  <c r="CG464" i="1"/>
  <c r="CI464" i="1"/>
  <c r="CH464" i="1"/>
  <c r="CN464" i="1"/>
  <c r="CO464" i="1"/>
  <c r="CM464" i="1"/>
  <c r="CP464" i="1"/>
  <c r="CU464" i="1"/>
  <c r="CT464" i="1"/>
  <c r="CS464" i="1"/>
  <c r="CR464" i="1"/>
  <c r="CQ464" i="1"/>
  <c r="BX494" i="1"/>
  <c r="BW494" i="1"/>
  <c r="BV494" i="1"/>
  <c r="CB494" i="1"/>
  <c r="CA494" i="1"/>
  <c r="BZ494" i="1"/>
  <c r="BY494" i="1"/>
  <c r="CE494" i="1"/>
  <c r="CD494" i="1"/>
  <c r="CC494" i="1"/>
  <c r="CF496" i="1"/>
  <c r="CG496" i="1"/>
  <c r="CL496" i="1"/>
  <c r="CH496" i="1"/>
  <c r="CM496" i="1"/>
  <c r="CJ496" i="1"/>
  <c r="CI496" i="1"/>
  <c r="CK496" i="1"/>
  <c r="CQ496" i="1"/>
  <c r="CT496" i="1"/>
  <c r="CO496" i="1"/>
  <c r="CP496" i="1"/>
  <c r="CU496" i="1"/>
  <c r="CS496" i="1"/>
  <c r="CR496" i="1"/>
  <c r="CN496" i="1"/>
  <c r="CB526" i="1"/>
  <c r="CA526" i="1"/>
  <c r="BZ526" i="1"/>
  <c r="BY526" i="1"/>
  <c r="BX526" i="1"/>
  <c r="BW526" i="1"/>
  <c r="BV526" i="1"/>
  <c r="CE526" i="1"/>
  <c r="CC526" i="1"/>
  <c r="CD526" i="1"/>
  <c r="CF528" i="1"/>
  <c r="CK528" i="1"/>
  <c r="CG528" i="1"/>
  <c r="CI528" i="1"/>
  <c r="CM528" i="1"/>
  <c r="CH528" i="1"/>
  <c r="CJ528" i="1"/>
  <c r="CL528" i="1"/>
  <c r="CS528" i="1"/>
  <c r="CN528" i="1"/>
  <c r="CO528" i="1"/>
  <c r="CP528" i="1"/>
  <c r="CQ528" i="1"/>
  <c r="CU528" i="1"/>
  <c r="CT528" i="1"/>
  <c r="CR528" i="1"/>
  <c r="CB558" i="1"/>
  <c r="CA558" i="1"/>
  <c r="BZ558" i="1"/>
  <c r="BY558" i="1"/>
  <c r="BX558" i="1"/>
  <c r="BW558" i="1"/>
  <c r="BV558" i="1"/>
  <c r="CD558" i="1"/>
  <c r="CE558" i="1"/>
  <c r="CC558" i="1"/>
  <c r="CM560" i="1"/>
  <c r="CF560" i="1"/>
  <c r="CH560" i="1"/>
  <c r="CL560" i="1"/>
  <c r="CI560" i="1"/>
  <c r="CQ560" i="1"/>
  <c r="CG560" i="1"/>
  <c r="CT560" i="1"/>
  <c r="CK560" i="1"/>
  <c r="CR560" i="1"/>
  <c r="CJ560" i="1"/>
  <c r="CN560" i="1"/>
  <c r="CO560" i="1"/>
  <c r="CP560" i="1"/>
  <c r="CU560" i="1"/>
  <c r="CS560" i="1"/>
  <c r="CB590" i="1"/>
  <c r="CA590" i="1"/>
  <c r="BZ590" i="1"/>
  <c r="BY590" i="1"/>
  <c r="BX590" i="1"/>
  <c r="BW590" i="1"/>
  <c r="BV590" i="1"/>
  <c r="CD590" i="1"/>
  <c r="CE590" i="1"/>
  <c r="CC590" i="1"/>
  <c r="CF592" i="1"/>
  <c r="CM592" i="1"/>
  <c r="CG592" i="1"/>
  <c r="CN592" i="1"/>
  <c r="CH592" i="1"/>
  <c r="CO592" i="1"/>
  <c r="CP592" i="1"/>
  <c r="CK592" i="1"/>
  <c r="CU592" i="1"/>
  <c r="CI592" i="1"/>
  <c r="CJ592" i="1"/>
  <c r="CL592" i="1"/>
  <c r="CT592" i="1"/>
  <c r="CS592" i="1"/>
  <c r="CR592" i="1"/>
  <c r="CQ592" i="1"/>
  <c r="CF191" i="1"/>
  <c r="CH191" i="1"/>
  <c r="CG191" i="1"/>
  <c r="CS191" i="1"/>
  <c r="CI191" i="1"/>
  <c r="CP191" i="1"/>
  <c r="CJ191" i="1"/>
  <c r="CK191" i="1"/>
  <c r="CL191" i="1"/>
  <c r="CM191" i="1"/>
  <c r="CU191" i="1"/>
  <c r="CN191" i="1"/>
  <c r="CT191" i="1"/>
  <c r="CR191" i="1"/>
  <c r="CQ191" i="1"/>
  <c r="CO191" i="1"/>
  <c r="CB221" i="1"/>
  <c r="CA221" i="1"/>
  <c r="BZ221" i="1"/>
  <c r="BY221" i="1"/>
  <c r="BX221" i="1"/>
  <c r="BW221" i="1"/>
  <c r="BV221" i="1"/>
  <c r="CC221" i="1"/>
  <c r="CE221" i="1"/>
  <c r="CD221" i="1"/>
  <c r="CK223" i="1"/>
  <c r="CH223" i="1"/>
  <c r="CL223" i="1"/>
  <c r="CM223" i="1"/>
  <c r="CF223" i="1"/>
  <c r="CG223" i="1"/>
  <c r="CI223" i="1"/>
  <c r="CJ223" i="1"/>
  <c r="CO223" i="1"/>
  <c r="CU223" i="1"/>
  <c r="CN223" i="1"/>
  <c r="CT223" i="1"/>
  <c r="CS223" i="1"/>
  <c r="CP223" i="1"/>
  <c r="CR223" i="1"/>
  <c r="CQ223" i="1"/>
  <c r="CB253" i="1"/>
  <c r="CA253" i="1"/>
  <c r="BZ253" i="1"/>
  <c r="BY253" i="1"/>
  <c r="BX253" i="1"/>
  <c r="BW253" i="1"/>
  <c r="BV253" i="1"/>
  <c r="CE253" i="1"/>
  <c r="CD253" i="1"/>
  <c r="CC253" i="1"/>
  <c r="CI255" i="1"/>
  <c r="CF255" i="1"/>
  <c r="CG255" i="1"/>
  <c r="CH255" i="1"/>
  <c r="CL255" i="1"/>
  <c r="CJ255" i="1"/>
  <c r="CK255" i="1"/>
  <c r="CM255" i="1"/>
  <c r="CU255" i="1"/>
  <c r="CO255" i="1"/>
  <c r="CN255" i="1"/>
  <c r="CQ255" i="1"/>
  <c r="CT255" i="1"/>
  <c r="CS255" i="1"/>
  <c r="CR255" i="1"/>
  <c r="CP255" i="1"/>
  <c r="BX285" i="1"/>
  <c r="BW285" i="1"/>
  <c r="BV285" i="1"/>
  <c r="CB285" i="1"/>
  <c r="CA285" i="1"/>
  <c r="BZ285" i="1"/>
  <c r="BY285" i="1"/>
  <c r="CE285" i="1"/>
  <c r="CD285" i="1"/>
  <c r="CC285" i="1"/>
  <c r="CL287" i="1"/>
  <c r="CM287" i="1"/>
  <c r="CT287" i="1"/>
  <c r="CH287" i="1"/>
  <c r="CI287" i="1"/>
  <c r="CG287" i="1"/>
  <c r="CJ287" i="1"/>
  <c r="CK287" i="1"/>
  <c r="CR287" i="1"/>
  <c r="CF287" i="1"/>
  <c r="CQ287" i="1"/>
  <c r="CO287" i="1"/>
  <c r="CP287" i="1"/>
  <c r="CU287" i="1"/>
  <c r="CN287" i="1"/>
  <c r="CS287" i="1"/>
  <c r="CB317" i="1"/>
  <c r="CA317" i="1"/>
  <c r="BZ317" i="1"/>
  <c r="BY317" i="1"/>
  <c r="BX317" i="1"/>
  <c r="BW317" i="1"/>
  <c r="BV317" i="1"/>
  <c r="CD317" i="1"/>
  <c r="CC317" i="1"/>
  <c r="CE317" i="1"/>
  <c r="CJ319" i="1"/>
  <c r="CI319" i="1"/>
  <c r="CH319" i="1"/>
  <c r="CL319" i="1"/>
  <c r="CG319" i="1"/>
  <c r="CK319" i="1"/>
  <c r="CS319" i="1"/>
  <c r="CF319" i="1"/>
  <c r="CM319" i="1"/>
  <c r="CR319" i="1"/>
  <c r="CQ319" i="1"/>
  <c r="CN319" i="1"/>
  <c r="CU319" i="1"/>
  <c r="CT319" i="1"/>
  <c r="CP319" i="1"/>
  <c r="CO319" i="1"/>
  <c r="CB349" i="1"/>
  <c r="CA349" i="1"/>
  <c r="BZ349" i="1"/>
  <c r="BY349" i="1"/>
  <c r="BX349" i="1"/>
  <c r="BW349" i="1"/>
  <c r="BV349" i="1"/>
  <c r="CC349" i="1"/>
  <c r="CE349" i="1"/>
  <c r="CD349" i="1"/>
  <c r="CM351" i="1"/>
  <c r="CL351" i="1"/>
  <c r="CH351" i="1"/>
  <c r="CF351" i="1"/>
  <c r="CI351" i="1"/>
  <c r="CJ351" i="1"/>
  <c r="CG351" i="1"/>
  <c r="CK351" i="1"/>
  <c r="CP351" i="1"/>
  <c r="CQ351" i="1"/>
  <c r="CR351" i="1"/>
  <c r="CS351" i="1"/>
  <c r="CO351" i="1"/>
  <c r="CT351" i="1"/>
  <c r="CU351" i="1"/>
  <c r="CN351" i="1"/>
  <c r="CB381" i="1"/>
  <c r="CA381" i="1"/>
  <c r="BZ381" i="1"/>
  <c r="BY381" i="1"/>
  <c r="BX381" i="1"/>
  <c r="BW381" i="1"/>
  <c r="BV381" i="1"/>
  <c r="CC381" i="1"/>
  <c r="CE381" i="1"/>
  <c r="CD381" i="1"/>
  <c r="CH383" i="1"/>
  <c r="CG383" i="1"/>
  <c r="CJ383" i="1"/>
  <c r="CK383" i="1"/>
  <c r="CF383" i="1"/>
  <c r="CI383" i="1"/>
  <c r="CN383" i="1"/>
  <c r="CL383" i="1"/>
  <c r="CM383" i="1"/>
  <c r="CU383" i="1"/>
  <c r="CT383" i="1"/>
  <c r="CP383" i="1"/>
  <c r="CQ383" i="1"/>
  <c r="CR383" i="1"/>
  <c r="CO383" i="1"/>
  <c r="CS383" i="1"/>
  <c r="BX413" i="1"/>
  <c r="BW413" i="1"/>
  <c r="BV413" i="1"/>
  <c r="BZ413" i="1"/>
  <c r="BY413" i="1"/>
  <c r="CB413" i="1"/>
  <c r="CA413" i="1"/>
  <c r="CE413" i="1"/>
  <c r="CC413" i="1"/>
  <c r="CD413" i="1"/>
  <c r="CK415" i="1"/>
  <c r="CM415" i="1"/>
  <c r="CF415" i="1"/>
  <c r="CL415" i="1"/>
  <c r="CG415" i="1"/>
  <c r="CJ415" i="1"/>
  <c r="CH415" i="1"/>
  <c r="CI415" i="1"/>
  <c r="CP415" i="1"/>
  <c r="CQ415" i="1"/>
  <c r="CR415" i="1"/>
  <c r="CS415" i="1"/>
  <c r="CO415" i="1"/>
  <c r="CT415" i="1"/>
  <c r="CU415" i="1"/>
  <c r="CN415" i="1"/>
  <c r="BX445" i="1"/>
  <c r="BW445" i="1"/>
  <c r="BV445" i="1"/>
  <c r="CB445" i="1"/>
  <c r="CA445" i="1"/>
  <c r="BZ445" i="1"/>
  <c r="BY445" i="1"/>
  <c r="CE445" i="1"/>
  <c r="CC445" i="1"/>
  <c r="CD445" i="1"/>
  <c r="CH447" i="1"/>
  <c r="CG447" i="1"/>
  <c r="CK447" i="1"/>
  <c r="CI447" i="1"/>
  <c r="CF447" i="1"/>
  <c r="CJ447" i="1"/>
  <c r="CN447" i="1"/>
  <c r="CM447" i="1"/>
  <c r="CL447" i="1"/>
  <c r="CR447" i="1"/>
  <c r="CO447" i="1"/>
  <c r="CS447" i="1"/>
  <c r="CT447" i="1"/>
  <c r="CU447" i="1"/>
  <c r="CP447" i="1"/>
  <c r="CQ447" i="1"/>
  <c r="BV477" i="1"/>
  <c r="CB477" i="1"/>
  <c r="CA477" i="1"/>
  <c r="BZ477" i="1"/>
  <c r="BY477" i="1"/>
  <c r="BX477" i="1"/>
  <c r="BW477" i="1"/>
  <c r="CD477" i="1"/>
  <c r="CE477" i="1"/>
  <c r="CC477" i="1"/>
  <c r="CJ479" i="1"/>
  <c r="CF479" i="1"/>
  <c r="CL479" i="1"/>
  <c r="CI479" i="1"/>
  <c r="CH479" i="1"/>
  <c r="CM479" i="1"/>
  <c r="CK479" i="1"/>
  <c r="CP479" i="1"/>
  <c r="CQ479" i="1"/>
  <c r="CR479" i="1"/>
  <c r="CS479" i="1"/>
  <c r="CO479" i="1"/>
  <c r="CT479" i="1"/>
  <c r="CG479" i="1"/>
  <c r="CU479" i="1"/>
  <c r="CN479" i="1"/>
  <c r="BZ509" i="1"/>
  <c r="BY509" i="1"/>
  <c r="BX509" i="1"/>
  <c r="BW509" i="1"/>
  <c r="BV509" i="1"/>
  <c r="CB509" i="1"/>
  <c r="CA509" i="1"/>
  <c r="CC509" i="1"/>
  <c r="CE509" i="1"/>
  <c r="CD509" i="1"/>
  <c r="CJ511" i="1"/>
  <c r="CF511" i="1"/>
  <c r="CH511" i="1"/>
  <c r="CN511" i="1"/>
  <c r="CU511" i="1"/>
  <c r="CI511" i="1"/>
  <c r="CL511" i="1"/>
  <c r="CG511" i="1"/>
  <c r="CK511" i="1"/>
  <c r="CM511" i="1"/>
  <c r="CP511" i="1"/>
  <c r="CQ511" i="1"/>
  <c r="CR511" i="1"/>
  <c r="CO511" i="1"/>
  <c r="CS511" i="1"/>
  <c r="CT511" i="1"/>
  <c r="BY541" i="1"/>
  <c r="BX541" i="1"/>
  <c r="BW541" i="1"/>
  <c r="BV541" i="1"/>
  <c r="CB541" i="1"/>
  <c r="CA541" i="1"/>
  <c r="BZ541" i="1"/>
  <c r="CC541" i="1"/>
  <c r="CD541" i="1"/>
  <c r="CE541" i="1"/>
  <c r="CI543" i="1"/>
  <c r="CK543" i="1"/>
  <c r="CH543" i="1"/>
  <c r="CL543" i="1"/>
  <c r="CG543" i="1"/>
  <c r="CF543" i="1"/>
  <c r="CP543" i="1"/>
  <c r="CQ543" i="1"/>
  <c r="CR543" i="1"/>
  <c r="CS543" i="1"/>
  <c r="CO543" i="1"/>
  <c r="CT543" i="1"/>
  <c r="CJ543" i="1"/>
  <c r="CN543" i="1"/>
  <c r="CU543" i="1"/>
  <c r="CM543" i="1"/>
  <c r="CB573" i="1"/>
  <c r="CA573" i="1"/>
  <c r="BZ573" i="1"/>
  <c r="BY573" i="1"/>
  <c r="BX573" i="1"/>
  <c r="BW573" i="1"/>
  <c r="BV573" i="1"/>
  <c r="CD573" i="1"/>
  <c r="CC573" i="1"/>
  <c r="CE573" i="1"/>
  <c r="CM575" i="1"/>
  <c r="CJ575" i="1"/>
  <c r="CF575" i="1"/>
  <c r="CI575" i="1"/>
  <c r="CH575" i="1"/>
  <c r="CL575" i="1"/>
  <c r="CG575" i="1"/>
  <c r="CN575" i="1"/>
  <c r="CU575" i="1"/>
  <c r="CT575" i="1"/>
  <c r="CP575" i="1"/>
  <c r="CQ575" i="1"/>
  <c r="CR575" i="1"/>
  <c r="CO575" i="1"/>
  <c r="CS575" i="1"/>
  <c r="CK575" i="1"/>
  <c r="BV605" i="1"/>
  <c r="CB605" i="1"/>
  <c r="CA605" i="1"/>
  <c r="BZ605" i="1"/>
  <c r="BY605" i="1"/>
  <c r="BW605" i="1"/>
  <c r="BX605" i="1"/>
  <c r="CE605" i="1"/>
  <c r="CD605" i="1"/>
  <c r="CC605" i="1"/>
  <c r="BZ189" i="1"/>
  <c r="BY189" i="1"/>
  <c r="BX189" i="1"/>
  <c r="BW189" i="1"/>
  <c r="BV189" i="1"/>
  <c r="CB189" i="1"/>
  <c r="CA189" i="1"/>
  <c r="CC189" i="1"/>
  <c r="CE189" i="1"/>
  <c r="CD189" i="1"/>
  <c r="CB172" i="1"/>
  <c r="CA172" i="1"/>
  <c r="BZ172" i="1"/>
  <c r="BY172" i="1"/>
  <c r="BX172" i="1"/>
  <c r="BW172" i="1"/>
  <c r="BV172" i="1"/>
  <c r="CE172" i="1"/>
  <c r="CC172" i="1"/>
  <c r="CD172" i="1"/>
  <c r="CB268" i="1"/>
  <c r="CA268" i="1"/>
  <c r="BZ268" i="1"/>
  <c r="BY268" i="1"/>
  <c r="BX268" i="1"/>
  <c r="BW268" i="1"/>
  <c r="BV268" i="1"/>
  <c r="CC268" i="1"/>
  <c r="CE268" i="1"/>
  <c r="CD268" i="1"/>
  <c r="CG302" i="1"/>
  <c r="CK302" i="1"/>
  <c r="CL302" i="1"/>
  <c r="CF302" i="1"/>
  <c r="CO302" i="1"/>
  <c r="CJ302" i="1"/>
  <c r="CH302" i="1"/>
  <c r="CN302" i="1"/>
  <c r="CT302" i="1"/>
  <c r="CM302" i="1"/>
  <c r="CU302" i="1"/>
  <c r="CI302" i="1"/>
  <c r="CP302" i="1"/>
  <c r="CR302" i="1"/>
  <c r="CS302" i="1"/>
  <c r="CQ302" i="1"/>
  <c r="CB332" i="1"/>
  <c r="CA332" i="1"/>
  <c r="BZ332" i="1"/>
  <c r="BY332" i="1"/>
  <c r="BX332" i="1"/>
  <c r="BW332" i="1"/>
  <c r="BV332" i="1"/>
  <c r="CD332" i="1"/>
  <c r="CC332" i="1"/>
  <c r="CE332" i="1"/>
  <c r="CH334" i="1"/>
  <c r="CI334" i="1"/>
  <c r="CM334" i="1"/>
  <c r="CN334" i="1"/>
  <c r="CF334" i="1"/>
  <c r="CG334" i="1"/>
  <c r="CP334" i="1"/>
  <c r="CR334" i="1"/>
  <c r="CL334" i="1"/>
  <c r="CK334" i="1"/>
  <c r="CQ334" i="1"/>
  <c r="CO334" i="1"/>
  <c r="CJ334" i="1"/>
  <c r="CS334" i="1"/>
  <c r="CT334" i="1"/>
  <c r="CU334" i="1"/>
  <c r="CB364" i="1"/>
  <c r="CA364" i="1"/>
  <c r="BZ364" i="1"/>
  <c r="BY364" i="1"/>
  <c r="BX364" i="1"/>
  <c r="BW364" i="1"/>
  <c r="BV364" i="1"/>
  <c r="CD364" i="1"/>
  <c r="CC364" i="1"/>
  <c r="CE364" i="1"/>
  <c r="CG366" i="1"/>
  <c r="CI366" i="1"/>
  <c r="CU366" i="1"/>
  <c r="CL366" i="1"/>
  <c r="CF366" i="1"/>
  <c r="CK366" i="1"/>
  <c r="CH366" i="1"/>
  <c r="CN366" i="1"/>
  <c r="CT366" i="1"/>
  <c r="CJ366" i="1"/>
  <c r="CQ366" i="1"/>
  <c r="CM366" i="1"/>
  <c r="CR366" i="1"/>
  <c r="CO366" i="1"/>
  <c r="CP366" i="1"/>
  <c r="CS366" i="1"/>
  <c r="CB396" i="1"/>
  <c r="CA396" i="1"/>
  <c r="BZ396" i="1"/>
  <c r="BY396" i="1"/>
  <c r="BX396" i="1"/>
  <c r="BW396" i="1"/>
  <c r="BV396" i="1"/>
  <c r="CC396" i="1"/>
  <c r="CD396" i="1"/>
  <c r="CE396" i="1"/>
  <c r="CH398" i="1"/>
  <c r="CF398" i="1"/>
  <c r="CJ398" i="1"/>
  <c r="CQ398" i="1"/>
  <c r="CM398" i="1"/>
  <c r="CS398" i="1"/>
  <c r="CK398" i="1"/>
  <c r="CL398" i="1"/>
  <c r="CP398" i="1"/>
  <c r="CG398" i="1"/>
  <c r="CI398" i="1"/>
  <c r="CO398" i="1"/>
  <c r="CR398" i="1"/>
  <c r="CU398" i="1"/>
  <c r="CT398" i="1"/>
  <c r="CN398" i="1"/>
  <c r="CB428" i="1"/>
  <c r="CA428" i="1"/>
  <c r="BZ428" i="1"/>
  <c r="BY428" i="1"/>
  <c r="BX428" i="1"/>
  <c r="BW428" i="1"/>
  <c r="BV428" i="1"/>
  <c r="CC428" i="1"/>
  <c r="CD428" i="1"/>
  <c r="CE428" i="1"/>
  <c r="CF430" i="1"/>
  <c r="CH430" i="1"/>
  <c r="CO430" i="1"/>
  <c r="CG430" i="1"/>
  <c r="CN430" i="1"/>
  <c r="CT430" i="1"/>
  <c r="CM430" i="1"/>
  <c r="CK430" i="1"/>
  <c r="CJ430" i="1"/>
  <c r="CL430" i="1"/>
  <c r="CU430" i="1"/>
  <c r="CI430" i="1"/>
  <c r="CS430" i="1"/>
  <c r="CQ430" i="1"/>
  <c r="CP430" i="1"/>
  <c r="CR430" i="1"/>
  <c r="CB460" i="1"/>
  <c r="CA460" i="1"/>
  <c r="BZ460" i="1"/>
  <c r="BY460" i="1"/>
  <c r="BX460" i="1"/>
  <c r="BW460" i="1"/>
  <c r="BV460" i="1"/>
  <c r="CC460" i="1"/>
  <c r="CD460" i="1"/>
  <c r="CE460" i="1"/>
  <c r="CG462" i="1"/>
  <c r="CK462" i="1"/>
  <c r="CM462" i="1"/>
  <c r="CO462" i="1"/>
  <c r="CR462" i="1"/>
  <c r="CQ462" i="1"/>
  <c r="CS462" i="1"/>
  <c r="CF462" i="1"/>
  <c r="CJ462" i="1"/>
  <c r="CL462" i="1"/>
  <c r="CH462" i="1"/>
  <c r="CP462" i="1"/>
  <c r="CU462" i="1"/>
  <c r="CI462" i="1"/>
  <c r="CN462" i="1"/>
  <c r="CT462" i="1"/>
  <c r="BZ492" i="1"/>
  <c r="BY492" i="1"/>
  <c r="BX492" i="1"/>
  <c r="BW492" i="1"/>
  <c r="BV492" i="1"/>
  <c r="CB492" i="1"/>
  <c r="CA492" i="1"/>
  <c r="CC492" i="1"/>
  <c r="CE492" i="1"/>
  <c r="CD492" i="1"/>
  <c r="CL494" i="1"/>
  <c r="CG494" i="1"/>
  <c r="CF494" i="1"/>
  <c r="CH494" i="1"/>
  <c r="CJ494" i="1"/>
  <c r="CU494" i="1"/>
  <c r="CI494" i="1"/>
  <c r="CN494" i="1"/>
  <c r="CT494" i="1"/>
  <c r="CM494" i="1"/>
  <c r="CK494" i="1"/>
  <c r="CO494" i="1"/>
  <c r="CP494" i="1"/>
  <c r="CR494" i="1"/>
  <c r="CS494" i="1"/>
  <c r="CQ494" i="1"/>
  <c r="CA524" i="1"/>
  <c r="BZ524" i="1"/>
  <c r="CB524" i="1"/>
  <c r="BY524" i="1"/>
  <c r="BX524" i="1"/>
  <c r="BW524" i="1"/>
  <c r="BV524" i="1"/>
  <c r="CD524" i="1"/>
  <c r="CC524" i="1"/>
  <c r="CE524" i="1"/>
  <c r="CF526" i="1"/>
  <c r="CH526" i="1"/>
  <c r="CG526" i="1"/>
  <c r="CQ526" i="1"/>
  <c r="CM526" i="1"/>
  <c r="CK526" i="1"/>
  <c r="CS526" i="1"/>
  <c r="CJ526" i="1"/>
  <c r="CL526" i="1"/>
  <c r="CP526" i="1"/>
  <c r="CI526" i="1"/>
  <c r="CO526" i="1"/>
  <c r="CR526" i="1"/>
  <c r="CN526" i="1"/>
  <c r="CT526" i="1"/>
  <c r="CU526" i="1"/>
  <c r="CA556" i="1"/>
  <c r="BZ556" i="1"/>
  <c r="BY556" i="1"/>
  <c r="BX556" i="1"/>
  <c r="CB556" i="1"/>
  <c r="BW556" i="1"/>
  <c r="BV556" i="1"/>
  <c r="CD556" i="1"/>
  <c r="CC556" i="1"/>
  <c r="CE556" i="1"/>
  <c r="CI558" i="1"/>
  <c r="CG558" i="1"/>
  <c r="CO558" i="1"/>
  <c r="CF558" i="1"/>
  <c r="CT558" i="1"/>
  <c r="CH558" i="1"/>
  <c r="CM558" i="1"/>
  <c r="CK558" i="1"/>
  <c r="CJ558" i="1"/>
  <c r="CL558" i="1"/>
  <c r="CU558" i="1"/>
  <c r="CN558" i="1"/>
  <c r="CP558" i="1"/>
  <c r="CR558" i="1"/>
  <c r="CS558" i="1"/>
  <c r="CQ558" i="1"/>
  <c r="CA588" i="1"/>
  <c r="BZ588" i="1"/>
  <c r="BY588" i="1"/>
  <c r="BX588" i="1"/>
  <c r="CB588" i="1"/>
  <c r="BW588" i="1"/>
  <c r="BV588" i="1"/>
  <c r="CC588" i="1"/>
  <c r="CD588" i="1"/>
  <c r="CE588" i="1"/>
  <c r="CG590" i="1"/>
  <c r="CK590" i="1"/>
  <c r="CM590" i="1"/>
  <c r="CO590" i="1"/>
  <c r="CF590" i="1"/>
  <c r="CR590" i="1"/>
  <c r="CH590" i="1"/>
  <c r="CQ590" i="1"/>
  <c r="CS590" i="1"/>
  <c r="CJ590" i="1"/>
  <c r="CL590" i="1"/>
  <c r="CI590" i="1"/>
  <c r="CN590" i="1"/>
  <c r="CT590" i="1"/>
  <c r="CP590" i="1"/>
  <c r="CU590" i="1"/>
  <c r="CM105" i="1"/>
  <c r="CK105" i="1"/>
  <c r="CP105" i="1"/>
  <c r="CF105" i="1"/>
  <c r="CH105" i="1"/>
  <c r="CJ105" i="1"/>
  <c r="CI105" i="1"/>
  <c r="CG105" i="1"/>
  <c r="CL105" i="1"/>
  <c r="CT105" i="1"/>
  <c r="CQ105" i="1"/>
  <c r="CO105" i="1"/>
  <c r="CS105" i="1"/>
  <c r="CN105" i="1"/>
  <c r="CU105" i="1"/>
  <c r="CR105" i="1"/>
  <c r="CI97" i="1"/>
  <c r="CM97" i="1"/>
  <c r="CG97" i="1"/>
  <c r="CJ97" i="1"/>
  <c r="CP97" i="1"/>
  <c r="CH97" i="1"/>
  <c r="CK97" i="1"/>
  <c r="CF97" i="1"/>
  <c r="CL97" i="1"/>
  <c r="CU97" i="1"/>
  <c r="CQ97" i="1"/>
  <c r="CR97" i="1"/>
  <c r="CO97" i="1"/>
  <c r="CS97" i="1"/>
  <c r="CN97" i="1"/>
  <c r="CT97" i="1"/>
  <c r="BZ125" i="1"/>
  <c r="BY125" i="1"/>
  <c r="BX125" i="1"/>
  <c r="BW125" i="1"/>
  <c r="BV125" i="1"/>
  <c r="CB125" i="1"/>
  <c r="CA125" i="1"/>
  <c r="CC125" i="1"/>
  <c r="CD125" i="1"/>
  <c r="CE125" i="1"/>
  <c r="BZ157" i="1"/>
  <c r="BY157" i="1"/>
  <c r="BX157" i="1"/>
  <c r="BW157" i="1"/>
  <c r="BV157" i="1"/>
  <c r="CB157" i="1"/>
  <c r="CA157" i="1"/>
  <c r="CD157" i="1"/>
  <c r="CC157" i="1"/>
  <c r="CE157" i="1"/>
  <c r="CG14" i="1"/>
  <c r="CF14" i="1"/>
  <c r="CH14" i="1"/>
  <c r="CN14" i="1"/>
  <c r="CR14" i="1"/>
  <c r="CO14" i="1"/>
  <c r="CT14" i="1"/>
  <c r="CK14" i="1"/>
  <c r="CJ14" i="1"/>
  <c r="CP14" i="1"/>
  <c r="CM14" i="1"/>
  <c r="CQ14" i="1"/>
  <c r="CI14" i="1"/>
  <c r="CU14" i="1"/>
  <c r="CS14" i="1"/>
  <c r="CL14" i="1"/>
  <c r="CQ110" i="1"/>
  <c r="CI110" i="1"/>
  <c r="CH110" i="1"/>
  <c r="CS110" i="1"/>
  <c r="CN110" i="1"/>
  <c r="CF110" i="1"/>
  <c r="CU110" i="1"/>
  <c r="CO110" i="1"/>
  <c r="CL110" i="1"/>
  <c r="CG110" i="1"/>
  <c r="CP110" i="1"/>
  <c r="CT110" i="1"/>
  <c r="CK110" i="1"/>
  <c r="CJ110" i="1"/>
  <c r="CR110" i="1"/>
  <c r="CM110" i="1"/>
  <c r="CF238" i="1"/>
  <c r="CG238" i="1"/>
  <c r="CS238" i="1"/>
  <c r="CH238" i="1"/>
  <c r="CO238" i="1"/>
  <c r="CL238" i="1"/>
  <c r="CT238" i="1"/>
  <c r="CJ238" i="1"/>
  <c r="CR238" i="1"/>
  <c r="CM238" i="1"/>
  <c r="CI238" i="1"/>
  <c r="CP238" i="1"/>
  <c r="CQ238" i="1"/>
  <c r="CN238" i="1"/>
  <c r="CU238" i="1"/>
  <c r="CK238" i="1"/>
  <c r="BZ27" i="1"/>
  <c r="BY27" i="1"/>
  <c r="BX27" i="1"/>
  <c r="BW27" i="1"/>
  <c r="BV27" i="1"/>
  <c r="CB27" i="1"/>
  <c r="CA27" i="1"/>
  <c r="CE27" i="1"/>
  <c r="CC27" i="1"/>
  <c r="CD27" i="1"/>
  <c r="CL29" i="1"/>
  <c r="CI29" i="1"/>
  <c r="CJ29" i="1"/>
  <c r="CH29" i="1"/>
  <c r="CM29" i="1"/>
  <c r="CK29" i="1"/>
  <c r="CP29" i="1"/>
  <c r="CR29" i="1"/>
  <c r="CS29" i="1"/>
  <c r="CO29" i="1"/>
  <c r="CT29" i="1"/>
  <c r="CU29" i="1"/>
  <c r="CQ29" i="1"/>
  <c r="CG29" i="1"/>
  <c r="CF29" i="1"/>
  <c r="CN29" i="1"/>
  <c r="CB59" i="1"/>
  <c r="CA59" i="1"/>
  <c r="BV59" i="1"/>
  <c r="BZ59" i="1"/>
  <c r="BY59" i="1"/>
  <c r="BX59" i="1"/>
  <c r="BW59" i="1"/>
  <c r="CE59" i="1"/>
  <c r="CC59" i="1"/>
  <c r="CD59" i="1"/>
  <c r="CL61" i="1"/>
  <c r="CJ61" i="1"/>
  <c r="CP61" i="1"/>
  <c r="CH61" i="1"/>
  <c r="CM61" i="1"/>
  <c r="CK61" i="1"/>
  <c r="CI61" i="1"/>
  <c r="CR61" i="1"/>
  <c r="CQ61" i="1"/>
  <c r="CO61" i="1"/>
  <c r="CG61" i="1"/>
  <c r="CS61" i="1"/>
  <c r="CN61" i="1"/>
  <c r="CT61" i="1"/>
  <c r="CF61" i="1"/>
  <c r="CU61" i="1"/>
  <c r="CB91" i="1"/>
  <c r="CA91" i="1"/>
  <c r="BZ91" i="1"/>
  <c r="BY91" i="1"/>
  <c r="BX91" i="1"/>
  <c r="BW91" i="1"/>
  <c r="BV91" i="1"/>
  <c r="CE91" i="1"/>
  <c r="CC91" i="1"/>
  <c r="CD91" i="1"/>
  <c r="CK93" i="1"/>
  <c r="CP93" i="1"/>
  <c r="CL93" i="1"/>
  <c r="CI93" i="1"/>
  <c r="CJ93" i="1"/>
  <c r="CM93" i="1"/>
  <c r="CR93" i="1"/>
  <c r="CG93" i="1"/>
  <c r="CH93" i="1"/>
  <c r="CU93" i="1"/>
  <c r="CQ93" i="1"/>
  <c r="CO93" i="1"/>
  <c r="CS93" i="1"/>
  <c r="CN93" i="1"/>
  <c r="CT93" i="1"/>
  <c r="CF93" i="1"/>
  <c r="BX123" i="1"/>
  <c r="BW123" i="1"/>
  <c r="BV123" i="1"/>
  <c r="CB123" i="1"/>
  <c r="CA123" i="1"/>
  <c r="BZ123" i="1"/>
  <c r="BY123" i="1"/>
  <c r="CD123" i="1"/>
  <c r="CE123" i="1"/>
  <c r="CC123" i="1"/>
  <c r="CJ125" i="1"/>
  <c r="CI125" i="1"/>
  <c r="CH125" i="1"/>
  <c r="CK125" i="1"/>
  <c r="CP125" i="1"/>
  <c r="CL125" i="1"/>
  <c r="CM125" i="1"/>
  <c r="CF125" i="1"/>
  <c r="CG125" i="1"/>
  <c r="CR125" i="1"/>
  <c r="CS125" i="1"/>
  <c r="CT125" i="1"/>
  <c r="CN125" i="1"/>
  <c r="CO125" i="1"/>
  <c r="CQ125" i="1"/>
  <c r="CU125" i="1"/>
  <c r="BZ155" i="1"/>
  <c r="BY155" i="1"/>
  <c r="BX155" i="1"/>
  <c r="BW155" i="1"/>
  <c r="BV155" i="1"/>
  <c r="CB155" i="1"/>
  <c r="CA155" i="1"/>
  <c r="CD155" i="1"/>
  <c r="CE155" i="1"/>
  <c r="CC155" i="1"/>
  <c r="CK157" i="1"/>
  <c r="CJ157" i="1"/>
  <c r="CH157" i="1"/>
  <c r="CL157" i="1"/>
  <c r="CP157" i="1"/>
  <c r="CI157" i="1"/>
  <c r="CF157" i="1"/>
  <c r="CM157" i="1"/>
  <c r="CQ157" i="1"/>
  <c r="CR157" i="1"/>
  <c r="CU157" i="1"/>
  <c r="CS157" i="1"/>
  <c r="CG157" i="1"/>
  <c r="CT157" i="1"/>
  <c r="CN157" i="1"/>
  <c r="CO157" i="1"/>
  <c r="CB187" i="1"/>
  <c r="CA187" i="1"/>
  <c r="BZ187" i="1"/>
  <c r="BY187" i="1"/>
  <c r="BX187" i="1"/>
  <c r="BW187" i="1"/>
  <c r="BV187" i="1"/>
  <c r="CD187" i="1"/>
  <c r="CE187" i="1"/>
  <c r="CC187" i="1"/>
  <c r="CI189" i="1"/>
  <c r="CH189" i="1"/>
  <c r="CP189" i="1"/>
  <c r="CL189" i="1"/>
  <c r="CJ189" i="1"/>
  <c r="CM189" i="1"/>
  <c r="CK189" i="1"/>
  <c r="CO189" i="1"/>
  <c r="CG189" i="1"/>
  <c r="CS189" i="1"/>
  <c r="CT189" i="1"/>
  <c r="CN189" i="1"/>
  <c r="CF189" i="1"/>
  <c r="CQ189" i="1"/>
  <c r="CU189" i="1"/>
  <c r="CR189" i="1"/>
  <c r="CB219" i="1"/>
  <c r="CA219" i="1"/>
  <c r="BZ219" i="1"/>
  <c r="BY219" i="1"/>
  <c r="BV219" i="1"/>
  <c r="BW219" i="1"/>
  <c r="BX219" i="1"/>
  <c r="CD219" i="1"/>
  <c r="CC219" i="1"/>
  <c r="CE219" i="1"/>
  <c r="CL221" i="1"/>
  <c r="CP221" i="1"/>
  <c r="CM221" i="1"/>
  <c r="CK221" i="1"/>
  <c r="CI221" i="1"/>
  <c r="CH221" i="1"/>
  <c r="CR221" i="1"/>
  <c r="CJ221" i="1"/>
  <c r="CU221" i="1"/>
  <c r="CQ221" i="1"/>
  <c r="CG221" i="1"/>
  <c r="CT221" i="1"/>
  <c r="CO221" i="1"/>
  <c r="CF221" i="1"/>
  <c r="CN221" i="1"/>
  <c r="CS221" i="1"/>
  <c r="CB251" i="1"/>
  <c r="CA251" i="1"/>
  <c r="BZ251" i="1"/>
  <c r="BY251" i="1"/>
  <c r="BX251" i="1"/>
  <c r="BW251" i="1"/>
  <c r="BV251" i="1"/>
  <c r="CD251" i="1"/>
  <c r="CC251" i="1"/>
  <c r="CE251" i="1"/>
  <c r="CP253" i="1"/>
  <c r="CJ253" i="1"/>
  <c r="CI253" i="1"/>
  <c r="CH253" i="1"/>
  <c r="CM253" i="1"/>
  <c r="CK253" i="1"/>
  <c r="CL253" i="1"/>
  <c r="CT253" i="1"/>
  <c r="CF253" i="1"/>
  <c r="CG253" i="1"/>
  <c r="CO253" i="1"/>
  <c r="CQ253" i="1"/>
  <c r="CU253" i="1"/>
  <c r="CR253" i="1"/>
  <c r="CS253" i="1"/>
  <c r="CN253" i="1"/>
  <c r="CB283" i="1"/>
  <c r="CA283" i="1"/>
  <c r="BZ283" i="1"/>
  <c r="BY283" i="1"/>
  <c r="BX283" i="1"/>
  <c r="BW283" i="1"/>
  <c r="BV283" i="1"/>
  <c r="CD283" i="1"/>
  <c r="CC283" i="1"/>
  <c r="CE283" i="1"/>
  <c r="CM285" i="1"/>
  <c r="CK285" i="1"/>
  <c r="CP285" i="1"/>
  <c r="CI285" i="1"/>
  <c r="CL285" i="1"/>
  <c r="CF285" i="1"/>
  <c r="CH285" i="1"/>
  <c r="CJ285" i="1"/>
  <c r="CR285" i="1"/>
  <c r="CU285" i="1"/>
  <c r="CS285" i="1"/>
  <c r="CG285" i="1"/>
  <c r="CT285" i="1"/>
  <c r="CO285" i="1"/>
  <c r="CQ285" i="1"/>
  <c r="CN285" i="1"/>
  <c r="CB315" i="1"/>
  <c r="CA315" i="1"/>
  <c r="BZ315" i="1"/>
  <c r="BY315" i="1"/>
  <c r="BX315" i="1"/>
  <c r="BW315" i="1"/>
  <c r="BV315" i="1"/>
  <c r="CE315" i="1"/>
  <c r="CD315" i="1"/>
  <c r="CC315" i="1"/>
  <c r="CJ317" i="1"/>
  <c r="CP317" i="1"/>
  <c r="CK317" i="1"/>
  <c r="CI317" i="1"/>
  <c r="CG317" i="1"/>
  <c r="CL317" i="1"/>
  <c r="CH317" i="1"/>
  <c r="CM317" i="1"/>
  <c r="CT317" i="1"/>
  <c r="CS317" i="1"/>
  <c r="CO317" i="1"/>
  <c r="CF317" i="1"/>
  <c r="CQ317" i="1"/>
  <c r="CU317" i="1"/>
  <c r="CR317" i="1"/>
  <c r="CN317" i="1"/>
  <c r="CB347" i="1"/>
  <c r="CA347" i="1"/>
  <c r="BZ347" i="1"/>
  <c r="BY347" i="1"/>
  <c r="BX347" i="1"/>
  <c r="BW347" i="1"/>
  <c r="BV347" i="1"/>
  <c r="CE347" i="1"/>
  <c r="CD347" i="1"/>
  <c r="CC347" i="1"/>
  <c r="CI349" i="1"/>
  <c r="CH349" i="1"/>
  <c r="CM349" i="1"/>
  <c r="CP349" i="1"/>
  <c r="CL349" i="1"/>
  <c r="CJ349" i="1"/>
  <c r="CK349" i="1"/>
  <c r="CQ349" i="1"/>
  <c r="CN349" i="1"/>
  <c r="CU349" i="1"/>
  <c r="CG349" i="1"/>
  <c r="CO349" i="1"/>
  <c r="CT349" i="1"/>
  <c r="CS349" i="1"/>
  <c r="CF349" i="1"/>
  <c r="CR349" i="1"/>
  <c r="BY379" i="1"/>
  <c r="BW379" i="1"/>
  <c r="CB379" i="1"/>
  <c r="CA379" i="1"/>
  <c r="BZ379" i="1"/>
  <c r="BX379" i="1"/>
  <c r="BV379" i="1"/>
  <c r="CD379" i="1"/>
  <c r="CC379" i="1"/>
  <c r="CE379" i="1"/>
  <c r="CI381" i="1"/>
  <c r="CL381" i="1"/>
  <c r="CJ381" i="1"/>
  <c r="CP381" i="1"/>
  <c r="CF381" i="1"/>
  <c r="CH381" i="1"/>
  <c r="CM381" i="1"/>
  <c r="CG381" i="1"/>
  <c r="CK381" i="1"/>
  <c r="CR381" i="1"/>
  <c r="CQ381" i="1"/>
  <c r="CO381" i="1"/>
  <c r="CN381" i="1"/>
  <c r="CT381" i="1"/>
  <c r="CU381" i="1"/>
  <c r="CS381" i="1"/>
  <c r="CB411" i="1"/>
  <c r="CA411" i="1"/>
  <c r="BZ411" i="1"/>
  <c r="BY411" i="1"/>
  <c r="BX411" i="1"/>
  <c r="BW411" i="1"/>
  <c r="BV411" i="1"/>
  <c r="CE411" i="1"/>
  <c r="CD411" i="1"/>
  <c r="CC411" i="1"/>
  <c r="CH413" i="1"/>
  <c r="CP413" i="1"/>
  <c r="CI413" i="1"/>
  <c r="CK413" i="1"/>
  <c r="CL413" i="1"/>
  <c r="CM413" i="1"/>
  <c r="CJ413" i="1"/>
  <c r="CT413" i="1"/>
  <c r="CG413" i="1"/>
  <c r="CU413" i="1"/>
  <c r="CF413" i="1"/>
  <c r="CS413" i="1"/>
  <c r="CR413" i="1"/>
  <c r="CQ413" i="1"/>
  <c r="CO413" i="1"/>
  <c r="CN413" i="1"/>
  <c r="CB443" i="1"/>
  <c r="CA443" i="1"/>
  <c r="BZ443" i="1"/>
  <c r="BY443" i="1"/>
  <c r="BX443" i="1"/>
  <c r="BW443" i="1"/>
  <c r="BV443" i="1"/>
  <c r="CC443" i="1"/>
  <c r="CE443" i="1"/>
  <c r="CD443" i="1"/>
  <c r="CJ445" i="1"/>
  <c r="CI445" i="1"/>
  <c r="CP445" i="1"/>
  <c r="CH445" i="1"/>
  <c r="CK445" i="1"/>
  <c r="CO445" i="1"/>
  <c r="CL445" i="1"/>
  <c r="CM445" i="1"/>
  <c r="CS445" i="1"/>
  <c r="CF445" i="1"/>
  <c r="CG445" i="1"/>
  <c r="CR445" i="1"/>
  <c r="CQ445" i="1"/>
  <c r="CN445" i="1"/>
  <c r="CT445" i="1"/>
  <c r="CU445" i="1"/>
  <c r="CB475" i="1"/>
  <c r="CA475" i="1"/>
  <c r="BZ475" i="1"/>
  <c r="BY475" i="1"/>
  <c r="BX475" i="1"/>
  <c r="BW475" i="1"/>
  <c r="BV475" i="1"/>
  <c r="CD475" i="1"/>
  <c r="CC475" i="1"/>
  <c r="CE475" i="1"/>
  <c r="CI477" i="1"/>
  <c r="CH477" i="1"/>
  <c r="CP477" i="1"/>
  <c r="CK477" i="1"/>
  <c r="CJ477" i="1"/>
  <c r="CL477" i="1"/>
  <c r="CF477" i="1"/>
  <c r="CM477" i="1"/>
  <c r="CO477" i="1"/>
  <c r="CU477" i="1"/>
  <c r="CN477" i="1"/>
  <c r="CT477" i="1"/>
  <c r="CS477" i="1"/>
  <c r="CG477" i="1"/>
  <c r="CR477" i="1"/>
  <c r="CQ477" i="1"/>
  <c r="CB507" i="1"/>
  <c r="CA507" i="1"/>
  <c r="BZ507" i="1"/>
  <c r="BY507" i="1"/>
  <c r="BX507" i="1"/>
  <c r="BW507" i="1"/>
  <c r="BV507" i="1"/>
  <c r="CD507" i="1"/>
  <c r="CC507" i="1"/>
  <c r="CE507" i="1"/>
  <c r="CI509" i="1"/>
  <c r="CP509" i="1"/>
  <c r="CM509" i="1"/>
  <c r="CJ509" i="1"/>
  <c r="CK509" i="1"/>
  <c r="CL509" i="1"/>
  <c r="CG509" i="1"/>
  <c r="CR509" i="1"/>
  <c r="CH509" i="1"/>
  <c r="CO509" i="1"/>
  <c r="CF509" i="1"/>
  <c r="CS509" i="1"/>
  <c r="CT509" i="1"/>
  <c r="CU509" i="1"/>
  <c r="CN509" i="1"/>
  <c r="CQ509" i="1"/>
  <c r="BY539" i="1"/>
  <c r="BX539" i="1"/>
  <c r="BW539" i="1"/>
  <c r="CB539" i="1"/>
  <c r="CA539" i="1"/>
  <c r="BZ539" i="1"/>
  <c r="BV539" i="1"/>
  <c r="CD539" i="1"/>
  <c r="CC539" i="1"/>
  <c r="CE539" i="1"/>
  <c r="CP541" i="1"/>
  <c r="CI541" i="1"/>
  <c r="CK541" i="1"/>
  <c r="CJ541" i="1"/>
  <c r="CL541" i="1"/>
  <c r="CM541" i="1"/>
  <c r="CH541" i="1"/>
  <c r="CT541" i="1"/>
  <c r="CS541" i="1"/>
  <c r="CF541" i="1"/>
  <c r="CR541" i="1"/>
  <c r="CQ541" i="1"/>
  <c r="CO541" i="1"/>
  <c r="CN541" i="1"/>
  <c r="CG541" i="1"/>
  <c r="CU541" i="1"/>
  <c r="CB571" i="1"/>
  <c r="CA571" i="1"/>
  <c r="BZ571" i="1"/>
  <c r="BY571" i="1"/>
  <c r="BX571" i="1"/>
  <c r="BW571" i="1"/>
  <c r="BV571" i="1"/>
  <c r="CD571" i="1"/>
  <c r="CC571" i="1"/>
  <c r="CE571" i="1"/>
  <c r="CI573" i="1"/>
  <c r="CP573" i="1"/>
  <c r="CM573" i="1"/>
  <c r="CO573" i="1"/>
  <c r="CL573" i="1"/>
  <c r="CH573" i="1"/>
  <c r="CJ573" i="1"/>
  <c r="CK573" i="1"/>
  <c r="CU573" i="1"/>
  <c r="CR573" i="1"/>
  <c r="CF573" i="1"/>
  <c r="CG573" i="1"/>
  <c r="CQ573" i="1"/>
  <c r="CS573" i="1"/>
  <c r="CN573" i="1"/>
  <c r="CT573" i="1"/>
  <c r="CB603" i="1"/>
  <c r="CA603" i="1"/>
  <c r="BZ603" i="1"/>
  <c r="BY603" i="1"/>
  <c r="BX603" i="1"/>
  <c r="BW603" i="1"/>
  <c r="BV603" i="1"/>
  <c r="CD603" i="1"/>
  <c r="CC603" i="1"/>
  <c r="CE603" i="1"/>
  <c r="CI605" i="1"/>
  <c r="CP605" i="1"/>
  <c r="CH605" i="1"/>
  <c r="CK605" i="1"/>
  <c r="CJ605" i="1"/>
  <c r="CL605" i="1"/>
  <c r="CM605" i="1"/>
  <c r="CO605" i="1"/>
  <c r="CN605" i="1"/>
  <c r="CT605" i="1"/>
  <c r="CS605" i="1"/>
  <c r="CF605" i="1"/>
  <c r="CR605" i="1"/>
  <c r="CG605" i="1"/>
  <c r="CQ605" i="1"/>
  <c r="CU605" i="1"/>
  <c r="BX31" i="1"/>
  <c r="BY31" i="1"/>
  <c r="CB31" i="1"/>
  <c r="BZ31" i="1"/>
  <c r="CA31" i="1"/>
  <c r="BW31" i="1"/>
  <c r="BV31" i="1"/>
  <c r="CD31" i="1"/>
  <c r="CE31" i="1"/>
  <c r="CC31" i="1"/>
  <c r="BZ63" i="1"/>
  <c r="CB63" i="1"/>
  <c r="CA63" i="1"/>
  <c r="BY63" i="1"/>
  <c r="BX63" i="1"/>
  <c r="BW63" i="1"/>
  <c r="BV63" i="1"/>
  <c r="CC63" i="1"/>
  <c r="CD63" i="1"/>
  <c r="CE63" i="1"/>
  <c r="CK16" i="1"/>
  <c r="CM16" i="1"/>
  <c r="CF16" i="1"/>
  <c r="CJ16" i="1"/>
  <c r="CL16" i="1"/>
  <c r="CH16" i="1"/>
  <c r="CG16" i="1"/>
  <c r="CT16" i="1"/>
  <c r="CI16" i="1"/>
  <c r="CN16" i="1"/>
  <c r="CP16" i="1"/>
  <c r="CQ16" i="1"/>
  <c r="CO16" i="1"/>
  <c r="CU16" i="1"/>
  <c r="CS16" i="1"/>
  <c r="CR16" i="1"/>
  <c r="CM80" i="1"/>
  <c r="CJ80" i="1"/>
  <c r="CI80" i="1"/>
  <c r="CK80" i="1"/>
  <c r="CF80" i="1"/>
  <c r="CL80" i="1"/>
  <c r="CH80" i="1"/>
  <c r="CG80" i="1"/>
  <c r="CQ80" i="1"/>
  <c r="CN80" i="1"/>
  <c r="CU80" i="1"/>
  <c r="CS80" i="1"/>
  <c r="CR80" i="1"/>
  <c r="CT80" i="1"/>
  <c r="CP80" i="1"/>
  <c r="CO80" i="1"/>
  <c r="CF144" i="1"/>
  <c r="CH144" i="1"/>
  <c r="CL144" i="1"/>
  <c r="CM144" i="1"/>
  <c r="CG144" i="1"/>
  <c r="CK144" i="1"/>
  <c r="CI144" i="1"/>
  <c r="CJ144" i="1"/>
  <c r="CT144" i="1"/>
  <c r="CP144" i="1"/>
  <c r="CO144" i="1"/>
  <c r="CN144" i="1"/>
  <c r="CS144" i="1"/>
  <c r="CU144" i="1"/>
  <c r="CR144" i="1"/>
  <c r="CQ144" i="1"/>
  <c r="CJ31" i="1"/>
  <c r="CG31" i="1"/>
  <c r="CI31" i="1"/>
  <c r="CF31" i="1"/>
  <c r="CR31" i="1"/>
  <c r="CQ31" i="1"/>
  <c r="CM31" i="1"/>
  <c r="CN31" i="1"/>
  <c r="CH31" i="1"/>
  <c r="CU31" i="1"/>
  <c r="CK31" i="1"/>
  <c r="CL31" i="1"/>
  <c r="CS31" i="1"/>
  <c r="CT31" i="1"/>
  <c r="CP31" i="1"/>
  <c r="CO31" i="1"/>
  <c r="CM127" i="1"/>
  <c r="CL127" i="1"/>
  <c r="CI127" i="1"/>
  <c r="CF127" i="1"/>
  <c r="CH127" i="1"/>
  <c r="CG127" i="1"/>
  <c r="CU127" i="1"/>
  <c r="CO127" i="1"/>
  <c r="CK127" i="1"/>
  <c r="CJ127" i="1"/>
  <c r="CP127" i="1"/>
  <c r="CQ127" i="1"/>
  <c r="CN127" i="1"/>
  <c r="CT127" i="1"/>
  <c r="CS127" i="1"/>
  <c r="CR127" i="1"/>
  <c r="CL159" i="1"/>
  <c r="CK159" i="1"/>
  <c r="CJ159" i="1"/>
  <c r="CF159" i="1"/>
  <c r="CG159" i="1"/>
  <c r="CI159" i="1"/>
  <c r="CH159" i="1"/>
  <c r="CT159" i="1"/>
  <c r="CN159" i="1"/>
  <c r="CM159" i="1"/>
  <c r="CS159" i="1"/>
  <c r="CR159" i="1"/>
  <c r="CP159" i="1"/>
  <c r="CQ159" i="1"/>
  <c r="CO159" i="1"/>
  <c r="CU159" i="1"/>
  <c r="CB108" i="1"/>
  <c r="CA108" i="1"/>
  <c r="BZ108" i="1"/>
  <c r="BY108" i="1"/>
  <c r="BX108" i="1"/>
  <c r="BW108" i="1"/>
  <c r="BV108" i="1"/>
  <c r="CC108" i="1"/>
  <c r="CE108" i="1"/>
  <c r="CD108" i="1"/>
  <c r="CG142" i="1"/>
  <c r="CF142" i="1"/>
  <c r="CR142" i="1"/>
  <c r="CH142" i="1"/>
  <c r="CP142" i="1"/>
  <c r="CK142" i="1"/>
  <c r="CJ142" i="1"/>
  <c r="CI142" i="1"/>
  <c r="CQ142" i="1"/>
  <c r="CN142" i="1"/>
  <c r="CU142" i="1"/>
  <c r="CL142" i="1"/>
  <c r="CS142" i="1"/>
  <c r="CT142" i="1"/>
  <c r="CO142" i="1"/>
  <c r="CM142" i="1"/>
  <c r="CU174" i="1"/>
  <c r="CO174" i="1"/>
  <c r="CH174" i="1"/>
  <c r="CF174" i="1"/>
  <c r="CM174" i="1"/>
  <c r="CR174" i="1"/>
  <c r="CQ174" i="1"/>
  <c r="CP174" i="1"/>
  <c r="CI174" i="1"/>
  <c r="CN174" i="1"/>
  <c r="CL174" i="1"/>
  <c r="CS174" i="1"/>
  <c r="CK174" i="1"/>
  <c r="CG174" i="1"/>
  <c r="CT174" i="1"/>
  <c r="CJ174" i="1"/>
  <c r="CH206" i="1"/>
  <c r="CI206" i="1"/>
  <c r="CG206" i="1"/>
  <c r="CM206" i="1"/>
  <c r="CP206" i="1"/>
  <c r="CF206" i="1"/>
  <c r="CO206" i="1"/>
  <c r="CJ206" i="1"/>
  <c r="CR206" i="1"/>
  <c r="CQ206" i="1"/>
  <c r="CN206" i="1"/>
  <c r="CU206" i="1"/>
  <c r="CL206" i="1"/>
  <c r="CK206" i="1"/>
  <c r="CS206" i="1"/>
  <c r="CT206" i="1"/>
  <c r="CH270" i="1"/>
  <c r="CM270" i="1"/>
  <c r="CJ270" i="1"/>
  <c r="CF270" i="1"/>
  <c r="CP270" i="1"/>
  <c r="CG270" i="1"/>
  <c r="CK270" i="1"/>
  <c r="CI270" i="1"/>
  <c r="CN270" i="1"/>
  <c r="CL270" i="1"/>
  <c r="CU270" i="1"/>
  <c r="CS270" i="1"/>
  <c r="CO270" i="1"/>
  <c r="CQ270" i="1"/>
  <c r="CR270" i="1"/>
  <c r="CT270" i="1"/>
  <c r="CB10" i="1"/>
  <c r="BX10" i="1"/>
  <c r="BW10" i="1"/>
  <c r="CA10" i="1"/>
  <c r="BZ10" i="1"/>
  <c r="BY10" i="1"/>
  <c r="BV10" i="1"/>
  <c r="CC10" i="1"/>
  <c r="CD10" i="1"/>
  <c r="CE10" i="1"/>
  <c r="CF12" i="1"/>
  <c r="CH12" i="1"/>
  <c r="CJ12" i="1"/>
  <c r="CG12" i="1"/>
  <c r="CI12" i="1"/>
  <c r="CL12" i="1"/>
  <c r="CK12" i="1"/>
  <c r="CM12" i="1"/>
  <c r="CT12" i="1"/>
  <c r="CP12" i="1"/>
  <c r="CQ12" i="1"/>
  <c r="CN12" i="1"/>
  <c r="CO12" i="1"/>
  <c r="CU12" i="1"/>
  <c r="CS12" i="1"/>
  <c r="CR12" i="1"/>
  <c r="CB42" i="1"/>
  <c r="CA42" i="1"/>
  <c r="BZ42" i="1"/>
  <c r="BY42" i="1"/>
  <c r="BX42" i="1"/>
  <c r="BW42" i="1"/>
  <c r="BV42" i="1"/>
  <c r="CC42" i="1"/>
  <c r="CD42" i="1"/>
  <c r="CE42" i="1"/>
  <c r="CM44" i="1"/>
  <c r="CK44" i="1"/>
  <c r="CF44" i="1"/>
  <c r="CL44" i="1"/>
  <c r="CH44" i="1"/>
  <c r="CJ44" i="1"/>
  <c r="CG44" i="1"/>
  <c r="CN44" i="1"/>
  <c r="CP44" i="1"/>
  <c r="CI44" i="1"/>
  <c r="CO44" i="1"/>
  <c r="CR44" i="1"/>
  <c r="CT44" i="1"/>
  <c r="CQ44" i="1"/>
  <c r="CS44" i="1"/>
  <c r="CU44" i="1"/>
  <c r="CB74" i="1"/>
  <c r="CA74" i="1"/>
  <c r="BZ74" i="1"/>
  <c r="BY74" i="1"/>
  <c r="BX74" i="1"/>
  <c r="BW74" i="1"/>
  <c r="BV74" i="1"/>
  <c r="CC74" i="1"/>
  <c r="CD74" i="1"/>
  <c r="CE74" i="1"/>
  <c r="CH76" i="1"/>
  <c r="CG76" i="1"/>
  <c r="CI76" i="1"/>
  <c r="CF76" i="1"/>
  <c r="CM76" i="1"/>
  <c r="CJ76" i="1"/>
  <c r="CL76" i="1"/>
  <c r="CK76" i="1"/>
  <c r="CQ76" i="1"/>
  <c r="CN76" i="1"/>
  <c r="CU76" i="1"/>
  <c r="CS76" i="1"/>
  <c r="CR76" i="1"/>
  <c r="CT76" i="1"/>
  <c r="CP76" i="1"/>
  <c r="CO76" i="1"/>
  <c r="CB106" i="1"/>
  <c r="CA106" i="1"/>
  <c r="BZ106" i="1"/>
  <c r="BY106" i="1"/>
  <c r="BX106" i="1"/>
  <c r="BW106" i="1"/>
  <c r="BV106" i="1"/>
  <c r="CE106" i="1"/>
  <c r="CC106" i="1"/>
  <c r="CD106" i="1"/>
  <c r="CK108" i="1"/>
  <c r="CF108" i="1"/>
  <c r="CJ108" i="1"/>
  <c r="CG108" i="1"/>
  <c r="CI108" i="1"/>
  <c r="CM108" i="1"/>
  <c r="CH108" i="1"/>
  <c r="CL108" i="1"/>
  <c r="CS108" i="1"/>
  <c r="CU108" i="1"/>
  <c r="CN108" i="1"/>
  <c r="CP108" i="1"/>
  <c r="CO108" i="1"/>
  <c r="CR108" i="1"/>
  <c r="CQ108" i="1"/>
  <c r="CT108" i="1"/>
  <c r="CA138" i="1"/>
  <c r="BZ138" i="1"/>
  <c r="BY138" i="1"/>
  <c r="BX138" i="1"/>
  <c r="BW138" i="1"/>
  <c r="BV138" i="1"/>
  <c r="CB138" i="1"/>
  <c r="CE138" i="1"/>
  <c r="CC138" i="1"/>
  <c r="CD138" i="1"/>
  <c r="CH140" i="1"/>
  <c r="CL140" i="1"/>
  <c r="CI140" i="1"/>
  <c r="CK140" i="1"/>
  <c r="CF140" i="1"/>
  <c r="CM140" i="1"/>
  <c r="CJ140" i="1"/>
  <c r="CT140" i="1"/>
  <c r="CG140" i="1"/>
  <c r="CP140" i="1"/>
  <c r="CO140" i="1"/>
  <c r="CN140" i="1"/>
  <c r="CS140" i="1"/>
  <c r="CU140" i="1"/>
  <c r="CR140" i="1"/>
  <c r="CQ140" i="1"/>
  <c r="CA170" i="1"/>
  <c r="BZ170" i="1"/>
  <c r="BY170" i="1"/>
  <c r="BX170" i="1"/>
  <c r="BW170" i="1"/>
  <c r="BV170" i="1"/>
  <c r="CB170" i="1"/>
  <c r="CC170" i="1"/>
  <c r="CD170" i="1"/>
  <c r="CE170" i="1"/>
  <c r="CF172" i="1"/>
  <c r="CG172" i="1"/>
  <c r="CK172" i="1"/>
  <c r="CL172" i="1"/>
  <c r="CI172" i="1"/>
  <c r="CM172" i="1"/>
  <c r="CH172" i="1"/>
  <c r="CJ172" i="1"/>
  <c r="CQ172" i="1"/>
  <c r="CT172" i="1"/>
  <c r="CP172" i="1"/>
  <c r="CO172" i="1"/>
  <c r="CN172" i="1"/>
  <c r="CS172" i="1"/>
  <c r="CU172" i="1"/>
  <c r="CR172" i="1"/>
  <c r="CA202" i="1"/>
  <c r="BZ202" i="1"/>
  <c r="BY202" i="1"/>
  <c r="BX202" i="1"/>
  <c r="BW202" i="1"/>
  <c r="BV202" i="1"/>
  <c r="CB202" i="1"/>
  <c r="CC202" i="1"/>
  <c r="CD202" i="1"/>
  <c r="CE202" i="1"/>
  <c r="CL204" i="1"/>
  <c r="CI204" i="1"/>
  <c r="CM204" i="1"/>
  <c r="CH204" i="1"/>
  <c r="CJ204" i="1"/>
  <c r="CG204" i="1"/>
  <c r="CK204" i="1"/>
  <c r="CF204" i="1"/>
  <c r="CU204" i="1"/>
  <c r="CP204" i="1"/>
  <c r="CR204" i="1"/>
  <c r="CO204" i="1"/>
  <c r="CN204" i="1"/>
  <c r="CT204" i="1"/>
  <c r="CS204" i="1"/>
  <c r="CQ204" i="1"/>
  <c r="CB234" i="1"/>
  <c r="CA234" i="1"/>
  <c r="BZ234" i="1"/>
  <c r="BY234" i="1"/>
  <c r="BX234" i="1"/>
  <c r="BW234" i="1"/>
  <c r="BV234" i="1"/>
  <c r="CE234" i="1"/>
  <c r="CC234" i="1"/>
  <c r="CD234" i="1"/>
  <c r="CG236" i="1"/>
  <c r="CK236" i="1"/>
  <c r="CI236" i="1"/>
  <c r="CF236" i="1"/>
  <c r="CM236" i="1"/>
  <c r="CH236" i="1"/>
  <c r="CJ236" i="1"/>
  <c r="CN236" i="1"/>
  <c r="CL236" i="1"/>
  <c r="CQ236" i="1"/>
  <c r="CT236" i="1"/>
  <c r="CP236" i="1"/>
  <c r="CU236" i="1"/>
  <c r="CS236" i="1"/>
  <c r="CO236" i="1"/>
  <c r="CR236" i="1"/>
  <c r="CB266" i="1"/>
  <c r="CA266" i="1"/>
  <c r="BZ266" i="1"/>
  <c r="BY266" i="1"/>
  <c r="BX266" i="1"/>
  <c r="BW266" i="1"/>
  <c r="BV266" i="1"/>
  <c r="CE266" i="1"/>
  <c r="CC266" i="1"/>
  <c r="CD266" i="1"/>
  <c r="CH268" i="1"/>
  <c r="CJ268" i="1"/>
  <c r="CL268" i="1"/>
  <c r="CF268" i="1"/>
  <c r="CG268" i="1"/>
  <c r="CI268" i="1"/>
  <c r="CK268" i="1"/>
  <c r="CM268" i="1"/>
  <c r="CP268" i="1"/>
  <c r="CR268" i="1"/>
  <c r="CO268" i="1"/>
  <c r="CN268" i="1"/>
  <c r="CS268" i="1"/>
  <c r="CU268" i="1"/>
  <c r="CQ268" i="1"/>
  <c r="CT268" i="1"/>
  <c r="CB298" i="1"/>
  <c r="BX298" i="1"/>
  <c r="BW298" i="1"/>
  <c r="BV298" i="1"/>
  <c r="CA298" i="1"/>
  <c r="BZ298" i="1"/>
  <c r="BY298" i="1"/>
  <c r="CE298" i="1"/>
  <c r="CC298" i="1"/>
  <c r="CD298" i="1"/>
  <c r="CH300" i="1"/>
  <c r="CG300" i="1"/>
  <c r="CI300" i="1"/>
  <c r="CF300" i="1"/>
  <c r="CK300" i="1"/>
  <c r="CM300" i="1"/>
  <c r="CJ300" i="1"/>
  <c r="CL300" i="1"/>
  <c r="CQ300" i="1"/>
  <c r="CP300" i="1"/>
  <c r="CT300" i="1"/>
  <c r="CO300" i="1"/>
  <c r="CN300" i="1"/>
  <c r="CR300" i="1"/>
  <c r="CU300" i="1"/>
  <c r="CS300" i="1"/>
  <c r="BX330" i="1"/>
  <c r="BW330" i="1"/>
  <c r="BV330" i="1"/>
  <c r="CB330" i="1"/>
  <c r="CA330" i="1"/>
  <c r="BZ330" i="1"/>
  <c r="BY330" i="1"/>
  <c r="CC330" i="1"/>
  <c r="CD330" i="1"/>
  <c r="CE330" i="1"/>
  <c r="CL332" i="1"/>
  <c r="CJ332" i="1"/>
  <c r="CF332" i="1"/>
  <c r="CI332" i="1"/>
  <c r="CH332" i="1"/>
  <c r="CG332" i="1"/>
  <c r="CK332" i="1"/>
  <c r="CM332" i="1"/>
  <c r="CP332" i="1"/>
  <c r="CU332" i="1"/>
  <c r="CO332" i="1"/>
  <c r="CR332" i="1"/>
  <c r="CN332" i="1"/>
  <c r="CQ332" i="1"/>
  <c r="CT332" i="1"/>
  <c r="CS332" i="1"/>
  <c r="BY362" i="1"/>
  <c r="BX362" i="1"/>
  <c r="BW362" i="1"/>
  <c r="BV362" i="1"/>
  <c r="CB362" i="1"/>
  <c r="BZ362" i="1"/>
  <c r="CA362" i="1"/>
  <c r="CE362" i="1"/>
  <c r="CC362" i="1"/>
  <c r="CD362" i="1"/>
  <c r="CG364" i="1"/>
  <c r="CI364" i="1"/>
  <c r="CK364" i="1"/>
  <c r="CJ364" i="1"/>
  <c r="CM364" i="1"/>
  <c r="CF364" i="1"/>
  <c r="CH364" i="1"/>
  <c r="CL364" i="1"/>
  <c r="CQ364" i="1"/>
  <c r="CT364" i="1"/>
  <c r="CS364" i="1"/>
  <c r="CR364" i="1"/>
  <c r="CN364" i="1"/>
  <c r="CO364" i="1"/>
  <c r="CP364" i="1"/>
  <c r="CU364" i="1"/>
  <c r="CB394" i="1"/>
  <c r="CA394" i="1"/>
  <c r="BZ394" i="1"/>
  <c r="BY394" i="1"/>
  <c r="BX394" i="1"/>
  <c r="BW394" i="1"/>
  <c r="BV394" i="1"/>
  <c r="CE394" i="1"/>
  <c r="CC394" i="1"/>
  <c r="CD394" i="1"/>
  <c r="CF396" i="1"/>
  <c r="CG396" i="1"/>
  <c r="CL396" i="1"/>
  <c r="CI396" i="1"/>
  <c r="CJ396" i="1"/>
  <c r="CK396" i="1"/>
  <c r="CM396" i="1"/>
  <c r="CR396" i="1"/>
  <c r="CH396" i="1"/>
  <c r="CS396" i="1"/>
  <c r="CN396" i="1"/>
  <c r="CO396" i="1"/>
  <c r="CP396" i="1"/>
  <c r="CT396" i="1"/>
  <c r="CQ396" i="1"/>
  <c r="CU396" i="1"/>
  <c r="BY426" i="1"/>
  <c r="BX426" i="1"/>
  <c r="BW426" i="1"/>
  <c r="BV426" i="1"/>
  <c r="CB426" i="1"/>
  <c r="CA426" i="1"/>
  <c r="BZ426" i="1"/>
  <c r="CC426" i="1"/>
  <c r="CD426" i="1"/>
  <c r="CE426" i="1"/>
  <c r="CJ428" i="1"/>
  <c r="CF428" i="1"/>
  <c r="CG428" i="1"/>
  <c r="CH428" i="1"/>
  <c r="CK428" i="1"/>
  <c r="CI428" i="1"/>
  <c r="CL428" i="1"/>
  <c r="CM428" i="1"/>
  <c r="CQ428" i="1"/>
  <c r="CT428" i="1"/>
  <c r="CS428" i="1"/>
  <c r="CN428" i="1"/>
  <c r="CR428" i="1"/>
  <c r="CO428" i="1"/>
  <c r="CP428" i="1"/>
  <c r="CU428" i="1"/>
  <c r="CB458" i="1"/>
  <c r="CA458" i="1"/>
  <c r="BZ458" i="1"/>
  <c r="BY458" i="1"/>
  <c r="BX458" i="1"/>
  <c r="BW458" i="1"/>
  <c r="BV458" i="1"/>
  <c r="CE458" i="1"/>
  <c r="CC458" i="1"/>
  <c r="CD458" i="1"/>
  <c r="CI460" i="1"/>
  <c r="CJ460" i="1"/>
  <c r="CF460" i="1"/>
  <c r="CG460" i="1"/>
  <c r="CK460" i="1"/>
  <c r="CM460" i="1"/>
  <c r="CH460" i="1"/>
  <c r="CL460" i="1"/>
  <c r="CN460" i="1"/>
  <c r="CO460" i="1"/>
  <c r="CP460" i="1"/>
  <c r="CU460" i="1"/>
  <c r="CR460" i="1"/>
  <c r="CT460" i="1"/>
  <c r="CS460" i="1"/>
  <c r="CQ460" i="1"/>
  <c r="BW490" i="1"/>
  <c r="BV490" i="1"/>
  <c r="BZ490" i="1"/>
  <c r="BY490" i="1"/>
  <c r="BX490" i="1"/>
  <c r="CB490" i="1"/>
  <c r="CA490" i="1"/>
  <c r="CD490" i="1"/>
  <c r="CE490" i="1"/>
  <c r="CC490" i="1"/>
  <c r="CH492" i="1"/>
  <c r="CK492" i="1"/>
  <c r="CM492" i="1"/>
  <c r="CL492" i="1"/>
  <c r="CG492" i="1"/>
  <c r="CJ492" i="1"/>
  <c r="CI492" i="1"/>
  <c r="CF492" i="1"/>
  <c r="CQ492" i="1"/>
  <c r="CT492" i="1"/>
  <c r="CO492" i="1"/>
  <c r="CU492" i="1"/>
  <c r="CP492" i="1"/>
  <c r="CS492" i="1"/>
  <c r="CR492" i="1"/>
  <c r="CN492" i="1"/>
  <c r="BW522" i="1"/>
  <c r="BV522" i="1"/>
  <c r="CB522" i="1"/>
  <c r="CA522" i="1"/>
  <c r="BZ522" i="1"/>
  <c r="BY522" i="1"/>
  <c r="BX522" i="1"/>
  <c r="CC522" i="1"/>
  <c r="CD522" i="1"/>
  <c r="CE522" i="1"/>
  <c r="CF524" i="1"/>
  <c r="CM524" i="1"/>
  <c r="CG524" i="1"/>
  <c r="CI524" i="1"/>
  <c r="CL524" i="1"/>
  <c r="CJ524" i="1"/>
  <c r="CK524" i="1"/>
  <c r="CH524" i="1"/>
  <c r="CR524" i="1"/>
  <c r="CS524" i="1"/>
  <c r="CN524" i="1"/>
  <c r="CO524" i="1"/>
  <c r="CP524" i="1"/>
  <c r="CQ524" i="1"/>
  <c r="CU524" i="1"/>
  <c r="CT524" i="1"/>
  <c r="CB554" i="1"/>
  <c r="CA554" i="1"/>
  <c r="BZ554" i="1"/>
  <c r="BY554" i="1"/>
  <c r="BX554" i="1"/>
  <c r="BW554" i="1"/>
  <c r="BV554" i="1"/>
  <c r="CC554" i="1"/>
  <c r="CD554" i="1"/>
  <c r="CE554" i="1"/>
  <c r="CH556" i="1"/>
  <c r="CI556" i="1"/>
  <c r="CF556" i="1"/>
  <c r="CG556" i="1"/>
  <c r="CJ556" i="1"/>
  <c r="CM556" i="1"/>
  <c r="CQ556" i="1"/>
  <c r="CK556" i="1"/>
  <c r="CT556" i="1"/>
  <c r="CL556" i="1"/>
  <c r="CN556" i="1"/>
  <c r="CR556" i="1"/>
  <c r="CO556" i="1"/>
  <c r="CP556" i="1"/>
  <c r="CU556" i="1"/>
  <c r="CS556" i="1"/>
  <c r="BW586" i="1"/>
  <c r="BV586" i="1"/>
  <c r="CB586" i="1"/>
  <c r="CA586" i="1"/>
  <c r="BZ586" i="1"/>
  <c r="BY586" i="1"/>
  <c r="BX586" i="1"/>
  <c r="CE586" i="1"/>
  <c r="CC586" i="1"/>
  <c r="CD586" i="1"/>
  <c r="CH588" i="1"/>
  <c r="CI588" i="1"/>
  <c r="CJ588" i="1"/>
  <c r="CF588" i="1"/>
  <c r="CG588" i="1"/>
  <c r="CK588" i="1"/>
  <c r="CN588" i="1"/>
  <c r="CL588" i="1"/>
  <c r="CO588" i="1"/>
  <c r="CP588" i="1"/>
  <c r="CU588" i="1"/>
  <c r="CM588" i="1"/>
  <c r="CR588" i="1"/>
  <c r="CT588" i="1"/>
  <c r="CS588" i="1"/>
  <c r="CQ588" i="1"/>
  <c r="CG137" i="1"/>
  <c r="CP137" i="1"/>
  <c r="CI137" i="1"/>
  <c r="CF137" i="1"/>
  <c r="CJ137" i="1"/>
  <c r="CH137" i="1"/>
  <c r="CS137" i="1"/>
  <c r="CU137" i="1"/>
  <c r="CM137" i="1"/>
  <c r="CK137" i="1"/>
  <c r="CL137" i="1"/>
  <c r="CQ137" i="1"/>
  <c r="CR137" i="1"/>
  <c r="CT137" i="1"/>
  <c r="CN137" i="1"/>
  <c r="CO137" i="1"/>
  <c r="BY231" i="1"/>
  <c r="BX231" i="1"/>
  <c r="BW231" i="1"/>
  <c r="BV231" i="1"/>
  <c r="CB231" i="1"/>
  <c r="CA231" i="1"/>
  <c r="BZ231" i="1"/>
  <c r="CE231" i="1"/>
  <c r="CC231" i="1"/>
  <c r="CD231" i="1"/>
  <c r="CU33" i="1"/>
  <c r="CH33" i="1"/>
  <c r="CL33" i="1"/>
  <c r="CF33" i="1"/>
  <c r="CI33" i="1"/>
  <c r="CP33" i="1"/>
  <c r="CG33" i="1"/>
  <c r="CK33" i="1"/>
  <c r="CM33" i="1"/>
  <c r="CJ33" i="1"/>
  <c r="CQ33" i="1"/>
  <c r="CR33" i="1"/>
  <c r="CS33" i="1"/>
  <c r="CO33" i="1"/>
  <c r="CT33" i="1"/>
  <c r="CN33" i="1"/>
  <c r="CA14" i="1"/>
  <c r="BX14" i="1"/>
  <c r="BZ14" i="1"/>
  <c r="BY14" i="1"/>
  <c r="CB14" i="1"/>
  <c r="BW14" i="1"/>
  <c r="BV14" i="1"/>
  <c r="CD14" i="1"/>
  <c r="CE14" i="1"/>
  <c r="CC14" i="1"/>
  <c r="CL48" i="1"/>
  <c r="CI48" i="1"/>
  <c r="CG48" i="1"/>
  <c r="CF48" i="1"/>
  <c r="CK48" i="1"/>
  <c r="CN48" i="1"/>
  <c r="CP48" i="1"/>
  <c r="CJ48" i="1"/>
  <c r="CH48" i="1"/>
  <c r="CM48" i="1"/>
  <c r="CO48" i="1"/>
  <c r="CS48" i="1"/>
  <c r="CR48" i="1"/>
  <c r="CT48" i="1"/>
  <c r="CQ48" i="1"/>
  <c r="CU48" i="1"/>
  <c r="CG112" i="1"/>
  <c r="CF112" i="1"/>
  <c r="CI112" i="1"/>
  <c r="CK112" i="1"/>
  <c r="CL112" i="1"/>
  <c r="CJ112" i="1"/>
  <c r="CH112" i="1"/>
  <c r="CS112" i="1"/>
  <c r="CM112" i="1"/>
  <c r="CP112" i="1"/>
  <c r="CO112" i="1"/>
  <c r="CN112" i="1"/>
  <c r="CU112" i="1"/>
  <c r="CR112" i="1"/>
  <c r="CQ112" i="1"/>
  <c r="CT112" i="1"/>
  <c r="CA61" i="1"/>
  <c r="BZ61" i="1"/>
  <c r="BY61" i="1"/>
  <c r="BX61" i="1"/>
  <c r="BW61" i="1"/>
  <c r="BV61" i="1"/>
  <c r="CB61" i="1"/>
  <c r="CD61" i="1"/>
  <c r="CE61" i="1"/>
  <c r="CC61" i="1"/>
  <c r="CJ95" i="1"/>
  <c r="CI95" i="1"/>
  <c r="CH95" i="1"/>
  <c r="CG95" i="1"/>
  <c r="CF95" i="1"/>
  <c r="CK95" i="1"/>
  <c r="CL95" i="1"/>
  <c r="CM95" i="1"/>
  <c r="CQ95" i="1"/>
  <c r="CO95" i="1"/>
  <c r="CU95" i="1"/>
  <c r="CN95" i="1"/>
  <c r="CT95" i="1"/>
  <c r="CS95" i="1"/>
  <c r="CP95" i="1"/>
  <c r="CR95" i="1"/>
  <c r="CA44" i="1"/>
  <c r="CB44" i="1"/>
  <c r="BZ44" i="1"/>
  <c r="BY44" i="1"/>
  <c r="BX44" i="1"/>
  <c r="BW44" i="1"/>
  <c r="BV44" i="1"/>
  <c r="CD44" i="1"/>
  <c r="CC44" i="1"/>
  <c r="CE44" i="1"/>
  <c r="CB76" i="1"/>
  <c r="CA76" i="1"/>
  <c r="BZ76" i="1"/>
  <c r="BY76" i="1"/>
  <c r="BX76" i="1"/>
  <c r="BW76" i="1"/>
  <c r="BV76" i="1"/>
  <c r="CD76" i="1"/>
  <c r="CC76" i="1"/>
  <c r="CE76" i="1"/>
  <c r="CB140" i="1"/>
  <c r="CA140" i="1"/>
  <c r="BZ140" i="1"/>
  <c r="BY140" i="1"/>
  <c r="BX140" i="1"/>
  <c r="BW140" i="1"/>
  <c r="BV140" i="1"/>
  <c r="CE140" i="1"/>
  <c r="CD140" i="1"/>
  <c r="CC140" i="1"/>
  <c r="CB204" i="1"/>
  <c r="CA204" i="1"/>
  <c r="BZ204" i="1"/>
  <c r="BY204" i="1"/>
  <c r="BX204" i="1"/>
  <c r="BW204" i="1"/>
  <c r="BV204" i="1"/>
  <c r="CC204" i="1"/>
  <c r="CE204" i="1"/>
  <c r="CD204" i="1"/>
  <c r="BV236" i="1"/>
  <c r="CB236" i="1"/>
  <c r="CA236" i="1"/>
  <c r="BZ236" i="1"/>
  <c r="BY236" i="1"/>
  <c r="BX236" i="1"/>
  <c r="BW236" i="1"/>
  <c r="CC236" i="1"/>
  <c r="CE236" i="1"/>
  <c r="CD236" i="1"/>
  <c r="CB300" i="1"/>
  <c r="CA300" i="1"/>
  <c r="BZ300" i="1"/>
  <c r="BY300" i="1"/>
  <c r="BX300" i="1"/>
  <c r="BW300" i="1"/>
  <c r="BV300" i="1"/>
  <c r="CE300" i="1"/>
  <c r="CC300" i="1"/>
  <c r="CD300" i="1"/>
  <c r="CB25" i="1"/>
  <c r="CA25" i="1"/>
  <c r="BZ25" i="1"/>
  <c r="BY25" i="1"/>
  <c r="BX25" i="1"/>
  <c r="BW25" i="1"/>
  <c r="BV25" i="1"/>
  <c r="CC25" i="1"/>
  <c r="CD25" i="1"/>
  <c r="CE25" i="1"/>
  <c r="CJ27" i="1"/>
  <c r="CL27" i="1"/>
  <c r="CF27" i="1"/>
  <c r="CK27" i="1"/>
  <c r="CM27" i="1"/>
  <c r="CG27" i="1"/>
  <c r="CI27" i="1"/>
  <c r="CH27" i="1"/>
  <c r="CR27" i="1"/>
  <c r="CQ27" i="1"/>
  <c r="CN27" i="1"/>
  <c r="CU27" i="1"/>
  <c r="CS27" i="1"/>
  <c r="CT27" i="1"/>
  <c r="CP27" i="1"/>
  <c r="CO27" i="1"/>
  <c r="CB57" i="1"/>
  <c r="CA57" i="1"/>
  <c r="BZ57" i="1"/>
  <c r="BY57" i="1"/>
  <c r="BX57" i="1"/>
  <c r="BW57" i="1"/>
  <c r="BV57" i="1"/>
  <c r="CC57" i="1"/>
  <c r="CD57" i="1"/>
  <c r="CE57" i="1"/>
  <c r="CK59" i="1"/>
  <c r="CH59" i="1"/>
  <c r="CM59" i="1"/>
  <c r="CL59" i="1"/>
  <c r="CF59" i="1"/>
  <c r="CI59" i="1"/>
  <c r="CG59" i="1"/>
  <c r="CJ59" i="1"/>
  <c r="CP59" i="1"/>
  <c r="CO59" i="1"/>
  <c r="CU59" i="1"/>
  <c r="CN59" i="1"/>
  <c r="CT59" i="1"/>
  <c r="CS59" i="1"/>
  <c r="CR59" i="1"/>
  <c r="CQ59" i="1"/>
  <c r="CB89" i="1"/>
  <c r="CA89" i="1"/>
  <c r="BZ89" i="1"/>
  <c r="BY89" i="1"/>
  <c r="BX89" i="1"/>
  <c r="BW89" i="1"/>
  <c r="BV89" i="1"/>
  <c r="CC89" i="1"/>
  <c r="CD89" i="1"/>
  <c r="CE89" i="1"/>
  <c r="CM91" i="1"/>
  <c r="CI91" i="1"/>
  <c r="CF91" i="1"/>
  <c r="CL91" i="1"/>
  <c r="CH91" i="1"/>
  <c r="CK91" i="1"/>
  <c r="CG91" i="1"/>
  <c r="CJ91" i="1"/>
  <c r="CO91" i="1"/>
  <c r="CU91" i="1"/>
  <c r="CN91" i="1"/>
  <c r="CT91" i="1"/>
  <c r="CS91" i="1"/>
  <c r="CP91" i="1"/>
  <c r="CR91" i="1"/>
  <c r="CQ91" i="1"/>
  <c r="CB121" i="1"/>
  <c r="CA121" i="1"/>
  <c r="BZ121" i="1"/>
  <c r="BY121" i="1"/>
  <c r="BX121" i="1"/>
  <c r="BW121" i="1"/>
  <c r="BV121" i="1"/>
  <c r="CE121" i="1"/>
  <c r="CC121" i="1"/>
  <c r="CD121" i="1"/>
  <c r="CH123" i="1"/>
  <c r="CJ123" i="1"/>
  <c r="CG123" i="1"/>
  <c r="CL123" i="1"/>
  <c r="CF123" i="1"/>
  <c r="CI123" i="1"/>
  <c r="CU123" i="1"/>
  <c r="CO123" i="1"/>
  <c r="CK123" i="1"/>
  <c r="CM123" i="1"/>
  <c r="CP123" i="1"/>
  <c r="CQ123" i="1"/>
  <c r="CN123" i="1"/>
  <c r="CT123" i="1"/>
  <c r="CS123" i="1"/>
  <c r="CR123" i="1"/>
  <c r="CB153" i="1"/>
  <c r="CA153" i="1"/>
  <c r="BZ153" i="1"/>
  <c r="BY153" i="1"/>
  <c r="BX153" i="1"/>
  <c r="BW153" i="1"/>
  <c r="BV153" i="1"/>
  <c r="CD153" i="1"/>
  <c r="CE153" i="1"/>
  <c r="CC153" i="1"/>
  <c r="CF155" i="1"/>
  <c r="CJ155" i="1"/>
  <c r="CK155" i="1"/>
  <c r="CM155" i="1"/>
  <c r="CL155" i="1"/>
  <c r="CH155" i="1"/>
  <c r="CG155" i="1"/>
  <c r="CI155" i="1"/>
  <c r="CT155" i="1"/>
  <c r="CN155" i="1"/>
  <c r="CQ155" i="1"/>
  <c r="CS155" i="1"/>
  <c r="CR155" i="1"/>
  <c r="CP155" i="1"/>
  <c r="CO155" i="1"/>
  <c r="CU155" i="1"/>
  <c r="CB185" i="1"/>
  <c r="CA185" i="1"/>
  <c r="BZ185" i="1"/>
  <c r="BY185" i="1"/>
  <c r="BX185" i="1"/>
  <c r="BW185" i="1"/>
  <c r="BV185" i="1"/>
  <c r="CE185" i="1"/>
  <c r="CC185" i="1"/>
  <c r="CD185" i="1"/>
  <c r="CJ187" i="1"/>
  <c r="CG187" i="1"/>
  <c r="CL187" i="1"/>
  <c r="CH187" i="1"/>
  <c r="CI187" i="1"/>
  <c r="CF187" i="1"/>
  <c r="CM187" i="1"/>
  <c r="CP187" i="1"/>
  <c r="CO187" i="1"/>
  <c r="CK187" i="1"/>
  <c r="CN187" i="1"/>
  <c r="CT187" i="1"/>
  <c r="CS187" i="1"/>
  <c r="CR187" i="1"/>
  <c r="CQ187" i="1"/>
  <c r="CU187" i="1"/>
  <c r="CB217" i="1"/>
  <c r="CA217" i="1"/>
  <c r="BZ217" i="1"/>
  <c r="BY217" i="1"/>
  <c r="BX217" i="1"/>
  <c r="BW217" i="1"/>
  <c r="BV217" i="1"/>
  <c r="CD217" i="1"/>
  <c r="CE217" i="1"/>
  <c r="CC217" i="1"/>
  <c r="CG219" i="1"/>
  <c r="CJ219" i="1"/>
  <c r="CF219" i="1"/>
  <c r="CH219" i="1"/>
  <c r="CK219" i="1"/>
  <c r="CM219" i="1"/>
  <c r="CI219" i="1"/>
  <c r="CL219" i="1"/>
  <c r="CO219" i="1"/>
  <c r="CU219" i="1"/>
  <c r="CN219" i="1"/>
  <c r="CT219" i="1"/>
  <c r="CS219" i="1"/>
  <c r="CP219" i="1"/>
  <c r="CR219" i="1"/>
  <c r="CQ219" i="1"/>
  <c r="CB249" i="1"/>
  <c r="CA249" i="1"/>
  <c r="BZ249" i="1"/>
  <c r="BY249" i="1"/>
  <c r="BX249" i="1"/>
  <c r="BW249" i="1"/>
  <c r="BV249" i="1"/>
  <c r="CD249" i="1"/>
  <c r="CE249" i="1"/>
  <c r="CC249" i="1"/>
  <c r="CM251" i="1"/>
  <c r="CL251" i="1"/>
  <c r="CI251" i="1"/>
  <c r="CF251" i="1"/>
  <c r="CJ251" i="1"/>
  <c r="CU251" i="1"/>
  <c r="CO251" i="1"/>
  <c r="CK251" i="1"/>
  <c r="CH251" i="1"/>
  <c r="CQ251" i="1"/>
  <c r="CN251" i="1"/>
  <c r="CT251" i="1"/>
  <c r="CS251" i="1"/>
  <c r="CR251" i="1"/>
  <c r="CG251" i="1"/>
  <c r="CP251" i="1"/>
  <c r="CB281" i="1"/>
  <c r="CA281" i="1"/>
  <c r="BZ281" i="1"/>
  <c r="BY281" i="1"/>
  <c r="BX281" i="1"/>
  <c r="BW281" i="1"/>
  <c r="BV281" i="1"/>
  <c r="CE281" i="1"/>
  <c r="CD281" i="1"/>
  <c r="CC281" i="1"/>
  <c r="CI283" i="1"/>
  <c r="CG283" i="1"/>
  <c r="CT283" i="1"/>
  <c r="CL283" i="1"/>
  <c r="CQ283" i="1"/>
  <c r="CF283" i="1"/>
  <c r="CM283" i="1"/>
  <c r="CK283" i="1"/>
  <c r="CH283" i="1"/>
  <c r="CJ283" i="1"/>
  <c r="CR283" i="1"/>
  <c r="CO283" i="1"/>
  <c r="CP283" i="1"/>
  <c r="CU283" i="1"/>
  <c r="CS283" i="1"/>
  <c r="CN283" i="1"/>
  <c r="CB313" i="1"/>
  <c r="CA313" i="1"/>
  <c r="BZ313" i="1"/>
  <c r="BY313" i="1"/>
  <c r="BX313" i="1"/>
  <c r="BW313" i="1"/>
  <c r="BV313" i="1"/>
  <c r="CE313" i="1"/>
  <c r="CD313" i="1"/>
  <c r="CC313" i="1"/>
  <c r="CM315" i="1"/>
  <c r="CL315" i="1"/>
  <c r="CJ315" i="1"/>
  <c r="CF315" i="1"/>
  <c r="CG315" i="1"/>
  <c r="CK315" i="1"/>
  <c r="CH315" i="1"/>
  <c r="CI315" i="1"/>
  <c r="CS315" i="1"/>
  <c r="CR315" i="1"/>
  <c r="CQ315" i="1"/>
  <c r="CN315" i="1"/>
  <c r="CU315" i="1"/>
  <c r="CT315" i="1"/>
  <c r="CP315" i="1"/>
  <c r="CO315" i="1"/>
  <c r="CB345" i="1"/>
  <c r="CA345" i="1"/>
  <c r="BZ345" i="1"/>
  <c r="BY345" i="1"/>
  <c r="BX345" i="1"/>
  <c r="BW345" i="1"/>
  <c r="BV345" i="1"/>
  <c r="CD345" i="1"/>
  <c r="CE345" i="1"/>
  <c r="CC345" i="1"/>
  <c r="CI347" i="1"/>
  <c r="CG347" i="1"/>
  <c r="CH347" i="1"/>
  <c r="CJ347" i="1"/>
  <c r="CL347" i="1"/>
  <c r="CM347" i="1"/>
  <c r="CF347" i="1"/>
  <c r="CK347" i="1"/>
  <c r="CP347" i="1"/>
  <c r="CQ347" i="1"/>
  <c r="CR347" i="1"/>
  <c r="CS347" i="1"/>
  <c r="CO347" i="1"/>
  <c r="CT347" i="1"/>
  <c r="CU347" i="1"/>
  <c r="CN347" i="1"/>
  <c r="CB377" i="1"/>
  <c r="CA377" i="1"/>
  <c r="BZ377" i="1"/>
  <c r="BY377" i="1"/>
  <c r="BX377" i="1"/>
  <c r="BW377" i="1"/>
  <c r="BV377" i="1"/>
  <c r="CD377" i="1"/>
  <c r="CE377" i="1"/>
  <c r="CC377" i="1"/>
  <c r="CL379" i="1"/>
  <c r="CK379" i="1"/>
  <c r="CJ379" i="1"/>
  <c r="CH379" i="1"/>
  <c r="CI379" i="1"/>
  <c r="CM379" i="1"/>
  <c r="CG379" i="1"/>
  <c r="CF379" i="1"/>
  <c r="CT379" i="1"/>
  <c r="CU379" i="1"/>
  <c r="CS379" i="1"/>
  <c r="CP379" i="1"/>
  <c r="CN379" i="1"/>
  <c r="CQ379" i="1"/>
  <c r="CR379" i="1"/>
  <c r="CO379" i="1"/>
  <c r="BV409" i="1"/>
  <c r="CB409" i="1"/>
  <c r="CA409" i="1"/>
  <c r="BZ409" i="1"/>
  <c r="BY409" i="1"/>
  <c r="BX409" i="1"/>
  <c r="BW409" i="1"/>
  <c r="CE409" i="1"/>
  <c r="CC409" i="1"/>
  <c r="CD409" i="1"/>
  <c r="CF411" i="1"/>
  <c r="CH411" i="1"/>
  <c r="CI411" i="1"/>
  <c r="CK411" i="1"/>
  <c r="CJ411" i="1"/>
  <c r="CM411" i="1"/>
  <c r="CG411" i="1"/>
  <c r="CL411" i="1"/>
  <c r="CP411" i="1"/>
  <c r="CQ411" i="1"/>
  <c r="CR411" i="1"/>
  <c r="CS411" i="1"/>
  <c r="CO411" i="1"/>
  <c r="CT411" i="1"/>
  <c r="CU411" i="1"/>
  <c r="CN411" i="1"/>
  <c r="BY441" i="1"/>
  <c r="BX441" i="1"/>
  <c r="BW441" i="1"/>
  <c r="BV441" i="1"/>
  <c r="CB441" i="1"/>
  <c r="CA441" i="1"/>
  <c r="BZ441" i="1"/>
  <c r="CD441" i="1"/>
  <c r="CE441" i="1"/>
  <c r="CC441" i="1"/>
  <c r="CM443" i="1"/>
  <c r="CF443" i="1"/>
  <c r="CG443" i="1"/>
  <c r="CL443" i="1"/>
  <c r="CK443" i="1"/>
  <c r="CH443" i="1"/>
  <c r="CI443" i="1"/>
  <c r="CJ443" i="1"/>
  <c r="CN443" i="1"/>
  <c r="CR443" i="1"/>
  <c r="CS443" i="1"/>
  <c r="CO443" i="1"/>
  <c r="CT443" i="1"/>
  <c r="CU443" i="1"/>
  <c r="CP443" i="1"/>
  <c r="CQ443" i="1"/>
  <c r="BZ473" i="1"/>
  <c r="BY473" i="1"/>
  <c r="BX473" i="1"/>
  <c r="BW473" i="1"/>
  <c r="BV473" i="1"/>
  <c r="CB473" i="1"/>
  <c r="CA473" i="1"/>
  <c r="CD473" i="1"/>
  <c r="CE473" i="1"/>
  <c r="CC473" i="1"/>
  <c r="CF475" i="1"/>
  <c r="CJ475" i="1"/>
  <c r="CI475" i="1"/>
  <c r="CH475" i="1"/>
  <c r="CM475" i="1"/>
  <c r="CG475" i="1"/>
  <c r="CL475" i="1"/>
  <c r="CP475" i="1"/>
  <c r="CQ475" i="1"/>
  <c r="CR475" i="1"/>
  <c r="CS475" i="1"/>
  <c r="CO475" i="1"/>
  <c r="CT475" i="1"/>
  <c r="CU475" i="1"/>
  <c r="CK475" i="1"/>
  <c r="CN475" i="1"/>
  <c r="BY505" i="1"/>
  <c r="BX505" i="1"/>
  <c r="BW505" i="1"/>
  <c r="BV505" i="1"/>
  <c r="CB505" i="1"/>
  <c r="CA505" i="1"/>
  <c r="BZ505" i="1"/>
  <c r="CE505" i="1"/>
  <c r="CD505" i="1"/>
  <c r="CC505" i="1"/>
  <c r="CL507" i="1"/>
  <c r="CG507" i="1"/>
  <c r="CI507" i="1"/>
  <c r="CJ507" i="1"/>
  <c r="CF507" i="1"/>
  <c r="CH507" i="1"/>
  <c r="CM507" i="1"/>
  <c r="CK507" i="1"/>
  <c r="CP507" i="1"/>
  <c r="CN507" i="1"/>
  <c r="CQ507" i="1"/>
  <c r="CR507" i="1"/>
  <c r="CO507" i="1"/>
  <c r="CS507" i="1"/>
  <c r="CT507" i="1"/>
  <c r="CU507" i="1"/>
  <c r="CB537" i="1"/>
  <c r="CA537" i="1"/>
  <c r="BZ537" i="1"/>
  <c r="BY537" i="1"/>
  <c r="BX537" i="1"/>
  <c r="BW537" i="1"/>
  <c r="BV537" i="1"/>
  <c r="CD537" i="1"/>
  <c r="CE537" i="1"/>
  <c r="CC537" i="1"/>
  <c r="CM539" i="1"/>
  <c r="CH539" i="1"/>
  <c r="CF539" i="1"/>
  <c r="CJ539" i="1"/>
  <c r="CK539" i="1"/>
  <c r="CL539" i="1"/>
  <c r="CG539" i="1"/>
  <c r="CI539" i="1"/>
  <c r="CP539" i="1"/>
  <c r="CQ539" i="1"/>
  <c r="CR539" i="1"/>
  <c r="CS539" i="1"/>
  <c r="CO539" i="1"/>
  <c r="CT539" i="1"/>
  <c r="CU539" i="1"/>
  <c r="CN539" i="1"/>
  <c r="CB569" i="1"/>
  <c r="CA569" i="1"/>
  <c r="BZ569" i="1"/>
  <c r="BY569" i="1"/>
  <c r="BX569" i="1"/>
  <c r="BW569" i="1"/>
  <c r="BV569" i="1"/>
  <c r="CC569" i="1"/>
  <c r="CE569" i="1"/>
  <c r="CD569" i="1"/>
  <c r="CF571" i="1"/>
  <c r="CG571" i="1"/>
  <c r="CJ571" i="1"/>
  <c r="CM571" i="1"/>
  <c r="CL571" i="1"/>
  <c r="CK571" i="1"/>
  <c r="CH571" i="1"/>
  <c r="CN571" i="1"/>
  <c r="CI571" i="1"/>
  <c r="CU571" i="1"/>
  <c r="CP571" i="1"/>
  <c r="CQ571" i="1"/>
  <c r="CR571" i="1"/>
  <c r="CO571" i="1"/>
  <c r="CS571" i="1"/>
  <c r="CT571" i="1"/>
  <c r="CB601" i="1"/>
  <c r="CA601" i="1"/>
  <c r="BZ601" i="1"/>
  <c r="BY601" i="1"/>
  <c r="BX601" i="1"/>
  <c r="BW601" i="1"/>
  <c r="BV601" i="1"/>
  <c r="CE601" i="1"/>
  <c r="CC601" i="1"/>
  <c r="CD601" i="1"/>
  <c r="CL603" i="1"/>
  <c r="CJ603" i="1"/>
  <c r="CK603" i="1"/>
  <c r="CI603" i="1"/>
  <c r="CP603" i="1"/>
  <c r="CQ603" i="1"/>
  <c r="CR603" i="1"/>
  <c r="CS603" i="1"/>
  <c r="CO603" i="1"/>
  <c r="CT603" i="1"/>
  <c r="CU603" i="1"/>
  <c r="CH603" i="1"/>
  <c r="CF603" i="1"/>
  <c r="CG603" i="1"/>
  <c r="CM603" i="1"/>
  <c r="CN603" i="1"/>
  <c r="CB71" i="1"/>
  <c r="CA71" i="1"/>
  <c r="BZ71" i="1"/>
  <c r="BY71" i="1"/>
  <c r="BX71" i="1"/>
  <c r="BW71" i="1"/>
  <c r="BV71" i="1"/>
  <c r="CC71" i="1"/>
  <c r="CE71" i="1"/>
  <c r="CD71" i="1"/>
  <c r="CP329" i="1"/>
  <c r="CI329" i="1"/>
  <c r="CG329" i="1"/>
  <c r="CK329" i="1"/>
  <c r="CO329" i="1"/>
  <c r="CL329" i="1"/>
  <c r="CF329" i="1"/>
  <c r="CH329" i="1"/>
  <c r="CS329" i="1"/>
  <c r="CM329" i="1"/>
  <c r="CJ329" i="1"/>
  <c r="CR329" i="1"/>
  <c r="CT329" i="1"/>
  <c r="CQ329" i="1"/>
  <c r="CU329" i="1"/>
  <c r="CN329" i="1"/>
  <c r="CP457" i="1"/>
  <c r="CI457" i="1"/>
  <c r="CJ457" i="1"/>
  <c r="CF457" i="1"/>
  <c r="CH457" i="1"/>
  <c r="CM457" i="1"/>
  <c r="CG457" i="1"/>
  <c r="CK457" i="1"/>
  <c r="CL457" i="1"/>
  <c r="CS457" i="1"/>
  <c r="CR457" i="1"/>
  <c r="CQ457" i="1"/>
  <c r="CO457" i="1"/>
  <c r="CN457" i="1"/>
  <c r="CT457" i="1"/>
  <c r="CU457" i="1"/>
  <c r="CP521" i="1"/>
  <c r="CJ521" i="1"/>
  <c r="CG521" i="1"/>
  <c r="CH521" i="1"/>
  <c r="CL521" i="1"/>
  <c r="CF521" i="1"/>
  <c r="CS521" i="1"/>
  <c r="CR521" i="1"/>
  <c r="CI521" i="1"/>
  <c r="CQ521" i="1"/>
  <c r="CK521" i="1"/>
  <c r="CO521" i="1"/>
  <c r="CM521" i="1"/>
  <c r="CN521" i="1"/>
  <c r="CT521" i="1"/>
  <c r="CU521" i="1"/>
  <c r="CM50" i="1"/>
  <c r="CK50" i="1"/>
  <c r="CL50" i="1"/>
  <c r="CP50" i="1"/>
  <c r="CI50" i="1"/>
  <c r="CF50" i="1"/>
  <c r="CO50" i="1"/>
  <c r="CJ50" i="1"/>
  <c r="CU50" i="1"/>
  <c r="CN50" i="1"/>
  <c r="CT50" i="1"/>
  <c r="CH50" i="1"/>
  <c r="CG50" i="1"/>
  <c r="CR50" i="1"/>
  <c r="CQ50" i="1"/>
  <c r="CS50" i="1"/>
  <c r="CJ65" i="1"/>
  <c r="CP65" i="1"/>
  <c r="CH65" i="1"/>
  <c r="CL65" i="1"/>
  <c r="CF65" i="1"/>
  <c r="CI65" i="1"/>
  <c r="CG65" i="1"/>
  <c r="CM65" i="1"/>
  <c r="CR65" i="1"/>
  <c r="CQ65" i="1"/>
  <c r="CK65" i="1"/>
  <c r="CO65" i="1"/>
  <c r="CS65" i="1"/>
  <c r="CN65" i="1"/>
  <c r="CT65" i="1"/>
  <c r="CU65" i="1"/>
  <c r="CA78" i="1"/>
  <c r="BZ78" i="1"/>
  <c r="BY78" i="1"/>
  <c r="BX78" i="1"/>
  <c r="BW78" i="1"/>
  <c r="BV78" i="1"/>
  <c r="CB78" i="1"/>
  <c r="CE78" i="1"/>
  <c r="CD78" i="1"/>
  <c r="CC78" i="1"/>
  <c r="CB110" i="1"/>
  <c r="CA110" i="1"/>
  <c r="BZ110" i="1"/>
  <c r="BY110" i="1"/>
  <c r="BX110" i="1"/>
  <c r="BW110" i="1"/>
  <c r="BV110" i="1"/>
  <c r="CD110" i="1"/>
  <c r="CE110" i="1"/>
  <c r="CC110" i="1"/>
  <c r="BW142" i="1"/>
  <c r="BV142" i="1"/>
  <c r="CB142" i="1"/>
  <c r="CA142" i="1"/>
  <c r="BZ142" i="1"/>
  <c r="BY142" i="1"/>
  <c r="BX142" i="1"/>
  <c r="CE142" i="1"/>
  <c r="CD142" i="1"/>
  <c r="CC142" i="1"/>
  <c r="CA29" i="1"/>
  <c r="BZ29" i="1"/>
  <c r="BY29" i="1"/>
  <c r="BX29" i="1"/>
  <c r="BW29" i="1"/>
  <c r="BV29" i="1"/>
  <c r="CB29" i="1"/>
  <c r="CD29" i="1"/>
  <c r="CE29" i="1"/>
  <c r="CC29" i="1"/>
  <c r="CG63" i="1"/>
  <c r="CM63" i="1"/>
  <c r="CJ63" i="1"/>
  <c r="CI63" i="1"/>
  <c r="CH63" i="1"/>
  <c r="CF63" i="1"/>
  <c r="CS63" i="1"/>
  <c r="CP63" i="1"/>
  <c r="CL63" i="1"/>
  <c r="CO63" i="1"/>
  <c r="CU63" i="1"/>
  <c r="CN63" i="1"/>
  <c r="CT63" i="1"/>
  <c r="CK63" i="1"/>
  <c r="CR63" i="1"/>
  <c r="CQ63" i="1"/>
  <c r="BX12" i="1"/>
  <c r="BV12" i="1"/>
  <c r="BZ12" i="1"/>
  <c r="BY12" i="1"/>
  <c r="CB12" i="1"/>
  <c r="BW12" i="1"/>
  <c r="CA12" i="1"/>
  <c r="CC12" i="1"/>
  <c r="CE12" i="1"/>
  <c r="CD12" i="1"/>
  <c r="CH46" i="1"/>
  <c r="CM46" i="1"/>
  <c r="CJ46" i="1"/>
  <c r="CO46" i="1"/>
  <c r="CP46" i="1"/>
  <c r="CU46" i="1"/>
  <c r="CN46" i="1"/>
  <c r="CF46" i="1"/>
  <c r="CG46" i="1"/>
  <c r="CQ46" i="1"/>
  <c r="CS46" i="1"/>
  <c r="CT46" i="1"/>
  <c r="CL46" i="1"/>
  <c r="CK46" i="1"/>
  <c r="CR46" i="1"/>
  <c r="CI46" i="1"/>
  <c r="CH78" i="1"/>
  <c r="CG78" i="1"/>
  <c r="CF78" i="1"/>
  <c r="CK78" i="1"/>
  <c r="CJ78" i="1"/>
  <c r="CM78" i="1"/>
  <c r="CP78" i="1"/>
  <c r="CN78" i="1"/>
  <c r="CS78" i="1"/>
  <c r="CL78" i="1"/>
  <c r="CT78" i="1"/>
  <c r="CO78" i="1"/>
  <c r="CR78" i="1"/>
  <c r="CQ78" i="1"/>
  <c r="CU78" i="1"/>
  <c r="CI78" i="1"/>
  <c r="CB8" i="1"/>
  <c r="CA8" i="1"/>
  <c r="BV8" i="1"/>
  <c r="BZ8" i="1"/>
  <c r="BY8" i="1"/>
  <c r="BX8" i="1"/>
  <c r="BW8" i="1"/>
  <c r="CD8" i="1"/>
  <c r="CE8" i="1"/>
  <c r="CC8" i="1"/>
  <c r="CP10" i="1"/>
  <c r="CK10" i="1"/>
  <c r="CJ10" i="1"/>
  <c r="CI10" i="1"/>
  <c r="CH10" i="1"/>
  <c r="CL10" i="1"/>
  <c r="CF10" i="1"/>
  <c r="CG10" i="1"/>
  <c r="CN10" i="1"/>
  <c r="CR10" i="1"/>
  <c r="CO10" i="1"/>
  <c r="CM10" i="1"/>
  <c r="CQ10" i="1"/>
  <c r="CU10" i="1"/>
  <c r="CS10" i="1"/>
  <c r="CT10" i="1"/>
  <c r="CB40" i="1"/>
  <c r="CA40" i="1"/>
  <c r="BZ40" i="1"/>
  <c r="BW40" i="1"/>
  <c r="BV40" i="1"/>
  <c r="BY40" i="1"/>
  <c r="BX40" i="1"/>
  <c r="CC40" i="1"/>
  <c r="CE40" i="1"/>
  <c r="CD40" i="1"/>
  <c r="CL42" i="1"/>
  <c r="CH42" i="1"/>
  <c r="CO42" i="1"/>
  <c r="CP42" i="1"/>
  <c r="CI42" i="1"/>
  <c r="CU42" i="1"/>
  <c r="CN42" i="1"/>
  <c r="CJ42" i="1"/>
  <c r="CF42" i="1"/>
  <c r="CK42" i="1"/>
  <c r="CG42" i="1"/>
  <c r="CR42" i="1"/>
  <c r="CQ42" i="1"/>
  <c r="CM42" i="1"/>
  <c r="CS42" i="1"/>
  <c r="CT42" i="1"/>
  <c r="CB72" i="1"/>
  <c r="CA72" i="1"/>
  <c r="BZ72" i="1"/>
  <c r="BY72" i="1"/>
  <c r="BX72" i="1"/>
  <c r="BW72" i="1"/>
  <c r="BV72" i="1"/>
  <c r="CC72" i="1"/>
  <c r="CD72" i="1"/>
  <c r="CE72" i="1"/>
  <c r="CK74" i="1"/>
  <c r="CI74" i="1"/>
  <c r="CJ74" i="1"/>
  <c r="CH74" i="1"/>
  <c r="CG74" i="1"/>
  <c r="CF74" i="1"/>
  <c r="CR74" i="1"/>
  <c r="CP74" i="1"/>
  <c r="CL74" i="1"/>
  <c r="CS74" i="1"/>
  <c r="CT74" i="1"/>
  <c r="CO74" i="1"/>
  <c r="CQ74" i="1"/>
  <c r="CU74" i="1"/>
  <c r="CN74" i="1"/>
  <c r="CM74" i="1"/>
  <c r="CB104" i="1"/>
  <c r="CA104" i="1"/>
  <c r="BZ104" i="1"/>
  <c r="BY104" i="1"/>
  <c r="BX104" i="1"/>
  <c r="BW104" i="1"/>
  <c r="BV104" i="1"/>
  <c r="CC104" i="1"/>
  <c r="CD104" i="1"/>
  <c r="CE104" i="1"/>
  <c r="CH106" i="1"/>
  <c r="CG106" i="1"/>
  <c r="CM106" i="1"/>
  <c r="CL106" i="1"/>
  <c r="CS106" i="1"/>
  <c r="CT106" i="1"/>
  <c r="CI106" i="1"/>
  <c r="CJ106" i="1"/>
  <c r="CU106" i="1"/>
  <c r="CO106" i="1"/>
  <c r="CF106" i="1"/>
  <c r="CK106" i="1"/>
  <c r="CN106" i="1"/>
  <c r="CR106" i="1"/>
  <c r="CP106" i="1"/>
  <c r="CQ106" i="1"/>
  <c r="CA136" i="1"/>
  <c r="BZ136" i="1"/>
  <c r="BY136" i="1"/>
  <c r="BX136" i="1"/>
  <c r="BW136" i="1"/>
  <c r="BV136" i="1"/>
  <c r="CB136" i="1"/>
  <c r="CC136" i="1"/>
  <c r="CD136" i="1"/>
  <c r="CE136" i="1"/>
  <c r="CK138" i="1"/>
  <c r="CJ138" i="1"/>
  <c r="CG138" i="1"/>
  <c r="CF138" i="1"/>
  <c r="CI138" i="1"/>
  <c r="CH138" i="1"/>
  <c r="CR138" i="1"/>
  <c r="CL138" i="1"/>
  <c r="CP138" i="1"/>
  <c r="CM138" i="1"/>
  <c r="CN138" i="1"/>
  <c r="CU138" i="1"/>
  <c r="CS138" i="1"/>
  <c r="CT138" i="1"/>
  <c r="CO138" i="1"/>
  <c r="CQ138" i="1"/>
  <c r="CB168" i="1"/>
  <c r="CA168" i="1"/>
  <c r="BZ168" i="1"/>
  <c r="BY168" i="1"/>
  <c r="BX168" i="1"/>
  <c r="BW168" i="1"/>
  <c r="BV168" i="1"/>
  <c r="CE168" i="1"/>
  <c r="CD168" i="1"/>
  <c r="CC168" i="1"/>
  <c r="CJ170" i="1"/>
  <c r="CI170" i="1"/>
  <c r="CH170" i="1"/>
  <c r="CG170" i="1"/>
  <c r="CU170" i="1"/>
  <c r="CO170" i="1"/>
  <c r="CL170" i="1"/>
  <c r="CQ170" i="1"/>
  <c r="CF170" i="1"/>
  <c r="CK170" i="1"/>
  <c r="CR170" i="1"/>
  <c r="CP170" i="1"/>
  <c r="CM170" i="1"/>
  <c r="CN170" i="1"/>
  <c r="CS170" i="1"/>
  <c r="CT170" i="1"/>
  <c r="CB200" i="1"/>
  <c r="CA200" i="1"/>
  <c r="BZ200" i="1"/>
  <c r="BY200" i="1"/>
  <c r="BX200" i="1"/>
  <c r="BW200" i="1"/>
  <c r="BV200" i="1"/>
  <c r="CD200" i="1"/>
  <c r="CE200" i="1"/>
  <c r="CC200" i="1"/>
  <c r="CF202" i="1"/>
  <c r="CL202" i="1"/>
  <c r="CK202" i="1"/>
  <c r="CM202" i="1"/>
  <c r="CN202" i="1"/>
  <c r="CG202" i="1"/>
  <c r="CH202" i="1"/>
  <c r="CR202" i="1"/>
  <c r="CI202" i="1"/>
  <c r="CP202" i="1"/>
  <c r="CJ202" i="1"/>
  <c r="CQ202" i="1"/>
  <c r="CU202" i="1"/>
  <c r="CS202" i="1"/>
  <c r="CO202" i="1"/>
  <c r="CT202" i="1"/>
  <c r="CB232" i="1"/>
  <c r="CA232" i="1"/>
  <c r="BZ232" i="1"/>
  <c r="BY232" i="1"/>
  <c r="BX232" i="1"/>
  <c r="BW232" i="1"/>
  <c r="BV232" i="1"/>
  <c r="CD232" i="1"/>
  <c r="CE232" i="1"/>
  <c r="CC232" i="1"/>
  <c r="CI234" i="1"/>
  <c r="CH234" i="1"/>
  <c r="CG234" i="1"/>
  <c r="CF234" i="1"/>
  <c r="CJ234" i="1"/>
  <c r="CK234" i="1"/>
  <c r="CS234" i="1"/>
  <c r="CT234" i="1"/>
  <c r="CL234" i="1"/>
  <c r="CO234" i="1"/>
  <c r="CU234" i="1"/>
  <c r="CR234" i="1"/>
  <c r="CM234" i="1"/>
  <c r="CP234" i="1"/>
  <c r="CQ234" i="1"/>
  <c r="CN234" i="1"/>
  <c r="CB264" i="1"/>
  <c r="CA264" i="1"/>
  <c r="BZ264" i="1"/>
  <c r="BY264" i="1"/>
  <c r="BX264" i="1"/>
  <c r="BW264" i="1"/>
  <c r="BV264" i="1"/>
  <c r="CD264" i="1"/>
  <c r="CC264" i="1"/>
  <c r="CE264" i="1"/>
  <c r="CL266" i="1"/>
  <c r="CG266" i="1"/>
  <c r="CF266" i="1"/>
  <c r="CJ266" i="1"/>
  <c r="CP266" i="1"/>
  <c r="CK266" i="1"/>
  <c r="CM266" i="1"/>
  <c r="CH266" i="1"/>
  <c r="CN266" i="1"/>
  <c r="CI266" i="1"/>
  <c r="CU266" i="1"/>
  <c r="CS266" i="1"/>
  <c r="CO266" i="1"/>
  <c r="CQ266" i="1"/>
  <c r="CR266" i="1"/>
  <c r="CT266" i="1"/>
  <c r="CB296" i="1"/>
  <c r="CA296" i="1"/>
  <c r="BZ296" i="1"/>
  <c r="BY296" i="1"/>
  <c r="BX296" i="1"/>
  <c r="BW296" i="1"/>
  <c r="BV296" i="1"/>
  <c r="CD296" i="1"/>
  <c r="CC296" i="1"/>
  <c r="CE296" i="1"/>
  <c r="CJ298" i="1"/>
  <c r="CG298" i="1"/>
  <c r="CF298" i="1"/>
  <c r="CK298" i="1"/>
  <c r="CO298" i="1"/>
  <c r="CL298" i="1"/>
  <c r="CH298" i="1"/>
  <c r="CI298" i="1"/>
  <c r="CN298" i="1"/>
  <c r="CT298" i="1"/>
  <c r="CU298" i="1"/>
  <c r="CM298" i="1"/>
  <c r="CP298" i="1"/>
  <c r="CR298" i="1"/>
  <c r="CS298" i="1"/>
  <c r="CQ298" i="1"/>
  <c r="CB328" i="1"/>
  <c r="CA328" i="1"/>
  <c r="BZ328" i="1"/>
  <c r="BY328" i="1"/>
  <c r="BX328" i="1"/>
  <c r="BW328" i="1"/>
  <c r="BV328" i="1"/>
  <c r="CD328" i="1"/>
  <c r="CC328" i="1"/>
  <c r="CE328" i="1"/>
  <c r="CH330" i="1"/>
  <c r="CG330" i="1"/>
  <c r="CM330" i="1"/>
  <c r="CF330" i="1"/>
  <c r="CI330" i="1"/>
  <c r="CN330" i="1"/>
  <c r="CJ330" i="1"/>
  <c r="CK330" i="1"/>
  <c r="CP330" i="1"/>
  <c r="CL330" i="1"/>
  <c r="CR330" i="1"/>
  <c r="CQ330" i="1"/>
  <c r="CO330" i="1"/>
  <c r="CS330" i="1"/>
  <c r="CT330" i="1"/>
  <c r="CU330" i="1"/>
  <c r="CB360" i="1"/>
  <c r="CA360" i="1"/>
  <c r="BZ360" i="1"/>
  <c r="BY360" i="1"/>
  <c r="BX360" i="1"/>
  <c r="BW360" i="1"/>
  <c r="BV360" i="1"/>
  <c r="CE360" i="1"/>
  <c r="CD360" i="1"/>
  <c r="CC360" i="1"/>
  <c r="CG362" i="1"/>
  <c r="CI362" i="1"/>
  <c r="CK362" i="1"/>
  <c r="CF362" i="1"/>
  <c r="CL362" i="1"/>
  <c r="CM362" i="1"/>
  <c r="CU362" i="1"/>
  <c r="CH362" i="1"/>
  <c r="CJ362" i="1"/>
  <c r="CN362" i="1"/>
  <c r="CT362" i="1"/>
  <c r="CQ362" i="1"/>
  <c r="CS362" i="1"/>
  <c r="CR362" i="1"/>
  <c r="CO362" i="1"/>
  <c r="CP362" i="1"/>
  <c r="CB392" i="1"/>
  <c r="CA392" i="1"/>
  <c r="BZ392" i="1"/>
  <c r="BY392" i="1"/>
  <c r="BX392" i="1"/>
  <c r="BW392" i="1"/>
  <c r="BV392" i="1"/>
  <c r="CE392" i="1"/>
  <c r="CD392" i="1"/>
  <c r="CC392" i="1"/>
  <c r="CF394" i="1"/>
  <c r="CS394" i="1"/>
  <c r="CG394" i="1"/>
  <c r="CH394" i="1"/>
  <c r="CI394" i="1"/>
  <c r="CP394" i="1"/>
  <c r="CJ394" i="1"/>
  <c r="CK394" i="1"/>
  <c r="CM394" i="1"/>
  <c r="CO394" i="1"/>
  <c r="CR394" i="1"/>
  <c r="CL394" i="1"/>
  <c r="CU394" i="1"/>
  <c r="CQ394" i="1"/>
  <c r="CT394" i="1"/>
  <c r="CN394" i="1"/>
  <c r="CB424" i="1"/>
  <c r="CA424" i="1"/>
  <c r="BZ424" i="1"/>
  <c r="BY424" i="1"/>
  <c r="BX424" i="1"/>
  <c r="BW424" i="1"/>
  <c r="BV424" i="1"/>
  <c r="CD424" i="1"/>
  <c r="CE424" i="1"/>
  <c r="CC424" i="1"/>
  <c r="CF426" i="1"/>
  <c r="CH426" i="1"/>
  <c r="CJ426" i="1"/>
  <c r="CL426" i="1"/>
  <c r="CK426" i="1"/>
  <c r="CG426" i="1"/>
  <c r="CT426" i="1"/>
  <c r="CI426" i="1"/>
  <c r="CU426" i="1"/>
  <c r="CM426" i="1"/>
  <c r="CS426" i="1"/>
  <c r="CQ426" i="1"/>
  <c r="CO426" i="1"/>
  <c r="CP426" i="1"/>
  <c r="CR426" i="1"/>
  <c r="CN426" i="1"/>
  <c r="CB456" i="1"/>
  <c r="CA456" i="1"/>
  <c r="BZ456" i="1"/>
  <c r="BW456" i="1"/>
  <c r="BY456" i="1"/>
  <c r="BX456" i="1"/>
  <c r="BV456" i="1"/>
  <c r="CC456" i="1"/>
  <c r="CD456" i="1"/>
  <c r="CE456" i="1"/>
  <c r="CK458" i="1"/>
  <c r="CM458" i="1"/>
  <c r="CI458" i="1"/>
  <c r="CH458" i="1"/>
  <c r="CF458" i="1"/>
  <c r="CO458" i="1"/>
  <c r="CR458" i="1"/>
  <c r="CQ458" i="1"/>
  <c r="CG458" i="1"/>
  <c r="CS458" i="1"/>
  <c r="CJ458" i="1"/>
  <c r="CL458" i="1"/>
  <c r="CN458" i="1"/>
  <c r="CP458" i="1"/>
  <c r="CU458" i="1"/>
  <c r="CT458" i="1"/>
  <c r="CB488" i="1"/>
  <c r="CA488" i="1"/>
  <c r="BZ488" i="1"/>
  <c r="BY488" i="1"/>
  <c r="BX488" i="1"/>
  <c r="BW488" i="1"/>
  <c r="BV488" i="1"/>
  <c r="CC488" i="1"/>
  <c r="CE488" i="1"/>
  <c r="CD488" i="1"/>
  <c r="CG490" i="1"/>
  <c r="CI490" i="1"/>
  <c r="CF490" i="1"/>
  <c r="CK490" i="1"/>
  <c r="CJ490" i="1"/>
  <c r="CL490" i="1"/>
  <c r="CU490" i="1"/>
  <c r="CM490" i="1"/>
  <c r="CN490" i="1"/>
  <c r="CH490" i="1"/>
  <c r="CT490" i="1"/>
  <c r="CO490" i="1"/>
  <c r="CP490" i="1"/>
  <c r="CR490" i="1"/>
  <c r="CS490" i="1"/>
  <c r="CQ490" i="1"/>
  <c r="BW520" i="1"/>
  <c r="BV520" i="1"/>
  <c r="CB520" i="1"/>
  <c r="CA520" i="1"/>
  <c r="BZ520" i="1"/>
  <c r="BY520" i="1"/>
  <c r="BX520" i="1"/>
  <c r="CE520" i="1"/>
  <c r="CC520" i="1"/>
  <c r="CD520" i="1"/>
  <c r="CJ522" i="1"/>
  <c r="CL522" i="1"/>
  <c r="CH522" i="1"/>
  <c r="CG522" i="1"/>
  <c r="CS522" i="1"/>
  <c r="CP522" i="1"/>
  <c r="CM522" i="1"/>
  <c r="CO522" i="1"/>
  <c r="CR522" i="1"/>
  <c r="CF522" i="1"/>
  <c r="CI522" i="1"/>
  <c r="CK522" i="1"/>
  <c r="CN522" i="1"/>
  <c r="CT522" i="1"/>
  <c r="CU522" i="1"/>
  <c r="CQ522" i="1"/>
  <c r="CB552" i="1"/>
  <c r="CA552" i="1"/>
  <c r="BZ552" i="1"/>
  <c r="BY552" i="1"/>
  <c r="BX552" i="1"/>
  <c r="BW552" i="1"/>
  <c r="BV552" i="1"/>
  <c r="CE552" i="1"/>
  <c r="CC552" i="1"/>
  <c r="CD552" i="1"/>
  <c r="CF554" i="1"/>
  <c r="CM554" i="1"/>
  <c r="CK554" i="1"/>
  <c r="CH554" i="1"/>
  <c r="CI554" i="1"/>
  <c r="CJ554" i="1"/>
  <c r="CT554" i="1"/>
  <c r="CL554" i="1"/>
  <c r="CU554" i="1"/>
  <c r="CG554" i="1"/>
  <c r="CO554" i="1"/>
  <c r="CN554" i="1"/>
  <c r="CP554" i="1"/>
  <c r="CR554" i="1"/>
  <c r="CS554" i="1"/>
  <c r="CQ554" i="1"/>
  <c r="CB584" i="1"/>
  <c r="CA584" i="1"/>
  <c r="BZ584" i="1"/>
  <c r="BY584" i="1"/>
  <c r="BX584" i="1"/>
  <c r="BW584" i="1"/>
  <c r="BV584" i="1"/>
  <c r="CE584" i="1"/>
  <c r="CC584" i="1"/>
  <c r="CD584" i="1"/>
  <c r="CI586" i="1"/>
  <c r="CK586" i="1"/>
  <c r="CF586" i="1"/>
  <c r="CH586" i="1"/>
  <c r="CG586" i="1"/>
  <c r="CJ586" i="1"/>
  <c r="CR586" i="1"/>
  <c r="CN586" i="1"/>
  <c r="CL586" i="1"/>
  <c r="CQ586" i="1"/>
  <c r="CS586" i="1"/>
  <c r="CM586" i="1"/>
  <c r="CT586" i="1"/>
  <c r="CO586" i="1"/>
  <c r="CP586" i="1"/>
  <c r="CU586" i="1"/>
  <c r="CJ9" i="1"/>
  <c r="CF9" i="1"/>
  <c r="CP9" i="1"/>
  <c r="CL9" i="1"/>
  <c r="CI9" i="1"/>
  <c r="CM9" i="1"/>
  <c r="CK9" i="1"/>
  <c r="CO9" i="1"/>
  <c r="CG9" i="1"/>
  <c r="CR9" i="1"/>
  <c r="CH9" i="1"/>
  <c r="CS9" i="1"/>
  <c r="CT9" i="1"/>
  <c r="CU9" i="1"/>
  <c r="CQ9" i="1"/>
  <c r="CN9" i="1"/>
  <c r="CJ233" i="1"/>
  <c r="CF233" i="1"/>
  <c r="CP233" i="1"/>
  <c r="CL233" i="1"/>
  <c r="CK233" i="1"/>
  <c r="CH233" i="1"/>
  <c r="CI233" i="1"/>
  <c r="CT233" i="1"/>
  <c r="CM233" i="1"/>
  <c r="CG233" i="1"/>
  <c r="CQ233" i="1"/>
  <c r="CR233" i="1"/>
  <c r="CO233" i="1"/>
  <c r="CN233" i="1"/>
  <c r="CU233" i="1"/>
  <c r="CS233" i="1"/>
  <c r="CM18" i="1"/>
  <c r="CK18" i="1"/>
  <c r="CL18" i="1"/>
  <c r="CN18" i="1"/>
  <c r="CH18" i="1"/>
  <c r="CR18" i="1"/>
  <c r="CO18" i="1"/>
  <c r="CS18" i="1"/>
  <c r="CG18" i="1"/>
  <c r="CP18" i="1"/>
  <c r="CJ18" i="1"/>
  <c r="CF18" i="1"/>
  <c r="CI18" i="1"/>
  <c r="CQ18" i="1"/>
  <c r="CU18" i="1"/>
  <c r="CT18" i="1"/>
  <c r="BZ48" i="1"/>
  <c r="BY48" i="1"/>
  <c r="BX48" i="1"/>
  <c r="BW48" i="1"/>
  <c r="BV48" i="1"/>
  <c r="CB48" i="1"/>
  <c r="CA48" i="1"/>
  <c r="CD48" i="1"/>
  <c r="CE48" i="1"/>
  <c r="CC48" i="1"/>
  <c r="CB95" i="1"/>
  <c r="CA95" i="1"/>
  <c r="BZ95" i="1"/>
  <c r="BY95" i="1"/>
  <c r="BX95" i="1"/>
  <c r="BW95" i="1"/>
  <c r="BV95" i="1"/>
  <c r="CD95" i="1"/>
  <c r="CE95" i="1"/>
  <c r="CC95" i="1"/>
  <c r="BY46" i="1"/>
  <c r="BX46" i="1"/>
  <c r="BW46" i="1"/>
  <c r="BV46" i="1"/>
  <c r="CB46" i="1"/>
  <c r="CA46" i="1"/>
  <c r="BZ46" i="1"/>
  <c r="CD46" i="1"/>
  <c r="CE46" i="1"/>
  <c r="CC46" i="1"/>
  <c r="CA93" i="1"/>
  <c r="BZ93" i="1"/>
  <c r="BY93" i="1"/>
  <c r="BX93" i="1"/>
  <c r="BW93" i="1"/>
  <c r="BV93" i="1"/>
  <c r="CB93" i="1"/>
  <c r="CC93" i="1"/>
  <c r="CD93" i="1"/>
  <c r="CE93" i="1"/>
  <c r="CB23" i="1"/>
  <c r="CA23" i="1"/>
  <c r="BZ23" i="1"/>
  <c r="BY23" i="1"/>
  <c r="BX23" i="1"/>
  <c r="BW23" i="1"/>
  <c r="BV23" i="1"/>
  <c r="CE23" i="1"/>
  <c r="CD23" i="1"/>
  <c r="CC23" i="1"/>
  <c r="CM25" i="1"/>
  <c r="CL25" i="1"/>
  <c r="CP25" i="1"/>
  <c r="CI25" i="1"/>
  <c r="CR25" i="1"/>
  <c r="CS25" i="1"/>
  <c r="CO25" i="1"/>
  <c r="CT25" i="1"/>
  <c r="CU25" i="1"/>
  <c r="CH25" i="1"/>
  <c r="CK25" i="1"/>
  <c r="CQ25" i="1"/>
  <c r="CG25" i="1"/>
  <c r="CJ25" i="1"/>
  <c r="CF25" i="1"/>
  <c r="CN25" i="1"/>
  <c r="CB55" i="1"/>
  <c r="CA55" i="1"/>
  <c r="BZ55" i="1"/>
  <c r="BY55" i="1"/>
  <c r="BX55" i="1"/>
  <c r="BW55" i="1"/>
  <c r="BV55" i="1"/>
  <c r="CC55" i="1"/>
  <c r="CE55" i="1"/>
  <c r="CD55" i="1"/>
  <c r="CL57" i="1"/>
  <c r="CP57" i="1"/>
  <c r="CM57" i="1"/>
  <c r="CQ57" i="1"/>
  <c r="CS57" i="1"/>
  <c r="CU57" i="1"/>
  <c r="CJ57" i="1"/>
  <c r="CO57" i="1"/>
  <c r="CH57" i="1"/>
  <c r="CF57" i="1"/>
  <c r="CK57" i="1"/>
  <c r="CR57" i="1"/>
  <c r="CT57" i="1"/>
  <c r="CN57" i="1"/>
  <c r="CI57" i="1"/>
  <c r="CG57" i="1"/>
  <c r="CB87" i="1"/>
  <c r="CA87" i="1"/>
  <c r="BZ87" i="1"/>
  <c r="BY87" i="1"/>
  <c r="BX87" i="1"/>
  <c r="BW87" i="1"/>
  <c r="BV87" i="1"/>
  <c r="CC87" i="1"/>
  <c r="CE87" i="1"/>
  <c r="CD87" i="1"/>
  <c r="CP89" i="1"/>
  <c r="CM89" i="1"/>
  <c r="CL89" i="1"/>
  <c r="CK89" i="1"/>
  <c r="CH89" i="1"/>
  <c r="CU89" i="1"/>
  <c r="CG89" i="1"/>
  <c r="CI89" i="1"/>
  <c r="CQ89" i="1"/>
  <c r="CR89" i="1"/>
  <c r="CO89" i="1"/>
  <c r="CF89" i="1"/>
  <c r="CS89" i="1"/>
  <c r="CN89" i="1"/>
  <c r="CT89" i="1"/>
  <c r="CJ89" i="1"/>
  <c r="CB119" i="1"/>
  <c r="CA119" i="1"/>
  <c r="BZ119" i="1"/>
  <c r="BY119" i="1"/>
  <c r="BX119" i="1"/>
  <c r="BW119" i="1"/>
  <c r="BV119" i="1"/>
  <c r="CC119" i="1"/>
  <c r="CD119" i="1"/>
  <c r="CE119" i="1"/>
  <c r="CM121" i="1"/>
  <c r="CL121" i="1"/>
  <c r="CP121" i="1"/>
  <c r="CO121" i="1"/>
  <c r="CT121" i="1"/>
  <c r="CF121" i="1"/>
  <c r="CJ121" i="1"/>
  <c r="CK121" i="1"/>
  <c r="CR121" i="1"/>
  <c r="CI121" i="1"/>
  <c r="CS121" i="1"/>
  <c r="CH121" i="1"/>
  <c r="CN121" i="1"/>
  <c r="CG121" i="1"/>
  <c r="CQ121" i="1"/>
  <c r="CU121" i="1"/>
  <c r="CB151" i="1"/>
  <c r="CA151" i="1"/>
  <c r="BZ151" i="1"/>
  <c r="BY151" i="1"/>
  <c r="BX151" i="1"/>
  <c r="BW151" i="1"/>
  <c r="BV151" i="1"/>
  <c r="CD151" i="1"/>
  <c r="CC151" i="1"/>
  <c r="CE151" i="1"/>
  <c r="CL153" i="1"/>
  <c r="CP153" i="1"/>
  <c r="CM153" i="1"/>
  <c r="CJ153" i="1"/>
  <c r="CG153" i="1"/>
  <c r="CI153" i="1"/>
  <c r="CR153" i="1"/>
  <c r="CU153" i="1"/>
  <c r="CH153" i="1"/>
  <c r="CQ153" i="1"/>
  <c r="CF153" i="1"/>
  <c r="CS153" i="1"/>
  <c r="CK153" i="1"/>
  <c r="CT153" i="1"/>
  <c r="CN153" i="1"/>
  <c r="CO153" i="1"/>
  <c r="CB183" i="1"/>
  <c r="CA183" i="1"/>
  <c r="BZ183" i="1"/>
  <c r="BY183" i="1"/>
  <c r="BX183" i="1"/>
  <c r="BW183" i="1"/>
  <c r="BV183" i="1"/>
  <c r="CD183" i="1"/>
  <c r="CE183" i="1"/>
  <c r="CC183" i="1"/>
  <c r="CM185" i="1"/>
  <c r="CL185" i="1"/>
  <c r="CS185" i="1"/>
  <c r="CP185" i="1"/>
  <c r="CH185" i="1"/>
  <c r="CI185" i="1"/>
  <c r="CF185" i="1"/>
  <c r="CO185" i="1"/>
  <c r="CK185" i="1"/>
  <c r="CT185" i="1"/>
  <c r="CJ185" i="1"/>
  <c r="CQ185" i="1"/>
  <c r="CU185" i="1"/>
  <c r="CR185" i="1"/>
  <c r="CG185" i="1"/>
  <c r="CN185" i="1"/>
  <c r="CB215" i="1"/>
  <c r="CA215" i="1"/>
  <c r="BZ215" i="1"/>
  <c r="BY215" i="1"/>
  <c r="BX215" i="1"/>
  <c r="BW215" i="1"/>
  <c r="BV215" i="1"/>
  <c r="CC215" i="1"/>
  <c r="CD215" i="1"/>
  <c r="CE215" i="1"/>
  <c r="CL217" i="1"/>
  <c r="CP217" i="1"/>
  <c r="CF217" i="1"/>
  <c r="CM217" i="1"/>
  <c r="CK217" i="1"/>
  <c r="CG217" i="1"/>
  <c r="CH217" i="1"/>
  <c r="CU217" i="1"/>
  <c r="CI217" i="1"/>
  <c r="CQ217" i="1"/>
  <c r="CR217" i="1"/>
  <c r="CS217" i="1"/>
  <c r="CT217" i="1"/>
  <c r="CO217" i="1"/>
  <c r="CJ217" i="1"/>
  <c r="CN217" i="1"/>
  <c r="BZ247" i="1"/>
  <c r="BY247" i="1"/>
  <c r="BX247" i="1"/>
  <c r="BW247" i="1"/>
  <c r="BV247" i="1"/>
  <c r="CB247" i="1"/>
  <c r="CA247" i="1"/>
  <c r="CD247" i="1"/>
  <c r="CC247" i="1"/>
  <c r="CE247" i="1"/>
  <c r="CM249" i="1"/>
  <c r="CP249" i="1"/>
  <c r="CL249" i="1"/>
  <c r="CT249" i="1"/>
  <c r="CJ249" i="1"/>
  <c r="CK249" i="1"/>
  <c r="CO249" i="1"/>
  <c r="CH249" i="1"/>
  <c r="CG249" i="1"/>
  <c r="CQ249" i="1"/>
  <c r="CU249" i="1"/>
  <c r="CR249" i="1"/>
  <c r="CF249" i="1"/>
  <c r="CI249" i="1"/>
  <c r="CS249" i="1"/>
  <c r="CN249" i="1"/>
  <c r="CB279" i="1"/>
  <c r="CA279" i="1"/>
  <c r="BZ279" i="1"/>
  <c r="BY279" i="1"/>
  <c r="BX279" i="1"/>
  <c r="BW279" i="1"/>
  <c r="BV279" i="1"/>
  <c r="CE279" i="1"/>
  <c r="CD279" i="1"/>
  <c r="CC279" i="1"/>
  <c r="CP281" i="1"/>
  <c r="CM281" i="1"/>
  <c r="CL281" i="1"/>
  <c r="CI281" i="1"/>
  <c r="CS281" i="1"/>
  <c r="CG281" i="1"/>
  <c r="CH281" i="1"/>
  <c r="CJ281" i="1"/>
  <c r="CF281" i="1"/>
  <c r="CK281" i="1"/>
  <c r="CT281" i="1"/>
  <c r="CO281" i="1"/>
  <c r="CQ281" i="1"/>
  <c r="CU281" i="1"/>
  <c r="CR281" i="1"/>
  <c r="CN281" i="1"/>
  <c r="CB311" i="1"/>
  <c r="CA311" i="1"/>
  <c r="BZ311" i="1"/>
  <c r="BY311" i="1"/>
  <c r="BX311" i="1"/>
  <c r="BW311" i="1"/>
  <c r="BV311" i="1"/>
  <c r="CE311" i="1"/>
  <c r="CD311" i="1"/>
  <c r="CC311" i="1"/>
  <c r="CM313" i="1"/>
  <c r="CP313" i="1"/>
  <c r="CK313" i="1"/>
  <c r="CS313" i="1"/>
  <c r="CL313" i="1"/>
  <c r="CI313" i="1"/>
  <c r="CQ313" i="1"/>
  <c r="CT313" i="1"/>
  <c r="CH313" i="1"/>
  <c r="CG313" i="1"/>
  <c r="CO313" i="1"/>
  <c r="CJ313" i="1"/>
  <c r="CU313" i="1"/>
  <c r="CR313" i="1"/>
  <c r="CF313" i="1"/>
  <c r="CN313" i="1"/>
  <c r="CB343" i="1"/>
  <c r="CA343" i="1"/>
  <c r="BZ343" i="1"/>
  <c r="BY343" i="1"/>
  <c r="BX343" i="1"/>
  <c r="BW343" i="1"/>
  <c r="BV343" i="1"/>
  <c r="CC343" i="1"/>
  <c r="CD343" i="1"/>
  <c r="CE343" i="1"/>
  <c r="CL345" i="1"/>
  <c r="CP345" i="1"/>
  <c r="CM345" i="1"/>
  <c r="CG345" i="1"/>
  <c r="CF345" i="1"/>
  <c r="CH345" i="1"/>
  <c r="CU345" i="1"/>
  <c r="CJ345" i="1"/>
  <c r="CO345" i="1"/>
  <c r="CR345" i="1"/>
  <c r="CS345" i="1"/>
  <c r="CI345" i="1"/>
  <c r="CN345" i="1"/>
  <c r="CK345" i="1"/>
  <c r="CT345" i="1"/>
  <c r="CQ345" i="1"/>
  <c r="CB375" i="1"/>
  <c r="CA375" i="1"/>
  <c r="BZ375" i="1"/>
  <c r="BY375" i="1"/>
  <c r="BX375" i="1"/>
  <c r="BW375" i="1"/>
  <c r="BV375" i="1"/>
  <c r="CC375" i="1"/>
  <c r="CD375" i="1"/>
  <c r="CE375" i="1"/>
  <c r="CM377" i="1"/>
  <c r="CP377" i="1"/>
  <c r="CG377" i="1"/>
  <c r="CL377" i="1"/>
  <c r="CI377" i="1"/>
  <c r="CJ377" i="1"/>
  <c r="CK377" i="1"/>
  <c r="CR377" i="1"/>
  <c r="CF377" i="1"/>
  <c r="CQ377" i="1"/>
  <c r="CO377" i="1"/>
  <c r="CH377" i="1"/>
  <c r="CN377" i="1"/>
  <c r="CT377" i="1"/>
  <c r="CU377" i="1"/>
  <c r="CS377" i="1"/>
  <c r="BZ407" i="1"/>
  <c r="BY407" i="1"/>
  <c r="BX407" i="1"/>
  <c r="BW407" i="1"/>
  <c r="CB407" i="1"/>
  <c r="CA407" i="1"/>
  <c r="BV407" i="1"/>
  <c r="CC407" i="1"/>
  <c r="CE407" i="1"/>
  <c r="CD407" i="1"/>
  <c r="CL409" i="1"/>
  <c r="CP409" i="1"/>
  <c r="CM409" i="1"/>
  <c r="CU409" i="1"/>
  <c r="CK409" i="1"/>
  <c r="CG409" i="1"/>
  <c r="CT409" i="1"/>
  <c r="CJ409" i="1"/>
  <c r="CS409" i="1"/>
  <c r="CH409" i="1"/>
  <c r="CR409" i="1"/>
  <c r="CI409" i="1"/>
  <c r="CQ409" i="1"/>
  <c r="CF409" i="1"/>
  <c r="CO409" i="1"/>
  <c r="CN409" i="1"/>
  <c r="BZ439" i="1"/>
  <c r="BY439" i="1"/>
  <c r="BX439" i="1"/>
  <c r="BW439" i="1"/>
  <c r="BV439" i="1"/>
  <c r="CB439" i="1"/>
  <c r="CA439" i="1"/>
  <c r="CE439" i="1"/>
  <c r="CC439" i="1"/>
  <c r="CD439" i="1"/>
  <c r="CM441" i="1"/>
  <c r="CP441" i="1"/>
  <c r="CL441" i="1"/>
  <c r="CF441" i="1"/>
  <c r="CQ441" i="1"/>
  <c r="CS441" i="1"/>
  <c r="CJ441" i="1"/>
  <c r="CK441" i="1"/>
  <c r="CR441" i="1"/>
  <c r="CH441" i="1"/>
  <c r="CG441" i="1"/>
  <c r="CI441" i="1"/>
  <c r="CO441" i="1"/>
  <c r="CN441" i="1"/>
  <c r="CT441" i="1"/>
  <c r="CU441" i="1"/>
  <c r="CB471" i="1"/>
  <c r="CA471" i="1"/>
  <c r="BZ471" i="1"/>
  <c r="BY471" i="1"/>
  <c r="BX471" i="1"/>
  <c r="BW471" i="1"/>
  <c r="BV471" i="1"/>
  <c r="CD471" i="1"/>
  <c r="CE471" i="1"/>
  <c r="CC471" i="1"/>
  <c r="CM473" i="1"/>
  <c r="CL473" i="1"/>
  <c r="CP473" i="1"/>
  <c r="CH473" i="1"/>
  <c r="CF473" i="1"/>
  <c r="CO473" i="1"/>
  <c r="CU473" i="1"/>
  <c r="CN473" i="1"/>
  <c r="CT473" i="1"/>
  <c r="CJ473" i="1"/>
  <c r="CS473" i="1"/>
  <c r="CK473" i="1"/>
  <c r="CR473" i="1"/>
  <c r="CG473" i="1"/>
  <c r="CQ473" i="1"/>
  <c r="CI473" i="1"/>
  <c r="BX503" i="1"/>
  <c r="BW503" i="1"/>
  <c r="BV503" i="1"/>
  <c r="CB503" i="1"/>
  <c r="CA503" i="1"/>
  <c r="BZ503" i="1"/>
  <c r="BY503" i="1"/>
  <c r="CD503" i="1"/>
  <c r="CC503" i="1"/>
  <c r="CE503" i="1"/>
  <c r="CL505" i="1"/>
  <c r="CM505" i="1"/>
  <c r="CP505" i="1"/>
  <c r="CK505" i="1"/>
  <c r="CR505" i="1"/>
  <c r="CI505" i="1"/>
  <c r="CG505" i="1"/>
  <c r="CQ505" i="1"/>
  <c r="CF505" i="1"/>
  <c r="CO505" i="1"/>
  <c r="CJ505" i="1"/>
  <c r="CS505" i="1"/>
  <c r="CT505" i="1"/>
  <c r="CU505" i="1"/>
  <c r="CH505" i="1"/>
  <c r="CN505" i="1"/>
  <c r="CB535" i="1"/>
  <c r="CA535" i="1"/>
  <c r="BZ535" i="1"/>
  <c r="BY535" i="1"/>
  <c r="BX535" i="1"/>
  <c r="BW535" i="1"/>
  <c r="BV535" i="1"/>
  <c r="CC535" i="1"/>
  <c r="CD535" i="1"/>
  <c r="CE535" i="1"/>
  <c r="CP537" i="1"/>
  <c r="CM537" i="1"/>
  <c r="CL537" i="1"/>
  <c r="CU537" i="1"/>
  <c r="CT537" i="1"/>
  <c r="CS537" i="1"/>
  <c r="CJ537" i="1"/>
  <c r="CK537" i="1"/>
  <c r="CH537" i="1"/>
  <c r="CR537" i="1"/>
  <c r="CG537" i="1"/>
  <c r="CI537" i="1"/>
  <c r="CQ537" i="1"/>
  <c r="CO537" i="1"/>
  <c r="CF537" i="1"/>
  <c r="CN537" i="1"/>
  <c r="BX567" i="1"/>
  <c r="BW567" i="1"/>
  <c r="BV567" i="1"/>
  <c r="CB567" i="1"/>
  <c r="CA567" i="1"/>
  <c r="BZ567" i="1"/>
  <c r="BY567" i="1"/>
  <c r="CC567" i="1"/>
  <c r="CE567" i="1"/>
  <c r="CD567" i="1"/>
  <c r="CM569" i="1"/>
  <c r="CP569" i="1"/>
  <c r="CF569" i="1"/>
  <c r="CQ569" i="1"/>
  <c r="CL569" i="1"/>
  <c r="CU569" i="1"/>
  <c r="CR569" i="1"/>
  <c r="CJ569" i="1"/>
  <c r="CK569" i="1"/>
  <c r="CH569" i="1"/>
  <c r="CG569" i="1"/>
  <c r="CI569" i="1"/>
  <c r="CO569" i="1"/>
  <c r="CN569" i="1"/>
  <c r="CS569" i="1"/>
  <c r="CT569" i="1"/>
  <c r="BZ599" i="1"/>
  <c r="BY599" i="1"/>
  <c r="BX599" i="1"/>
  <c r="BW599" i="1"/>
  <c r="BV599" i="1"/>
  <c r="CA599" i="1"/>
  <c r="CB599" i="1"/>
  <c r="CE599" i="1"/>
  <c r="CD599" i="1"/>
  <c r="CC599" i="1"/>
  <c r="CM601" i="1"/>
  <c r="CP601" i="1"/>
  <c r="CL601" i="1"/>
  <c r="CI601" i="1"/>
  <c r="CN601" i="1"/>
  <c r="CT601" i="1"/>
  <c r="CS601" i="1"/>
  <c r="CJ601" i="1"/>
  <c r="CH601" i="1"/>
  <c r="CR601" i="1"/>
  <c r="CK601" i="1"/>
  <c r="CQ601" i="1"/>
  <c r="CG601" i="1"/>
  <c r="CF601" i="1"/>
  <c r="CO601" i="1"/>
  <c r="CU601" i="1"/>
  <c r="B4" i="75"/>
  <c r="T606" i="1"/>
  <c r="T607" i="1" s="1"/>
  <c r="T7" i="1"/>
  <c r="Q7" i="1"/>
  <c r="Q606" i="1"/>
  <c r="Q607" i="1" s="1"/>
  <c r="E16" i="57"/>
  <c r="A3" i="72"/>
  <c r="A2" i="72"/>
  <c r="A1" i="72"/>
  <c r="A6" i="71"/>
  <c r="A8" i="71"/>
  <c r="A10" i="71"/>
  <c r="A11" i="71"/>
  <c r="A13" i="71"/>
  <c r="A28" i="71"/>
  <c r="A29" i="71"/>
  <c r="A30" i="71"/>
  <c r="A31" i="71"/>
  <c r="A32" i="71"/>
  <c r="A33" i="71"/>
  <c r="A34" i="71"/>
  <c r="A35" i="71"/>
  <c r="A37" i="71"/>
  <c r="A38" i="71"/>
  <c r="A39" i="71"/>
  <c r="A67" i="71"/>
  <c r="N12" i="52"/>
  <c r="BP30" i="52"/>
  <c r="AQ24" i="52"/>
  <c r="N34" i="52"/>
  <c r="BM30" i="52"/>
  <c r="BN13" i="52"/>
  <c r="AL36" i="52"/>
  <c r="BE18" i="52"/>
  <c r="AM35" i="52"/>
  <c r="BD25" i="52"/>
  <c r="AG26" i="52"/>
  <c r="C29" i="52"/>
  <c r="BA32" i="52"/>
  <c r="AP30" i="52"/>
  <c r="AA7" i="52"/>
  <c r="AL28" i="52"/>
  <c r="U21" i="52"/>
  <c r="BP21" i="52"/>
  <c r="BQ26" i="52"/>
  <c r="BD32" i="52"/>
  <c r="BH16" i="52"/>
  <c r="E36" i="52"/>
  <c r="AC38" i="52"/>
  <c r="K16" i="52"/>
  <c r="Z20" i="52"/>
  <c r="AX19" i="52"/>
  <c r="BQ35" i="52"/>
  <c r="O27" i="52"/>
  <c r="AU13" i="52"/>
  <c r="AB10" i="52"/>
  <c r="G10" i="52"/>
  <c r="Y32" i="52"/>
  <c r="AU27" i="52"/>
  <c r="BL15" i="52"/>
  <c r="BF36" i="52"/>
  <c r="BN21" i="52"/>
  <c r="BI28" i="52"/>
  <c r="BL19" i="52"/>
  <c r="G34" i="52"/>
  <c r="AB22" i="52"/>
  <c r="BM12" i="52"/>
  <c r="G27" i="52"/>
  <c r="AS33" i="52"/>
  <c r="O12" i="52"/>
  <c r="AP18" i="52"/>
  <c r="AT30" i="52"/>
  <c r="BB12" i="52"/>
  <c r="I24" i="52"/>
  <c r="AJ35" i="52"/>
  <c r="AM11" i="52"/>
  <c r="AT27" i="52"/>
  <c r="BI26" i="52"/>
  <c r="AX21" i="52"/>
  <c r="BO14" i="52"/>
  <c r="T30" i="52"/>
  <c r="BJ33" i="52"/>
  <c r="N18" i="52"/>
  <c r="Q24" i="52"/>
  <c r="BH31" i="52"/>
  <c r="AY13" i="52"/>
  <c r="W25" i="52"/>
  <c r="K26" i="52"/>
  <c r="BJ12" i="52"/>
  <c r="BQ13" i="52"/>
  <c r="AT25" i="52"/>
  <c r="Z16" i="52"/>
  <c r="AE27" i="52"/>
  <c r="E16" i="52"/>
  <c r="BA19" i="52"/>
  <c r="AM32" i="52"/>
  <c r="N11" i="52"/>
  <c r="BH27" i="52"/>
  <c r="AI20" i="52"/>
  <c r="T20" i="52"/>
  <c r="AJ36" i="52"/>
  <c r="BD15" i="52"/>
  <c r="H19" i="52"/>
  <c r="BE28" i="52"/>
  <c r="AH13" i="52"/>
  <c r="U12" i="52"/>
  <c r="AL26" i="52"/>
  <c r="C16" i="52"/>
  <c r="AW8" i="52"/>
  <c r="AM28" i="52"/>
  <c r="BD28" i="52"/>
  <c r="AK11" i="52"/>
  <c r="C36" i="52"/>
  <c r="AB32" i="52"/>
  <c r="U10" i="52"/>
  <c r="AH8" i="52"/>
  <c r="I11" i="52"/>
  <c r="AO30" i="52"/>
  <c r="AC33" i="52"/>
  <c r="Z25" i="52"/>
  <c r="AM33" i="52"/>
  <c r="AY30" i="52"/>
  <c r="AC13" i="52"/>
  <c r="AW24" i="52"/>
  <c r="AR22" i="52"/>
  <c r="AI22" i="52"/>
  <c r="BI30" i="52"/>
  <c r="AK32" i="52"/>
  <c r="O29" i="52"/>
  <c r="Z12" i="52"/>
  <c r="BN29" i="52"/>
  <c r="AI29" i="52"/>
  <c r="K24" i="52"/>
  <c r="W9" i="52"/>
  <c r="O17" i="52"/>
  <c r="AL8" i="52"/>
  <c r="Z11" i="52"/>
  <c r="AY29" i="52"/>
  <c r="AQ31" i="52"/>
  <c r="AM12" i="52"/>
  <c r="AF32" i="52"/>
  <c r="H23" i="52"/>
  <c r="BM20" i="52"/>
  <c r="N9" i="52"/>
  <c r="AR21" i="52"/>
  <c r="AX25" i="52"/>
  <c r="BA12" i="52"/>
  <c r="AP31" i="52"/>
  <c r="N24" i="52"/>
  <c r="K29" i="52"/>
  <c r="BK25" i="52"/>
  <c r="BM22" i="52"/>
  <c r="BB13" i="52"/>
  <c r="AM23" i="52"/>
  <c r="Y28" i="52"/>
  <c r="AX31" i="52"/>
  <c r="BE25" i="52"/>
  <c r="AU21" i="52"/>
  <c r="BL13" i="52"/>
  <c r="R17" i="52"/>
  <c r="D7" i="52"/>
  <c r="BN8" i="52"/>
  <c r="AI36" i="52"/>
  <c r="L10" i="52"/>
  <c r="AF24" i="52"/>
  <c r="R27" i="52"/>
  <c r="AQ25" i="52"/>
  <c r="T33" i="52"/>
  <c r="AX14" i="52"/>
  <c r="U17" i="52"/>
  <c r="AM21" i="52"/>
  <c r="R14" i="52"/>
  <c r="BP23" i="52"/>
  <c r="BI27" i="52"/>
  <c r="N28" i="52"/>
  <c r="AA14" i="52"/>
  <c r="AQ18" i="52"/>
  <c r="AR38" i="52"/>
  <c r="AW29" i="52"/>
  <c r="AF13" i="52"/>
  <c r="N26" i="52"/>
  <c r="AE17" i="52"/>
  <c r="BL36" i="52"/>
  <c r="AW15" i="52"/>
  <c r="BK28" i="52"/>
  <c r="C28" i="52"/>
  <c r="AS7" i="52"/>
  <c r="BB30" i="52"/>
  <c r="BG10" i="52"/>
  <c r="AC9" i="52"/>
  <c r="BL32" i="52"/>
  <c r="BH24" i="52"/>
  <c r="Y18" i="52"/>
  <c r="C9" i="52"/>
  <c r="AH15" i="52"/>
  <c r="AW30" i="52"/>
  <c r="AI7" i="52"/>
  <c r="AX32" i="52"/>
  <c r="C34" i="52"/>
  <c r="AW20" i="52"/>
  <c r="BP15" i="52"/>
  <c r="BC12" i="52"/>
  <c r="AJ33" i="52"/>
  <c r="AM38" i="52"/>
  <c r="AW9" i="52"/>
  <c r="AM30" i="52"/>
  <c r="AK7" i="52"/>
  <c r="BG9" i="52"/>
  <c r="AW21" i="52"/>
  <c r="BP38" i="52"/>
  <c r="K27" i="52"/>
  <c r="L32" i="52"/>
  <c r="AW25" i="52"/>
  <c r="BH34" i="52"/>
  <c r="W16" i="52"/>
  <c r="BA23" i="52"/>
  <c r="BK24" i="52"/>
  <c r="AK21" i="52"/>
  <c r="AI13" i="52"/>
  <c r="AC26" i="52"/>
  <c r="BL7" i="52"/>
  <c r="I32" i="52"/>
  <c r="I35" i="52"/>
  <c r="BI33" i="52"/>
  <c r="BD8" i="52"/>
  <c r="BC27" i="52"/>
  <c r="AH27" i="52"/>
  <c r="BJ14" i="52"/>
  <c r="Q16" i="52"/>
  <c r="BE16" i="52"/>
  <c r="AK8" i="52"/>
  <c r="Y19" i="52"/>
  <c r="F14" i="52"/>
  <c r="O15" i="52"/>
  <c r="AB28" i="52"/>
  <c r="BE35" i="52"/>
  <c r="AU7" i="52"/>
  <c r="AG17" i="52"/>
  <c r="AT22" i="52"/>
  <c r="AE15" i="52"/>
  <c r="W28" i="52"/>
  <c r="BI35" i="52"/>
  <c r="AT11" i="52"/>
  <c r="U31" i="52"/>
  <c r="AS9" i="52"/>
  <c r="BG15" i="52"/>
  <c r="I31" i="52"/>
  <c r="BG35" i="52"/>
  <c r="L9" i="52"/>
  <c r="AE21" i="52"/>
  <c r="BB11" i="52"/>
  <c r="AF19" i="52"/>
  <c r="AU28" i="52"/>
  <c r="G13" i="52"/>
  <c r="AD14" i="52"/>
  <c r="W19" i="52"/>
  <c r="Y24" i="52"/>
  <c r="BQ21" i="52"/>
  <c r="AW36" i="52"/>
  <c r="AL18" i="52"/>
  <c r="AR20" i="52"/>
  <c r="BC26" i="52"/>
  <c r="BD27" i="52"/>
  <c r="BN25" i="52"/>
  <c r="E10" i="52"/>
  <c r="C32" i="52"/>
  <c r="F27" i="52"/>
  <c r="AG30" i="52"/>
  <c r="H35" i="52"/>
  <c r="AK15" i="52"/>
  <c r="AA23" i="52"/>
  <c r="BO31" i="52"/>
  <c r="BC14" i="52"/>
  <c r="G7" i="52"/>
  <c r="AF16" i="52"/>
  <c r="G36" i="52"/>
  <c r="AV31" i="52"/>
  <c r="AF11" i="52"/>
  <c r="G23" i="52"/>
  <c r="BO29" i="52"/>
  <c r="F7" i="52"/>
  <c r="AK36" i="52"/>
  <c r="N7" i="52"/>
  <c r="R28" i="52"/>
  <c r="BO36" i="52"/>
  <c r="AT13" i="52"/>
  <c r="AY28" i="52"/>
  <c r="BM7" i="52"/>
  <c r="BP25" i="52"/>
  <c r="T34" i="52"/>
  <c r="AR17" i="52"/>
  <c r="BL10" i="52"/>
  <c r="O11" i="52"/>
  <c r="Y17" i="52"/>
  <c r="AI8" i="52"/>
  <c r="F36" i="52"/>
  <c r="L26" i="52"/>
  <c r="F18" i="52"/>
  <c r="AA36" i="52"/>
  <c r="BP34" i="52"/>
  <c r="AH16" i="52"/>
  <c r="K30" i="52"/>
  <c r="R20" i="52"/>
  <c r="E14" i="52"/>
  <c r="D21" i="52"/>
  <c r="AI16" i="52"/>
  <c r="BF20" i="52"/>
  <c r="AO19" i="52"/>
  <c r="AB7" i="52"/>
  <c r="AM20" i="52"/>
  <c r="BB14" i="52"/>
  <c r="BJ8" i="52"/>
  <c r="AL35" i="52"/>
  <c r="BP29" i="52"/>
  <c r="AK18" i="52"/>
  <c r="I34" i="52"/>
  <c r="AJ27" i="52"/>
  <c r="AC15" i="52"/>
  <c r="BQ23" i="52"/>
  <c r="BB26" i="52"/>
  <c r="AP21" i="52"/>
  <c r="R24" i="52"/>
  <c r="BJ29" i="52"/>
  <c r="BM14" i="52"/>
  <c r="U14" i="52"/>
  <c r="BQ9" i="52"/>
  <c r="BP35" i="52"/>
  <c r="BN27" i="52"/>
  <c r="BF16" i="52"/>
  <c r="BC33" i="52"/>
  <c r="AG32" i="52"/>
  <c r="AC7" i="52"/>
  <c r="C15" i="52"/>
  <c r="AT20" i="52"/>
  <c r="BE12" i="52"/>
  <c r="K28" i="52"/>
  <c r="AR11" i="52"/>
  <c r="BD20" i="52"/>
  <c r="U8" i="52"/>
  <c r="AX17" i="52"/>
  <c r="W32" i="52"/>
  <c r="BQ22" i="52"/>
  <c r="H26" i="52"/>
  <c r="C21" i="52"/>
  <c r="AC21" i="52"/>
  <c r="AG18" i="52"/>
  <c r="AK29" i="52"/>
  <c r="AC25" i="52"/>
  <c r="C33" i="52"/>
  <c r="AV22" i="52"/>
  <c r="AE29" i="52"/>
  <c r="D32" i="52"/>
  <c r="BQ16" i="52"/>
  <c r="D36" i="52"/>
  <c r="AG10" i="52"/>
  <c r="F31" i="52"/>
  <c r="AK16" i="52"/>
  <c r="H36" i="52"/>
  <c r="AI27" i="52"/>
  <c r="BE38" i="52"/>
  <c r="BH29" i="52"/>
  <c r="AF10" i="52"/>
  <c r="Y38" i="52"/>
  <c r="AQ13" i="52"/>
  <c r="BM16" i="52"/>
  <c r="BC25" i="52"/>
  <c r="BK8" i="52"/>
  <c r="BJ16" i="52"/>
  <c r="Y21" i="52"/>
  <c r="K34" i="52"/>
  <c r="AD9" i="52"/>
  <c r="BC17" i="52"/>
  <c r="AJ17" i="52"/>
  <c r="AD21" i="52"/>
  <c r="Z34" i="52"/>
  <c r="AF29" i="52"/>
  <c r="BO10" i="52"/>
  <c r="K22" i="52"/>
  <c r="BP19" i="52"/>
  <c r="AM22" i="52"/>
  <c r="R7" i="52"/>
  <c r="R31" i="52"/>
  <c r="BN7" i="52"/>
  <c r="AE14" i="52"/>
  <c r="R8" i="52"/>
  <c r="AA34" i="52"/>
  <c r="O7" i="52"/>
  <c r="E19" i="52"/>
  <c r="AT9" i="52"/>
  <c r="AX33" i="52"/>
  <c r="AS10" i="52"/>
  <c r="AJ9" i="52"/>
  <c r="L24" i="52"/>
  <c r="BP20" i="52"/>
  <c r="N20" i="52"/>
  <c r="BG30" i="52"/>
  <c r="AE30" i="52"/>
  <c r="BP22" i="52"/>
  <c r="BI38" i="52"/>
  <c r="AB15" i="52"/>
  <c r="AC34" i="52"/>
  <c r="C20" i="52"/>
  <c r="AY22" i="52"/>
  <c r="AX24" i="52"/>
  <c r="BL38" i="52"/>
  <c r="AG9" i="52"/>
  <c r="AX7" i="52"/>
  <c r="AK22" i="52"/>
  <c r="BE34" i="52"/>
  <c r="AA35" i="52"/>
  <c r="BN23" i="52"/>
  <c r="BJ21" i="52"/>
  <c r="BD23" i="52"/>
  <c r="I10" i="52"/>
  <c r="BH22" i="52"/>
  <c r="AD19" i="52"/>
  <c r="AC23" i="52"/>
  <c r="AK30" i="52"/>
  <c r="L34" i="52"/>
  <c r="U28" i="52"/>
  <c r="Y20" i="52"/>
  <c r="AU25" i="52"/>
  <c r="BA10" i="52"/>
  <c r="BC29" i="52"/>
  <c r="AD20" i="52"/>
  <c r="AD10" i="52"/>
  <c r="AA10" i="52"/>
  <c r="BF17" i="52"/>
  <c r="AJ26" i="52"/>
  <c r="AF26" i="52"/>
  <c r="AY17" i="52"/>
  <c r="C11" i="52"/>
  <c r="BK36" i="52"/>
  <c r="AD16" i="52"/>
  <c r="BO9" i="52"/>
  <c r="BA27" i="52"/>
  <c r="I25" i="52"/>
  <c r="R21" i="52"/>
  <c r="AS13" i="52"/>
  <c r="BO11" i="52"/>
  <c r="N29" i="52"/>
  <c r="BL34" i="52"/>
  <c r="AA32" i="52"/>
  <c r="AT8" i="52"/>
  <c r="AS34" i="52"/>
  <c r="R11" i="52"/>
  <c r="AC35" i="52"/>
  <c r="Y15" i="52"/>
  <c r="AS38" i="52"/>
  <c r="W36" i="52"/>
  <c r="AK27" i="52"/>
  <c r="U35" i="52"/>
  <c r="AH28" i="52"/>
  <c r="K17" i="52"/>
  <c r="H30" i="52"/>
  <c r="AC10" i="52"/>
  <c r="H27" i="52"/>
  <c r="BK26" i="52"/>
  <c r="BG31" i="52"/>
  <c r="BG28" i="52"/>
  <c r="AI32" i="52"/>
  <c r="AB35" i="52"/>
  <c r="H16" i="52"/>
  <c r="Q32" i="52"/>
  <c r="L21" i="52"/>
  <c r="AQ29" i="52"/>
  <c r="BG18" i="52"/>
  <c r="BN14" i="52"/>
  <c r="BA35" i="52"/>
  <c r="K36" i="52"/>
  <c r="G11" i="52"/>
  <c r="C13" i="52"/>
  <c r="W12" i="52"/>
  <c r="AJ19" i="52"/>
  <c r="G20" i="52"/>
  <c r="W31" i="52"/>
  <c r="AK28" i="52"/>
  <c r="O20" i="52"/>
  <c r="AA22" i="52"/>
  <c r="BC18" i="52"/>
  <c r="AS15" i="52"/>
  <c r="D23" i="52"/>
  <c r="AT17" i="52"/>
  <c r="BF35" i="52"/>
  <c r="AI28" i="52"/>
  <c r="AL30" i="52"/>
  <c r="BJ9" i="52"/>
  <c r="E27" i="52"/>
  <c r="AL10" i="52"/>
  <c r="AB12" i="52"/>
  <c r="AV12" i="52"/>
  <c r="O26" i="52"/>
  <c r="AF22" i="52"/>
  <c r="BK23" i="52"/>
  <c r="AF31" i="52"/>
  <c r="AJ14" i="52"/>
  <c r="AQ38" i="52"/>
  <c r="AP26" i="52"/>
  <c r="BC31" i="52"/>
  <c r="BI11" i="52"/>
  <c r="I15" i="52"/>
  <c r="BF30" i="52"/>
  <c r="AT32" i="52"/>
  <c r="Z14" i="52"/>
  <c r="BG34" i="52"/>
  <c r="L30" i="52"/>
  <c r="AQ7" i="52"/>
  <c r="BG25" i="52"/>
  <c r="BH18" i="52"/>
  <c r="I30" i="52"/>
  <c r="BE22" i="52"/>
  <c r="BP32" i="52"/>
  <c r="BD16" i="52"/>
  <c r="AR15" i="52"/>
  <c r="K19" i="52"/>
  <c r="AS27" i="52"/>
  <c r="BH15" i="52"/>
  <c r="BN16" i="52"/>
  <c r="AT34" i="52"/>
  <c r="BH36" i="52"/>
  <c r="AS16" i="52"/>
  <c r="BM9" i="52"/>
  <c r="G28" i="52"/>
  <c r="BL14" i="52"/>
  <c r="AR28" i="52"/>
  <c r="BE20" i="52"/>
  <c r="O32" i="52"/>
  <c r="AA13" i="52"/>
  <c r="AB9" i="52"/>
  <c r="Q10" i="52"/>
  <c r="BK31" i="52"/>
  <c r="G30" i="52"/>
  <c r="AS31" i="52"/>
  <c r="BI17" i="52"/>
  <c r="BF25" i="52"/>
  <c r="BO12" i="52"/>
  <c r="AT36" i="52"/>
  <c r="BD12" i="52"/>
  <c r="AG15" i="52"/>
  <c r="AW17" i="52"/>
  <c r="Z29" i="52"/>
  <c r="AV29" i="52"/>
  <c r="AM9" i="52"/>
  <c r="AH29" i="52"/>
  <c r="D24" i="52"/>
  <c r="AD25" i="52"/>
  <c r="K14" i="52"/>
  <c r="BK17" i="52"/>
  <c r="BB19" i="52"/>
  <c r="W14" i="52"/>
  <c r="BP36" i="52"/>
  <c r="AG20" i="52"/>
  <c r="AW28" i="52"/>
  <c r="N21" i="52"/>
  <c r="AR35" i="52"/>
  <c r="E24" i="52"/>
  <c r="AH24" i="52"/>
  <c r="AU9" i="52"/>
  <c r="T10" i="52"/>
  <c r="F16" i="52"/>
  <c r="BQ10" i="52"/>
  <c r="AO9" i="52"/>
  <c r="BQ31" i="52"/>
  <c r="AE10" i="52"/>
  <c r="BO21" i="52"/>
  <c r="BA20" i="52"/>
  <c r="O13" i="52"/>
  <c r="D8" i="52"/>
  <c r="Q8" i="52"/>
  <c r="AW27" i="52"/>
  <c r="BH25" i="52"/>
  <c r="G32" i="52"/>
  <c r="N25" i="52"/>
  <c r="BP13" i="52"/>
  <c r="AM36" i="52"/>
  <c r="BE27" i="52"/>
  <c r="BK34" i="52"/>
  <c r="AM17" i="52"/>
  <c r="AU35" i="52"/>
  <c r="AB33" i="52"/>
  <c r="AO7" i="52"/>
  <c r="I16" i="52"/>
  <c r="AI18" i="52"/>
  <c r="AY23" i="52"/>
  <c r="AU34" i="52"/>
  <c r="AT10" i="52"/>
  <c r="BP9" i="52"/>
  <c r="BP27" i="52"/>
  <c r="BC30" i="52"/>
  <c r="AH18" i="52"/>
  <c r="BP17" i="52"/>
  <c r="R22" i="52"/>
  <c r="BB28" i="52"/>
  <c r="G19" i="52"/>
  <c r="AC28" i="52"/>
  <c r="AT31" i="52"/>
  <c r="AD23" i="52"/>
  <c r="AF30" i="52"/>
  <c r="BB23" i="52"/>
  <c r="AU30" i="52"/>
  <c r="AX20" i="52"/>
  <c r="D14" i="52"/>
  <c r="BQ27" i="52"/>
  <c r="BF34" i="52"/>
  <c r="R13" i="52"/>
  <c r="AE34" i="52"/>
  <c r="U22" i="52"/>
  <c r="AS20" i="52"/>
  <c r="T22" i="52"/>
  <c r="AM15" i="52"/>
  <c r="AG24" i="52"/>
  <c r="R19" i="52"/>
  <c r="AW10" i="52"/>
  <c r="U23" i="52"/>
  <c r="BK33" i="52"/>
  <c r="AQ10" i="52"/>
  <c r="AV10" i="52"/>
  <c r="BM23" i="52"/>
  <c r="BF26" i="52"/>
  <c r="BD18" i="52"/>
  <c r="AE31" i="52"/>
  <c r="AL17" i="52"/>
  <c r="AL31" i="52"/>
  <c r="AJ31" i="52"/>
  <c r="AP33" i="52"/>
  <c r="W8" i="52"/>
  <c r="H10" i="52"/>
  <c r="AG29" i="52"/>
  <c r="D16" i="52"/>
  <c r="BO17" i="52"/>
  <c r="AF35" i="52"/>
  <c r="Y10" i="52"/>
  <c r="AA11" i="52"/>
  <c r="BJ28" i="52"/>
  <c r="BF33" i="52"/>
  <c r="Z26" i="52"/>
  <c r="AR12" i="52"/>
  <c r="T12" i="52"/>
  <c r="AO13" i="52"/>
  <c r="BI31" i="52"/>
  <c r="G16" i="52"/>
  <c r="Q19" i="52"/>
  <c r="BE9" i="52"/>
  <c r="AS24" i="52"/>
  <c r="R26" i="52"/>
  <c r="BG17" i="52"/>
  <c r="AO10" i="52"/>
  <c r="U16" i="52"/>
  <c r="Y8" i="52"/>
  <c r="AC12" i="52"/>
  <c r="AA9" i="52"/>
  <c r="AF28" i="52"/>
  <c r="AU15" i="52"/>
  <c r="Z9" i="52"/>
  <c r="AD11" i="52"/>
  <c r="E32" i="52"/>
  <c r="AY24" i="52"/>
  <c r="BO27" i="52"/>
  <c r="BA30" i="52"/>
  <c r="AF36" i="52"/>
  <c r="AO21" i="52"/>
  <c r="L29" i="52"/>
  <c r="AG31" i="52"/>
  <c r="BO8" i="52"/>
  <c r="AD36" i="52"/>
  <c r="BA29" i="52"/>
  <c r="BI13" i="52"/>
  <c r="BI18" i="52"/>
  <c r="Q14" i="52"/>
  <c r="N19" i="52"/>
  <c r="E9" i="52"/>
  <c r="BF8" i="52"/>
  <c r="AB11" i="52"/>
  <c r="AF18" i="52"/>
  <c r="BM31" i="52"/>
  <c r="BF13" i="52"/>
  <c r="K7" i="52"/>
  <c r="L13" i="52"/>
  <c r="BK32" i="52"/>
  <c r="BA9" i="52"/>
  <c r="K31" i="52"/>
  <c r="AY25" i="52"/>
  <c r="AA26" i="52"/>
  <c r="AB30" i="52"/>
  <c r="AW33" i="52"/>
  <c r="AQ12" i="52"/>
  <c r="AK25" i="52"/>
  <c r="BM25" i="52"/>
  <c r="BE19" i="52"/>
  <c r="Z17" i="52"/>
  <c r="BM27" i="52"/>
  <c r="AF14" i="52"/>
  <c r="AU29" i="52"/>
  <c r="BA22" i="52"/>
  <c r="L16" i="52"/>
  <c r="K35" i="52"/>
  <c r="BP10" i="52"/>
  <c r="AK14" i="52"/>
  <c r="AX13" i="52"/>
  <c r="AT35" i="52"/>
  <c r="BC15" i="52"/>
  <c r="BC21" i="52"/>
  <c r="AV9" i="52"/>
  <c r="AO14" i="52"/>
  <c r="AX26" i="52"/>
  <c r="BJ23" i="52"/>
  <c r="U25" i="52"/>
  <c r="AT15" i="52"/>
  <c r="AU12" i="52"/>
  <c r="W23" i="52"/>
  <c r="C23" i="52"/>
  <c r="BO22" i="52"/>
  <c r="AL7" i="52"/>
  <c r="E35" i="52"/>
  <c r="W15" i="52"/>
  <c r="BD11" i="52"/>
  <c r="AH32" i="52"/>
  <c r="AG19" i="52"/>
  <c r="E12" i="52"/>
  <c r="BE23" i="52"/>
  <c r="AW31" i="52"/>
  <c r="BF10" i="52"/>
  <c r="Y35" i="52"/>
  <c r="BL20" i="52"/>
  <c r="BC13" i="52"/>
  <c r="I19" i="52"/>
  <c r="R35" i="52"/>
  <c r="BA34" i="52"/>
  <c r="BH7" i="52"/>
  <c r="AX15" i="52"/>
  <c r="BQ15" i="52"/>
  <c r="BF7" i="52"/>
  <c r="AY27" i="52"/>
  <c r="N10" i="52"/>
  <c r="I17" i="52"/>
  <c r="AH35" i="52"/>
  <c r="AH19" i="52"/>
  <c r="BB21" i="52"/>
  <c r="BJ26" i="52"/>
  <c r="F13" i="52"/>
  <c r="AL11" i="52"/>
  <c r="R9" i="52"/>
  <c r="T15" i="52"/>
  <c r="AT14" i="52"/>
  <c r="BE26" i="52"/>
  <c r="AR18" i="52"/>
  <c r="BL23" i="52"/>
  <c r="AX27" i="52"/>
  <c r="AL25" i="52"/>
  <c r="BM29" i="52"/>
  <c r="BM36" i="52"/>
  <c r="BF38" i="52"/>
  <c r="BL35" i="52"/>
  <c r="F25" i="52"/>
  <c r="BK11" i="52"/>
  <c r="T35" i="52"/>
  <c r="AI11" i="52"/>
  <c r="AA17" i="52"/>
  <c r="D19" i="52"/>
  <c r="AM16" i="52"/>
  <c r="AC19" i="52"/>
  <c r="BH30" i="52"/>
  <c r="D12" i="52"/>
  <c r="AO20" i="52"/>
  <c r="AO34" i="52"/>
  <c r="BD33" i="52"/>
  <c r="N31" i="52"/>
  <c r="AH11" i="52"/>
  <c r="W7" i="52"/>
  <c r="AU32" i="52"/>
  <c r="BO28" i="52"/>
  <c r="C25" i="52"/>
  <c r="AU22" i="52"/>
  <c r="AP12" i="52"/>
  <c r="BB10" i="52"/>
  <c r="AQ30" i="52"/>
  <c r="AA33" i="52"/>
  <c r="H15" i="52"/>
  <c r="BG21" i="52"/>
  <c r="U30" i="52"/>
  <c r="AQ28" i="52"/>
  <c r="AH7" i="52"/>
  <c r="Q30" i="52"/>
  <c r="BE14" i="52"/>
  <c r="AU17" i="52"/>
  <c r="Z31" i="52"/>
  <c r="AL22" i="52"/>
  <c r="BQ11" i="52"/>
  <c r="E34" i="52"/>
  <c r="AY18" i="52"/>
  <c r="BL16" i="52"/>
  <c r="BE31" i="52"/>
  <c r="D35" i="52"/>
  <c r="BK13" i="52"/>
  <c r="F12" i="52"/>
  <c r="BG27" i="52"/>
  <c r="BB25" i="52"/>
  <c r="R15" i="52"/>
  <c r="AI9" i="52"/>
  <c r="AU23" i="52"/>
  <c r="BA33" i="52"/>
  <c r="L18" i="52"/>
  <c r="AV38" i="52"/>
  <c r="BQ18" i="52"/>
  <c r="BQ30" i="52"/>
  <c r="AL15" i="52"/>
  <c r="AY10" i="52"/>
  <c r="Y23" i="52"/>
  <c r="C8" i="52"/>
  <c r="BM18" i="52"/>
  <c r="BH11" i="52"/>
  <c r="BB20" i="52"/>
  <c r="BB7" i="52"/>
  <c r="AH10" i="52"/>
  <c r="AC11" i="52"/>
  <c r="BI8" i="52"/>
  <c r="Q20" i="52"/>
  <c r="F33" i="52"/>
  <c r="G9" i="52"/>
  <c r="BN38" i="52"/>
  <c r="D15" i="52"/>
  <c r="AB29" i="52"/>
  <c r="AI34" i="52"/>
  <c r="BF24" i="52"/>
  <c r="H12" i="52"/>
  <c r="AP7" i="52"/>
  <c r="AL38" i="52"/>
  <c r="AD38" i="52"/>
  <c r="AQ17" i="52"/>
  <c r="T27" i="52"/>
  <c r="G31" i="52"/>
  <c r="Z35" i="52"/>
  <c r="AQ32" i="52"/>
  <c r="O34" i="52"/>
  <c r="AC17" i="52"/>
  <c r="AB13" i="52"/>
  <c r="AK24" i="52"/>
  <c r="AQ11" i="52"/>
  <c r="BC28" i="52"/>
  <c r="BO15" i="52"/>
  <c r="Z18" i="52"/>
  <c r="BM8" i="52"/>
  <c r="I12" i="52"/>
  <c r="BO24" i="52"/>
  <c r="AU36" i="52"/>
  <c r="AG7" i="52"/>
  <c r="I26" i="52"/>
  <c r="Z13" i="52"/>
  <c r="AA16" i="52"/>
  <c r="F9" i="52"/>
  <c r="BA18" i="52"/>
  <c r="AC22" i="52"/>
  <c r="T19" i="52"/>
  <c r="AL21" i="52"/>
  <c r="L27" i="52"/>
  <c r="AT12" i="52"/>
  <c r="AO28" i="52"/>
  <c r="D29" i="52"/>
  <c r="U18" i="52"/>
  <c r="BK14" i="52"/>
  <c r="AW26" i="52"/>
  <c r="Z7" i="52"/>
  <c r="BE32" i="52"/>
  <c r="BF31" i="52"/>
  <c r="AT26" i="52"/>
  <c r="BQ17" i="52"/>
  <c r="AM19" i="52"/>
  <c r="BG26" i="52"/>
  <c r="AL29" i="52"/>
  <c r="O22" i="52"/>
  <c r="AG23" i="52"/>
  <c r="AV28" i="52"/>
  <c r="AG12" i="52"/>
  <c r="BK12" i="52"/>
  <c r="W10" i="52"/>
  <c r="U15" i="52"/>
  <c r="T23" i="52"/>
  <c r="N17" i="52"/>
  <c r="BG11" i="52"/>
  <c r="AV20" i="52"/>
  <c r="AS36" i="52"/>
  <c r="BF27" i="52"/>
  <c r="C31" i="52"/>
  <c r="BK20" i="52"/>
  <c r="BK16" i="52"/>
  <c r="AH20" i="52"/>
  <c r="W13" i="52"/>
  <c r="AK38" i="52"/>
  <c r="AC8" i="52"/>
  <c r="AJ16" i="52"/>
  <c r="AM18" i="52"/>
  <c r="BF9" i="52"/>
  <c r="K13" i="52"/>
  <c r="D30" i="52"/>
  <c r="BF12" i="52"/>
  <c r="W21" i="52"/>
  <c r="N33" i="52"/>
  <c r="AV16" i="52"/>
  <c r="AG25" i="52"/>
  <c r="AO25" i="52"/>
  <c r="Q28" i="52"/>
  <c r="AP14" i="52"/>
  <c r="AB14" i="52"/>
  <c r="AQ27" i="52"/>
  <c r="BH19" i="52"/>
  <c r="AD13" i="52"/>
  <c r="BE8" i="52"/>
  <c r="AV26" i="52"/>
  <c r="G18" i="52"/>
  <c r="AA25" i="52"/>
  <c r="BP14" i="52"/>
  <c r="AA31" i="52"/>
  <c r="D34" i="52"/>
  <c r="AR34" i="52"/>
  <c r="AE35" i="52"/>
  <c r="BE33" i="52"/>
  <c r="AI35" i="52"/>
  <c r="AS25" i="52"/>
  <c r="Q35" i="52"/>
  <c r="BM38" i="52"/>
  <c r="AJ8" i="52"/>
  <c r="BL21" i="52"/>
  <c r="AY9" i="52"/>
  <c r="BI25" i="52"/>
  <c r="AA12" i="52"/>
  <c r="AW19" i="52"/>
  <c r="BC32" i="52"/>
  <c r="BK18" i="52"/>
  <c r="AV11" i="52"/>
  <c r="AE19" i="52"/>
  <c r="BD34" i="52"/>
  <c r="O19" i="52"/>
  <c r="BB16" i="52"/>
  <c r="D9" i="52"/>
  <c r="BI21" i="52"/>
  <c r="U7" i="52"/>
  <c r="G29" i="52"/>
  <c r="BC22" i="52"/>
  <c r="AF20" i="52"/>
  <c r="AA20" i="52"/>
  <c r="BN26" i="52"/>
  <c r="C22" i="52"/>
  <c r="W27" i="52"/>
  <c r="BG23" i="52"/>
  <c r="W29" i="52"/>
  <c r="BB15" i="52"/>
  <c r="BM21" i="52"/>
  <c r="AF27" i="52"/>
  <c r="AF33" i="52"/>
  <c r="T18" i="52"/>
  <c r="L7" i="52"/>
  <c r="AP24" i="52"/>
  <c r="BG14" i="52"/>
  <c r="AM13" i="52"/>
  <c r="Z10" i="52"/>
  <c r="BL29" i="52"/>
  <c r="BK27" i="52"/>
  <c r="BN11" i="52"/>
  <c r="AA24" i="52"/>
  <c r="AI21" i="52"/>
  <c r="I27" i="52"/>
  <c r="AM34" i="52"/>
  <c r="BH12" i="52"/>
  <c r="AD15" i="52"/>
  <c r="Q34" i="52"/>
  <c r="AO26" i="52"/>
  <c r="BG32" i="52"/>
  <c r="BK10" i="52"/>
  <c r="AB21" i="52"/>
  <c r="AI31" i="52"/>
  <c r="C27" i="52"/>
  <c r="AL19" i="52"/>
  <c r="AL16" i="52"/>
  <c r="T24" i="52"/>
  <c r="AV32" i="52"/>
  <c r="AD34" i="52"/>
  <c r="E30" i="52"/>
  <c r="AA19" i="52"/>
  <c r="AA21" i="52"/>
  <c r="I14" i="52"/>
  <c r="R12" i="52"/>
  <c r="Z28" i="52"/>
  <c r="AF8" i="52"/>
  <c r="BD9" i="52"/>
  <c r="BA11" i="52"/>
  <c r="AM25" i="52"/>
  <c r="D33" i="52"/>
  <c r="AJ25" i="52"/>
  <c r="K8" i="52"/>
  <c r="BC36" i="52"/>
  <c r="BI7" i="52"/>
  <c r="BH21" i="52"/>
  <c r="E20" i="52"/>
  <c r="BC23" i="52"/>
  <c r="BH17" i="52"/>
  <c r="AJ7" i="52"/>
  <c r="AC32" i="52"/>
  <c r="AQ9" i="52"/>
  <c r="AH23" i="52"/>
  <c r="C24" i="52"/>
  <c r="K23" i="52"/>
  <c r="H21" i="52"/>
  <c r="BQ19" i="52"/>
  <c r="AK31" i="52"/>
  <c r="AO22" i="52"/>
  <c r="AD17" i="52"/>
  <c r="AI33" i="52"/>
  <c r="BI32" i="52"/>
  <c r="AJ32" i="52"/>
  <c r="AF7" i="52"/>
  <c r="AV27" i="52"/>
  <c r="G17" i="52"/>
  <c r="BD17" i="52"/>
  <c r="AY15" i="52"/>
  <c r="BA31" i="52"/>
  <c r="BN28" i="52"/>
  <c r="AS35" i="52"/>
  <c r="AV8" i="52"/>
  <c r="BA25" i="52"/>
  <c r="BL22" i="52"/>
  <c r="AL32" i="52"/>
  <c r="BA8" i="52"/>
  <c r="H18" i="52"/>
  <c r="BA7" i="52"/>
  <c r="AG34" i="52"/>
  <c r="U11" i="52"/>
  <c r="AY12" i="52"/>
  <c r="AP8" i="52"/>
  <c r="AP22" i="52"/>
  <c r="Y29" i="52"/>
  <c r="AA27" i="52"/>
  <c r="AX22" i="52"/>
  <c r="F30" i="52"/>
  <c r="AY26" i="52"/>
  <c r="Q17" i="52"/>
  <c r="C17" i="52"/>
  <c r="BO13" i="52"/>
  <c r="T8" i="52"/>
  <c r="BL9" i="52"/>
  <c r="Y34" i="52"/>
  <c r="H11" i="52"/>
  <c r="AU31" i="52"/>
  <c r="AJ22" i="52"/>
  <c r="BC16" i="52"/>
  <c r="AP19" i="52"/>
  <c r="BB9" i="52"/>
  <c r="AJ30" i="52"/>
  <c r="Q21" i="52"/>
  <c r="K11" i="52"/>
  <c r="AD35" i="52"/>
  <c r="AD12" i="52"/>
  <c r="AU33" i="52"/>
  <c r="AC16" i="52"/>
  <c r="T21" i="52"/>
  <c r="F26" i="52"/>
  <c r="R33" i="52"/>
  <c r="AG8" i="52"/>
  <c r="AT16" i="52"/>
  <c r="BH9" i="52"/>
  <c r="AE25" i="52"/>
  <c r="L23" i="52"/>
  <c r="W35" i="52"/>
  <c r="BP26" i="52"/>
  <c r="BN36" i="52"/>
  <c r="AD32" i="52"/>
  <c r="BO26" i="52"/>
  <c r="AB20" i="52"/>
  <c r="BE7" i="52"/>
  <c r="AG27" i="52"/>
  <c r="BJ36" i="52"/>
  <c r="AV24" i="52"/>
  <c r="AG35" i="52"/>
  <c r="W26" i="52"/>
  <c r="K21" i="52"/>
  <c r="AG16" i="52"/>
  <c r="BA24" i="52"/>
  <c r="BJ22" i="52"/>
  <c r="BI9" i="52"/>
  <c r="BC7" i="52"/>
  <c r="L17" i="52"/>
  <c r="AP15" i="52"/>
  <c r="L36" i="52"/>
  <c r="BI20" i="52"/>
  <c r="AP10" i="52"/>
  <c r="BF23" i="52"/>
  <c r="G15" i="52"/>
  <c r="Q27" i="52"/>
  <c r="AP11" i="52"/>
  <c r="K32" i="52"/>
  <c r="BG24" i="52"/>
  <c r="E28" i="52"/>
  <c r="AY36" i="52"/>
  <c r="Y11" i="52"/>
  <c r="C26" i="52"/>
  <c r="G26" i="52"/>
  <c r="O9" i="52"/>
  <c r="AH21" i="52"/>
  <c r="Z24" i="52"/>
  <c r="AX18" i="52"/>
  <c r="F15" i="52"/>
  <c r="G25" i="52"/>
  <c r="AO16" i="52"/>
  <c r="AK20" i="52"/>
  <c r="BK9" i="52"/>
  <c r="AR13" i="52"/>
  <c r="AT28" i="52"/>
  <c r="T26" i="52"/>
  <c r="BP7" i="52"/>
  <c r="AO18" i="52"/>
  <c r="T7" i="52"/>
  <c r="AU11" i="52"/>
  <c r="U13" i="52"/>
  <c r="O8" i="52"/>
  <c r="R10" i="52"/>
  <c r="AV33" i="52"/>
  <c r="AB31" i="52"/>
  <c r="H29" i="52"/>
  <c r="AU20" i="52"/>
  <c r="BN33" i="52"/>
  <c r="E7" i="52"/>
  <c r="AJ29" i="52"/>
  <c r="G22" i="52"/>
  <c r="AY16" i="52"/>
  <c r="AU19" i="52"/>
  <c r="AV15" i="52"/>
  <c r="I23" i="52"/>
  <c r="AS18" i="52"/>
  <c r="BK30" i="52"/>
  <c r="AQ23" i="52"/>
  <c r="BD31" i="52"/>
  <c r="Y36" i="52"/>
  <c r="BN12" i="52"/>
  <c r="U24" i="52"/>
  <c r="F32" i="52"/>
  <c r="BL17" i="52"/>
  <c r="AU24" i="52"/>
  <c r="BA13" i="52"/>
  <c r="AE11" i="52"/>
  <c r="BB36" i="52"/>
  <c r="E23" i="52"/>
  <c r="AY33" i="52"/>
  <c r="Q33" i="52"/>
  <c r="Z8" i="52"/>
  <c r="BD35" i="52"/>
  <c r="AJ21" i="52"/>
  <c r="E13" i="52"/>
  <c r="AS12" i="52"/>
  <c r="BO38" i="52"/>
  <c r="BG36" i="52"/>
  <c r="BJ24" i="52"/>
  <c r="F19" i="52"/>
  <c r="Z33" i="52"/>
  <c r="BG12" i="52"/>
  <c r="AR27" i="52"/>
  <c r="Z19" i="52"/>
  <c r="E25" i="52"/>
  <c r="Q12" i="52"/>
  <c r="AW32" i="52"/>
  <c r="D11" i="52"/>
  <c r="BP28" i="52"/>
  <c r="AC31" i="52"/>
  <c r="Q15" i="52"/>
  <c r="AH22" i="52"/>
  <c r="AS17" i="52"/>
  <c r="AL9" i="52"/>
  <c r="H17" i="52"/>
  <c r="AF38" i="52"/>
  <c r="AY7" i="52"/>
  <c r="BD14" i="52"/>
  <c r="C10" i="52"/>
  <c r="AT18" i="52"/>
  <c r="BD13" i="52"/>
  <c r="Z15" i="52"/>
  <c r="AS19" i="52"/>
  <c r="AR23" i="52"/>
  <c r="BJ18" i="52"/>
  <c r="AR30" i="52"/>
  <c r="BF21" i="52"/>
  <c r="C30" i="52"/>
  <c r="BC10" i="52"/>
  <c r="BL8" i="52"/>
  <c r="W30" i="52"/>
  <c r="E29" i="52"/>
  <c r="BG13" i="52"/>
  <c r="AK19" i="52"/>
  <c r="H32" i="52"/>
  <c r="AY21" i="52"/>
  <c r="D20" i="52"/>
  <c r="H14" i="52"/>
  <c r="R18" i="52"/>
  <c r="AE23" i="52"/>
  <c r="E26" i="52"/>
  <c r="BI16" i="52"/>
  <c r="BI22" i="52"/>
  <c r="AA18" i="52"/>
  <c r="AH9" i="52"/>
  <c r="T29" i="52"/>
  <c r="AQ22" i="52"/>
  <c r="Y25" i="52"/>
  <c r="AG13" i="52"/>
  <c r="AI10" i="52"/>
  <c r="BB31" i="52"/>
  <c r="O33" i="52"/>
  <c r="AK13" i="52"/>
  <c r="BN20" i="52"/>
  <c r="BH28" i="52"/>
  <c r="AG28" i="52"/>
  <c r="AB19" i="52"/>
  <c r="BB22" i="52"/>
  <c r="AP9" i="52"/>
  <c r="W17" i="52"/>
  <c r="BO19" i="52"/>
  <c r="BL25" i="52"/>
  <c r="AB16" i="52"/>
  <c r="AH14" i="52"/>
  <c r="BG38" i="52"/>
  <c r="AJ15" i="52"/>
  <c r="Z36" i="52"/>
  <c r="BO20" i="52"/>
  <c r="AQ34" i="52"/>
  <c r="AA28" i="52"/>
  <c r="L35" i="52"/>
  <c r="BL11" i="52"/>
  <c r="AO35" i="52"/>
  <c r="O36" i="52"/>
  <c r="N36" i="52"/>
  <c r="AB34" i="52"/>
  <c r="AT33" i="52"/>
  <c r="BK15" i="52"/>
  <c r="BH26" i="52"/>
  <c r="AF17" i="52"/>
  <c r="AV23" i="52"/>
  <c r="BO18" i="52"/>
  <c r="BQ8" i="52"/>
  <c r="BI19" i="52"/>
  <c r="BJ7" i="52"/>
  <c r="AK10" i="52"/>
  <c r="AP20" i="52"/>
  <c r="AF15" i="52"/>
  <c r="L22" i="52"/>
  <c r="AF34" i="52"/>
  <c r="AK35" i="52"/>
  <c r="BO30" i="52"/>
  <c r="BE10" i="52"/>
  <c r="BP18" i="52"/>
  <c r="I28" i="52"/>
  <c r="O24" i="52"/>
  <c r="U32" i="52"/>
  <c r="AQ35" i="52"/>
  <c r="BD7" i="52"/>
  <c r="AI19" i="52"/>
  <c r="AP35" i="52"/>
  <c r="AV17" i="52"/>
  <c r="AG33" i="52"/>
  <c r="O10" i="52"/>
  <c r="O16" i="52"/>
  <c r="AV30" i="52"/>
  <c r="AR24" i="52"/>
  <c r="AM8" i="52"/>
  <c r="BO32" i="52"/>
  <c r="AI25" i="52"/>
  <c r="AX12" i="52"/>
  <c r="BG16" i="52"/>
  <c r="AB18" i="52"/>
  <c r="T13" i="52"/>
  <c r="AJ12" i="52"/>
  <c r="AI14" i="52"/>
  <c r="BI14" i="52"/>
  <c r="AI24" i="52"/>
  <c r="AD31" i="52"/>
  <c r="BH14" i="52"/>
  <c r="BC9" i="52"/>
  <c r="G14" i="52"/>
  <c r="AG21" i="52"/>
  <c r="AE13" i="52"/>
  <c r="AS29" i="52"/>
  <c r="BQ7" i="52"/>
  <c r="AR32" i="52"/>
  <c r="AV19" i="52"/>
  <c r="K20" i="52"/>
  <c r="L8" i="52"/>
  <c r="AC24" i="52"/>
  <c r="AR9" i="52"/>
  <c r="F22" i="52"/>
  <c r="BH33" i="52"/>
  <c r="AY19" i="52"/>
  <c r="BQ34" i="52"/>
  <c r="BF15" i="52"/>
  <c r="AO31" i="52"/>
  <c r="BA26" i="52"/>
  <c r="AE7" i="52"/>
  <c r="BA15" i="52"/>
  <c r="Z30" i="52"/>
  <c r="AA30" i="52"/>
  <c r="BL12" i="52"/>
  <c r="AP34" i="52"/>
  <c r="T11" i="52"/>
  <c r="G21" i="52"/>
  <c r="N8" i="52"/>
  <c r="AH33" i="52"/>
  <c r="AS22" i="52"/>
  <c r="AI12" i="52"/>
  <c r="BD36" i="52"/>
  <c r="BE30" i="52"/>
  <c r="BP11" i="52"/>
  <c r="U34" i="52"/>
  <c r="BA21" i="52"/>
  <c r="BN10" i="52"/>
  <c r="AX34" i="52"/>
  <c r="BJ35" i="52"/>
  <c r="BC20" i="52"/>
  <c r="BK7" i="52"/>
  <c r="BC35" i="52"/>
  <c r="BI10" i="52"/>
  <c r="BC19" i="52"/>
  <c r="Q29" i="52"/>
  <c r="AH25" i="52"/>
  <c r="BN31" i="52"/>
  <c r="BP31" i="52"/>
  <c r="F29" i="52"/>
  <c r="AS11" i="52"/>
  <c r="BM11" i="52"/>
  <c r="BM35" i="52"/>
  <c r="O14" i="52"/>
  <c r="BF18" i="52"/>
  <c r="AV34" i="52"/>
  <c r="BJ19" i="52"/>
  <c r="C7" i="52"/>
  <c r="W34" i="52"/>
  <c r="F28" i="52"/>
  <c r="K18" i="52"/>
  <c r="L15" i="52"/>
  <c r="BJ27" i="52"/>
  <c r="BA36" i="52"/>
  <c r="AO36" i="52"/>
  <c r="D25" i="52"/>
  <c r="BE13" i="52"/>
  <c r="AY11" i="52"/>
  <c r="BI29" i="52"/>
  <c r="BQ24" i="52"/>
  <c r="Z23" i="52"/>
  <c r="BM26" i="52"/>
  <c r="Z27" i="52"/>
  <c r="AR31" i="52"/>
  <c r="F35" i="52"/>
  <c r="AJ10" i="52"/>
  <c r="AP16" i="52"/>
  <c r="F24" i="52"/>
  <c r="L12" i="52"/>
  <c r="BQ29" i="52"/>
  <c r="BF14" i="52"/>
  <c r="AE20" i="52"/>
  <c r="BH13" i="52"/>
  <c r="T16" i="52"/>
  <c r="AK17" i="52"/>
  <c r="AE26" i="52"/>
  <c r="Q36" i="52"/>
  <c r="AO33" i="52"/>
  <c r="Y12" i="52"/>
  <c r="AX35" i="52"/>
  <c r="Q18" i="52"/>
  <c r="E8" i="52"/>
  <c r="AF12" i="52"/>
  <c r="BJ30" i="52"/>
  <c r="I21" i="52"/>
  <c r="BM19" i="52"/>
  <c r="BC11" i="52"/>
  <c r="L20" i="52"/>
  <c r="BJ10" i="52"/>
  <c r="AB25" i="52"/>
  <c r="BQ20" i="52"/>
  <c r="L11" i="52"/>
  <c r="AO8" i="52"/>
  <c r="BQ14" i="52"/>
  <c r="BI15" i="52"/>
  <c r="L14" i="52"/>
  <c r="BN24" i="52"/>
  <c r="AT19" i="52"/>
  <c r="AQ19" i="52"/>
  <c r="C12" i="52"/>
  <c r="AW23" i="52"/>
  <c r="E33" i="52"/>
  <c r="BH8" i="52"/>
  <c r="AL20" i="52"/>
  <c r="AE24" i="52"/>
  <c r="D10" i="52"/>
  <c r="AP29" i="52"/>
  <c r="Z21" i="52"/>
  <c r="F20" i="52"/>
  <c r="BQ33" i="52"/>
  <c r="BP8" i="52"/>
  <c r="AX11" i="52"/>
  <c r="AB26" i="52"/>
  <c r="AU16" i="52"/>
  <c r="AE28" i="52"/>
  <c r="AH17" i="52"/>
  <c r="BM32" i="52"/>
  <c r="AD29" i="52"/>
  <c r="O35" i="52"/>
  <c r="AS28" i="52"/>
  <c r="K12" i="52"/>
  <c r="BM28" i="52"/>
  <c r="BE21" i="52"/>
  <c r="BG33" i="52"/>
  <c r="H34" i="52"/>
  <c r="AS14" i="52"/>
  <c r="Y7" i="52"/>
  <c r="BK22" i="52"/>
  <c r="AD33" i="52"/>
  <c r="AY20" i="52"/>
  <c r="AO12" i="52"/>
  <c r="AJ24" i="52"/>
  <c r="BP33" i="52"/>
  <c r="AM14" i="52"/>
  <c r="AO29" i="52"/>
  <c r="AM27" i="52"/>
  <c r="BG22" i="52"/>
  <c r="E31" i="52"/>
  <c r="AK34" i="52"/>
  <c r="AO11" i="52"/>
  <c r="BN22" i="52"/>
  <c r="AY14" i="52"/>
  <c r="N16" i="52"/>
  <c r="AC18" i="52"/>
  <c r="AJ20" i="52"/>
  <c r="BP12" i="52"/>
  <c r="BH23" i="52"/>
  <c r="H7" i="52"/>
  <c r="AR19" i="52"/>
  <c r="BI12" i="52"/>
  <c r="D17" i="52"/>
  <c r="Y14" i="52"/>
  <c r="BE36" i="52"/>
  <c r="AL24" i="52"/>
  <c r="AD27" i="52"/>
  <c r="N23" i="52"/>
  <c r="AP17" i="52"/>
  <c r="Y30" i="52"/>
  <c r="W24" i="52"/>
  <c r="AQ26" i="52"/>
  <c r="BG7" i="52"/>
  <c r="Y13" i="52"/>
  <c r="AC29" i="52"/>
  <c r="BP24" i="52"/>
  <c r="AU14" i="52"/>
  <c r="BF11" i="52"/>
  <c r="AJ38" i="52"/>
  <c r="Y22" i="52"/>
  <c r="AA29" i="52"/>
  <c r="AR16" i="52"/>
  <c r="BJ17" i="52"/>
  <c r="AW16" i="52"/>
  <c r="I20" i="52"/>
  <c r="AH36" i="52"/>
  <c r="I18" i="52"/>
  <c r="AB23" i="52"/>
  <c r="Z38" i="52"/>
  <c r="BL27" i="52"/>
  <c r="AI15" i="52"/>
  <c r="F34" i="52"/>
  <c r="BC8" i="52"/>
  <c r="AD28" i="52"/>
  <c r="Y9" i="52"/>
  <c r="AI26" i="52"/>
  <c r="Z22" i="52"/>
  <c r="I9" i="52"/>
  <c r="AI30" i="52"/>
  <c r="O25" i="52"/>
  <c r="AR25" i="52"/>
  <c r="R34" i="52"/>
  <c r="AT7" i="52"/>
  <c r="AY8" i="52"/>
  <c r="AF25" i="52"/>
  <c r="Q22" i="52"/>
  <c r="K9" i="52"/>
  <c r="AP36" i="52"/>
  <c r="AR8" i="52"/>
  <c r="O30" i="52"/>
  <c r="AK9" i="52"/>
  <c r="BJ11" i="52"/>
  <c r="AB24" i="52"/>
  <c r="AE18" i="52"/>
  <c r="AR29" i="52"/>
  <c r="R30" i="52"/>
  <c r="BN30" i="52"/>
  <c r="T17" i="52"/>
  <c r="Y33" i="52"/>
  <c r="AV7" i="52"/>
  <c r="BO23" i="52"/>
  <c r="U26" i="52"/>
  <c r="W20" i="52"/>
  <c r="BD22" i="52"/>
  <c r="E18" i="52"/>
  <c r="AL14" i="52"/>
  <c r="T36" i="52"/>
  <c r="BG20" i="52"/>
  <c r="AM31" i="52"/>
  <c r="AE12" i="52"/>
  <c r="BI36" i="52"/>
  <c r="I36" i="52"/>
  <c r="BJ20" i="52"/>
  <c r="BB33" i="52"/>
  <c r="BB18" i="52"/>
  <c r="D27" i="52"/>
  <c r="I8" i="52"/>
  <c r="Q23" i="52"/>
  <c r="R23" i="52"/>
  <c r="W33" i="52"/>
  <c r="BA14" i="52"/>
  <c r="T25" i="52"/>
  <c r="AS30" i="52"/>
  <c r="AP28" i="52"/>
  <c r="AO15" i="52"/>
  <c r="AJ11" i="52"/>
  <c r="AA8" i="52"/>
  <c r="AJ13" i="52"/>
  <c r="AQ8" i="52"/>
  <c r="BJ34" i="52"/>
  <c r="BG8" i="52"/>
  <c r="R29" i="52"/>
  <c r="AL12" i="52"/>
  <c r="L25" i="52"/>
  <c r="L31" i="52"/>
  <c r="BQ12" i="52"/>
  <c r="AY32" i="52"/>
  <c r="L33" i="52"/>
  <c r="AR26" i="52"/>
  <c r="AH31" i="52"/>
  <c r="AH12" i="52"/>
  <c r="BL30" i="52"/>
  <c r="U27" i="52"/>
  <c r="BD38" i="52"/>
  <c r="BQ32" i="52"/>
  <c r="AU18" i="52"/>
  <c r="AF9" i="52"/>
  <c r="AW7" i="52"/>
  <c r="BD19" i="52"/>
  <c r="BO34" i="52"/>
  <c r="U33" i="52"/>
  <c r="AH34" i="52"/>
  <c r="W22" i="52"/>
  <c r="BH10" i="52"/>
  <c r="AG22" i="52"/>
  <c r="Y31" i="52"/>
  <c r="O18" i="52"/>
  <c r="AC27" i="52"/>
  <c r="AG14" i="52"/>
  <c r="BH32" i="52"/>
  <c r="BF22" i="52"/>
  <c r="K15" i="52"/>
  <c r="AC30" i="52"/>
  <c r="AY35" i="52"/>
  <c r="H22" i="52"/>
  <c r="H24" i="52"/>
  <c r="BO35" i="52"/>
  <c r="AI38" i="52"/>
  <c r="H28" i="52"/>
  <c r="AJ28" i="52"/>
  <c r="C19" i="52"/>
  <c r="AW12" i="52"/>
  <c r="AH30" i="52"/>
  <c r="BQ38" i="52"/>
  <c r="U36" i="52"/>
  <c r="F21" i="52"/>
  <c r="BM34" i="52"/>
  <c r="K10" i="52"/>
  <c r="AW14" i="52"/>
  <c r="BN19" i="52"/>
  <c r="AD22" i="52"/>
  <c r="AM26" i="52"/>
  <c r="AE36" i="52"/>
  <c r="BQ36" i="52"/>
  <c r="AQ36" i="52"/>
  <c r="E15" i="52"/>
  <c r="AL33" i="52"/>
  <c r="G24" i="52"/>
  <c r="BG29" i="52"/>
  <c r="BM13" i="52"/>
  <c r="N14" i="52"/>
  <c r="D18" i="52"/>
  <c r="AQ33" i="52"/>
  <c r="C35" i="52"/>
  <c r="AT21" i="52"/>
  <c r="BN15" i="52"/>
  <c r="D31" i="52"/>
  <c r="AJ34" i="52"/>
  <c r="BA17" i="52"/>
  <c r="AK33" i="52"/>
  <c r="T28" i="52"/>
  <c r="AD18" i="52"/>
  <c r="BK29" i="52"/>
  <c r="D28" i="52"/>
  <c r="AG36" i="52"/>
  <c r="H9" i="52"/>
  <c r="AY31" i="52"/>
  <c r="AT24" i="52"/>
  <c r="AV36" i="52"/>
  <c r="O23" i="52"/>
  <c r="BC24" i="52"/>
  <c r="AB17" i="52"/>
  <c r="AL13" i="52"/>
  <c r="AL34" i="52"/>
  <c r="AV25" i="52"/>
  <c r="AV14" i="52"/>
  <c r="AR33" i="52"/>
  <c r="BJ31" i="52"/>
  <c r="U19" i="52"/>
  <c r="AE16" i="52"/>
  <c r="AX16" i="52"/>
  <c r="AG38" i="52"/>
  <c r="AO32" i="52"/>
  <c r="BN35" i="52"/>
  <c r="E21" i="52"/>
  <c r="AX8" i="52"/>
  <c r="AP38" i="52"/>
  <c r="AQ16" i="52"/>
  <c r="BK21" i="52"/>
  <c r="AJ23" i="52"/>
  <c r="AV18" i="52"/>
  <c r="N13" i="52"/>
  <c r="BM17" i="52"/>
  <c r="BO7" i="52"/>
  <c r="BJ32" i="52"/>
  <c r="AR36" i="52"/>
  <c r="BH20" i="52"/>
  <c r="I33" i="52"/>
  <c r="AK26" i="52"/>
  <c r="E17" i="52"/>
  <c r="BO16" i="52"/>
  <c r="U9" i="52"/>
  <c r="AD26" i="52"/>
  <c r="BN18" i="52"/>
  <c r="BD21" i="52"/>
  <c r="AI23" i="52"/>
  <c r="AS21" i="52"/>
  <c r="BB34" i="52"/>
  <c r="C18" i="52"/>
  <c r="U20" i="52"/>
  <c r="T32" i="52"/>
  <c r="AO23" i="52"/>
  <c r="AC14" i="52"/>
  <c r="AU10" i="52"/>
  <c r="W11" i="52"/>
  <c r="AG11" i="52"/>
  <c r="I13" i="52"/>
  <c r="Y16" i="52"/>
  <c r="AD30" i="52"/>
  <c r="Q11" i="52"/>
  <c r="Q9" i="52"/>
  <c r="AM29" i="52"/>
  <c r="AX36" i="52"/>
  <c r="AP13" i="52"/>
  <c r="AB27" i="52"/>
  <c r="AF21" i="52"/>
  <c r="AX28" i="52"/>
  <c r="BE24" i="52"/>
  <c r="BK19" i="52"/>
  <c r="BF32" i="52"/>
  <c r="AE33" i="52"/>
  <c r="I29" i="52"/>
  <c r="AP25" i="52"/>
  <c r="D13" i="52"/>
  <c r="BQ28" i="52"/>
  <c r="O28" i="52"/>
  <c r="AP32" i="52"/>
  <c r="AX23" i="52"/>
  <c r="BN9" i="52"/>
  <c r="AU26" i="52"/>
  <c r="BL33" i="52"/>
  <c r="BD30" i="52"/>
  <c r="AQ21" i="52"/>
  <c r="AD24" i="52"/>
  <c r="E11" i="52"/>
  <c r="AO17" i="52"/>
  <c r="AF23" i="52"/>
  <c r="H8" i="52"/>
  <c r="BI34" i="52"/>
  <c r="AR10" i="52"/>
  <c r="O21" i="52"/>
  <c r="T9" i="52"/>
  <c r="BL26" i="52"/>
  <c r="BH38" i="52"/>
  <c r="AO24" i="52"/>
  <c r="AL27" i="52"/>
  <c r="H33" i="52"/>
  <c r="AP27" i="52"/>
  <c r="AW22" i="52"/>
  <c r="W18" i="52"/>
  <c r="BB24" i="52"/>
  <c r="BA16" i="52"/>
  <c r="AB38" i="52"/>
  <c r="G8" i="52"/>
  <c r="BC38" i="52"/>
  <c r="I22" i="52"/>
  <c r="Q7" i="52"/>
  <c r="BN32" i="52"/>
  <c r="N15" i="52"/>
  <c r="AT29" i="52"/>
  <c r="AV13" i="52"/>
  <c r="BA28" i="52"/>
  <c r="BK38" i="52"/>
  <c r="BH35" i="52"/>
  <c r="BL28" i="52"/>
  <c r="BE11" i="52"/>
  <c r="BF19" i="52"/>
  <c r="AM10" i="52"/>
  <c r="AO27" i="52"/>
  <c r="N32" i="52"/>
  <c r="AW18" i="52"/>
  <c r="H31" i="52"/>
  <c r="N22" i="52"/>
  <c r="Q26" i="52"/>
  <c r="C14" i="52"/>
  <c r="H13" i="52"/>
  <c r="AQ15" i="52"/>
  <c r="N27" i="52"/>
  <c r="BD24" i="52"/>
  <c r="F23" i="52"/>
  <c r="L19" i="52"/>
  <c r="AR7" i="52"/>
  <c r="BL18" i="52"/>
  <c r="AC36" i="52"/>
  <c r="AE32" i="52"/>
  <c r="Y27" i="52"/>
  <c r="AW34" i="52"/>
  <c r="AY34" i="52"/>
  <c r="AM7" i="52"/>
  <c r="AS32" i="52"/>
  <c r="AK23" i="52"/>
  <c r="BE15" i="52"/>
  <c r="N35" i="52"/>
  <c r="F8" i="52"/>
  <c r="AX10" i="52"/>
  <c r="AW11" i="52"/>
  <c r="AW35" i="52"/>
  <c r="Y26" i="52"/>
  <c r="H25" i="52"/>
  <c r="AE9" i="52"/>
  <c r="BD26" i="52"/>
  <c r="BN17" i="52"/>
  <c r="AL23" i="52"/>
  <c r="AA15" i="52"/>
  <c r="BB32" i="52"/>
  <c r="AR14" i="52"/>
  <c r="U29" i="52"/>
  <c r="F10" i="52"/>
  <c r="BJ13" i="52"/>
  <c r="AQ20" i="52"/>
  <c r="AD7" i="52"/>
  <c r="N30" i="52"/>
  <c r="AE22" i="52"/>
  <c r="O31" i="52"/>
  <c r="AX30" i="52"/>
  <c r="AH38" i="52"/>
  <c r="BG19" i="52"/>
  <c r="AV35" i="52"/>
  <c r="BM33" i="52"/>
  <c r="BB29" i="52"/>
  <c r="AI17" i="52"/>
  <c r="BM10" i="52"/>
  <c r="Z32" i="52"/>
  <c r="BI23" i="52"/>
  <c r="Q13" i="52"/>
  <c r="AC20" i="52"/>
  <c r="D26" i="52"/>
  <c r="BE17" i="52"/>
  <c r="BI24" i="52"/>
  <c r="AW13" i="52"/>
  <c r="AJ18" i="52"/>
  <c r="BO33" i="52"/>
  <c r="G12" i="52"/>
  <c r="E22" i="52"/>
  <c r="BN34" i="52"/>
  <c r="BB17" i="52"/>
  <c r="AH26" i="52"/>
  <c r="BC34" i="52"/>
  <c r="AX29" i="52"/>
  <c r="K33" i="52"/>
  <c r="BB27" i="52"/>
  <c r="AS23" i="52"/>
  <c r="AV21" i="52"/>
  <c r="R16" i="52"/>
  <c r="Q25" i="52"/>
  <c r="Q31" i="52"/>
  <c r="BQ25" i="52"/>
  <c r="R36" i="52"/>
  <c r="BL31" i="52"/>
  <c r="AB36" i="52"/>
  <c r="BM15" i="52"/>
  <c r="AA38" i="52"/>
  <c r="AS8" i="52"/>
  <c r="BF28" i="52"/>
  <c r="AU8" i="52"/>
  <c r="AK12" i="52"/>
  <c r="L28" i="52"/>
  <c r="R32" i="52"/>
  <c r="BP16" i="52"/>
  <c r="BE29" i="52"/>
  <c r="BJ15" i="52"/>
  <c r="T31" i="52"/>
  <c r="AT23" i="52"/>
  <c r="D22" i="52"/>
  <c r="G35" i="52"/>
  <c r="F11" i="52"/>
  <c r="BD29" i="52"/>
  <c r="BO25" i="52"/>
  <c r="BB8" i="52"/>
  <c r="H20" i="52"/>
  <c r="BD10" i="52"/>
  <c r="AX9" i="52"/>
  <c r="K25" i="52"/>
  <c r="AM24" i="52"/>
  <c r="F17" i="52"/>
  <c r="BJ38" i="52"/>
  <c r="AP23" i="52"/>
  <c r="BL24" i="52"/>
  <c r="I7" i="52"/>
  <c r="BJ25" i="52"/>
  <c r="BB35" i="52"/>
  <c r="BK35" i="52"/>
  <c r="AE8" i="52"/>
  <c r="T14" i="52"/>
  <c r="BF29" i="52"/>
  <c r="BM24" i="52"/>
  <c r="R25" i="52"/>
  <c r="AS26" i="52"/>
  <c r="AQ14" i="52"/>
  <c r="AD8" i="52"/>
  <c r="AB8" i="52"/>
  <c r="G33" i="52"/>
  <c r="AE38" i="52"/>
  <c r="T38" i="52"/>
  <c r="BJ39" i="52" l="1"/>
  <c r="AA39" i="52"/>
  <c r="AD37" i="52"/>
  <c r="AM37" i="52"/>
  <c r="AR37" i="52"/>
  <c r="BO37" i="52"/>
  <c r="AV37" i="52"/>
  <c r="AJ39" i="52"/>
  <c r="BG37" i="52"/>
  <c r="Y37" i="52"/>
  <c r="BK37" i="52"/>
  <c r="AE37" i="52"/>
  <c r="BQ37" i="52"/>
  <c r="BD37" i="52"/>
  <c r="BJ37" i="52"/>
  <c r="BP37" i="52"/>
  <c r="BC37" i="52"/>
  <c r="BE37" i="52"/>
  <c r="AF37" i="52"/>
  <c r="AJ37" i="52"/>
  <c r="BI37" i="52"/>
  <c r="Z37" i="52"/>
  <c r="AG37" i="52"/>
  <c r="AP37" i="52"/>
  <c r="AH37" i="52"/>
  <c r="BF37" i="52"/>
  <c r="BH37" i="52"/>
  <c r="AL37" i="52"/>
  <c r="AQ37" i="52"/>
  <c r="BN37" i="52"/>
  <c r="Y39" i="52"/>
  <c r="AA40" i="52" s="1"/>
  <c r="AC37" i="52"/>
  <c r="AB37" i="52"/>
  <c r="BM37" i="52"/>
  <c r="BL37" i="52"/>
  <c r="AK37" i="52"/>
  <c r="AI37" i="52"/>
  <c r="AS37" i="52"/>
  <c r="AC39" i="52"/>
  <c r="AA37" i="52"/>
  <c r="AJ40" i="52"/>
  <c r="CU606" i="1"/>
  <c r="F35" i="76" s="1"/>
  <c r="CC606" i="1"/>
  <c r="F13" i="76" s="1"/>
  <c r="CT606" i="1"/>
  <c r="F34" i="76" s="1"/>
  <c r="BW606" i="1"/>
  <c r="D14" i="76" s="1"/>
  <c r="CS606" i="1"/>
  <c r="F33" i="76" s="1"/>
  <c r="BY606" i="1"/>
  <c r="D16" i="76" s="1"/>
  <c r="BX606" i="1"/>
  <c r="BZ606" i="1"/>
  <c r="D17" i="76" s="1"/>
  <c r="CF606" i="1"/>
  <c r="D28" i="76" s="1"/>
  <c r="CE606" i="1"/>
  <c r="F19" i="76" s="1"/>
  <c r="R19" i="76" s="1"/>
  <c r="CD606" i="1"/>
  <c r="F14" i="76" s="1"/>
  <c r="R14" i="76" s="1"/>
  <c r="CA606" i="1"/>
  <c r="D18" i="76" s="1"/>
  <c r="CQ606" i="1"/>
  <c r="F31" i="76" s="1"/>
  <c r="CR606" i="1"/>
  <c r="F32" i="76" s="1"/>
  <c r="CP606" i="1"/>
  <c r="F30" i="76" s="1"/>
  <c r="CO606" i="1"/>
  <c r="F29" i="76" s="1"/>
  <c r="CB606" i="1"/>
  <c r="D19" i="76" s="1"/>
  <c r="CN606" i="1"/>
  <c r="F28" i="76" s="1"/>
  <c r="BV606" i="1"/>
  <c r="D13" i="76" s="1"/>
  <c r="CI606" i="1"/>
  <c r="D31" i="76" s="1"/>
  <c r="CH606" i="1"/>
  <c r="D30" i="76" s="1"/>
  <c r="CK606" i="1"/>
  <c r="D33" i="76" s="1"/>
  <c r="CJ606" i="1"/>
  <c r="D32" i="76" s="1"/>
  <c r="CL606" i="1"/>
  <c r="D34" i="76" s="1"/>
  <c r="CM606" i="1"/>
  <c r="D35" i="76" s="1"/>
  <c r="CG606" i="1"/>
  <c r="D29" i="76" s="1"/>
  <c r="A5" i="72"/>
  <c r="T8" i="1"/>
  <c r="Q8" i="1"/>
  <c r="T37" i="52"/>
  <c r="A29" i="64"/>
  <c r="R13" i="76" l="1"/>
  <c r="R23" i="76" s="1"/>
  <c r="F22" i="76"/>
  <c r="F23" i="76" s="1"/>
  <c r="E29" i="76"/>
  <c r="Q29" i="76" s="1"/>
  <c r="E35" i="76"/>
  <c r="Q35" i="76" s="1"/>
  <c r="E34" i="76"/>
  <c r="Q34" i="76" s="1"/>
  <c r="E33" i="76"/>
  <c r="Q33" i="76" s="1"/>
  <c r="E31" i="76"/>
  <c r="Q31" i="76" s="1"/>
  <c r="G28" i="76"/>
  <c r="F38" i="76"/>
  <c r="G29" i="76"/>
  <c r="R29" i="76" s="1"/>
  <c r="G30" i="76"/>
  <c r="R30" i="76" s="1"/>
  <c r="G32" i="76"/>
  <c r="R32" i="76" s="1"/>
  <c r="E28" i="76"/>
  <c r="H28" i="76" s="1"/>
  <c r="D38" i="76"/>
  <c r="G31" i="76"/>
  <c r="R31" i="76" s="1"/>
  <c r="G34" i="76"/>
  <c r="R34" i="76" s="1"/>
  <c r="E32" i="76"/>
  <c r="Q32" i="76" s="1"/>
  <c r="G33" i="76"/>
  <c r="R33" i="76" s="1"/>
  <c r="E30" i="76"/>
  <c r="Q30" i="76" s="1"/>
  <c r="A100" i="71" s="1"/>
  <c r="G35" i="76"/>
  <c r="R35" i="76" s="1"/>
  <c r="E19" i="76"/>
  <c r="H19" i="76" s="1"/>
  <c r="E18" i="76"/>
  <c r="H18" i="76" s="1"/>
  <c r="E16" i="76"/>
  <c r="Q16" i="76" s="1"/>
  <c r="A91" i="71" s="1"/>
  <c r="CF607" i="1"/>
  <c r="CN607" i="1"/>
  <c r="E13" i="76"/>
  <c r="H13" i="76" s="1"/>
  <c r="BV607" i="1"/>
  <c r="D15" i="76"/>
  <c r="E17" i="76"/>
  <c r="Q17" i="76" s="1"/>
  <c r="A92" i="71" s="1"/>
  <c r="CC607" i="1"/>
  <c r="E14" i="76"/>
  <c r="Q14" i="76" s="1"/>
  <c r="A89" i="71" s="1"/>
  <c r="T9" i="1"/>
  <c r="Q9" i="1"/>
  <c r="A34" i="57"/>
  <c r="A102" i="71" l="1"/>
  <c r="A36" i="72" s="1"/>
  <c r="A103" i="71"/>
  <c r="A37" i="72" s="1"/>
  <c r="A104" i="71"/>
  <c r="A38" i="72" s="1"/>
  <c r="A99" i="71"/>
  <c r="A101" i="71"/>
  <c r="A35" i="72" s="1"/>
  <c r="A105" i="71"/>
  <c r="A39" i="72" s="1"/>
  <c r="H34" i="76"/>
  <c r="H32" i="76"/>
  <c r="H31" i="76"/>
  <c r="H33" i="76"/>
  <c r="H35" i="76"/>
  <c r="H29" i="76"/>
  <c r="H30" i="76"/>
  <c r="Q13" i="76"/>
  <c r="A88" i="71" s="1"/>
  <c r="Q18" i="76"/>
  <c r="A93" i="71" s="1"/>
  <c r="R12" i="76"/>
  <c r="A34" i="72"/>
  <c r="A25" i="72"/>
  <c r="A23" i="72"/>
  <c r="A26" i="72"/>
  <c r="A40" i="72"/>
  <c r="G38" i="76"/>
  <c r="F39" i="76" s="1"/>
  <c r="F40" i="76" s="1"/>
  <c r="Q28" i="76"/>
  <c r="E38" i="76"/>
  <c r="R28" i="76"/>
  <c r="R38" i="76" s="1"/>
  <c r="R40" i="76" s="1"/>
  <c r="H17" i="76"/>
  <c r="E15" i="76"/>
  <c r="Q15" i="76" s="1"/>
  <c r="A90" i="71" s="1"/>
  <c r="D22" i="76"/>
  <c r="H16" i="76"/>
  <c r="H14" i="76"/>
  <c r="Q19" i="76"/>
  <c r="A94" i="71" s="1"/>
  <c r="T10" i="1"/>
  <c r="Q10" i="1"/>
  <c r="B13" i="69"/>
  <c r="B12" i="69"/>
  <c r="B11" i="69"/>
  <c r="B10" i="69"/>
  <c r="F8" i="69"/>
  <c r="Q38" i="76" l="1"/>
  <c r="A107" i="71" s="1"/>
  <c r="A41" i="72" s="1"/>
  <c r="A98" i="71"/>
  <c r="H38" i="76"/>
  <c r="Q23" i="76"/>
  <c r="A96" i="71" s="1"/>
  <c r="A33" i="72"/>
  <c r="A24" i="72"/>
  <c r="A28" i="72"/>
  <c r="A27" i="72"/>
  <c r="E22" i="76"/>
  <c r="D23" i="76" s="1"/>
  <c r="R27" i="76"/>
  <c r="D39" i="76"/>
  <c r="H15" i="76"/>
  <c r="H22" i="76" s="1"/>
  <c r="H23" i="76" s="1"/>
  <c r="T11" i="1"/>
  <c r="Q11" i="1"/>
  <c r="B15" i="69"/>
  <c r="B8" i="69"/>
  <c r="E9" i="69" s="1"/>
  <c r="Q12" i="76" l="1"/>
  <c r="A87" i="71" s="1"/>
  <c r="A21" i="72" s="1"/>
  <c r="Q40" i="76"/>
  <c r="A30" i="72"/>
  <c r="H40" i="76"/>
  <c r="D40" i="76"/>
  <c r="Q27" i="76"/>
  <c r="A97" i="71" s="1"/>
  <c r="T12" i="1"/>
  <c r="Q12" i="1"/>
  <c r="B17" i="69"/>
  <c r="A108" i="71" l="1"/>
  <c r="A42" i="72" s="1"/>
  <c r="A32" i="72"/>
  <c r="A31" i="72"/>
  <c r="T13" i="1"/>
  <c r="Q13" i="1"/>
  <c r="W16" i="69"/>
  <c r="W11" i="69" s="1"/>
  <c r="W10" i="69"/>
  <c r="T14" i="1" l="1"/>
  <c r="Q14" i="1"/>
  <c r="Y11" i="69"/>
  <c r="W9" i="69"/>
  <c r="X9" i="69" s="1"/>
  <c r="W12" i="69"/>
  <c r="X12" i="69" s="1"/>
  <c r="W14" i="69"/>
  <c r="Y14" i="69" s="1"/>
  <c r="W13" i="69"/>
  <c r="X13" i="69" s="1"/>
  <c r="X11" i="69"/>
  <c r="X10" i="69"/>
  <c r="T15" i="1" l="1"/>
  <c r="Q15" i="1"/>
  <c r="X14" i="69"/>
  <c r="Y16" i="69" s="1"/>
  <c r="T16" i="1" l="1"/>
  <c r="Q16" i="1"/>
  <c r="Y18" i="69"/>
  <c r="Y17" i="69"/>
  <c r="Y20" i="69"/>
  <c r="Y19" i="69"/>
  <c r="Y21" i="69"/>
  <c r="T17" i="1" l="1"/>
  <c r="Q17" i="1"/>
  <c r="D17" i="69"/>
  <c r="C31" i="68"/>
  <c r="C30" i="68"/>
  <c r="C29" i="68"/>
  <c r="C28" i="68"/>
  <c r="C27" i="68"/>
  <c r="C26" i="68"/>
  <c r="C25" i="68"/>
  <c r="C24" i="68"/>
  <c r="C23" i="68"/>
  <c r="C22" i="68"/>
  <c r="C21" i="68"/>
  <c r="C20" i="68"/>
  <c r="G31" i="68"/>
  <c r="G30" i="68"/>
  <c r="G29" i="68"/>
  <c r="G28" i="68"/>
  <c r="G27" i="68"/>
  <c r="G26" i="68"/>
  <c r="G25" i="68"/>
  <c r="G24" i="68"/>
  <c r="G23" i="68"/>
  <c r="G22" i="68"/>
  <c r="G21" i="68"/>
  <c r="G20" i="68"/>
  <c r="K31" i="68"/>
  <c r="K30" i="68"/>
  <c r="K29" i="68"/>
  <c r="K28" i="68"/>
  <c r="K27" i="68"/>
  <c r="K26" i="68"/>
  <c r="K25" i="68"/>
  <c r="K24" i="68"/>
  <c r="K23" i="68"/>
  <c r="K22" i="68"/>
  <c r="K21" i="68"/>
  <c r="K20" i="68"/>
  <c r="O31" i="68"/>
  <c r="O30" i="68"/>
  <c r="O29" i="68"/>
  <c r="O28" i="68"/>
  <c r="O27" i="68"/>
  <c r="O26" i="68"/>
  <c r="O25" i="68"/>
  <c r="O24" i="68"/>
  <c r="O23" i="68"/>
  <c r="O22" i="68"/>
  <c r="O21" i="68"/>
  <c r="O20" i="68"/>
  <c r="S31" i="68"/>
  <c r="S30" i="68"/>
  <c r="S29" i="68"/>
  <c r="S28" i="68"/>
  <c r="S27" i="68"/>
  <c r="S26" i="68"/>
  <c r="S25" i="68"/>
  <c r="S24" i="68"/>
  <c r="S23" i="68"/>
  <c r="S22" i="68"/>
  <c r="S21" i="68"/>
  <c r="S20" i="68"/>
  <c r="W31" i="68"/>
  <c r="W30" i="68"/>
  <c r="W29" i="68"/>
  <c r="W28" i="68"/>
  <c r="W27" i="68"/>
  <c r="W26" i="68"/>
  <c r="W25" i="68"/>
  <c r="W24" i="68"/>
  <c r="W23" i="68"/>
  <c r="W22" i="68"/>
  <c r="W21" i="68"/>
  <c r="W20" i="68"/>
  <c r="AA31" i="68"/>
  <c r="AA30" i="68"/>
  <c r="AA29" i="68"/>
  <c r="AA28" i="68"/>
  <c r="AA27" i="68"/>
  <c r="AA26" i="68"/>
  <c r="AA25" i="68"/>
  <c r="AA24" i="68"/>
  <c r="AA23" i="68"/>
  <c r="AA22" i="68"/>
  <c r="AA21" i="68"/>
  <c r="AA20" i="68"/>
  <c r="AA13" i="68"/>
  <c r="AA12" i="68"/>
  <c r="AA11" i="68"/>
  <c r="AA10" i="68"/>
  <c r="AA9" i="68"/>
  <c r="AA8" i="68"/>
  <c r="AA7" i="68"/>
  <c r="AA6" i="68"/>
  <c r="AA5" i="68"/>
  <c r="AA4" i="68"/>
  <c r="AA3" i="68"/>
  <c r="AA2" i="68"/>
  <c r="W13" i="68"/>
  <c r="W12" i="68"/>
  <c r="W11" i="68"/>
  <c r="W10" i="68"/>
  <c r="W9" i="68"/>
  <c r="W8" i="68"/>
  <c r="W7" i="68"/>
  <c r="W6" i="68"/>
  <c r="W5" i="68"/>
  <c r="W4" i="68"/>
  <c r="W3" i="68"/>
  <c r="W2" i="68"/>
  <c r="S13" i="68"/>
  <c r="S12" i="68"/>
  <c r="S11" i="68"/>
  <c r="S10" i="68"/>
  <c r="S9" i="68"/>
  <c r="S8" i="68"/>
  <c r="S7" i="68"/>
  <c r="S6" i="68"/>
  <c r="S5" i="68"/>
  <c r="S4" i="68"/>
  <c r="S3" i="68"/>
  <c r="S2" i="68"/>
  <c r="O13" i="68"/>
  <c r="O12" i="68"/>
  <c r="O11" i="68"/>
  <c r="O10" i="68"/>
  <c r="O9" i="68"/>
  <c r="O8" i="68"/>
  <c r="O7" i="68"/>
  <c r="O6" i="68"/>
  <c r="O5" i="68"/>
  <c r="O4" i="68"/>
  <c r="O3" i="68"/>
  <c r="O2" i="68"/>
  <c r="K13" i="68"/>
  <c r="K12" i="68"/>
  <c r="K11" i="68"/>
  <c r="K10" i="68"/>
  <c r="K9" i="68"/>
  <c r="K8" i="68"/>
  <c r="K7" i="68"/>
  <c r="K6" i="68"/>
  <c r="K5" i="68"/>
  <c r="K4" i="68"/>
  <c r="K3" i="68"/>
  <c r="K2" i="68"/>
  <c r="K14" i="68" s="1"/>
  <c r="K16" i="68" s="1"/>
  <c r="C2" i="68"/>
  <c r="G2" i="68"/>
  <c r="C3" i="68"/>
  <c r="G3" i="68"/>
  <c r="C4" i="68"/>
  <c r="G4" i="68"/>
  <c r="C5" i="68"/>
  <c r="G5" i="68"/>
  <c r="C6" i="68"/>
  <c r="G6" i="68"/>
  <c r="C7" i="68"/>
  <c r="G7" i="68"/>
  <c r="C8" i="68"/>
  <c r="G8" i="68"/>
  <c r="C9" i="68"/>
  <c r="G9" i="68"/>
  <c r="C10" i="68"/>
  <c r="G10" i="68"/>
  <c r="C11" i="68"/>
  <c r="G11" i="68"/>
  <c r="C12" i="68"/>
  <c r="G12" i="68"/>
  <c r="C13" i="68"/>
  <c r="G13" i="68"/>
  <c r="T18" i="1" l="1"/>
  <c r="Q18" i="1"/>
  <c r="AD610" i="1"/>
  <c r="AE610" i="1"/>
  <c r="AE612" i="1" s="1"/>
  <c r="AE613" i="1" s="1"/>
  <c r="W32" i="68"/>
  <c r="W34" i="68" s="1"/>
  <c r="O14" i="68"/>
  <c r="O16" i="68" s="1"/>
  <c r="G14" i="68"/>
  <c r="G16" i="68" s="1"/>
  <c r="C14" i="68"/>
  <c r="C16" i="68" s="1"/>
  <c r="AA14" i="68"/>
  <c r="AA16" i="68" s="1"/>
  <c r="S14" i="68"/>
  <c r="S16" i="68" s="1"/>
  <c r="G32" i="68"/>
  <c r="G34" i="68" s="1"/>
  <c r="C32" i="68"/>
  <c r="C34" i="68" s="1"/>
  <c r="AA32" i="68"/>
  <c r="AA34" i="68" s="1"/>
  <c r="S32" i="68"/>
  <c r="S34" i="68" s="1"/>
  <c r="K32" i="68"/>
  <c r="K34" i="68" s="1"/>
  <c r="O32" i="68"/>
  <c r="O34" i="68" s="1"/>
  <c r="W14" i="68"/>
  <c r="W16" i="68" s="1"/>
  <c r="T19" i="1" l="1"/>
  <c r="Q19" i="1"/>
  <c r="AD612" i="1"/>
  <c r="AD613" i="1" s="1"/>
  <c r="AD611" i="1"/>
  <c r="AE611" i="1"/>
  <c r="T20" i="1" l="1"/>
  <c r="Q20" i="1"/>
  <c r="B55" i="67"/>
  <c r="D4" i="67"/>
  <c r="F55" i="67"/>
  <c r="E55" i="67"/>
  <c r="G5" i="67"/>
  <c r="G6" i="67" s="1"/>
  <c r="G7" i="67" s="1"/>
  <c r="G8" i="67" s="1"/>
  <c r="G9" i="67" s="1"/>
  <c r="G10" i="67" s="1"/>
  <c r="G11" i="67" s="1"/>
  <c r="G12" i="67" s="1"/>
  <c r="G13" i="67" s="1"/>
  <c r="G14" i="67" s="1"/>
  <c r="G15" i="67" s="1"/>
  <c r="G16" i="67" s="1"/>
  <c r="G17" i="67" s="1"/>
  <c r="G18" i="67" s="1"/>
  <c r="G19" i="67" s="1"/>
  <c r="G20" i="67" s="1"/>
  <c r="G21" i="67" s="1"/>
  <c r="G22" i="67" s="1"/>
  <c r="G23" i="67" s="1"/>
  <c r="G24" i="67" s="1"/>
  <c r="G25" i="67" s="1"/>
  <c r="G26" i="67" s="1"/>
  <c r="G27" i="67" s="1"/>
  <c r="G28" i="67" s="1"/>
  <c r="G29" i="67" s="1"/>
  <c r="G30" i="67" s="1"/>
  <c r="G31" i="67" s="1"/>
  <c r="G32" i="67" s="1"/>
  <c r="G33" i="67" s="1"/>
  <c r="G34" i="67" s="1"/>
  <c r="G35" i="67" s="1"/>
  <c r="G36" i="67" s="1"/>
  <c r="G37" i="67" s="1"/>
  <c r="G38" i="67" s="1"/>
  <c r="G39" i="67" s="1"/>
  <c r="G40" i="67" s="1"/>
  <c r="G41" i="67" s="1"/>
  <c r="G42" i="67" s="1"/>
  <c r="G43" i="67" s="1"/>
  <c r="G44" i="67" s="1"/>
  <c r="G45" i="67" s="1"/>
  <c r="G46" i="67" s="1"/>
  <c r="G47" i="67" s="1"/>
  <c r="G48" i="67" s="1"/>
  <c r="G49" i="67" s="1"/>
  <c r="G50" i="67" s="1"/>
  <c r="G51" i="67" s="1"/>
  <c r="G52" i="67" s="1"/>
  <c r="G53" i="67" s="1"/>
  <c r="G54" i="67" s="1"/>
  <c r="A5" i="67"/>
  <c r="A6" i="67" s="1"/>
  <c r="A7" i="67" s="1"/>
  <c r="A8" i="67" s="1"/>
  <c r="A9" i="67" s="1"/>
  <c r="A10" i="67" s="1"/>
  <c r="A11" i="67" s="1"/>
  <c r="A12" i="67" s="1"/>
  <c r="A13" i="67" s="1"/>
  <c r="A14" i="67" s="1"/>
  <c r="A15" i="67" s="1"/>
  <c r="A16" i="67" s="1"/>
  <c r="A17" i="67" s="1"/>
  <c r="A18" i="67" s="1"/>
  <c r="A19" i="67" s="1"/>
  <c r="A20" i="67" s="1"/>
  <c r="A21" i="67" s="1"/>
  <c r="A22" i="67" s="1"/>
  <c r="A23" i="67" s="1"/>
  <c r="A24" i="67" s="1"/>
  <c r="A25" i="67" s="1"/>
  <c r="A26" i="67" s="1"/>
  <c r="A27" i="67" s="1"/>
  <c r="A28" i="67" s="1"/>
  <c r="A29" i="67" s="1"/>
  <c r="A30"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T21" i="1" l="1"/>
  <c r="Q21" i="1"/>
  <c r="G55" i="67"/>
  <c r="T22" i="1" l="1"/>
  <c r="Q22" i="1"/>
  <c r="C37" i="63"/>
  <c r="T23" i="1" l="1"/>
  <c r="Q23" i="1"/>
  <c r="G20" i="51"/>
  <c r="G17" i="51"/>
  <c r="G16" i="51"/>
  <c r="G11" i="51"/>
  <c r="E11" i="51"/>
  <c r="T24" i="1" l="1"/>
  <c r="Q24" i="1"/>
  <c r="BO605" i="1"/>
  <c r="T25" i="1" l="1"/>
  <c r="Q25" i="1"/>
  <c r="BO603" i="1"/>
  <c r="BO599" i="1"/>
  <c r="BO595" i="1"/>
  <c r="BO591" i="1"/>
  <c r="BO587" i="1"/>
  <c r="BO583" i="1"/>
  <c r="BO579" i="1"/>
  <c r="BO575" i="1"/>
  <c r="BO571" i="1"/>
  <c r="BO567" i="1"/>
  <c r="BO563" i="1"/>
  <c r="BO559" i="1"/>
  <c r="BO555" i="1"/>
  <c r="BO551" i="1"/>
  <c r="BO547" i="1"/>
  <c r="BO543" i="1"/>
  <c r="BO539" i="1"/>
  <c r="BO535" i="1"/>
  <c r="BO531" i="1"/>
  <c r="BO527" i="1"/>
  <c r="BO523" i="1"/>
  <c r="BO519" i="1"/>
  <c r="BO515" i="1"/>
  <c r="BO511" i="1"/>
  <c r="BO507" i="1"/>
  <c r="BO503" i="1"/>
  <c r="BO604" i="1"/>
  <c r="BO600" i="1"/>
  <c r="BO596" i="1"/>
  <c r="BO592" i="1"/>
  <c r="BO588" i="1"/>
  <c r="BO584" i="1"/>
  <c r="BO580" i="1"/>
  <c r="BO576" i="1"/>
  <c r="BO572" i="1"/>
  <c r="BO568" i="1"/>
  <c r="BO564" i="1"/>
  <c r="BO560" i="1"/>
  <c r="BO556" i="1"/>
  <c r="BO552" i="1"/>
  <c r="BO548" i="1"/>
  <c r="BO544" i="1"/>
  <c r="BO540" i="1"/>
  <c r="BO536" i="1"/>
  <c r="BO532" i="1"/>
  <c r="BO528" i="1"/>
  <c r="BO524" i="1"/>
  <c r="BO520" i="1"/>
  <c r="BO516" i="1"/>
  <c r="BO512" i="1"/>
  <c r="BO508" i="1"/>
  <c r="BO504" i="1"/>
  <c r="BO601" i="1"/>
  <c r="BO597" i="1"/>
  <c r="BO593" i="1"/>
  <c r="BO589" i="1"/>
  <c r="BO585" i="1"/>
  <c r="BO581" i="1"/>
  <c r="BO577" i="1"/>
  <c r="BO573" i="1"/>
  <c r="BO569" i="1"/>
  <c r="BO565" i="1"/>
  <c r="BO561" i="1"/>
  <c r="BO557" i="1"/>
  <c r="BO553" i="1"/>
  <c r="BO549" i="1"/>
  <c r="BO545" i="1"/>
  <c r="BO541" i="1"/>
  <c r="BO537" i="1"/>
  <c r="BO533" i="1"/>
  <c r="BO529" i="1"/>
  <c r="BO525" i="1"/>
  <c r="BO521" i="1"/>
  <c r="BO517" i="1"/>
  <c r="BO513" i="1"/>
  <c r="BO509" i="1"/>
  <c r="BO505" i="1"/>
  <c r="BO602" i="1"/>
  <c r="BO598" i="1"/>
  <c r="BO594" i="1"/>
  <c r="BO590" i="1"/>
  <c r="BO586" i="1"/>
  <c r="BO582" i="1"/>
  <c r="BO578" i="1"/>
  <c r="BO574" i="1"/>
  <c r="BO570" i="1"/>
  <c r="BO566" i="1"/>
  <c r="BO562" i="1"/>
  <c r="BO558" i="1"/>
  <c r="BO554" i="1"/>
  <c r="BO550" i="1"/>
  <c r="BO546" i="1"/>
  <c r="BO542" i="1"/>
  <c r="BO538" i="1"/>
  <c r="BO534" i="1"/>
  <c r="BO530" i="1"/>
  <c r="BO526" i="1"/>
  <c r="BO522" i="1"/>
  <c r="BO518" i="1"/>
  <c r="BO514" i="1"/>
  <c r="BO510" i="1"/>
  <c r="BO506" i="1"/>
  <c r="BO502" i="1"/>
  <c r="BO499" i="1"/>
  <c r="BO495" i="1"/>
  <c r="BO491" i="1"/>
  <c r="BO487" i="1"/>
  <c r="BO483" i="1"/>
  <c r="BO479" i="1"/>
  <c r="BO475" i="1"/>
  <c r="BO471" i="1"/>
  <c r="BO467" i="1"/>
  <c r="BO463" i="1"/>
  <c r="BO459" i="1"/>
  <c r="BO455" i="1"/>
  <c r="BO451" i="1"/>
  <c r="BO447" i="1"/>
  <c r="BO443" i="1"/>
  <c r="BO439" i="1"/>
  <c r="BO435" i="1"/>
  <c r="BO431" i="1"/>
  <c r="BO427" i="1"/>
  <c r="BO423" i="1"/>
  <c r="BO419" i="1"/>
  <c r="BO415" i="1"/>
  <c r="BO411" i="1"/>
  <c r="BO500" i="1"/>
  <c r="BO496" i="1"/>
  <c r="BO492" i="1"/>
  <c r="BO488" i="1"/>
  <c r="BO484" i="1"/>
  <c r="BO480" i="1"/>
  <c r="BO476" i="1"/>
  <c r="BO472" i="1"/>
  <c r="BO468" i="1"/>
  <c r="BO501" i="1"/>
  <c r="BO497" i="1"/>
  <c r="BO493" i="1"/>
  <c r="BO489" i="1"/>
  <c r="BO485" i="1"/>
  <c r="BO481" i="1"/>
  <c r="BO477" i="1"/>
  <c r="BO473" i="1"/>
  <c r="BO469" i="1"/>
  <c r="BO465" i="1"/>
  <c r="BO461" i="1"/>
  <c r="BO457" i="1"/>
  <c r="BO453" i="1"/>
  <c r="BO449" i="1"/>
  <c r="BO445" i="1"/>
  <c r="BO441" i="1"/>
  <c r="BO437" i="1"/>
  <c r="BO433" i="1"/>
  <c r="BO429" i="1"/>
  <c r="BO425" i="1"/>
  <c r="BO421" i="1"/>
  <c r="BO417" i="1"/>
  <c r="BO413" i="1"/>
  <c r="BO409" i="1"/>
  <c r="BO405" i="1"/>
  <c r="BO401" i="1"/>
  <c r="BO474" i="1"/>
  <c r="BO460" i="1"/>
  <c r="BO444" i="1"/>
  <c r="BO428" i="1"/>
  <c r="BO408" i="1"/>
  <c r="BO478" i="1"/>
  <c r="BO458" i="1"/>
  <c r="BO442" i="1"/>
  <c r="BO422" i="1"/>
  <c r="BO416" i="1"/>
  <c r="BO396" i="1"/>
  <c r="BO392" i="1"/>
  <c r="BO388" i="1"/>
  <c r="BO384" i="1"/>
  <c r="BO380" i="1"/>
  <c r="BO376" i="1"/>
  <c r="BO372" i="1"/>
  <c r="BO368" i="1"/>
  <c r="BO364" i="1"/>
  <c r="BO360" i="1"/>
  <c r="BO356" i="1"/>
  <c r="BO352" i="1"/>
  <c r="BO348" i="1"/>
  <c r="BO344" i="1"/>
  <c r="BO340" i="1"/>
  <c r="BO336" i="1"/>
  <c r="BO332" i="1"/>
  <c r="BO328" i="1"/>
  <c r="BO324" i="1"/>
  <c r="BO320" i="1"/>
  <c r="BO316" i="1"/>
  <c r="BO312" i="1"/>
  <c r="BO308" i="1"/>
  <c r="BO304" i="1"/>
  <c r="BO300" i="1"/>
  <c r="BO296" i="1"/>
  <c r="BO292" i="1"/>
  <c r="BO288" i="1"/>
  <c r="BO284" i="1"/>
  <c r="BO280" i="1"/>
  <c r="BO276" i="1"/>
  <c r="BO272" i="1"/>
  <c r="BO482" i="1"/>
  <c r="BO456" i="1"/>
  <c r="BO440" i="1"/>
  <c r="BO406" i="1"/>
  <c r="BO403" i="1"/>
  <c r="BO400" i="1"/>
  <c r="BO486" i="1"/>
  <c r="BO454" i="1"/>
  <c r="BO438" i="1"/>
  <c r="BO426" i="1"/>
  <c r="BO420" i="1"/>
  <c r="BO397" i="1"/>
  <c r="BO393" i="1"/>
  <c r="BO389" i="1"/>
  <c r="BO385" i="1"/>
  <c r="BO381" i="1"/>
  <c r="BO377" i="1"/>
  <c r="BO373" i="1"/>
  <c r="BO369" i="1"/>
  <c r="BO365" i="1"/>
  <c r="BO361" i="1"/>
  <c r="BO357" i="1"/>
  <c r="BO353" i="1"/>
  <c r="BO349" i="1"/>
  <c r="BO345" i="1"/>
  <c r="BO341" i="1"/>
  <c r="BO337" i="1"/>
  <c r="BO333" i="1"/>
  <c r="BO329" i="1"/>
  <c r="BO325" i="1"/>
  <c r="BO321" i="1"/>
  <c r="BO317" i="1"/>
  <c r="BO313" i="1"/>
  <c r="BO309" i="1"/>
  <c r="BO305" i="1"/>
  <c r="BO301" i="1"/>
  <c r="BO297" i="1"/>
  <c r="BO293" i="1"/>
  <c r="BO289" i="1"/>
  <c r="BO285" i="1"/>
  <c r="BO281" i="1"/>
  <c r="BO277" i="1"/>
  <c r="BO273" i="1"/>
  <c r="BO490" i="1"/>
  <c r="BO452" i="1"/>
  <c r="BO436" i="1"/>
  <c r="BO412" i="1"/>
  <c r="BO494" i="1"/>
  <c r="BO450" i="1"/>
  <c r="BO434" i="1"/>
  <c r="BO424" i="1"/>
  <c r="BO410" i="1"/>
  <c r="BO407" i="1"/>
  <c r="BO404" i="1"/>
  <c r="BO398" i="1"/>
  <c r="BO394" i="1"/>
  <c r="BO390" i="1"/>
  <c r="BO386" i="1"/>
  <c r="BO382" i="1"/>
  <c r="BO378" i="1"/>
  <c r="BO374" i="1"/>
  <c r="BO370" i="1"/>
  <c r="BO366" i="1"/>
  <c r="BO362" i="1"/>
  <c r="BO358" i="1"/>
  <c r="BO354" i="1"/>
  <c r="BO350" i="1"/>
  <c r="BO346" i="1"/>
  <c r="BO342" i="1"/>
  <c r="BO338" i="1"/>
  <c r="BO334" i="1"/>
  <c r="BO330" i="1"/>
  <c r="BO326" i="1"/>
  <c r="BO322" i="1"/>
  <c r="BO318" i="1"/>
  <c r="BO498" i="1"/>
  <c r="BO466" i="1"/>
  <c r="BO464" i="1"/>
  <c r="BO448" i="1"/>
  <c r="BO432" i="1"/>
  <c r="BO414" i="1"/>
  <c r="BO430" i="1"/>
  <c r="BO387" i="1"/>
  <c r="BO355" i="1"/>
  <c r="BO269" i="1"/>
  <c r="BO265" i="1"/>
  <c r="BO261" i="1"/>
  <c r="BO257" i="1"/>
  <c r="BO253" i="1"/>
  <c r="BO249" i="1"/>
  <c r="BO245" i="1"/>
  <c r="BO241" i="1"/>
  <c r="BO237" i="1"/>
  <c r="BO233" i="1"/>
  <c r="BO229" i="1"/>
  <c r="BO225" i="1"/>
  <c r="BO221" i="1"/>
  <c r="BO217" i="1"/>
  <c r="BO213" i="1"/>
  <c r="BO209" i="1"/>
  <c r="BO205" i="1"/>
  <c r="BO201" i="1"/>
  <c r="BO197" i="1"/>
  <c r="BO193" i="1"/>
  <c r="BO189" i="1"/>
  <c r="BO185" i="1"/>
  <c r="BO181" i="1"/>
  <c r="BO177" i="1"/>
  <c r="BO173" i="1"/>
  <c r="BO169" i="1"/>
  <c r="BO165" i="1"/>
  <c r="BO161" i="1"/>
  <c r="BO157" i="1"/>
  <c r="BO153" i="1"/>
  <c r="BO149" i="1"/>
  <c r="BO145" i="1"/>
  <c r="BO141" i="1"/>
  <c r="BO137" i="1"/>
  <c r="BO470" i="1"/>
  <c r="BO418" i="1"/>
  <c r="BO391" i="1"/>
  <c r="BO359" i="1"/>
  <c r="BO314" i="1"/>
  <c r="BO303" i="1"/>
  <c r="BO298" i="1"/>
  <c r="BO287" i="1"/>
  <c r="BO282" i="1"/>
  <c r="BO462" i="1"/>
  <c r="BO395" i="1"/>
  <c r="BO363" i="1"/>
  <c r="BO270" i="1"/>
  <c r="BO266" i="1"/>
  <c r="BO262" i="1"/>
  <c r="BO258" i="1"/>
  <c r="BO254" i="1"/>
  <c r="BO250" i="1"/>
  <c r="BO246" i="1"/>
  <c r="BO242" i="1"/>
  <c r="BO238" i="1"/>
  <c r="BO234" i="1"/>
  <c r="BO230" i="1"/>
  <c r="BO226" i="1"/>
  <c r="BO222" i="1"/>
  <c r="BO218" i="1"/>
  <c r="BO214" i="1"/>
  <c r="BO210" i="1"/>
  <c r="BO206" i="1"/>
  <c r="BO202" i="1"/>
  <c r="BO198" i="1"/>
  <c r="BO194" i="1"/>
  <c r="BO190" i="1"/>
  <c r="BO186" i="1"/>
  <c r="BO182" i="1"/>
  <c r="BO178" i="1"/>
  <c r="BO174" i="1"/>
  <c r="BO170" i="1"/>
  <c r="BO166" i="1"/>
  <c r="BO162" i="1"/>
  <c r="BO158" i="1"/>
  <c r="BO154" i="1"/>
  <c r="BO150" i="1"/>
  <c r="BO146" i="1"/>
  <c r="BO142" i="1"/>
  <c r="BO138" i="1"/>
  <c r="BO134" i="1"/>
  <c r="BO130" i="1"/>
  <c r="BO402" i="1"/>
  <c r="BO399" i="1"/>
  <c r="BO367" i="1"/>
  <c r="BO335" i="1"/>
  <c r="BO319" i="1"/>
  <c r="BO307" i="1"/>
  <c r="BO302" i="1"/>
  <c r="BO291" i="1"/>
  <c r="BO286" i="1"/>
  <c r="BO275" i="1"/>
  <c r="BO371" i="1"/>
  <c r="BO339" i="1"/>
  <c r="BO323" i="1"/>
  <c r="BO267" i="1"/>
  <c r="BO263" i="1"/>
  <c r="BO259" i="1"/>
  <c r="BO255" i="1"/>
  <c r="BO251" i="1"/>
  <c r="BO247" i="1"/>
  <c r="BO243" i="1"/>
  <c r="BO239" i="1"/>
  <c r="BO235" i="1"/>
  <c r="BO231" i="1"/>
  <c r="BO227" i="1"/>
  <c r="BO223" i="1"/>
  <c r="BO219" i="1"/>
  <c r="BO215" i="1"/>
  <c r="BO211" i="1"/>
  <c r="BO207" i="1"/>
  <c r="BO203" i="1"/>
  <c r="BO199" i="1"/>
  <c r="BO195" i="1"/>
  <c r="BO191" i="1"/>
  <c r="BO187" i="1"/>
  <c r="BO183" i="1"/>
  <c r="BO179" i="1"/>
  <c r="BO175" i="1"/>
  <c r="BO171" i="1"/>
  <c r="BO167" i="1"/>
  <c r="BO163" i="1"/>
  <c r="BO159" i="1"/>
  <c r="BO155" i="1"/>
  <c r="BO151" i="1"/>
  <c r="BO147" i="1"/>
  <c r="BO143" i="1"/>
  <c r="BO139" i="1"/>
  <c r="BO135" i="1"/>
  <c r="BO131" i="1"/>
  <c r="BO446" i="1"/>
  <c r="BO375" i="1"/>
  <c r="BO343" i="1"/>
  <c r="BO327" i="1"/>
  <c r="BO311" i="1"/>
  <c r="BO306" i="1"/>
  <c r="BO295" i="1"/>
  <c r="BO290" i="1"/>
  <c r="BO279" i="1"/>
  <c r="BO271" i="1"/>
  <c r="BO379" i="1"/>
  <c r="BO347" i="1"/>
  <c r="BO331" i="1"/>
  <c r="BO268" i="1"/>
  <c r="BO264" i="1"/>
  <c r="BO260" i="1"/>
  <c r="BO256" i="1"/>
  <c r="BO252" i="1"/>
  <c r="BO248" i="1"/>
  <c r="BO244" i="1"/>
  <c r="BO240" i="1"/>
  <c r="BO236" i="1"/>
  <c r="BO232" i="1"/>
  <c r="BO228" i="1"/>
  <c r="BO224" i="1"/>
  <c r="BO220" i="1"/>
  <c r="BO216" i="1"/>
  <c r="BO212" i="1"/>
  <c r="BO208" i="1"/>
  <c r="BO204" i="1"/>
  <c r="BO200" i="1"/>
  <c r="BO196" i="1"/>
  <c r="BO192" i="1"/>
  <c r="BO188" i="1"/>
  <c r="BO184" i="1"/>
  <c r="BO180" i="1"/>
  <c r="BO176" i="1"/>
  <c r="BO172" i="1"/>
  <c r="BO168" i="1"/>
  <c r="BO164" i="1"/>
  <c r="BO160" i="1"/>
  <c r="BO156" i="1"/>
  <c r="BO152" i="1"/>
  <c r="BO148" i="1"/>
  <c r="BO144" i="1"/>
  <c r="BO140" i="1"/>
  <c r="BO136" i="1"/>
  <c r="BO132" i="1"/>
  <c r="BO128" i="1"/>
  <c r="BO383" i="1"/>
  <c r="BO315" i="1"/>
  <c r="BO278" i="1"/>
  <c r="BO72" i="1"/>
  <c r="BO68" i="1"/>
  <c r="BO64" i="1"/>
  <c r="BO60" i="1"/>
  <c r="BO121" i="1"/>
  <c r="BO101" i="1"/>
  <c r="BO299" i="1"/>
  <c r="BO133" i="1"/>
  <c r="BO124" i="1"/>
  <c r="BO120" i="1"/>
  <c r="BO116" i="1"/>
  <c r="BO112" i="1"/>
  <c r="BO108" i="1"/>
  <c r="BO104" i="1"/>
  <c r="BO100" i="1"/>
  <c r="BO96" i="1"/>
  <c r="BO92" i="1"/>
  <c r="BO88" i="1"/>
  <c r="BO84" i="1"/>
  <c r="BO80" i="1"/>
  <c r="BO76" i="1"/>
  <c r="BO56" i="1"/>
  <c r="BO52" i="1"/>
  <c r="BO48" i="1"/>
  <c r="BO113" i="1"/>
  <c r="BO283" i="1"/>
  <c r="BO127" i="1"/>
  <c r="BO125" i="1"/>
  <c r="BO117" i="1"/>
  <c r="BO109" i="1"/>
  <c r="BO351" i="1"/>
  <c r="BO105" i="1"/>
  <c r="BO129" i="1"/>
  <c r="BO93" i="1"/>
  <c r="BO86" i="1"/>
  <c r="BO83" i="1"/>
  <c r="BO61" i="1"/>
  <c r="BO54" i="1"/>
  <c r="BO51" i="1"/>
  <c r="BO95" i="1"/>
  <c r="BO310" i="1"/>
  <c r="BO111" i="1"/>
  <c r="BO110" i="1"/>
  <c r="BO89" i="1"/>
  <c r="BO82" i="1"/>
  <c r="BO79" i="1"/>
  <c r="BO57" i="1"/>
  <c r="BO45" i="1"/>
  <c r="BO49" i="1"/>
  <c r="BO63" i="1"/>
  <c r="BO69" i="1"/>
  <c r="BO122" i="1"/>
  <c r="BO107" i="1"/>
  <c r="BO90" i="1"/>
  <c r="BO294" i="1"/>
  <c r="BO274" i="1"/>
  <c r="BO85" i="1"/>
  <c r="BO78" i="1"/>
  <c r="BO75" i="1"/>
  <c r="BO53" i="1"/>
  <c r="BO50" i="1"/>
  <c r="BO119" i="1"/>
  <c r="BO102" i="1"/>
  <c r="BO47" i="1"/>
  <c r="BO123" i="1"/>
  <c r="BO58" i="1"/>
  <c r="BO55" i="1"/>
  <c r="BO126" i="1"/>
  <c r="BO115" i="1"/>
  <c r="BO114" i="1"/>
  <c r="BO81" i="1"/>
  <c r="BO74" i="1"/>
  <c r="BO71" i="1"/>
  <c r="BO98" i="1"/>
  <c r="BO73" i="1"/>
  <c r="BO94" i="1"/>
  <c r="BO91" i="1"/>
  <c r="BO106" i="1"/>
  <c r="BO97" i="1"/>
  <c r="BO46" i="1"/>
  <c r="BO99" i="1"/>
  <c r="BO77" i="1"/>
  <c r="BO70" i="1"/>
  <c r="BO67" i="1"/>
  <c r="BO103" i="1"/>
  <c r="BO66" i="1"/>
  <c r="BO87" i="1"/>
  <c r="BO118" i="1"/>
  <c r="BO62" i="1"/>
  <c r="BO59" i="1"/>
  <c r="BO65" i="1"/>
  <c r="A29" i="57"/>
  <c r="G4" i="65"/>
  <c r="A4" i="65"/>
  <c r="A6" i="65"/>
  <c r="T26" i="1" l="1"/>
  <c r="Q26" i="1"/>
  <c r="B6" i="51"/>
  <c r="B7" i="51"/>
  <c r="T27" i="1" l="1"/>
  <c r="Q27" i="1"/>
  <c r="BO24" i="1"/>
  <c r="BO9" i="1"/>
  <c r="BO17" i="1"/>
  <c r="BO25" i="1"/>
  <c r="BO33" i="1"/>
  <c r="BO41" i="1"/>
  <c r="BO32" i="1"/>
  <c r="BO10" i="1"/>
  <c r="BO18" i="1"/>
  <c r="BO26" i="1"/>
  <c r="BO34" i="1"/>
  <c r="BO42" i="1"/>
  <c r="BO8" i="1"/>
  <c r="BO40" i="1"/>
  <c r="BO11" i="1"/>
  <c r="BO19" i="1"/>
  <c r="BO27" i="1"/>
  <c r="BO35" i="1"/>
  <c r="BO43" i="1"/>
  <c r="BO16" i="1"/>
  <c r="BO12" i="1"/>
  <c r="BO20" i="1"/>
  <c r="BO28" i="1"/>
  <c r="BO36" i="1"/>
  <c r="BO44" i="1"/>
  <c r="BO13" i="1"/>
  <c r="BO21" i="1"/>
  <c r="BO29" i="1"/>
  <c r="BO37" i="1"/>
  <c r="BO6" i="1"/>
  <c r="BO14" i="1"/>
  <c r="BO22" i="1"/>
  <c r="BO30" i="1"/>
  <c r="BO38" i="1"/>
  <c r="BO7" i="1"/>
  <c r="BO15" i="1"/>
  <c r="BO23" i="1"/>
  <c r="BO31" i="1"/>
  <c r="BO39" i="1"/>
  <c r="B3" i="75" l="1"/>
  <c r="T28" i="1"/>
  <c r="Q28" i="1"/>
  <c r="T29" i="1" l="1"/>
  <c r="Q29" i="1"/>
  <c r="H26" i="65"/>
  <c r="L26" i="65" s="1"/>
  <c r="E26" i="65"/>
  <c r="K26" i="65" s="1"/>
  <c r="K23" i="65" s="1"/>
  <c r="E20" i="65"/>
  <c r="L23" i="65" l="1"/>
  <c r="A120" i="71" s="1"/>
  <c r="A54" i="72" s="1"/>
  <c r="K28" i="65"/>
  <c r="A123" i="71"/>
  <c r="A57" i="72" s="1"/>
  <c r="T30" i="1"/>
  <c r="Q30" i="1"/>
  <c r="E28" i="65"/>
  <c r="D2" i="65"/>
  <c r="T31" i="1" l="1"/>
  <c r="Q31" i="1"/>
  <c r="C6" i="65"/>
  <c r="T32" i="1" l="1"/>
  <c r="Q32" i="1"/>
  <c r="A34" i="64"/>
  <c r="T33" i="1" l="1"/>
  <c r="Q33" i="1"/>
  <c r="A4" i="59"/>
  <c r="B48" i="51"/>
  <c r="G6" i="51"/>
  <c r="A9" i="57"/>
  <c r="D12" i="62"/>
  <c r="T34" i="1" l="1"/>
  <c r="Q34" i="1"/>
  <c r="D38" i="59"/>
  <c r="A3" i="57"/>
  <c r="A5" i="57"/>
  <c r="A36" i="57"/>
  <c r="L36" i="57"/>
  <c r="G38" i="57"/>
  <c r="T35" i="1" l="1"/>
  <c r="Q35" i="1"/>
  <c r="G24" i="51"/>
  <c r="E24" i="51"/>
  <c r="E13" i="51"/>
  <c r="G10" i="51"/>
  <c r="E10" i="51"/>
  <c r="D3" i="51"/>
  <c r="A2" i="1"/>
  <c r="B3" i="52" s="1"/>
  <c r="M606" i="1"/>
  <c r="L606" i="1"/>
  <c r="J606" i="1"/>
  <c r="I606" i="1"/>
  <c r="A6" i="1"/>
  <c r="D5" i="1"/>
  <c r="E6" i="52" s="1"/>
  <c r="N6" i="1"/>
  <c r="K6" i="1"/>
  <c r="V5" i="1"/>
  <c r="S6" i="52"/>
  <c r="V6" i="52"/>
  <c r="U38" i="52"/>
  <c r="K7" i="1" l="1"/>
  <c r="E608" i="1"/>
  <c r="T36" i="1"/>
  <c r="U37" i="52"/>
  <c r="V37" i="52" s="1"/>
  <c r="V38" i="52"/>
  <c r="V39" i="52" s="1"/>
  <c r="Q36" i="1"/>
  <c r="N7" i="1"/>
  <c r="A7" i="1"/>
  <c r="V7" i="1" s="1"/>
  <c r="X610" i="1"/>
  <c r="X611" i="1" s="1"/>
  <c r="AC610" i="1"/>
  <c r="AC611" i="1" s="1"/>
  <c r="AF610" i="1"/>
  <c r="AF612" i="1" s="1"/>
  <c r="AF613" i="1" s="1"/>
  <c r="AK610" i="1"/>
  <c r="AK614" i="1" s="1"/>
  <c r="AK615" i="1" s="1"/>
  <c r="AG610" i="1"/>
  <c r="AG611" i="1" s="1"/>
  <c r="Y610" i="1"/>
  <c r="Z610" i="1"/>
  <c r="Z614" i="1" s="1"/>
  <c r="Z615" i="1" s="1"/>
  <c r="AH610" i="1"/>
  <c r="AH611" i="1" s="1"/>
  <c r="AA610" i="1"/>
  <c r="AA612" i="1" s="1"/>
  <c r="AA613" i="1" s="1"/>
  <c r="AI610" i="1"/>
  <c r="AI611" i="1" s="1"/>
  <c r="W610" i="1"/>
  <c r="W612" i="1" s="1"/>
  <c r="W613" i="1" s="1"/>
  <c r="AB610" i="1"/>
  <c r="AB612" i="1" s="1"/>
  <c r="AB613" i="1" s="1"/>
  <c r="AJ610" i="1"/>
  <c r="AJ614" i="1" s="1"/>
  <c r="AJ615" i="1" s="1"/>
  <c r="A62" i="71"/>
  <c r="E19" i="51"/>
  <c r="E25" i="51" s="1"/>
  <c r="N606" i="1"/>
  <c r="N607" i="1" s="1"/>
  <c r="H15" i="65" s="1"/>
  <c r="L15" i="65" s="1"/>
  <c r="A114" i="71" s="1"/>
  <c r="A48" i="72" s="1"/>
  <c r="K606" i="1"/>
  <c r="K607" i="1" s="1"/>
  <c r="H14" i="65" s="1"/>
  <c r="L14" i="65" s="1"/>
  <c r="V6" i="1"/>
  <c r="C3" i="69" s="1"/>
  <c r="V7" i="52"/>
  <c r="S7" i="52"/>
  <c r="K8" i="1" l="1"/>
  <c r="L20" i="65"/>
  <c r="A113" i="71"/>
  <c r="A47" i="72" s="1"/>
  <c r="T37" i="1"/>
  <c r="Q37" i="1"/>
  <c r="N8" i="1"/>
  <c r="J612" i="1"/>
  <c r="J614" i="1" s="1"/>
  <c r="A8" i="1"/>
  <c r="A9" i="1" s="1"/>
  <c r="G14" i="51"/>
  <c r="AF611" i="1"/>
  <c r="X612" i="1"/>
  <c r="X613" i="1" s="1"/>
  <c r="AC612" i="1"/>
  <c r="AC613" i="1" s="1"/>
  <c r="AG612" i="1"/>
  <c r="AG613" i="1" s="1"/>
  <c r="AK611" i="1"/>
  <c r="Y614" i="1"/>
  <c r="Y615" i="1" s="1"/>
  <c r="E610" i="1"/>
  <c r="E607" i="1" s="1"/>
  <c r="AA611" i="1"/>
  <c r="Z611" i="1"/>
  <c r="AH614" i="1"/>
  <c r="AH615" i="1" s="1"/>
  <c r="AI614" i="1"/>
  <c r="AI615" i="1" s="1"/>
  <c r="Y611" i="1"/>
  <c r="AB611" i="1"/>
  <c r="AJ611" i="1"/>
  <c r="W611" i="1"/>
  <c r="C6" i="58"/>
  <c r="G13" i="51"/>
  <c r="AW38" i="52"/>
  <c r="AY38" i="52"/>
  <c r="S8" i="52"/>
  <c r="V8" i="52"/>
  <c r="BB38" i="52"/>
  <c r="AX38" i="52"/>
  <c r="BA38" i="52"/>
  <c r="K38" i="52"/>
  <c r="O38" i="52"/>
  <c r="N38" i="52"/>
  <c r="L38" i="52"/>
  <c r="K9" i="1" l="1"/>
  <c r="A1" i="51"/>
  <c r="B1" i="51" s="1"/>
  <c r="B6" i="75"/>
  <c r="L10" i="65"/>
  <c r="A109" i="71" s="1"/>
  <c r="A43" i="72" s="1"/>
  <c r="A119" i="71"/>
  <c r="A53" i="72" s="1"/>
  <c r="L28" i="65"/>
  <c r="A124" i="71" s="1"/>
  <c r="A58" i="72" s="1"/>
  <c r="L40" i="52"/>
  <c r="AC40" i="52"/>
  <c r="E39" i="52"/>
  <c r="BA39" i="52"/>
  <c r="AW39" i="52"/>
  <c r="N612" i="1"/>
  <c r="N614" i="1"/>
  <c r="T38" i="1"/>
  <c r="Q38" i="1"/>
  <c r="N9" i="1"/>
  <c r="V8" i="1"/>
  <c r="M611" i="1"/>
  <c r="M612" i="1"/>
  <c r="H20" i="65"/>
  <c r="M38" i="52"/>
  <c r="M39" i="52" s="1"/>
  <c r="P38" i="52"/>
  <c r="P39" i="52" s="1"/>
  <c r="G19" i="51"/>
  <c r="G25" i="51" s="1"/>
  <c r="A10" i="1"/>
  <c r="V9" i="1"/>
  <c r="V9" i="52"/>
  <c r="S9" i="52"/>
  <c r="K10" i="1" l="1"/>
  <c r="AO40" i="52"/>
  <c r="BA40" i="52"/>
  <c r="T39" i="1"/>
  <c r="Q39" i="1"/>
  <c r="N10" i="1"/>
  <c r="K37" i="52"/>
  <c r="O37" i="52"/>
  <c r="N37" i="52"/>
  <c r="L37" i="52"/>
  <c r="H28" i="65"/>
  <c r="M614" i="1"/>
  <c r="K614" i="1" s="1"/>
  <c r="N617" i="1" s="1"/>
  <c r="W617" i="1" s="1"/>
  <c r="AW37" i="52"/>
  <c r="AT37" i="52"/>
  <c r="AY37" i="52"/>
  <c r="AX37" i="52"/>
  <c r="AU37" i="52"/>
  <c r="BB37" i="52"/>
  <c r="BA37" i="52"/>
  <c r="A11" i="1"/>
  <c r="V10" i="1"/>
  <c r="S10" i="52"/>
  <c r="V10" i="52"/>
  <c r="K11" i="1" l="1"/>
  <c r="T40" i="1"/>
  <c r="Q40" i="1"/>
  <c r="N11" i="1"/>
  <c r="N618" i="1"/>
  <c r="Y618" i="1" s="1"/>
  <c r="W619" i="1"/>
  <c r="X617" i="1"/>
  <c r="V11" i="1"/>
  <c r="A12" i="1"/>
  <c r="V11" i="52"/>
  <c r="S11" i="52"/>
  <c r="K12" i="1" l="1"/>
  <c r="T41" i="1"/>
  <c r="Q41" i="1"/>
  <c r="Y619" i="1"/>
  <c r="N12" i="1"/>
  <c r="Z618" i="1"/>
  <c r="Z619" i="1" s="1"/>
  <c r="AA617" i="1"/>
  <c r="X619" i="1"/>
  <c r="A13" i="1"/>
  <c r="V12" i="1"/>
  <c r="V12" i="52"/>
  <c r="S12" i="52"/>
  <c r="K13" i="1" l="1"/>
  <c r="T42" i="1"/>
  <c r="Q42" i="1"/>
  <c r="N13" i="1"/>
  <c r="AH618" i="1"/>
  <c r="AI618" i="1" s="1"/>
  <c r="AI619" i="1" s="1"/>
  <c r="AA619" i="1"/>
  <c r="AB617" i="1"/>
  <c r="A14" i="1"/>
  <c r="V13" i="1"/>
  <c r="V13" i="52"/>
  <c r="S13" i="52"/>
  <c r="K14" i="1" l="1"/>
  <c r="T43" i="1"/>
  <c r="Q43" i="1"/>
  <c r="N14" i="1"/>
  <c r="AJ618" i="1"/>
  <c r="AJ619" i="1" s="1"/>
  <c r="AH619" i="1"/>
  <c r="AB619" i="1"/>
  <c r="AC617" i="1"/>
  <c r="A15" i="1"/>
  <c r="V14" i="1"/>
  <c r="V14" i="52"/>
  <c r="S14" i="52"/>
  <c r="K15" i="1" l="1"/>
  <c r="T44" i="1"/>
  <c r="Q44" i="1"/>
  <c r="N15" i="1"/>
  <c r="AK618" i="1"/>
  <c r="AC619" i="1"/>
  <c r="AD617" i="1"/>
  <c r="V15" i="1"/>
  <c r="A16" i="1"/>
  <c r="S15" i="52"/>
  <c r="V15" i="52"/>
  <c r="K16" i="1" l="1"/>
  <c r="T45" i="1"/>
  <c r="Q45" i="1"/>
  <c r="AK619" i="1"/>
  <c r="M618" i="1" s="1"/>
  <c r="N16" i="1"/>
  <c r="AD619" i="1"/>
  <c r="AE617" i="1"/>
  <c r="A17" i="1"/>
  <c r="V16" i="1"/>
  <c r="V16" i="52"/>
  <c r="S16" i="52"/>
  <c r="K17" i="1" l="1"/>
  <c r="T46" i="1"/>
  <c r="Q46" i="1"/>
  <c r="N17" i="1"/>
  <c r="AE619" i="1"/>
  <c r="AF617" i="1"/>
  <c r="A18" i="1"/>
  <c r="V17" i="1"/>
  <c r="V17" i="52"/>
  <c r="S17" i="52"/>
  <c r="K18" i="1" l="1"/>
  <c r="T47" i="1"/>
  <c r="Q47" i="1"/>
  <c r="N18" i="1"/>
  <c r="AF619" i="1"/>
  <c r="AG617" i="1"/>
  <c r="A19" i="1"/>
  <c r="V18" i="1"/>
  <c r="S18" i="52"/>
  <c r="V18" i="52"/>
  <c r="K19" i="1" l="1"/>
  <c r="T48" i="1"/>
  <c r="Q48" i="1"/>
  <c r="N19" i="1"/>
  <c r="AG619" i="1"/>
  <c r="M617" i="1" s="1"/>
  <c r="M619" i="1" s="1"/>
  <c r="K619" i="1" s="1"/>
  <c r="V19" i="1"/>
  <c r="A20" i="1"/>
  <c r="V19" i="52"/>
  <c r="S19" i="52"/>
  <c r="K20" i="1" l="1"/>
  <c r="T49" i="1"/>
  <c r="Q49" i="1"/>
  <c r="N20" i="1"/>
  <c r="N621" i="1"/>
  <c r="W621" i="1" s="1"/>
  <c r="N622" i="1"/>
  <c r="Y622" i="1" s="1"/>
  <c r="A21" i="1"/>
  <c r="V20" i="1"/>
  <c r="V20" i="52"/>
  <c r="S20" i="52"/>
  <c r="K21" i="1" l="1"/>
  <c r="T50" i="1"/>
  <c r="Q50" i="1"/>
  <c r="N21" i="1"/>
  <c r="W623" i="1"/>
  <c r="X621" i="1"/>
  <c r="AA621" i="1" s="1"/>
  <c r="AB621" i="1" s="1"/>
  <c r="Y623" i="1"/>
  <c r="Z622" i="1"/>
  <c r="A22" i="1"/>
  <c r="V21" i="1"/>
  <c r="S21" i="52"/>
  <c r="V21" i="52"/>
  <c r="K22" i="1" l="1"/>
  <c r="T51" i="1"/>
  <c r="Q51" i="1"/>
  <c r="N22" i="1"/>
  <c r="AC621" i="1"/>
  <c r="AD621" i="1" s="1"/>
  <c r="AB623" i="1"/>
  <c r="AH622" i="1"/>
  <c r="AI622" i="1" s="1"/>
  <c r="Z623" i="1"/>
  <c r="AA623" i="1"/>
  <c r="X623" i="1"/>
  <c r="A23" i="1"/>
  <c r="V22" i="1"/>
  <c r="S22" i="52"/>
  <c r="V22" i="52"/>
  <c r="K23" i="1" l="1"/>
  <c r="T52" i="1"/>
  <c r="Q52" i="1"/>
  <c r="N23" i="1"/>
  <c r="AI623" i="1"/>
  <c r="AE621" i="1"/>
  <c r="AD623" i="1"/>
  <c r="AH623" i="1"/>
  <c r="AJ622" i="1"/>
  <c r="AC623" i="1"/>
  <c r="V23" i="1"/>
  <c r="A24" i="1"/>
  <c r="V23" i="52"/>
  <c r="S23" i="52"/>
  <c r="K24" i="1" l="1"/>
  <c r="T53" i="1"/>
  <c r="Q53" i="1"/>
  <c r="N24" i="1"/>
  <c r="AJ623" i="1"/>
  <c r="AK622" i="1"/>
  <c r="AE623" i="1"/>
  <c r="AF621" i="1"/>
  <c r="A25" i="1"/>
  <c r="V24" i="1"/>
  <c r="V24" i="52"/>
  <c r="S24" i="52"/>
  <c r="K25" i="1" l="1"/>
  <c r="T54" i="1"/>
  <c r="Q54" i="1"/>
  <c r="N25" i="1"/>
  <c r="AF623" i="1"/>
  <c r="AG621" i="1"/>
  <c r="AK623" i="1"/>
  <c r="M622" i="1" s="1"/>
  <c r="A26" i="1"/>
  <c r="V25" i="1"/>
  <c r="V25" i="52"/>
  <c r="S25" i="52"/>
  <c r="K26" i="1" l="1"/>
  <c r="T55" i="1"/>
  <c r="Q55" i="1"/>
  <c r="N26" i="1"/>
  <c r="AG623" i="1"/>
  <c r="M621" i="1" s="1"/>
  <c r="M623" i="1" s="1"/>
  <c r="K623" i="1" s="1"/>
  <c r="A27" i="1"/>
  <c r="V26" i="1"/>
  <c r="V26" i="52"/>
  <c r="S26" i="52"/>
  <c r="K27" i="1" l="1"/>
  <c r="T56" i="1"/>
  <c r="Q56" i="1"/>
  <c r="N27" i="1"/>
  <c r="N625" i="1"/>
  <c r="W625" i="1" s="1"/>
  <c r="N626" i="1"/>
  <c r="Y626" i="1" s="1"/>
  <c r="V27" i="1"/>
  <c r="A28" i="1"/>
  <c r="V27" i="52"/>
  <c r="S27" i="52"/>
  <c r="K28" i="1" l="1"/>
  <c r="T57" i="1"/>
  <c r="Q57" i="1"/>
  <c r="N28" i="1"/>
  <c r="W627" i="1"/>
  <c r="X625" i="1"/>
  <c r="Y627" i="1"/>
  <c r="Z626" i="1"/>
  <c r="AH626" i="1" s="1"/>
  <c r="A29" i="1"/>
  <c r="V28" i="1"/>
  <c r="V28" i="52"/>
  <c r="S28" i="52"/>
  <c r="K29" i="1" l="1"/>
  <c r="T58" i="1"/>
  <c r="Q58" i="1"/>
  <c r="N29" i="1"/>
  <c r="AI626" i="1"/>
  <c r="AJ626" i="1" s="1"/>
  <c r="AH627" i="1"/>
  <c r="AA625" i="1"/>
  <c r="X627" i="1"/>
  <c r="Z627" i="1"/>
  <c r="A30" i="1"/>
  <c r="V29" i="1"/>
  <c r="V29" i="52"/>
  <c r="S29" i="52"/>
  <c r="K30" i="1" l="1"/>
  <c r="T59" i="1"/>
  <c r="Q59" i="1"/>
  <c r="N30" i="1"/>
  <c r="AJ627" i="1"/>
  <c r="AK626" i="1"/>
  <c r="AA627" i="1"/>
  <c r="AB625" i="1"/>
  <c r="AI627" i="1"/>
  <c r="A31" i="1"/>
  <c r="V30" i="1"/>
  <c r="S30" i="52"/>
  <c r="V30" i="52"/>
  <c r="K31" i="1" l="1"/>
  <c r="T60" i="1"/>
  <c r="Q60" i="1"/>
  <c r="N31" i="1"/>
  <c r="AB627" i="1"/>
  <c r="AK627" i="1"/>
  <c r="M626" i="1" s="1"/>
  <c r="AC625" i="1"/>
  <c r="V31" i="1"/>
  <c r="A32" i="1"/>
  <c r="V31" i="52"/>
  <c r="S31" i="52"/>
  <c r="K32" i="1" l="1"/>
  <c r="T61" i="1"/>
  <c r="Q61" i="1"/>
  <c r="N32" i="1"/>
  <c r="AC627" i="1"/>
  <c r="AD625" i="1"/>
  <c r="A33" i="1"/>
  <c r="V32" i="1"/>
  <c r="V32" i="52"/>
  <c r="S32" i="52"/>
  <c r="K33" i="1" l="1"/>
  <c r="T62" i="1"/>
  <c r="Q62" i="1"/>
  <c r="N33" i="1"/>
  <c r="AD627" i="1"/>
  <c r="AE625" i="1"/>
  <c r="A34" i="1"/>
  <c r="V33" i="1"/>
  <c r="V33" i="52"/>
  <c r="S33" i="52"/>
  <c r="K34" i="1" l="1"/>
  <c r="T63" i="1"/>
  <c r="Q63" i="1"/>
  <c r="N34" i="1"/>
  <c r="AE627" i="1"/>
  <c r="AF625" i="1"/>
  <c r="V34" i="1"/>
  <c r="A35" i="1"/>
  <c r="V34" i="52"/>
  <c r="S34" i="52"/>
  <c r="K35" i="1" l="1"/>
  <c r="T64" i="1"/>
  <c r="Q64" i="1"/>
  <c r="N35" i="1"/>
  <c r="AF627" i="1"/>
  <c r="AG625" i="1"/>
  <c r="V35" i="1"/>
  <c r="A36" i="1"/>
  <c r="M6" i="52"/>
  <c r="R38" i="52"/>
  <c r="AT38" i="52"/>
  <c r="S35" i="52"/>
  <c r="AO38" i="52"/>
  <c r="AU38" i="52"/>
  <c r="V35" i="52"/>
  <c r="P6" i="52"/>
  <c r="Q38" i="52"/>
  <c r="P37" i="52" l="1"/>
  <c r="M37" i="52"/>
  <c r="K36" i="1"/>
  <c r="P40" i="52"/>
  <c r="AO39" i="52"/>
  <c r="T65" i="1"/>
  <c r="Q65" i="1"/>
  <c r="R37" i="52"/>
  <c r="AO37" i="52"/>
  <c r="Q37" i="52"/>
  <c r="S38" i="52"/>
  <c r="S39" i="52" s="1"/>
  <c r="N36" i="1"/>
  <c r="AG627" i="1"/>
  <c r="M625" i="1" s="1"/>
  <c r="M627" i="1" s="1"/>
  <c r="K627" i="1" s="1"/>
  <c r="A37" i="1"/>
  <c r="V36" i="1"/>
  <c r="V36" i="52"/>
  <c r="M7" i="52"/>
  <c r="P7" i="52"/>
  <c r="S36" i="52"/>
  <c r="N37" i="1" l="1"/>
  <c r="K37" i="1"/>
  <c r="T66" i="1"/>
  <c r="Q66" i="1"/>
  <c r="S37" i="52"/>
  <c r="N630" i="1"/>
  <c r="Y630" i="1" s="1"/>
  <c r="N629" i="1"/>
  <c r="W629" i="1" s="1"/>
  <c r="A38" i="1"/>
  <c r="V37" i="1"/>
  <c r="P8" i="52"/>
  <c r="M8" i="52"/>
  <c r="K38" i="1" l="1"/>
  <c r="N38" i="1"/>
  <c r="T67" i="1"/>
  <c r="Q67" i="1"/>
  <c r="W631" i="1"/>
  <c r="X629" i="1"/>
  <c r="X631" i="1" s="1"/>
  <c r="X606" i="1" s="1"/>
  <c r="Y631" i="1"/>
  <c r="Z630" i="1"/>
  <c r="Z631" i="1" s="1"/>
  <c r="Z606" i="1" s="1"/>
  <c r="V38" i="1"/>
  <c r="A39" i="1"/>
  <c r="M9" i="52"/>
  <c r="P9" i="52"/>
  <c r="N39" i="1" l="1"/>
  <c r="K39" i="1"/>
  <c r="T68" i="1"/>
  <c r="Q68" i="1"/>
  <c r="D29" i="51"/>
  <c r="A22" i="72" s="1"/>
  <c r="D38" i="51"/>
  <c r="AH630" i="1"/>
  <c r="AA629" i="1"/>
  <c r="Y606" i="1"/>
  <c r="W606" i="1"/>
  <c r="V39" i="1"/>
  <c r="A40" i="1"/>
  <c r="P10" i="52"/>
  <c r="M10" i="52"/>
  <c r="K40" i="1" l="1"/>
  <c r="N40" i="1"/>
  <c r="T69" i="1"/>
  <c r="Q69" i="1"/>
  <c r="H29" i="51"/>
  <c r="H38" i="51"/>
  <c r="W607" i="1"/>
  <c r="Y607" i="1"/>
  <c r="AH631" i="1"/>
  <c r="AH606" i="1" s="1"/>
  <c r="AI630" i="1"/>
  <c r="D30" i="51"/>
  <c r="AA631" i="1"/>
  <c r="AB629" i="1"/>
  <c r="AB631" i="1" s="1"/>
  <c r="AB606" i="1" s="1"/>
  <c r="D40" i="51"/>
  <c r="A41" i="1"/>
  <c r="V40" i="1"/>
  <c r="M11" i="52"/>
  <c r="P11" i="52"/>
  <c r="N41" i="1" l="1"/>
  <c r="K41" i="1"/>
  <c r="T70" i="1"/>
  <c r="Q70" i="1"/>
  <c r="F31" i="51"/>
  <c r="F40" i="51"/>
  <c r="AI631" i="1"/>
  <c r="AI606" i="1" s="1"/>
  <c r="AJ630" i="1"/>
  <c r="D44" i="51"/>
  <c r="AC629" i="1"/>
  <c r="D37" i="51"/>
  <c r="AA606" i="1"/>
  <c r="Y608" i="1"/>
  <c r="A42" i="1"/>
  <c r="V41" i="1"/>
  <c r="P12" i="52"/>
  <c r="M12" i="52"/>
  <c r="K42" i="1" l="1"/>
  <c r="N42" i="1"/>
  <c r="E21" i="58"/>
  <c r="A52" i="71" s="1"/>
  <c r="T71" i="1"/>
  <c r="Q71" i="1"/>
  <c r="H40" i="51"/>
  <c r="H31" i="51"/>
  <c r="F41" i="51"/>
  <c r="AJ631" i="1"/>
  <c r="AK630" i="1"/>
  <c r="D45" i="51"/>
  <c r="AC631" i="1"/>
  <c r="AD629" i="1"/>
  <c r="F30" i="51"/>
  <c r="V42" i="1"/>
  <c r="A43" i="1"/>
  <c r="M13" i="52"/>
  <c r="P13" i="52"/>
  <c r="N43" i="1" l="1"/>
  <c r="K43" i="1"/>
  <c r="A20" i="72"/>
  <c r="T72" i="1"/>
  <c r="Q72" i="1"/>
  <c r="AK631" i="1"/>
  <c r="AK606" i="1" s="1"/>
  <c r="F43" i="51" s="1"/>
  <c r="H41" i="51"/>
  <c r="AJ606" i="1"/>
  <c r="H30" i="51"/>
  <c r="AD631" i="1"/>
  <c r="AD606" i="1" s="1"/>
  <c r="AE629" i="1"/>
  <c r="AC606" i="1"/>
  <c r="V43" i="1"/>
  <c r="A44" i="1"/>
  <c r="A45" i="1" s="1"/>
  <c r="P14" i="52"/>
  <c r="M14" i="52"/>
  <c r="K44" i="1" l="1"/>
  <c r="N44" i="1"/>
  <c r="T73" i="1"/>
  <c r="Q73" i="1"/>
  <c r="M630" i="1"/>
  <c r="H43" i="51"/>
  <c r="F33" i="51"/>
  <c r="F42" i="51"/>
  <c r="AH607" i="1"/>
  <c r="F32" i="51"/>
  <c r="E24" i="58" s="1"/>
  <c r="A53" i="71" s="1"/>
  <c r="AE631" i="1"/>
  <c r="AF629" i="1"/>
  <c r="H33" i="51"/>
  <c r="A46" i="1"/>
  <c r="V45" i="1"/>
  <c r="V44" i="1"/>
  <c r="M15" i="52"/>
  <c r="P15" i="52"/>
  <c r="N45" i="1" l="1"/>
  <c r="K45" i="1"/>
  <c r="T74" i="1"/>
  <c r="Q74" i="1"/>
  <c r="H42" i="51"/>
  <c r="H44" i="51" s="1"/>
  <c r="F44" i="51"/>
  <c r="AF631" i="1"/>
  <c r="AF606" i="1" s="1"/>
  <c r="AG629" i="1"/>
  <c r="AG631" i="1" s="1"/>
  <c r="AG606" i="1" s="1"/>
  <c r="AE606" i="1"/>
  <c r="H32" i="51"/>
  <c r="V46" i="1"/>
  <c r="A47" i="1"/>
  <c r="P16" i="52"/>
  <c r="M16" i="52"/>
  <c r="K46" i="1" l="1"/>
  <c r="N46" i="1"/>
  <c r="D10" i="59"/>
  <c r="A70" i="71" s="1"/>
  <c r="E11" i="58"/>
  <c r="A50" i="71" s="1"/>
  <c r="T75" i="1"/>
  <c r="Q75" i="1"/>
  <c r="F35" i="51"/>
  <c r="E20" i="58" s="1"/>
  <c r="F36" i="51"/>
  <c r="F34" i="51"/>
  <c r="AA607" i="1"/>
  <c r="AH608" i="1" s="1"/>
  <c r="F39" i="52" s="1"/>
  <c r="M629" i="1"/>
  <c r="M631" i="1" s="1"/>
  <c r="K631" i="1" s="1"/>
  <c r="V47" i="1"/>
  <c r="A48" i="1"/>
  <c r="P17" i="52"/>
  <c r="M17" i="52"/>
  <c r="N47" i="1" l="1"/>
  <c r="K47" i="1"/>
  <c r="H35" i="51"/>
  <c r="T76" i="1"/>
  <c r="Q76" i="1"/>
  <c r="AL607" i="1"/>
  <c r="H36" i="51"/>
  <c r="E16" i="58"/>
  <c r="A60" i="71" s="1"/>
  <c r="A66" i="71"/>
  <c r="A7" i="72" s="1"/>
  <c r="D22" i="59"/>
  <c r="A8" i="72" s="1"/>
  <c r="A63" i="71"/>
  <c r="A19" i="72"/>
  <c r="L16" i="57"/>
  <c r="A9" i="71" s="1"/>
  <c r="H34" i="51"/>
  <c r="F37" i="51"/>
  <c r="A49" i="1"/>
  <c r="V48" i="1"/>
  <c r="P18" i="52"/>
  <c r="M18" i="52"/>
  <c r="K48" i="1" l="1"/>
  <c r="N48" i="1"/>
  <c r="E19" i="58"/>
  <c r="A49" i="71" s="1"/>
  <c r="H37" i="51"/>
  <c r="D37" i="62" s="1"/>
  <c r="A83" i="71" s="1"/>
  <c r="T77" i="1"/>
  <c r="Q77" i="1"/>
  <c r="F45" i="51"/>
  <c r="A50" i="1"/>
  <c r="V49" i="1"/>
  <c r="M19" i="52"/>
  <c r="P19" i="52"/>
  <c r="N49" i="1" l="1"/>
  <c r="K49" i="1"/>
  <c r="A18" i="72"/>
  <c r="H45" i="51"/>
  <c r="E5" i="58" s="1"/>
  <c r="A59" i="71" s="1"/>
  <c r="T78" i="1"/>
  <c r="Q78" i="1"/>
  <c r="E32" i="58"/>
  <c r="A51" i="71" s="1"/>
  <c r="A51" i="1"/>
  <c r="V50" i="1"/>
  <c r="P20" i="52"/>
  <c r="M20" i="52"/>
  <c r="K50" i="1" l="1"/>
  <c r="N50" i="1"/>
  <c r="T79" i="1"/>
  <c r="Q79" i="1"/>
  <c r="C3" i="63"/>
  <c r="A54" i="71" s="1"/>
  <c r="V51" i="1"/>
  <c r="A52" i="1"/>
  <c r="M21" i="52"/>
  <c r="P21" i="52"/>
  <c r="N51" i="1" l="1"/>
  <c r="K51" i="1"/>
  <c r="T80" i="1"/>
  <c r="Q80" i="1"/>
  <c r="C6" i="63"/>
  <c r="A46" i="71" s="1"/>
  <c r="A53" i="1"/>
  <c r="V52" i="1"/>
  <c r="P22" i="52"/>
  <c r="M22" i="52"/>
  <c r="K52" i="1" l="1"/>
  <c r="N52" i="1"/>
  <c r="T81" i="1"/>
  <c r="Q81" i="1"/>
  <c r="C15" i="63"/>
  <c r="A45" i="71" s="1"/>
  <c r="A61" i="71"/>
  <c r="A54" i="1"/>
  <c r="V53" i="1"/>
  <c r="M23" i="52"/>
  <c r="P23" i="52"/>
  <c r="N53" i="1" l="1"/>
  <c r="K53" i="1"/>
  <c r="T82" i="1"/>
  <c r="Q82" i="1"/>
  <c r="C17" i="63"/>
  <c r="A44" i="71" s="1"/>
  <c r="A55" i="1"/>
  <c r="V54" i="1"/>
  <c r="P24" i="52"/>
  <c r="M24" i="52"/>
  <c r="K54" i="1" l="1"/>
  <c r="N54" i="1"/>
  <c r="T83" i="1"/>
  <c r="Q83" i="1"/>
  <c r="C19" i="63"/>
  <c r="V55" i="1"/>
  <c r="A56" i="1"/>
  <c r="M25" i="52"/>
  <c r="P25" i="52"/>
  <c r="N55" i="1" l="1"/>
  <c r="K55" i="1"/>
  <c r="C22" i="63"/>
  <c r="A57" i="71" s="1"/>
  <c r="A47" i="71"/>
  <c r="T84" i="1"/>
  <c r="Q84" i="1"/>
  <c r="A57" i="1"/>
  <c r="V56" i="1"/>
  <c r="P26" i="52"/>
  <c r="M26" i="52"/>
  <c r="K56" i="1" l="1"/>
  <c r="N56" i="1"/>
  <c r="C26" i="63"/>
  <c r="A48" i="71" s="1"/>
  <c r="T85" i="1"/>
  <c r="Q85" i="1"/>
  <c r="A58" i="1"/>
  <c r="V57" i="1"/>
  <c r="M27" i="52"/>
  <c r="P27" i="52"/>
  <c r="N57" i="1" l="1"/>
  <c r="K57" i="1"/>
  <c r="C31" i="63"/>
  <c r="A55" i="71" s="1"/>
  <c r="T86" i="1"/>
  <c r="Q86" i="1"/>
  <c r="A59" i="1"/>
  <c r="V58" i="1"/>
  <c r="P28" i="52"/>
  <c r="M28" i="52"/>
  <c r="K58" i="1" l="1"/>
  <c r="N58" i="1"/>
  <c r="C39" i="63"/>
  <c r="A43" i="71" s="1"/>
  <c r="T87" i="1"/>
  <c r="Q87" i="1"/>
  <c r="V59" i="1"/>
  <c r="A60" i="1"/>
  <c r="M29" i="52"/>
  <c r="P29" i="52"/>
  <c r="N59" i="1" l="1"/>
  <c r="K59" i="1"/>
  <c r="E17" i="64"/>
  <c r="A18" i="71" s="1"/>
  <c r="A4" i="72" s="1"/>
  <c r="C42" i="63"/>
  <c r="A42" i="71" s="1"/>
  <c r="A6" i="72" s="1"/>
  <c r="T88" i="1"/>
  <c r="Q88" i="1"/>
  <c r="A61" i="1"/>
  <c r="V60" i="1"/>
  <c r="P30" i="52"/>
  <c r="M30" i="52"/>
  <c r="K60" i="1" l="1"/>
  <c r="N60" i="1"/>
  <c r="C7" i="75"/>
  <c r="B7" i="75" s="1"/>
  <c r="T89" i="1"/>
  <c r="Q89" i="1"/>
  <c r="A62" i="1"/>
  <c r="V61" i="1"/>
  <c r="M31" i="52"/>
  <c r="P31" i="52"/>
  <c r="N61" i="1" l="1"/>
  <c r="K61" i="1"/>
  <c r="T90" i="1"/>
  <c r="Q90" i="1"/>
  <c r="A63" i="1"/>
  <c r="V62" i="1"/>
  <c r="P32" i="52"/>
  <c r="M32" i="52"/>
  <c r="K62" i="1" l="1"/>
  <c r="N62" i="1"/>
  <c r="T91" i="1"/>
  <c r="Q91" i="1"/>
  <c r="V63" i="1"/>
  <c r="A64" i="1"/>
  <c r="M33" i="52"/>
  <c r="P33" i="52"/>
  <c r="N63" i="1" l="1"/>
  <c r="K63" i="1"/>
  <c r="T92" i="1"/>
  <c r="Q92" i="1"/>
  <c r="A65" i="1"/>
  <c r="V64" i="1"/>
  <c r="P34" i="52"/>
  <c r="M34" i="52"/>
  <c r="K64" i="1" l="1"/>
  <c r="N64" i="1"/>
  <c r="T93" i="1"/>
  <c r="Q93" i="1"/>
  <c r="A66" i="1"/>
  <c r="V65" i="1"/>
  <c r="M35" i="52"/>
  <c r="P35" i="52"/>
  <c r="N65" i="1" l="1"/>
  <c r="K65" i="1"/>
  <c r="T94" i="1"/>
  <c r="Q94" i="1"/>
  <c r="A67" i="1"/>
  <c r="V66" i="1"/>
  <c r="P36" i="52"/>
  <c r="M36" i="52"/>
  <c r="K66" i="1" l="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K105" i="1" s="1"/>
  <c r="K106" i="1" s="1"/>
  <c r="K107" i="1" s="1"/>
  <c r="K108" i="1" s="1"/>
  <c r="K109" i="1" s="1"/>
  <c r="K110" i="1" s="1"/>
  <c r="K111" i="1" s="1"/>
  <c r="K112" i="1" s="1"/>
  <c r="K113" i="1" s="1"/>
  <c r="K114" i="1" s="1"/>
  <c r="K115" i="1" s="1"/>
  <c r="K116" i="1" s="1"/>
  <c r="K117" i="1" s="1"/>
  <c r="K118" i="1" s="1"/>
  <c r="K119" i="1" s="1"/>
  <c r="K120" i="1" s="1"/>
  <c r="K121" i="1" s="1"/>
  <c r="K122" i="1" s="1"/>
  <c r="K123" i="1" s="1"/>
  <c r="K124" i="1" s="1"/>
  <c r="K125" i="1" s="1"/>
  <c r="K126" i="1" s="1"/>
  <c r="K127" i="1" s="1"/>
  <c r="K128" i="1" s="1"/>
  <c r="K129" i="1" s="1"/>
  <c r="K130" i="1" s="1"/>
  <c r="K131" i="1" s="1"/>
  <c r="K132" i="1" s="1"/>
  <c r="K133" i="1" s="1"/>
  <c r="K134" i="1" s="1"/>
  <c r="K135" i="1" s="1"/>
  <c r="K136" i="1" s="1"/>
  <c r="K137" i="1" s="1"/>
  <c r="K138" i="1" s="1"/>
  <c r="K139" i="1" s="1"/>
  <c r="K140" i="1" s="1"/>
  <c r="K141" i="1" s="1"/>
  <c r="K142" i="1" s="1"/>
  <c r="K143" i="1" s="1"/>
  <c r="K144" i="1" s="1"/>
  <c r="K145" i="1" s="1"/>
  <c r="K146" i="1" s="1"/>
  <c r="K147" i="1" s="1"/>
  <c r="K148" i="1" s="1"/>
  <c r="K149" i="1" s="1"/>
  <c r="K150" i="1" s="1"/>
  <c r="K151" i="1" s="1"/>
  <c r="K152" i="1" s="1"/>
  <c r="K153" i="1" s="1"/>
  <c r="K154" i="1" s="1"/>
  <c r="K155" i="1" s="1"/>
  <c r="K156" i="1" s="1"/>
  <c r="K157" i="1" s="1"/>
  <c r="K158" i="1" s="1"/>
  <c r="K159" i="1" s="1"/>
  <c r="K160" i="1" s="1"/>
  <c r="K161" i="1" s="1"/>
  <c r="K162" i="1" s="1"/>
  <c r="K163" i="1" s="1"/>
  <c r="K164" i="1" s="1"/>
  <c r="K165" i="1" s="1"/>
  <c r="K166" i="1" s="1"/>
  <c r="K167" i="1" s="1"/>
  <c r="K168" i="1" s="1"/>
  <c r="K169" i="1" s="1"/>
  <c r="K170" i="1" s="1"/>
  <c r="K171" i="1" s="1"/>
  <c r="K172" i="1" s="1"/>
  <c r="K173" i="1" s="1"/>
  <c r="K174" i="1" s="1"/>
  <c r="K175" i="1" s="1"/>
  <c r="K176" i="1" s="1"/>
  <c r="K177" i="1" s="1"/>
  <c r="K178" i="1" s="1"/>
  <c r="K179" i="1" s="1"/>
  <c r="K180" i="1" s="1"/>
  <c r="K181" i="1" s="1"/>
  <c r="K182" i="1" s="1"/>
  <c r="K183" i="1" s="1"/>
  <c r="K184" i="1" s="1"/>
  <c r="K185" i="1" s="1"/>
  <c r="K186" i="1" s="1"/>
  <c r="K187" i="1" s="1"/>
  <c r="K188" i="1" s="1"/>
  <c r="K189" i="1" s="1"/>
  <c r="K190" i="1" s="1"/>
  <c r="K191" i="1" s="1"/>
  <c r="K192" i="1" s="1"/>
  <c r="K193" i="1" s="1"/>
  <c r="K194" i="1" s="1"/>
  <c r="K195" i="1" s="1"/>
  <c r="K196" i="1" s="1"/>
  <c r="K197" i="1" s="1"/>
  <c r="K198" i="1" s="1"/>
  <c r="K199" i="1" s="1"/>
  <c r="K200" i="1" s="1"/>
  <c r="K201" i="1" s="1"/>
  <c r="K202" i="1" s="1"/>
  <c r="K203" i="1" s="1"/>
  <c r="K204" i="1" s="1"/>
  <c r="K205" i="1" s="1"/>
  <c r="K206" i="1" s="1"/>
  <c r="K207" i="1" s="1"/>
  <c r="K208" i="1" s="1"/>
  <c r="K209" i="1" s="1"/>
  <c r="K210" i="1" s="1"/>
  <c r="K211" i="1" s="1"/>
  <c r="K212" i="1" s="1"/>
  <c r="K213" i="1" s="1"/>
  <c r="K214" i="1" s="1"/>
  <c r="K215" i="1" s="1"/>
  <c r="K216" i="1" s="1"/>
  <c r="K217" i="1" s="1"/>
  <c r="K218" i="1" s="1"/>
  <c r="K219" i="1" s="1"/>
  <c r="K220" i="1" s="1"/>
  <c r="K221" i="1" s="1"/>
  <c r="K222" i="1" s="1"/>
  <c r="K223" i="1" s="1"/>
  <c r="K224" i="1" s="1"/>
  <c r="K225" i="1" s="1"/>
  <c r="K226" i="1" s="1"/>
  <c r="K227" i="1" s="1"/>
  <c r="K228" i="1" s="1"/>
  <c r="K229" i="1" s="1"/>
  <c r="K230" i="1" s="1"/>
  <c r="K231" i="1" s="1"/>
  <c r="K232" i="1" s="1"/>
  <c r="K233" i="1" s="1"/>
  <c r="K234" i="1" s="1"/>
  <c r="K235" i="1" s="1"/>
  <c r="K236" i="1" s="1"/>
  <c r="K237" i="1" s="1"/>
  <c r="K238" i="1" s="1"/>
  <c r="K239" i="1" s="1"/>
  <c r="K240" i="1" s="1"/>
  <c r="K241" i="1" s="1"/>
  <c r="K242" i="1" s="1"/>
  <c r="K243" i="1" s="1"/>
  <c r="K244" i="1" s="1"/>
  <c r="K245" i="1" s="1"/>
  <c r="K246" i="1" s="1"/>
  <c r="K247" i="1" s="1"/>
  <c r="K248" i="1" s="1"/>
  <c r="K249" i="1" s="1"/>
  <c r="K250" i="1" s="1"/>
  <c r="K251" i="1" s="1"/>
  <c r="K252" i="1" s="1"/>
  <c r="K253" i="1" s="1"/>
  <c r="K254" i="1" s="1"/>
  <c r="K255" i="1" s="1"/>
  <c r="K256" i="1" s="1"/>
  <c r="K257" i="1" s="1"/>
  <c r="K258" i="1" s="1"/>
  <c r="K259" i="1" s="1"/>
  <c r="K260" i="1" s="1"/>
  <c r="K261" i="1" s="1"/>
  <c r="K262" i="1" s="1"/>
  <c r="K263" i="1" s="1"/>
  <c r="K264" i="1" s="1"/>
  <c r="K265" i="1" s="1"/>
  <c r="K266" i="1" s="1"/>
  <c r="K267" i="1" s="1"/>
  <c r="K268" i="1" s="1"/>
  <c r="K269" i="1" s="1"/>
  <c r="K270" i="1" s="1"/>
  <c r="K271" i="1" s="1"/>
  <c r="K272" i="1" s="1"/>
  <c r="K273" i="1" s="1"/>
  <c r="K274" i="1" s="1"/>
  <c r="K275" i="1" s="1"/>
  <c r="K276" i="1" s="1"/>
  <c r="K277" i="1" s="1"/>
  <c r="K278" i="1" s="1"/>
  <c r="K279" i="1" s="1"/>
  <c r="K280" i="1" s="1"/>
  <c r="K281" i="1" s="1"/>
  <c r="K282" i="1" s="1"/>
  <c r="K283" i="1" s="1"/>
  <c r="K284" i="1" s="1"/>
  <c r="K285" i="1" s="1"/>
  <c r="K286" i="1" s="1"/>
  <c r="K287" i="1" s="1"/>
  <c r="K288" i="1" s="1"/>
  <c r="K289" i="1" s="1"/>
  <c r="K290" i="1" s="1"/>
  <c r="K291" i="1" s="1"/>
  <c r="K292" i="1" s="1"/>
  <c r="K293" i="1" s="1"/>
  <c r="K294" i="1" s="1"/>
  <c r="K295" i="1" s="1"/>
  <c r="K296" i="1" s="1"/>
  <c r="K297" i="1" s="1"/>
  <c r="K298" i="1" s="1"/>
  <c r="K299" i="1" s="1"/>
  <c r="K300" i="1" s="1"/>
  <c r="K301" i="1" s="1"/>
  <c r="K302" i="1" s="1"/>
  <c r="K303" i="1" s="1"/>
  <c r="K304" i="1" s="1"/>
  <c r="K305" i="1" s="1"/>
  <c r="K306" i="1" s="1"/>
  <c r="K307" i="1" s="1"/>
  <c r="K308" i="1" s="1"/>
  <c r="K309" i="1" s="1"/>
  <c r="K310" i="1" s="1"/>
  <c r="K311" i="1" s="1"/>
  <c r="K312" i="1" s="1"/>
  <c r="K313" i="1" s="1"/>
  <c r="K314" i="1" s="1"/>
  <c r="K315" i="1" s="1"/>
  <c r="K316" i="1" s="1"/>
  <c r="K317" i="1" s="1"/>
  <c r="K318" i="1" s="1"/>
  <c r="K319" i="1" s="1"/>
  <c r="K320" i="1" s="1"/>
  <c r="K321" i="1" s="1"/>
  <c r="K322" i="1" s="1"/>
  <c r="K323" i="1" s="1"/>
  <c r="K324" i="1" s="1"/>
  <c r="K325" i="1" s="1"/>
  <c r="K326" i="1" s="1"/>
  <c r="K327" i="1" s="1"/>
  <c r="K328" i="1" s="1"/>
  <c r="K329" i="1" s="1"/>
  <c r="K330" i="1" s="1"/>
  <c r="K331" i="1" s="1"/>
  <c r="K332" i="1" s="1"/>
  <c r="K333" i="1" s="1"/>
  <c r="K334" i="1" s="1"/>
  <c r="K335" i="1" s="1"/>
  <c r="K336" i="1" s="1"/>
  <c r="K337" i="1" s="1"/>
  <c r="K338" i="1" s="1"/>
  <c r="K339" i="1" s="1"/>
  <c r="K340" i="1" s="1"/>
  <c r="K341" i="1" s="1"/>
  <c r="K342" i="1" s="1"/>
  <c r="K343" i="1" s="1"/>
  <c r="K344" i="1" s="1"/>
  <c r="K345" i="1" s="1"/>
  <c r="K346" i="1" s="1"/>
  <c r="K347" i="1" s="1"/>
  <c r="K348" i="1" s="1"/>
  <c r="K349" i="1" s="1"/>
  <c r="K350" i="1" s="1"/>
  <c r="K351" i="1" s="1"/>
  <c r="K352" i="1" s="1"/>
  <c r="K353" i="1" s="1"/>
  <c r="K354" i="1" s="1"/>
  <c r="K355" i="1" s="1"/>
  <c r="K356" i="1" s="1"/>
  <c r="K357" i="1" s="1"/>
  <c r="K358" i="1" s="1"/>
  <c r="K359" i="1" s="1"/>
  <c r="K360" i="1" s="1"/>
  <c r="K361" i="1" s="1"/>
  <c r="K362" i="1" s="1"/>
  <c r="K363" i="1" s="1"/>
  <c r="K364" i="1" s="1"/>
  <c r="K365" i="1" s="1"/>
  <c r="K366" i="1" s="1"/>
  <c r="K367" i="1" s="1"/>
  <c r="K368" i="1" s="1"/>
  <c r="K369" i="1" s="1"/>
  <c r="K370" i="1" s="1"/>
  <c r="K371" i="1" s="1"/>
  <c r="K372" i="1" s="1"/>
  <c r="K373" i="1" s="1"/>
  <c r="K374" i="1" s="1"/>
  <c r="K375" i="1" s="1"/>
  <c r="K376" i="1" s="1"/>
  <c r="K377" i="1" s="1"/>
  <c r="K378" i="1" s="1"/>
  <c r="K379" i="1" s="1"/>
  <c r="K380" i="1" s="1"/>
  <c r="K381" i="1" s="1"/>
  <c r="K382" i="1" s="1"/>
  <c r="K383" i="1" s="1"/>
  <c r="K384" i="1" s="1"/>
  <c r="K385" i="1" s="1"/>
  <c r="K386" i="1" s="1"/>
  <c r="K387" i="1" s="1"/>
  <c r="K388" i="1" s="1"/>
  <c r="K389" i="1" s="1"/>
  <c r="K390" i="1" s="1"/>
  <c r="K391" i="1" s="1"/>
  <c r="K392" i="1" s="1"/>
  <c r="K393" i="1" s="1"/>
  <c r="K394" i="1" s="1"/>
  <c r="K395" i="1" s="1"/>
  <c r="K396" i="1" s="1"/>
  <c r="K397" i="1" s="1"/>
  <c r="K398" i="1" s="1"/>
  <c r="K399" i="1" s="1"/>
  <c r="K400" i="1" s="1"/>
  <c r="K401" i="1" s="1"/>
  <c r="K402" i="1" s="1"/>
  <c r="K403" i="1" s="1"/>
  <c r="K404" i="1" s="1"/>
  <c r="K405" i="1" s="1"/>
  <c r="K406" i="1" s="1"/>
  <c r="K407" i="1" s="1"/>
  <c r="K408" i="1" s="1"/>
  <c r="K409" i="1" s="1"/>
  <c r="K410" i="1" s="1"/>
  <c r="K411" i="1" s="1"/>
  <c r="K412" i="1" s="1"/>
  <c r="K413" i="1" s="1"/>
  <c r="K414" i="1" s="1"/>
  <c r="K415" i="1" s="1"/>
  <c r="K416" i="1" s="1"/>
  <c r="K417" i="1" s="1"/>
  <c r="K418" i="1" s="1"/>
  <c r="K419" i="1" s="1"/>
  <c r="K420" i="1" s="1"/>
  <c r="K421" i="1" s="1"/>
  <c r="K422" i="1" s="1"/>
  <c r="K423" i="1" s="1"/>
  <c r="K424" i="1" s="1"/>
  <c r="K425" i="1" s="1"/>
  <c r="K426" i="1" s="1"/>
  <c r="K427" i="1" s="1"/>
  <c r="K428" i="1" s="1"/>
  <c r="K429" i="1" s="1"/>
  <c r="K430" i="1" s="1"/>
  <c r="K431" i="1" s="1"/>
  <c r="K432" i="1" s="1"/>
  <c r="K433" i="1" s="1"/>
  <c r="K434" i="1" s="1"/>
  <c r="K435" i="1" s="1"/>
  <c r="K436" i="1" s="1"/>
  <c r="K437" i="1" s="1"/>
  <c r="K438" i="1" s="1"/>
  <c r="K439" i="1" s="1"/>
  <c r="K440" i="1" s="1"/>
  <c r="K441" i="1" s="1"/>
  <c r="K442" i="1" s="1"/>
  <c r="K443" i="1" s="1"/>
  <c r="K444" i="1" s="1"/>
  <c r="K445" i="1" s="1"/>
  <c r="K446" i="1" s="1"/>
  <c r="K447" i="1" s="1"/>
  <c r="K448" i="1" s="1"/>
  <c r="K449" i="1" s="1"/>
  <c r="K450" i="1" s="1"/>
  <c r="K451" i="1" s="1"/>
  <c r="K452" i="1" s="1"/>
  <c r="K453" i="1" s="1"/>
  <c r="K454" i="1" s="1"/>
  <c r="K455" i="1" s="1"/>
  <c r="K456" i="1" s="1"/>
  <c r="K457" i="1" s="1"/>
  <c r="K458" i="1" s="1"/>
  <c r="K459" i="1" s="1"/>
  <c r="K460" i="1" s="1"/>
  <c r="K461" i="1" s="1"/>
  <c r="K462" i="1" s="1"/>
  <c r="K463" i="1" s="1"/>
  <c r="K464" i="1" s="1"/>
  <c r="K465" i="1" s="1"/>
  <c r="K466" i="1" s="1"/>
  <c r="K467" i="1" s="1"/>
  <c r="K468" i="1" s="1"/>
  <c r="K469" i="1" s="1"/>
  <c r="K470" i="1" s="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K502" i="1" s="1"/>
  <c r="K503" i="1" s="1"/>
  <c r="K504" i="1" s="1"/>
  <c r="K505" i="1" s="1"/>
  <c r="K506" i="1" s="1"/>
  <c r="K507" i="1" s="1"/>
  <c r="K508" i="1" s="1"/>
  <c r="K509" i="1" s="1"/>
  <c r="K510" i="1" s="1"/>
  <c r="K511" i="1" s="1"/>
  <c r="K512" i="1" s="1"/>
  <c r="K513" i="1" s="1"/>
  <c r="K514" i="1" s="1"/>
  <c r="K515" i="1" s="1"/>
  <c r="K516" i="1" s="1"/>
  <c r="K517" i="1" s="1"/>
  <c r="K518" i="1" s="1"/>
  <c r="K519" i="1" s="1"/>
  <c r="K520" i="1" s="1"/>
  <c r="K521" i="1" s="1"/>
  <c r="K522" i="1" s="1"/>
  <c r="K523" i="1" s="1"/>
  <c r="K524" i="1" s="1"/>
  <c r="K525" i="1" s="1"/>
  <c r="K526" i="1" s="1"/>
  <c r="K527" i="1" s="1"/>
  <c r="K528" i="1" s="1"/>
  <c r="K529" i="1" s="1"/>
  <c r="K530" i="1" s="1"/>
  <c r="K531" i="1" s="1"/>
  <c r="K532" i="1" s="1"/>
  <c r="K533" i="1" s="1"/>
  <c r="K534" i="1" s="1"/>
  <c r="K535" i="1" s="1"/>
  <c r="K536" i="1" s="1"/>
  <c r="K537" i="1" s="1"/>
  <c r="K538" i="1" s="1"/>
  <c r="K539" i="1" s="1"/>
  <c r="K540" i="1" s="1"/>
  <c r="K541" i="1" s="1"/>
  <c r="K542" i="1" s="1"/>
  <c r="K543" i="1" s="1"/>
  <c r="K544" i="1" s="1"/>
  <c r="K545" i="1" s="1"/>
  <c r="K546" i="1" s="1"/>
  <c r="K547" i="1" s="1"/>
  <c r="K548" i="1" s="1"/>
  <c r="K549" i="1" s="1"/>
  <c r="K550" i="1" s="1"/>
  <c r="K551" i="1" s="1"/>
  <c r="K552" i="1" s="1"/>
  <c r="K553" i="1" s="1"/>
  <c r="K554" i="1" s="1"/>
  <c r="K555" i="1" s="1"/>
  <c r="K556" i="1" s="1"/>
  <c r="K557" i="1" s="1"/>
  <c r="K558" i="1" s="1"/>
  <c r="K559" i="1" s="1"/>
  <c r="K560" i="1" s="1"/>
  <c r="K561" i="1" s="1"/>
  <c r="K562" i="1" s="1"/>
  <c r="K563" i="1" s="1"/>
  <c r="K564" i="1" s="1"/>
  <c r="K565" i="1" s="1"/>
  <c r="K566" i="1" s="1"/>
  <c r="K567" i="1" s="1"/>
  <c r="K568" i="1" s="1"/>
  <c r="K569" i="1" s="1"/>
  <c r="K570" i="1" s="1"/>
  <c r="K571" i="1" s="1"/>
  <c r="K572" i="1" s="1"/>
  <c r="K573" i="1" s="1"/>
  <c r="K574" i="1" s="1"/>
  <c r="K575" i="1" s="1"/>
  <c r="K576" i="1" s="1"/>
  <c r="K577" i="1" s="1"/>
  <c r="K578" i="1" s="1"/>
  <c r="K579" i="1" s="1"/>
  <c r="K580" i="1" s="1"/>
  <c r="K581" i="1" s="1"/>
  <c r="K582" i="1" s="1"/>
  <c r="K583" i="1" s="1"/>
  <c r="K584" i="1" s="1"/>
  <c r="K585" i="1" s="1"/>
  <c r="K586" i="1" s="1"/>
  <c r="K587" i="1" s="1"/>
  <c r="K588" i="1" s="1"/>
  <c r="K589" i="1" s="1"/>
  <c r="K590" i="1" s="1"/>
  <c r="K591" i="1" s="1"/>
  <c r="K592" i="1" s="1"/>
  <c r="K593" i="1" s="1"/>
  <c r="K594" i="1" s="1"/>
  <c r="K595" i="1" s="1"/>
  <c r="K596" i="1" s="1"/>
  <c r="K597" i="1" s="1"/>
  <c r="K598" i="1" s="1"/>
  <c r="K599" i="1" s="1"/>
  <c r="K600" i="1" s="1"/>
  <c r="K601" i="1" s="1"/>
  <c r="K602" i="1" s="1"/>
  <c r="K603" i="1" s="1"/>
  <c r="K604" i="1" s="1"/>
  <c r="K605" i="1" s="1"/>
  <c r="N66" i="1"/>
  <c r="N67" i="1" s="1"/>
  <c r="N68" i="1" s="1"/>
  <c r="N69" i="1" s="1"/>
  <c r="N70" i="1" s="1"/>
  <c r="N71" i="1" s="1"/>
  <c r="N72" i="1" s="1"/>
  <c r="N73" i="1" s="1"/>
  <c r="N74" i="1" s="1"/>
  <c r="N75" i="1" s="1"/>
  <c r="N76" i="1" s="1"/>
  <c r="N77" i="1" s="1"/>
  <c r="N78" i="1" s="1"/>
  <c r="N79" i="1" s="1"/>
  <c r="N80" i="1" s="1"/>
  <c r="N81" i="1" s="1"/>
  <c r="N82" i="1" s="1"/>
  <c r="N83" i="1" s="1"/>
  <c r="N84" i="1" s="1"/>
  <c r="N85" i="1" s="1"/>
  <c r="N86" i="1" s="1"/>
  <c r="N87" i="1" s="1"/>
  <c r="N88" i="1" s="1"/>
  <c r="N89" i="1" s="1"/>
  <c r="N90" i="1" s="1"/>
  <c r="N91" i="1" s="1"/>
  <c r="N92" i="1" s="1"/>
  <c r="N93" i="1" s="1"/>
  <c r="N94" i="1" s="1"/>
  <c r="N95" i="1" s="1"/>
  <c r="N96" i="1" s="1"/>
  <c r="N97" i="1" s="1"/>
  <c r="N98" i="1" s="1"/>
  <c r="N99" i="1" s="1"/>
  <c r="N100" i="1" s="1"/>
  <c r="N101" i="1" s="1"/>
  <c r="N102" i="1" s="1"/>
  <c r="N103" i="1" s="1"/>
  <c r="N104" i="1" s="1"/>
  <c r="N105" i="1" s="1"/>
  <c r="N106" i="1" s="1"/>
  <c r="N107" i="1" s="1"/>
  <c r="N108" i="1" s="1"/>
  <c r="N109" i="1" s="1"/>
  <c r="N110" i="1" s="1"/>
  <c r="N111" i="1" s="1"/>
  <c r="N112" i="1" s="1"/>
  <c r="N113" i="1" s="1"/>
  <c r="N114" i="1" s="1"/>
  <c r="N115" i="1" s="1"/>
  <c r="N116" i="1" s="1"/>
  <c r="N117" i="1" s="1"/>
  <c r="N118" i="1" s="1"/>
  <c r="N119" i="1" s="1"/>
  <c r="N120" i="1" s="1"/>
  <c r="N121" i="1" s="1"/>
  <c r="N122" i="1" s="1"/>
  <c r="N123" i="1" s="1"/>
  <c r="N124" i="1" s="1"/>
  <c r="N125" i="1" s="1"/>
  <c r="N126" i="1" s="1"/>
  <c r="N127" i="1" s="1"/>
  <c r="N128" i="1" s="1"/>
  <c r="N129" i="1" s="1"/>
  <c r="N130" i="1" s="1"/>
  <c r="N131" i="1" s="1"/>
  <c r="N132" i="1" s="1"/>
  <c r="N133" i="1" s="1"/>
  <c r="N134" i="1" s="1"/>
  <c r="N135" i="1" s="1"/>
  <c r="N136" i="1" s="1"/>
  <c r="N137" i="1" s="1"/>
  <c r="N138" i="1" s="1"/>
  <c r="N139" i="1" s="1"/>
  <c r="N140" i="1" s="1"/>
  <c r="N141" i="1" s="1"/>
  <c r="N142" i="1" s="1"/>
  <c r="N143" i="1" s="1"/>
  <c r="N144" i="1" s="1"/>
  <c r="N145" i="1" s="1"/>
  <c r="N146" i="1" s="1"/>
  <c r="N147" i="1" s="1"/>
  <c r="N148" i="1" s="1"/>
  <c r="N149" i="1" s="1"/>
  <c r="N150" i="1" s="1"/>
  <c r="N151" i="1" s="1"/>
  <c r="N152" i="1" s="1"/>
  <c r="N153" i="1" s="1"/>
  <c r="N154" i="1" s="1"/>
  <c r="N155" i="1" s="1"/>
  <c r="N156" i="1" s="1"/>
  <c r="N157" i="1" s="1"/>
  <c r="N158" i="1" s="1"/>
  <c r="N159" i="1" s="1"/>
  <c r="N160" i="1" s="1"/>
  <c r="N161" i="1" s="1"/>
  <c r="N162" i="1" s="1"/>
  <c r="N163" i="1" s="1"/>
  <c r="N164" i="1" s="1"/>
  <c r="N165" i="1" s="1"/>
  <c r="N166" i="1" s="1"/>
  <c r="N167" i="1" s="1"/>
  <c r="N168" i="1" s="1"/>
  <c r="N169" i="1" s="1"/>
  <c r="N170" i="1" s="1"/>
  <c r="N171" i="1" s="1"/>
  <c r="N172" i="1" s="1"/>
  <c r="N173" i="1" s="1"/>
  <c r="N174" i="1" s="1"/>
  <c r="N175" i="1" s="1"/>
  <c r="N176" i="1" s="1"/>
  <c r="N177" i="1" s="1"/>
  <c r="N178" i="1" s="1"/>
  <c r="N179" i="1" s="1"/>
  <c r="N180" i="1" s="1"/>
  <c r="N181" i="1" s="1"/>
  <c r="N182" i="1" s="1"/>
  <c r="N183" i="1" s="1"/>
  <c r="N184" i="1" s="1"/>
  <c r="N185" i="1" s="1"/>
  <c r="N186" i="1" s="1"/>
  <c r="N187" i="1" s="1"/>
  <c r="N188" i="1" s="1"/>
  <c r="N189" i="1" s="1"/>
  <c r="N190" i="1" s="1"/>
  <c r="N191" i="1" s="1"/>
  <c r="N192" i="1" s="1"/>
  <c r="N193" i="1" s="1"/>
  <c r="N194" i="1" s="1"/>
  <c r="N195" i="1" s="1"/>
  <c r="N196" i="1" s="1"/>
  <c r="N197" i="1" s="1"/>
  <c r="N198" i="1" s="1"/>
  <c r="N199" i="1" s="1"/>
  <c r="N200" i="1" s="1"/>
  <c r="N201" i="1" s="1"/>
  <c r="N202" i="1" s="1"/>
  <c r="N203" i="1" s="1"/>
  <c r="N204" i="1" s="1"/>
  <c r="N205" i="1" s="1"/>
  <c r="N206" i="1" s="1"/>
  <c r="N207" i="1" s="1"/>
  <c r="N208" i="1" s="1"/>
  <c r="N209" i="1" s="1"/>
  <c r="N210" i="1" s="1"/>
  <c r="N211" i="1" s="1"/>
  <c r="N212" i="1" s="1"/>
  <c r="N213" i="1" s="1"/>
  <c r="N214" i="1" s="1"/>
  <c r="N215" i="1" s="1"/>
  <c r="N216" i="1" s="1"/>
  <c r="N217" i="1" s="1"/>
  <c r="N218" i="1" s="1"/>
  <c r="N219" i="1" s="1"/>
  <c r="N220" i="1" s="1"/>
  <c r="N221" i="1" s="1"/>
  <c r="N222" i="1" s="1"/>
  <c r="N223" i="1" s="1"/>
  <c r="N224" i="1" s="1"/>
  <c r="N225" i="1" s="1"/>
  <c r="N226" i="1" s="1"/>
  <c r="N227" i="1" s="1"/>
  <c r="N228" i="1" s="1"/>
  <c r="N229" i="1" s="1"/>
  <c r="N230" i="1" s="1"/>
  <c r="N231" i="1" s="1"/>
  <c r="N232" i="1" s="1"/>
  <c r="N233" i="1" s="1"/>
  <c r="N234" i="1" s="1"/>
  <c r="N235" i="1" s="1"/>
  <c r="N236" i="1" s="1"/>
  <c r="N237" i="1" s="1"/>
  <c r="N238" i="1" s="1"/>
  <c r="N239" i="1" s="1"/>
  <c r="N240" i="1" s="1"/>
  <c r="N241" i="1" s="1"/>
  <c r="N242" i="1" s="1"/>
  <c r="N243" i="1" s="1"/>
  <c r="N244" i="1" s="1"/>
  <c r="N245" i="1" s="1"/>
  <c r="N246" i="1" s="1"/>
  <c r="N247" i="1" s="1"/>
  <c r="N248" i="1" s="1"/>
  <c r="N249" i="1" s="1"/>
  <c r="N250" i="1" s="1"/>
  <c r="N251" i="1" s="1"/>
  <c r="N252" i="1" s="1"/>
  <c r="N253" i="1" s="1"/>
  <c r="N254" i="1" s="1"/>
  <c r="N255" i="1" s="1"/>
  <c r="N256" i="1" s="1"/>
  <c r="N257" i="1" s="1"/>
  <c r="N258" i="1" s="1"/>
  <c r="N259" i="1" s="1"/>
  <c r="N260" i="1" s="1"/>
  <c r="N261" i="1" s="1"/>
  <c r="N262" i="1" s="1"/>
  <c r="N263" i="1" s="1"/>
  <c r="N264" i="1" s="1"/>
  <c r="N265" i="1" s="1"/>
  <c r="N266" i="1" s="1"/>
  <c r="N267" i="1" s="1"/>
  <c r="N268" i="1" s="1"/>
  <c r="N269" i="1" s="1"/>
  <c r="N270" i="1" s="1"/>
  <c r="N271" i="1" s="1"/>
  <c r="N272" i="1" s="1"/>
  <c r="N273" i="1" s="1"/>
  <c r="N274" i="1" s="1"/>
  <c r="N275" i="1" s="1"/>
  <c r="N276" i="1" s="1"/>
  <c r="N277" i="1" s="1"/>
  <c r="N278" i="1" s="1"/>
  <c r="N279" i="1" s="1"/>
  <c r="N280" i="1" s="1"/>
  <c r="N281" i="1" s="1"/>
  <c r="N282" i="1" s="1"/>
  <c r="N283" i="1" s="1"/>
  <c r="N284" i="1" s="1"/>
  <c r="N285" i="1" s="1"/>
  <c r="N286" i="1" s="1"/>
  <c r="N287" i="1" s="1"/>
  <c r="N288" i="1" s="1"/>
  <c r="N289" i="1" s="1"/>
  <c r="N290" i="1" s="1"/>
  <c r="N291" i="1" s="1"/>
  <c r="N292" i="1" s="1"/>
  <c r="N293" i="1" s="1"/>
  <c r="N294" i="1" s="1"/>
  <c r="N295" i="1" s="1"/>
  <c r="N296" i="1" s="1"/>
  <c r="N297" i="1" s="1"/>
  <c r="N298" i="1" s="1"/>
  <c r="N299" i="1" s="1"/>
  <c r="N300" i="1" s="1"/>
  <c r="N301" i="1" s="1"/>
  <c r="N302" i="1" s="1"/>
  <c r="N303" i="1" s="1"/>
  <c r="N304" i="1" s="1"/>
  <c r="N305" i="1" s="1"/>
  <c r="N306" i="1" s="1"/>
  <c r="N307" i="1" s="1"/>
  <c r="N308" i="1" s="1"/>
  <c r="N309" i="1" s="1"/>
  <c r="N310" i="1" s="1"/>
  <c r="N311" i="1" s="1"/>
  <c r="N312" i="1" s="1"/>
  <c r="N313" i="1" s="1"/>
  <c r="N314" i="1" s="1"/>
  <c r="N315" i="1" s="1"/>
  <c r="N316" i="1" s="1"/>
  <c r="N317" i="1" s="1"/>
  <c r="N318" i="1" s="1"/>
  <c r="N319" i="1" s="1"/>
  <c r="N320" i="1" s="1"/>
  <c r="N321" i="1" s="1"/>
  <c r="N322" i="1" s="1"/>
  <c r="N323" i="1" s="1"/>
  <c r="N324" i="1" s="1"/>
  <c r="N325" i="1" s="1"/>
  <c r="N326" i="1" s="1"/>
  <c r="N327" i="1" s="1"/>
  <c r="N328" i="1" s="1"/>
  <c r="N329" i="1" s="1"/>
  <c r="N330" i="1" s="1"/>
  <c r="N331" i="1" s="1"/>
  <c r="N332" i="1" s="1"/>
  <c r="N333" i="1" s="1"/>
  <c r="N334" i="1" s="1"/>
  <c r="N335" i="1" s="1"/>
  <c r="N336" i="1" s="1"/>
  <c r="N337" i="1" s="1"/>
  <c r="N338" i="1" s="1"/>
  <c r="N339" i="1" s="1"/>
  <c r="N340" i="1" s="1"/>
  <c r="N341" i="1" s="1"/>
  <c r="N342" i="1" s="1"/>
  <c r="N343" i="1" s="1"/>
  <c r="N344" i="1" s="1"/>
  <c r="N345" i="1" s="1"/>
  <c r="N346" i="1" s="1"/>
  <c r="N347" i="1" s="1"/>
  <c r="N348" i="1" s="1"/>
  <c r="N349" i="1" s="1"/>
  <c r="N350" i="1" s="1"/>
  <c r="N351" i="1" s="1"/>
  <c r="N352" i="1" s="1"/>
  <c r="N353" i="1" s="1"/>
  <c r="N354" i="1" s="1"/>
  <c r="N355" i="1" s="1"/>
  <c r="N356" i="1" s="1"/>
  <c r="N357" i="1" s="1"/>
  <c r="N358" i="1" s="1"/>
  <c r="N359" i="1" s="1"/>
  <c r="N360" i="1" s="1"/>
  <c r="N361" i="1" s="1"/>
  <c r="N362" i="1" s="1"/>
  <c r="N363" i="1" s="1"/>
  <c r="N364" i="1" s="1"/>
  <c r="N365" i="1" s="1"/>
  <c r="N366" i="1" s="1"/>
  <c r="N367" i="1" s="1"/>
  <c r="N368" i="1" s="1"/>
  <c r="N369" i="1" s="1"/>
  <c r="N370" i="1" s="1"/>
  <c r="N371" i="1" s="1"/>
  <c r="N372" i="1" s="1"/>
  <c r="N373" i="1" s="1"/>
  <c r="N374" i="1" s="1"/>
  <c r="N375" i="1" s="1"/>
  <c r="N376" i="1" s="1"/>
  <c r="N377" i="1" s="1"/>
  <c r="N378" i="1" s="1"/>
  <c r="N379" i="1" s="1"/>
  <c r="N380" i="1" s="1"/>
  <c r="N381" i="1" s="1"/>
  <c r="N382" i="1" s="1"/>
  <c r="N383" i="1" s="1"/>
  <c r="N384" i="1" s="1"/>
  <c r="N385" i="1" s="1"/>
  <c r="N386" i="1" s="1"/>
  <c r="N387" i="1" s="1"/>
  <c r="N388" i="1" s="1"/>
  <c r="N389" i="1" s="1"/>
  <c r="N390" i="1" s="1"/>
  <c r="N391" i="1" s="1"/>
  <c r="N392" i="1" s="1"/>
  <c r="N393" i="1" s="1"/>
  <c r="N394" i="1" s="1"/>
  <c r="N395" i="1" s="1"/>
  <c r="N396" i="1" s="1"/>
  <c r="N397" i="1" s="1"/>
  <c r="N398" i="1" s="1"/>
  <c r="N399" i="1" s="1"/>
  <c r="N400" i="1" s="1"/>
  <c r="N401" i="1" s="1"/>
  <c r="N402" i="1" s="1"/>
  <c r="N403" i="1" s="1"/>
  <c r="N404" i="1" s="1"/>
  <c r="N405" i="1" s="1"/>
  <c r="N406" i="1" s="1"/>
  <c r="N407" i="1" s="1"/>
  <c r="N408" i="1" s="1"/>
  <c r="N409" i="1" s="1"/>
  <c r="N410" i="1" s="1"/>
  <c r="N411" i="1" s="1"/>
  <c r="N412" i="1" s="1"/>
  <c r="N413" i="1" s="1"/>
  <c r="N414" i="1" s="1"/>
  <c r="N415" i="1" s="1"/>
  <c r="N416" i="1" s="1"/>
  <c r="N417" i="1" s="1"/>
  <c r="N418" i="1" s="1"/>
  <c r="N419" i="1" s="1"/>
  <c r="N420" i="1" s="1"/>
  <c r="N421" i="1" s="1"/>
  <c r="N422" i="1" s="1"/>
  <c r="N423" i="1" s="1"/>
  <c r="N424" i="1" s="1"/>
  <c r="N425" i="1" s="1"/>
  <c r="N426" i="1" s="1"/>
  <c r="N427" i="1" s="1"/>
  <c r="N428" i="1" s="1"/>
  <c r="N429" i="1" s="1"/>
  <c r="N430" i="1" s="1"/>
  <c r="N431" i="1" s="1"/>
  <c r="N432" i="1" s="1"/>
  <c r="N433" i="1" s="1"/>
  <c r="N434" i="1" s="1"/>
  <c r="N435" i="1" s="1"/>
  <c r="N436" i="1" s="1"/>
  <c r="N437" i="1" s="1"/>
  <c r="N438" i="1" s="1"/>
  <c r="N439" i="1" s="1"/>
  <c r="N440" i="1" s="1"/>
  <c r="N441" i="1" s="1"/>
  <c r="N442" i="1" s="1"/>
  <c r="N443" i="1" s="1"/>
  <c r="N444" i="1" s="1"/>
  <c r="N445" i="1" s="1"/>
  <c r="N446" i="1" s="1"/>
  <c r="N447" i="1" s="1"/>
  <c r="N448" i="1" s="1"/>
  <c r="N449" i="1" s="1"/>
  <c r="N450" i="1" s="1"/>
  <c r="N451" i="1" s="1"/>
  <c r="N452" i="1" s="1"/>
  <c r="N453" i="1" s="1"/>
  <c r="N454" i="1" s="1"/>
  <c r="N455" i="1" s="1"/>
  <c r="N456" i="1" s="1"/>
  <c r="N457" i="1" s="1"/>
  <c r="N458" i="1" s="1"/>
  <c r="N459" i="1" s="1"/>
  <c r="N460" i="1" s="1"/>
  <c r="N461" i="1" s="1"/>
  <c r="N462" i="1" s="1"/>
  <c r="N463" i="1" s="1"/>
  <c r="N464" i="1" s="1"/>
  <c r="N465" i="1" s="1"/>
  <c r="N466" i="1" s="1"/>
  <c r="N467" i="1" s="1"/>
  <c r="N468" i="1" s="1"/>
  <c r="N469" i="1" s="1"/>
  <c r="N470" i="1" s="1"/>
  <c r="N471" i="1" s="1"/>
  <c r="N472" i="1" s="1"/>
  <c r="N473" i="1" s="1"/>
  <c r="N474" i="1" s="1"/>
  <c r="N475" i="1" s="1"/>
  <c r="N476" i="1" s="1"/>
  <c r="N477" i="1" s="1"/>
  <c r="N478" i="1" s="1"/>
  <c r="N479" i="1" s="1"/>
  <c r="N480" i="1" s="1"/>
  <c r="N481" i="1" s="1"/>
  <c r="N482" i="1" s="1"/>
  <c r="N483" i="1" s="1"/>
  <c r="N484" i="1" s="1"/>
  <c r="N485" i="1" s="1"/>
  <c r="N486" i="1" s="1"/>
  <c r="N487" i="1" s="1"/>
  <c r="N488" i="1" s="1"/>
  <c r="N489" i="1" s="1"/>
  <c r="N490" i="1" s="1"/>
  <c r="N491" i="1" s="1"/>
  <c r="N492" i="1" s="1"/>
  <c r="N493" i="1" s="1"/>
  <c r="N494" i="1" s="1"/>
  <c r="N495" i="1" s="1"/>
  <c r="N496" i="1" s="1"/>
  <c r="N497" i="1" s="1"/>
  <c r="N498" i="1" s="1"/>
  <c r="N499" i="1" s="1"/>
  <c r="N500" i="1" s="1"/>
  <c r="N501" i="1" s="1"/>
  <c r="N502" i="1" s="1"/>
  <c r="N503" i="1" s="1"/>
  <c r="N504" i="1" s="1"/>
  <c r="N505" i="1" s="1"/>
  <c r="N506" i="1" s="1"/>
  <c r="N507" i="1" s="1"/>
  <c r="N508" i="1" s="1"/>
  <c r="N509" i="1" s="1"/>
  <c r="N510" i="1" s="1"/>
  <c r="N511" i="1" s="1"/>
  <c r="N512" i="1" s="1"/>
  <c r="N513" i="1" s="1"/>
  <c r="N514" i="1" s="1"/>
  <c r="N515" i="1" s="1"/>
  <c r="N516" i="1" s="1"/>
  <c r="N517" i="1" s="1"/>
  <c r="N518" i="1" s="1"/>
  <c r="N519" i="1" s="1"/>
  <c r="N520" i="1" s="1"/>
  <c r="N521" i="1" s="1"/>
  <c r="N522" i="1" s="1"/>
  <c r="N523" i="1" s="1"/>
  <c r="N524" i="1" s="1"/>
  <c r="N525" i="1" s="1"/>
  <c r="N526" i="1" s="1"/>
  <c r="N527" i="1" s="1"/>
  <c r="N528" i="1" s="1"/>
  <c r="N529" i="1" s="1"/>
  <c r="N530" i="1" s="1"/>
  <c r="N531" i="1" s="1"/>
  <c r="N532" i="1" s="1"/>
  <c r="N533" i="1" s="1"/>
  <c r="N534" i="1" s="1"/>
  <c r="N535" i="1" s="1"/>
  <c r="N536" i="1" s="1"/>
  <c r="N537" i="1" s="1"/>
  <c r="N538" i="1" s="1"/>
  <c r="N539" i="1" s="1"/>
  <c r="N540" i="1" s="1"/>
  <c r="N541" i="1" s="1"/>
  <c r="N542" i="1" s="1"/>
  <c r="N543" i="1" s="1"/>
  <c r="N544" i="1" s="1"/>
  <c r="N545" i="1" s="1"/>
  <c r="N546" i="1" s="1"/>
  <c r="N547" i="1" s="1"/>
  <c r="N548" i="1" s="1"/>
  <c r="N549" i="1" s="1"/>
  <c r="N550" i="1" s="1"/>
  <c r="N551" i="1" s="1"/>
  <c r="N552" i="1" s="1"/>
  <c r="N553" i="1" s="1"/>
  <c r="N554" i="1" s="1"/>
  <c r="N555" i="1" s="1"/>
  <c r="N556" i="1" s="1"/>
  <c r="N557" i="1" s="1"/>
  <c r="N558" i="1" s="1"/>
  <c r="N559" i="1" s="1"/>
  <c r="N560" i="1" s="1"/>
  <c r="N561" i="1" s="1"/>
  <c r="N562" i="1" s="1"/>
  <c r="N563" i="1" s="1"/>
  <c r="N564" i="1" s="1"/>
  <c r="N565" i="1" s="1"/>
  <c r="N566" i="1" s="1"/>
  <c r="N567" i="1" s="1"/>
  <c r="N568" i="1" s="1"/>
  <c r="N569" i="1" s="1"/>
  <c r="N570" i="1" s="1"/>
  <c r="N571" i="1" s="1"/>
  <c r="N572" i="1" s="1"/>
  <c r="N573" i="1" s="1"/>
  <c r="N574" i="1" s="1"/>
  <c r="N575" i="1" s="1"/>
  <c r="N576" i="1" s="1"/>
  <c r="N577" i="1" s="1"/>
  <c r="N578" i="1" s="1"/>
  <c r="N579" i="1" s="1"/>
  <c r="N580" i="1" s="1"/>
  <c r="N581" i="1" s="1"/>
  <c r="N582" i="1" s="1"/>
  <c r="N583" i="1" s="1"/>
  <c r="N584" i="1" s="1"/>
  <c r="N585" i="1" s="1"/>
  <c r="N586" i="1" s="1"/>
  <c r="N587" i="1" s="1"/>
  <c r="N588" i="1" s="1"/>
  <c r="N589" i="1" s="1"/>
  <c r="N590" i="1" s="1"/>
  <c r="N591" i="1" s="1"/>
  <c r="N592" i="1" s="1"/>
  <c r="N593" i="1" s="1"/>
  <c r="N594" i="1" s="1"/>
  <c r="N595" i="1" s="1"/>
  <c r="N596" i="1" s="1"/>
  <c r="N597" i="1" s="1"/>
  <c r="N598" i="1" s="1"/>
  <c r="N599" i="1" s="1"/>
  <c r="N600" i="1" s="1"/>
  <c r="N601" i="1" s="1"/>
  <c r="N602" i="1" s="1"/>
  <c r="N603" i="1" s="1"/>
  <c r="N604" i="1" s="1"/>
  <c r="N605" i="1" s="1"/>
  <c r="T95" i="1"/>
  <c r="Q95" i="1"/>
  <c r="V67" i="1"/>
  <c r="A68" i="1"/>
  <c r="T96" i="1" l="1"/>
  <c r="Q96" i="1"/>
  <c r="A69" i="1"/>
  <c r="V68" i="1"/>
  <c r="T97" i="1" l="1"/>
  <c r="Q97" i="1"/>
  <c r="A70" i="1"/>
  <c r="V69" i="1"/>
  <c r="T98" i="1" l="1"/>
  <c r="Q98" i="1"/>
  <c r="A71" i="1"/>
  <c r="V70" i="1"/>
  <c r="T99" i="1" l="1"/>
  <c r="Q99" i="1"/>
  <c r="V71" i="1"/>
  <c r="A72" i="1"/>
  <c r="T100" i="1" l="1"/>
  <c r="Q100" i="1"/>
  <c r="A73" i="1"/>
  <c r="V72" i="1"/>
  <c r="T101" i="1" l="1"/>
  <c r="Q101" i="1"/>
  <c r="A74" i="1"/>
  <c r="V73" i="1"/>
  <c r="T102" i="1" l="1"/>
  <c r="Q102" i="1"/>
  <c r="A75" i="1"/>
  <c r="V74" i="1"/>
  <c r="T103" i="1" l="1"/>
  <c r="Q103" i="1"/>
  <c r="V75" i="1"/>
  <c r="A76" i="1"/>
  <c r="T104" i="1" l="1"/>
  <c r="Q104" i="1"/>
  <c r="A77" i="1"/>
  <c r="V76" i="1"/>
  <c r="T105" i="1" l="1"/>
  <c r="Q105" i="1"/>
  <c r="A78" i="1"/>
  <c r="V77" i="1"/>
  <c r="T106" i="1" l="1"/>
  <c r="Q106" i="1"/>
  <c r="A79" i="1"/>
  <c r="V78" i="1"/>
  <c r="T107" i="1" l="1"/>
  <c r="Q107" i="1"/>
  <c r="V79" i="1"/>
  <c r="A80" i="1"/>
  <c r="T108" i="1" l="1"/>
  <c r="Q108" i="1"/>
  <c r="A81" i="1"/>
  <c r="V80" i="1"/>
  <c r="T109" i="1" l="1"/>
  <c r="Q109" i="1"/>
  <c r="A82" i="1"/>
  <c r="V81" i="1"/>
  <c r="T110" i="1" l="1"/>
  <c r="Q110" i="1"/>
  <c r="A83" i="1"/>
  <c r="V82" i="1"/>
  <c r="T111" i="1" l="1"/>
  <c r="Q111" i="1"/>
  <c r="V83" i="1"/>
  <c r="A84" i="1"/>
  <c r="T112" i="1" l="1"/>
  <c r="Q112" i="1"/>
  <c r="A85" i="1"/>
  <c r="V84" i="1"/>
  <c r="T113" i="1" l="1"/>
  <c r="Q113" i="1"/>
  <c r="A86" i="1"/>
  <c r="V85" i="1"/>
  <c r="T114" i="1" l="1"/>
  <c r="Q114" i="1"/>
  <c r="A87" i="1"/>
  <c r="V86" i="1"/>
  <c r="T115" i="1" l="1"/>
  <c r="Q115" i="1"/>
  <c r="V87" i="1"/>
  <c r="A88" i="1"/>
  <c r="T116" i="1" l="1"/>
  <c r="Q116" i="1"/>
  <c r="A89" i="1"/>
  <c r="V88" i="1"/>
  <c r="T117" i="1" l="1"/>
  <c r="Q117" i="1"/>
  <c r="A90" i="1"/>
  <c r="V89" i="1"/>
  <c r="T118" i="1" l="1"/>
  <c r="Q118" i="1"/>
  <c r="A91" i="1"/>
  <c r="V90" i="1"/>
  <c r="T119" i="1" l="1"/>
  <c r="Q119" i="1"/>
  <c r="V91" i="1"/>
  <c r="A92" i="1"/>
  <c r="T120" i="1" l="1"/>
  <c r="Q120" i="1"/>
  <c r="A93" i="1"/>
  <c r="V92" i="1"/>
  <c r="T121" i="1" l="1"/>
  <c r="Q121" i="1"/>
  <c r="A94" i="1"/>
  <c r="V93" i="1"/>
  <c r="T122" i="1" l="1"/>
  <c r="Q122" i="1"/>
  <c r="A95" i="1"/>
  <c r="V94" i="1"/>
  <c r="T123" i="1" l="1"/>
  <c r="Q123" i="1"/>
  <c r="V95" i="1"/>
  <c r="A96" i="1"/>
  <c r="T124" i="1" l="1"/>
  <c r="Q124" i="1"/>
  <c r="A97" i="1"/>
  <c r="V96" i="1"/>
  <c r="T125" i="1" l="1"/>
  <c r="Q125" i="1"/>
  <c r="A98" i="1"/>
  <c r="V97" i="1"/>
  <c r="T126" i="1" l="1"/>
  <c r="Q126" i="1"/>
  <c r="A99" i="1"/>
  <c r="V98" i="1"/>
  <c r="T127" i="1" l="1"/>
  <c r="Q127" i="1"/>
  <c r="V99" i="1"/>
  <c r="A100" i="1"/>
  <c r="T128" i="1" l="1"/>
  <c r="Q128" i="1"/>
  <c r="A101" i="1"/>
  <c r="V100" i="1"/>
  <c r="T129" i="1" l="1"/>
  <c r="Q129" i="1"/>
  <c r="A102" i="1"/>
  <c r="V101" i="1"/>
  <c r="T130" i="1" l="1"/>
  <c r="Q130" i="1"/>
  <c r="A103" i="1"/>
  <c r="V102" i="1"/>
  <c r="T131" i="1" l="1"/>
  <c r="Q131" i="1"/>
  <c r="V103" i="1"/>
  <c r="A104" i="1"/>
  <c r="T132" i="1" l="1"/>
  <c r="Q132" i="1"/>
  <c r="A105" i="1"/>
  <c r="V104" i="1"/>
  <c r="T133" i="1" l="1"/>
  <c r="Q133" i="1"/>
  <c r="A106" i="1"/>
  <c r="V105" i="1"/>
  <c r="T134" i="1" l="1"/>
  <c r="Q134" i="1"/>
  <c r="A107" i="1"/>
  <c r="V106" i="1"/>
  <c r="T135" i="1" l="1"/>
  <c r="Q135" i="1"/>
  <c r="V107" i="1"/>
  <c r="A108" i="1"/>
  <c r="T136" i="1" l="1"/>
  <c r="Q136" i="1"/>
  <c r="A109" i="1"/>
  <c r="V108" i="1"/>
  <c r="T137" i="1" l="1"/>
  <c r="Q137" i="1"/>
  <c r="A110" i="1"/>
  <c r="V109" i="1"/>
  <c r="T138" i="1" l="1"/>
  <c r="Q138" i="1"/>
  <c r="A111" i="1"/>
  <c r="V110" i="1"/>
  <c r="T139" i="1" l="1"/>
  <c r="Q139" i="1"/>
  <c r="V111" i="1"/>
  <c r="A112" i="1"/>
  <c r="T140" i="1" l="1"/>
  <c r="Q140" i="1"/>
  <c r="A113" i="1"/>
  <c r="V112" i="1"/>
  <c r="T141" i="1" l="1"/>
  <c r="Q141" i="1"/>
  <c r="A114" i="1"/>
  <c r="V113" i="1"/>
  <c r="T142" i="1" l="1"/>
  <c r="Q142" i="1"/>
  <c r="A115" i="1"/>
  <c r="V114" i="1"/>
  <c r="T143" i="1" l="1"/>
  <c r="Q143" i="1"/>
  <c r="V115" i="1"/>
  <c r="A116" i="1"/>
  <c r="T144" i="1" l="1"/>
  <c r="Q144" i="1"/>
  <c r="A117" i="1"/>
  <c r="V116" i="1"/>
  <c r="T145" i="1" l="1"/>
  <c r="Q145" i="1"/>
  <c r="A118" i="1"/>
  <c r="V117" i="1"/>
  <c r="T146" i="1" l="1"/>
  <c r="Q146" i="1"/>
  <c r="A119" i="1"/>
  <c r="V118" i="1"/>
  <c r="T147" i="1" l="1"/>
  <c r="Q147" i="1"/>
  <c r="V119" i="1"/>
  <c r="A120" i="1"/>
  <c r="T148" i="1" l="1"/>
  <c r="Q148" i="1"/>
  <c r="A121" i="1"/>
  <c r="V120" i="1"/>
  <c r="T149" i="1" l="1"/>
  <c r="Q149" i="1"/>
  <c r="A122" i="1"/>
  <c r="V121" i="1"/>
  <c r="T150" i="1" l="1"/>
  <c r="Q150" i="1"/>
  <c r="A123" i="1"/>
  <c r="V122" i="1"/>
  <c r="T151" i="1" l="1"/>
  <c r="Q151" i="1"/>
  <c r="V123" i="1"/>
  <c r="A124" i="1"/>
  <c r="T152" i="1" l="1"/>
  <c r="Q152" i="1"/>
  <c r="A125" i="1"/>
  <c r="V124" i="1"/>
  <c r="T153" i="1" l="1"/>
  <c r="Q153" i="1"/>
  <c r="A126" i="1"/>
  <c r="V125" i="1"/>
  <c r="T154" i="1" l="1"/>
  <c r="Q154" i="1"/>
  <c r="V126" i="1"/>
  <c r="A127" i="1"/>
  <c r="T155" i="1" l="1"/>
  <c r="Q155" i="1"/>
  <c r="A128" i="1"/>
  <c r="V127" i="1"/>
  <c r="T156" i="1" l="1"/>
  <c r="Q156" i="1"/>
  <c r="V128" i="1"/>
  <c r="A129" i="1"/>
  <c r="T157" i="1" l="1"/>
  <c r="Q157" i="1"/>
  <c r="V129" i="1"/>
  <c r="A130" i="1"/>
  <c r="T158" i="1" l="1"/>
  <c r="Q158" i="1"/>
  <c r="V130" i="1"/>
  <c r="A131" i="1"/>
  <c r="T159" i="1" l="1"/>
  <c r="Q159" i="1"/>
  <c r="A132" i="1"/>
  <c r="V131" i="1"/>
  <c r="T160" i="1" l="1"/>
  <c r="Q160" i="1"/>
  <c r="A133" i="1"/>
  <c r="V132" i="1"/>
  <c r="T161" i="1" l="1"/>
  <c r="Q161" i="1"/>
  <c r="V133" i="1"/>
  <c r="A134" i="1"/>
  <c r="T162" i="1" l="1"/>
  <c r="Q162" i="1"/>
  <c r="V134" i="1"/>
  <c r="A135" i="1"/>
  <c r="T163" i="1" l="1"/>
  <c r="Q163" i="1"/>
  <c r="A136" i="1"/>
  <c r="V135" i="1"/>
  <c r="T164" i="1" l="1"/>
  <c r="Q164" i="1"/>
  <c r="V136" i="1"/>
  <c r="A137" i="1"/>
  <c r="T165" i="1" l="1"/>
  <c r="Q165" i="1"/>
  <c r="V137" i="1"/>
  <c r="A138" i="1"/>
  <c r="T166" i="1" l="1"/>
  <c r="Q166" i="1"/>
  <c r="V138" i="1"/>
  <c r="A139" i="1"/>
  <c r="T167" i="1" l="1"/>
  <c r="Q167" i="1"/>
  <c r="A140" i="1"/>
  <c r="V139" i="1"/>
  <c r="T168" i="1" l="1"/>
  <c r="Q168" i="1"/>
  <c r="V140" i="1"/>
  <c r="A141" i="1"/>
  <c r="T169" i="1" l="1"/>
  <c r="Q169" i="1"/>
  <c r="V141" i="1"/>
  <c r="A142" i="1"/>
  <c r="T170" i="1" l="1"/>
  <c r="Q170" i="1"/>
  <c r="V142" i="1"/>
  <c r="A143" i="1"/>
  <c r="T171" i="1" l="1"/>
  <c r="Q171" i="1"/>
  <c r="A144" i="1"/>
  <c r="V143" i="1"/>
  <c r="T172" i="1" l="1"/>
  <c r="Q172" i="1"/>
  <c r="V144" i="1"/>
  <c r="A145" i="1"/>
  <c r="T173" i="1" l="1"/>
  <c r="Q173" i="1"/>
  <c r="V145" i="1"/>
  <c r="A146" i="1"/>
  <c r="T174" i="1" l="1"/>
  <c r="Q174" i="1"/>
  <c r="V146" i="1"/>
  <c r="A147" i="1"/>
  <c r="T175" i="1" l="1"/>
  <c r="Q175" i="1"/>
  <c r="A148" i="1"/>
  <c r="V147" i="1"/>
  <c r="T176" i="1" l="1"/>
  <c r="Q176" i="1"/>
  <c r="V148" i="1"/>
  <c r="A149" i="1"/>
  <c r="T177" i="1" l="1"/>
  <c r="Q177" i="1"/>
  <c r="V149" i="1"/>
  <c r="A150" i="1"/>
  <c r="T178" i="1" l="1"/>
  <c r="Q178" i="1"/>
  <c r="V150" i="1"/>
  <c r="A151" i="1"/>
  <c r="T179" i="1" l="1"/>
  <c r="Q179" i="1"/>
  <c r="A152" i="1"/>
  <c r="V151" i="1"/>
  <c r="T180" i="1" l="1"/>
  <c r="Q180" i="1"/>
  <c r="V152" i="1"/>
  <c r="A153" i="1"/>
  <c r="T181" i="1" l="1"/>
  <c r="Q181" i="1"/>
  <c r="V153" i="1"/>
  <c r="A154" i="1"/>
  <c r="T182" i="1" l="1"/>
  <c r="Q182" i="1"/>
  <c r="V154" i="1"/>
  <c r="A155" i="1"/>
  <c r="T183" i="1" l="1"/>
  <c r="Q183" i="1"/>
  <c r="A156" i="1"/>
  <c r="V155" i="1"/>
  <c r="T184" i="1" l="1"/>
  <c r="Q184" i="1"/>
  <c r="V156" i="1"/>
  <c r="A157" i="1"/>
  <c r="T185" i="1" l="1"/>
  <c r="Q185" i="1"/>
  <c r="V157" i="1"/>
  <c r="A158" i="1"/>
  <c r="T186" i="1" l="1"/>
  <c r="Q186" i="1"/>
  <c r="V158" i="1"/>
  <c r="A159" i="1"/>
  <c r="T187" i="1" l="1"/>
  <c r="Q187" i="1"/>
  <c r="A160" i="1"/>
  <c r="V159" i="1"/>
  <c r="T188" i="1" l="1"/>
  <c r="Q188" i="1"/>
  <c r="V160" i="1"/>
  <c r="A161" i="1"/>
  <c r="T189" i="1" l="1"/>
  <c r="Q189" i="1"/>
  <c r="V161" i="1"/>
  <c r="A162" i="1"/>
  <c r="T190" i="1" l="1"/>
  <c r="Q190" i="1"/>
  <c r="V162" i="1"/>
  <c r="A163" i="1"/>
  <c r="T191" i="1" l="1"/>
  <c r="Q191" i="1"/>
  <c r="A164" i="1"/>
  <c r="V163" i="1"/>
  <c r="T192" i="1" l="1"/>
  <c r="Q192" i="1"/>
  <c r="V164" i="1"/>
  <c r="A165" i="1"/>
  <c r="T193" i="1" l="1"/>
  <c r="Q193" i="1"/>
  <c r="V165" i="1"/>
  <c r="A166" i="1"/>
  <c r="T194" i="1" l="1"/>
  <c r="Q194" i="1"/>
  <c r="V166" i="1"/>
  <c r="A167" i="1"/>
  <c r="T195" i="1" l="1"/>
  <c r="Q195" i="1"/>
  <c r="A168" i="1"/>
  <c r="V167" i="1"/>
  <c r="T196" i="1" l="1"/>
  <c r="Q196" i="1"/>
  <c r="V168" i="1"/>
  <c r="A169" i="1"/>
  <c r="T197" i="1" l="1"/>
  <c r="Q197" i="1"/>
  <c r="V169" i="1"/>
  <c r="A170" i="1"/>
  <c r="T198" i="1" l="1"/>
  <c r="Q198" i="1"/>
  <c r="V170" i="1"/>
  <c r="A171" i="1"/>
  <c r="T199" i="1" l="1"/>
  <c r="Q199" i="1"/>
  <c r="A172" i="1"/>
  <c r="V171" i="1"/>
  <c r="T200" i="1" l="1"/>
  <c r="Q200" i="1"/>
  <c r="V172" i="1"/>
  <c r="A173" i="1"/>
  <c r="T201" i="1" l="1"/>
  <c r="Q201" i="1"/>
  <c r="V173" i="1"/>
  <c r="A174" i="1"/>
  <c r="T202" i="1" l="1"/>
  <c r="Q202" i="1"/>
  <c r="V174" i="1"/>
  <c r="A175" i="1"/>
  <c r="T203" i="1" l="1"/>
  <c r="Q203" i="1"/>
  <c r="A176" i="1"/>
  <c r="V175" i="1"/>
  <c r="T204" i="1" l="1"/>
  <c r="Q204" i="1"/>
  <c r="V176" i="1"/>
  <c r="A177" i="1"/>
  <c r="T205" i="1" l="1"/>
  <c r="Q205" i="1"/>
  <c r="V177" i="1"/>
  <c r="A178" i="1"/>
  <c r="T206" i="1" l="1"/>
  <c r="Q206" i="1"/>
  <c r="V178" i="1"/>
  <c r="A179" i="1"/>
  <c r="T207" i="1" l="1"/>
  <c r="Q207" i="1"/>
  <c r="A180" i="1"/>
  <c r="V179" i="1"/>
  <c r="T208" i="1" l="1"/>
  <c r="Q208" i="1"/>
  <c r="V180" i="1"/>
  <c r="A181" i="1"/>
  <c r="T209" i="1" l="1"/>
  <c r="Q209" i="1"/>
  <c r="V181" i="1"/>
  <c r="A182" i="1"/>
  <c r="T210" i="1" l="1"/>
  <c r="Q210" i="1"/>
  <c r="V182" i="1"/>
  <c r="A183" i="1"/>
  <c r="T211" i="1" l="1"/>
  <c r="Q211" i="1"/>
  <c r="A184" i="1"/>
  <c r="V183" i="1"/>
  <c r="T212" i="1" l="1"/>
  <c r="Q212" i="1"/>
  <c r="V184" i="1"/>
  <c r="A185" i="1"/>
  <c r="T213" i="1" l="1"/>
  <c r="Q213" i="1"/>
  <c r="V185" i="1"/>
  <c r="A186" i="1"/>
  <c r="T214" i="1" l="1"/>
  <c r="Q214" i="1"/>
  <c r="A187" i="1"/>
  <c r="V186" i="1"/>
  <c r="T215" i="1" l="1"/>
  <c r="Q215" i="1"/>
  <c r="A188" i="1"/>
  <c r="V187" i="1"/>
  <c r="T216" i="1" l="1"/>
  <c r="Q216" i="1"/>
  <c r="V188" i="1"/>
  <c r="A189" i="1"/>
  <c r="T217" i="1" l="1"/>
  <c r="Q217" i="1"/>
  <c r="V189" i="1"/>
  <c r="A190" i="1"/>
  <c r="T218" i="1" l="1"/>
  <c r="Q218" i="1"/>
  <c r="A191" i="1"/>
  <c r="V190" i="1"/>
  <c r="T219" i="1" l="1"/>
  <c r="Q219" i="1"/>
  <c r="A192" i="1"/>
  <c r="V191" i="1"/>
  <c r="T220" i="1" l="1"/>
  <c r="Q220" i="1"/>
  <c r="V192" i="1"/>
  <c r="A193" i="1"/>
  <c r="T221" i="1" l="1"/>
  <c r="Q221" i="1"/>
  <c r="V193" i="1"/>
  <c r="A194" i="1"/>
  <c r="T222" i="1" l="1"/>
  <c r="Q222" i="1"/>
  <c r="A195" i="1"/>
  <c r="V194" i="1"/>
  <c r="T223" i="1" l="1"/>
  <c r="Q223" i="1"/>
  <c r="A196" i="1"/>
  <c r="V195" i="1"/>
  <c r="T224" i="1" l="1"/>
  <c r="Q224" i="1"/>
  <c r="V196" i="1"/>
  <c r="A197" i="1"/>
  <c r="T225" i="1" l="1"/>
  <c r="Q225" i="1"/>
  <c r="V197" i="1"/>
  <c r="A198" i="1"/>
  <c r="T226" i="1" l="1"/>
  <c r="Q226" i="1"/>
  <c r="A199" i="1"/>
  <c r="V198" i="1"/>
  <c r="T227" i="1" l="1"/>
  <c r="Q227" i="1"/>
  <c r="A200" i="1"/>
  <c r="V199" i="1"/>
  <c r="T228" i="1" l="1"/>
  <c r="Q228" i="1"/>
  <c r="V200" i="1"/>
  <c r="A201" i="1"/>
  <c r="T229" i="1" l="1"/>
  <c r="Q229" i="1"/>
  <c r="V201" i="1"/>
  <c r="A202" i="1"/>
  <c r="T230" i="1" l="1"/>
  <c r="Q230" i="1"/>
  <c r="A203" i="1"/>
  <c r="V202" i="1"/>
  <c r="T231" i="1" l="1"/>
  <c r="Q231" i="1"/>
  <c r="A204" i="1"/>
  <c r="V203" i="1"/>
  <c r="T232" i="1" l="1"/>
  <c r="Q232" i="1"/>
  <c r="V204" i="1"/>
  <c r="A205" i="1"/>
  <c r="T233" i="1" l="1"/>
  <c r="Q233" i="1"/>
  <c r="V205" i="1"/>
  <c r="A206" i="1"/>
  <c r="T234" i="1" l="1"/>
  <c r="Q234" i="1"/>
  <c r="A207" i="1"/>
  <c r="V206" i="1"/>
  <c r="T235" i="1" l="1"/>
  <c r="Q235" i="1"/>
  <c r="A208" i="1"/>
  <c r="V207" i="1"/>
  <c r="T236" i="1" l="1"/>
  <c r="Q236" i="1"/>
  <c r="V208" i="1"/>
  <c r="A209" i="1"/>
  <c r="T237" i="1" l="1"/>
  <c r="Q237" i="1"/>
  <c r="V209" i="1"/>
  <c r="A210" i="1"/>
  <c r="T238" i="1" l="1"/>
  <c r="Q238" i="1"/>
  <c r="A211" i="1"/>
  <c r="V210" i="1"/>
  <c r="T239" i="1" l="1"/>
  <c r="Q239" i="1"/>
  <c r="A212" i="1"/>
  <c r="V211" i="1"/>
  <c r="T240" i="1" l="1"/>
  <c r="Q240" i="1"/>
  <c r="V212" i="1"/>
  <c r="A213" i="1"/>
  <c r="T241" i="1" l="1"/>
  <c r="Q241" i="1"/>
  <c r="V213" i="1"/>
  <c r="A214" i="1"/>
  <c r="T242" i="1" l="1"/>
  <c r="Q242" i="1"/>
  <c r="A215" i="1"/>
  <c r="V214" i="1"/>
  <c r="T243" i="1" l="1"/>
  <c r="Q243" i="1"/>
  <c r="A216" i="1"/>
  <c r="V215" i="1"/>
  <c r="T244" i="1" l="1"/>
  <c r="Q244" i="1"/>
  <c r="V216" i="1"/>
  <c r="A217" i="1"/>
  <c r="T245" i="1" l="1"/>
  <c r="Q245" i="1"/>
  <c r="V217" i="1"/>
  <c r="A218" i="1"/>
  <c r="T246" i="1" l="1"/>
  <c r="Q246" i="1"/>
  <c r="A219" i="1"/>
  <c r="V218" i="1"/>
  <c r="T247" i="1" l="1"/>
  <c r="Q247" i="1"/>
  <c r="A220" i="1"/>
  <c r="V219" i="1"/>
  <c r="T248" i="1" l="1"/>
  <c r="Q248" i="1"/>
  <c r="V220" i="1"/>
  <c r="A221" i="1"/>
  <c r="T249" i="1" l="1"/>
  <c r="Q249" i="1"/>
  <c r="V221" i="1"/>
  <c r="A222" i="1"/>
  <c r="T250" i="1" l="1"/>
  <c r="Q250" i="1"/>
  <c r="A223" i="1"/>
  <c r="V222" i="1"/>
  <c r="T251" i="1" l="1"/>
  <c r="Q251" i="1"/>
  <c r="A224" i="1"/>
  <c r="V223" i="1"/>
  <c r="T252" i="1" l="1"/>
  <c r="Q252" i="1"/>
  <c r="V224" i="1"/>
  <c r="A225" i="1"/>
  <c r="T253" i="1" l="1"/>
  <c r="Q253" i="1"/>
  <c r="V225" i="1"/>
  <c r="A226" i="1"/>
  <c r="T254" i="1" l="1"/>
  <c r="Q254" i="1"/>
  <c r="A227" i="1"/>
  <c r="V226" i="1"/>
  <c r="T255" i="1" l="1"/>
  <c r="Q255" i="1"/>
  <c r="A228" i="1"/>
  <c r="V227" i="1"/>
  <c r="T256" i="1" l="1"/>
  <c r="Q256" i="1"/>
  <c r="V228" i="1"/>
  <c r="A229" i="1"/>
  <c r="T257" i="1" l="1"/>
  <c r="Q257" i="1"/>
  <c r="V229" i="1"/>
  <c r="A230" i="1"/>
  <c r="T258" i="1" l="1"/>
  <c r="Q258" i="1"/>
  <c r="A231" i="1"/>
  <c r="V230" i="1"/>
  <c r="T259" i="1" l="1"/>
  <c r="Q259" i="1"/>
  <c r="A232" i="1"/>
  <c r="V231" i="1"/>
  <c r="T260" i="1" l="1"/>
  <c r="Q260" i="1"/>
  <c r="V232" i="1"/>
  <c r="A233" i="1"/>
  <c r="T261" i="1" l="1"/>
  <c r="Q261" i="1"/>
  <c r="V233" i="1"/>
  <c r="A234" i="1"/>
  <c r="T262" i="1" l="1"/>
  <c r="Q262" i="1"/>
  <c r="A235" i="1"/>
  <c r="V234" i="1"/>
  <c r="T263" i="1" l="1"/>
  <c r="Q263" i="1"/>
  <c r="A236" i="1"/>
  <c r="V235" i="1"/>
  <c r="T264" i="1" l="1"/>
  <c r="Q264" i="1"/>
  <c r="V236" i="1"/>
  <c r="A237" i="1"/>
  <c r="T265" i="1" l="1"/>
  <c r="Q265" i="1"/>
  <c r="V237" i="1"/>
  <c r="A238" i="1"/>
  <c r="T266" i="1" l="1"/>
  <c r="Q266" i="1"/>
  <c r="A239" i="1"/>
  <c r="V238" i="1"/>
  <c r="T267" i="1" l="1"/>
  <c r="Q267" i="1"/>
  <c r="A240" i="1"/>
  <c r="V239" i="1"/>
  <c r="T268" i="1" l="1"/>
  <c r="Q268" i="1"/>
  <c r="V240" i="1"/>
  <c r="A241" i="1"/>
  <c r="T269" i="1" l="1"/>
  <c r="Q269" i="1"/>
  <c r="V241" i="1"/>
  <c r="A242" i="1"/>
  <c r="T270" i="1" l="1"/>
  <c r="Q270" i="1"/>
  <c r="A243" i="1"/>
  <c r="V242" i="1"/>
  <c r="T271" i="1" l="1"/>
  <c r="Q271" i="1"/>
  <c r="A244" i="1"/>
  <c r="V243" i="1"/>
  <c r="T272" i="1" l="1"/>
  <c r="Q272" i="1"/>
  <c r="V244" i="1"/>
  <c r="A245" i="1"/>
  <c r="T273" i="1" l="1"/>
  <c r="Q273" i="1"/>
  <c r="V245" i="1"/>
  <c r="A246" i="1"/>
  <c r="T274" i="1" l="1"/>
  <c r="Q274" i="1"/>
  <c r="A247" i="1"/>
  <c r="V246" i="1"/>
  <c r="T275" i="1" l="1"/>
  <c r="Q275" i="1"/>
  <c r="A248" i="1"/>
  <c r="V247" i="1"/>
  <c r="T276" i="1" l="1"/>
  <c r="Q276" i="1"/>
  <c r="V248" i="1"/>
  <c r="A249" i="1"/>
  <c r="T277" i="1" l="1"/>
  <c r="Q277" i="1"/>
  <c r="V249" i="1"/>
  <c r="A250" i="1"/>
  <c r="T278" i="1" l="1"/>
  <c r="Q278" i="1"/>
  <c r="A251" i="1"/>
  <c r="V250" i="1"/>
  <c r="T279" i="1" l="1"/>
  <c r="Q279" i="1"/>
  <c r="A252" i="1"/>
  <c r="V251" i="1"/>
  <c r="T280" i="1" l="1"/>
  <c r="Q280" i="1"/>
  <c r="V252" i="1"/>
  <c r="A253" i="1"/>
  <c r="T281" i="1" l="1"/>
  <c r="Q281" i="1"/>
  <c r="V253" i="1"/>
  <c r="A254" i="1"/>
  <c r="T282" i="1" l="1"/>
  <c r="Q282" i="1"/>
  <c r="A255" i="1"/>
  <c r="V254" i="1"/>
  <c r="T283" i="1" l="1"/>
  <c r="Q283" i="1"/>
  <c r="A256" i="1"/>
  <c r="V255" i="1"/>
  <c r="T284" i="1" l="1"/>
  <c r="Q284" i="1"/>
  <c r="V256" i="1"/>
  <c r="A257" i="1"/>
  <c r="T285" i="1" l="1"/>
  <c r="Q285" i="1"/>
  <c r="V257" i="1"/>
  <c r="A258" i="1"/>
  <c r="T286" i="1" l="1"/>
  <c r="Q286" i="1"/>
  <c r="A259" i="1"/>
  <c r="V258" i="1"/>
  <c r="T287" i="1" l="1"/>
  <c r="Q287" i="1"/>
  <c r="A260" i="1"/>
  <c r="V259" i="1"/>
  <c r="T288" i="1" l="1"/>
  <c r="Q288" i="1"/>
  <c r="V260" i="1"/>
  <c r="A261" i="1"/>
  <c r="T289" i="1" l="1"/>
  <c r="Q289" i="1"/>
  <c r="V261" i="1"/>
  <c r="A262" i="1"/>
  <c r="T290" i="1" l="1"/>
  <c r="Q290" i="1"/>
  <c r="A263" i="1"/>
  <c r="V262" i="1"/>
  <c r="T291" i="1" l="1"/>
  <c r="Q291" i="1"/>
  <c r="A264" i="1"/>
  <c r="V263" i="1"/>
  <c r="T292" i="1" l="1"/>
  <c r="Q292" i="1"/>
  <c r="V264" i="1"/>
  <c r="A265" i="1"/>
  <c r="T293" i="1" l="1"/>
  <c r="Q293" i="1"/>
  <c r="V265" i="1"/>
  <c r="A266" i="1"/>
  <c r="T294" i="1" l="1"/>
  <c r="Q294" i="1"/>
  <c r="A267" i="1"/>
  <c r="V266" i="1"/>
  <c r="T295" i="1" l="1"/>
  <c r="Q295" i="1"/>
  <c r="A268" i="1"/>
  <c r="V267" i="1"/>
  <c r="T296" i="1" l="1"/>
  <c r="Q296" i="1"/>
  <c r="V268" i="1"/>
  <c r="A269" i="1"/>
  <c r="T297" i="1" l="1"/>
  <c r="Q297" i="1"/>
  <c r="V269" i="1"/>
  <c r="A270" i="1"/>
  <c r="T298" i="1" l="1"/>
  <c r="Q298" i="1"/>
  <c r="A271" i="1"/>
  <c r="V270" i="1"/>
  <c r="T299" i="1" l="1"/>
  <c r="Q299" i="1"/>
  <c r="A272" i="1"/>
  <c r="V271" i="1"/>
  <c r="T300" i="1" l="1"/>
  <c r="Q300" i="1"/>
  <c r="V272" i="1"/>
  <c r="A273" i="1"/>
  <c r="T301" i="1" l="1"/>
  <c r="Q301" i="1"/>
  <c r="A274" i="1"/>
  <c r="V273" i="1"/>
  <c r="T302" i="1" l="1"/>
  <c r="Q302" i="1"/>
  <c r="V274" i="1"/>
  <c r="A275" i="1"/>
  <c r="T303" i="1" l="1"/>
  <c r="Q303" i="1"/>
  <c r="V275" i="1"/>
  <c r="A276" i="1"/>
  <c r="T304" i="1" l="1"/>
  <c r="Q304" i="1"/>
  <c r="V276" i="1"/>
  <c r="A277" i="1"/>
  <c r="T305" i="1" l="1"/>
  <c r="Q305" i="1"/>
  <c r="A278" i="1"/>
  <c r="V277" i="1"/>
  <c r="T306" i="1" l="1"/>
  <c r="Q306" i="1"/>
  <c r="V278" i="1"/>
  <c r="A279" i="1"/>
  <c r="T307" i="1" l="1"/>
  <c r="Q307" i="1"/>
  <c r="V279" i="1"/>
  <c r="A280" i="1"/>
  <c r="T308" i="1" l="1"/>
  <c r="Q308" i="1"/>
  <c r="V280" i="1"/>
  <c r="A281" i="1"/>
  <c r="T309" i="1" l="1"/>
  <c r="Q309" i="1"/>
  <c r="A282" i="1"/>
  <c r="V281" i="1"/>
  <c r="T310" i="1" l="1"/>
  <c r="Q310" i="1"/>
  <c r="A283" i="1"/>
  <c r="V282" i="1"/>
  <c r="T311" i="1" l="1"/>
  <c r="Q311" i="1"/>
  <c r="V283" i="1"/>
  <c r="A284" i="1"/>
  <c r="T312" i="1" l="1"/>
  <c r="Q312" i="1"/>
  <c r="V284" i="1"/>
  <c r="A285" i="1"/>
  <c r="T313" i="1" l="1"/>
  <c r="Q313" i="1"/>
  <c r="A286" i="1"/>
  <c r="V285" i="1"/>
  <c r="T314" i="1" l="1"/>
  <c r="Q314" i="1"/>
  <c r="A287" i="1"/>
  <c r="V286" i="1"/>
  <c r="T315" i="1" l="1"/>
  <c r="Q315" i="1"/>
  <c r="V287" i="1"/>
  <c r="A288" i="1"/>
  <c r="T316" i="1" l="1"/>
  <c r="Q316" i="1"/>
  <c r="V288" i="1"/>
  <c r="A289" i="1"/>
  <c r="T317" i="1" l="1"/>
  <c r="Q317" i="1"/>
  <c r="A290" i="1"/>
  <c r="V289" i="1"/>
  <c r="T318" i="1" l="1"/>
  <c r="Q318" i="1"/>
  <c r="A291" i="1"/>
  <c r="V290" i="1"/>
  <c r="T319" i="1" l="1"/>
  <c r="Q319" i="1"/>
  <c r="V291" i="1"/>
  <c r="A292" i="1"/>
  <c r="T320" i="1" l="1"/>
  <c r="Q320" i="1"/>
  <c r="V292" i="1"/>
  <c r="A293" i="1"/>
  <c r="T321" i="1" l="1"/>
  <c r="Q321" i="1"/>
  <c r="A294" i="1"/>
  <c r="V293" i="1"/>
  <c r="T322" i="1" l="1"/>
  <c r="Q322" i="1"/>
  <c r="V294" i="1"/>
  <c r="A295" i="1"/>
  <c r="T323" i="1" l="1"/>
  <c r="Q323" i="1"/>
  <c r="V295" i="1"/>
  <c r="A296" i="1"/>
  <c r="T324" i="1" l="1"/>
  <c r="Q324" i="1"/>
  <c r="V296" i="1"/>
  <c r="A297" i="1"/>
  <c r="T325" i="1" l="1"/>
  <c r="Q325" i="1"/>
  <c r="A298" i="1"/>
  <c r="V297" i="1"/>
  <c r="T326" i="1" l="1"/>
  <c r="Q326" i="1"/>
  <c r="A299" i="1"/>
  <c r="V298" i="1"/>
  <c r="T327" i="1" l="1"/>
  <c r="Q327" i="1"/>
  <c r="V299" i="1"/>
  <c r="A300" i="1"/>
  <c r="T328" i="1" l="1"/>
  <c r="Q328" i="1"/>
  <c r="V300" i="1"/>
  <c r="A301" i="1"/>
  <c r="T329" i="1" l="1"/>
  <c r="Q329" i="1"/>
  <c r="A302" i="1"/>
  <c r="V301" i="1"/>
  <c r="T330" i="1" l="1"/>
  <c r="Q330" i="1"/>
  <c r="A303" i="1"/>
  <c r="V302" i="1"/>
  <c r="T331" i="1" l="1"/>
  <c r="Q331" i="1"/>
  <c r="V303" i="1"/>
  <c r="A304" i="1"/>
  <c r="T332" i="1" l="1"/>
  <c r="Q332" i="1"/>
  <c r="V304" i="1"/>
  <c r="A305" i="1"/>
  <c r="T333" i="1" l="1"/>
  <c r="Q333" i="1"/>
  <c r="A306" i="1"/>
  <c r="V305" i="1"/>
  <c r="T334" i="1" l="1"/>
  <c r="Q334" i="1"/>
  <c r="A307" i="1"/>
  <c r="V306" i="1"/>
  <c r="T335" i="1" l="1"/>
  <c r="Q335" i="1"/>
  <c r="V307" i="1"/>
  <c r="A308" i="1"/>
  <c r="T336" i="1" l="1"/>
  <c r="Q336" i="1"/>
  <c r="V308" i="1"/>
  <c r="A309" i="1"/>
  <c r="T337" i="1" l="1"/>
  <c r="Q337" i="1"/>
  <c r="A310" i="1"/>
  <c r="V309" i="1"/>
  <c r="T338" i="1" l="1"/>
  <c r="Q338" i="1"/>
  <c r="V310" i="1"/>
  <c r="A311" i="1"/>
  <c r="T339" i="1" l="1"/>
  <c r="Q339" i="1"/>
  <c r="V311" i="1"/>
  <c r="A312" i="1"/>
  <c r="T340" i="1" l="1"/>
  <c r="Q340" i="1"/>
  <c r="V312" i="1"/>
  <c r="A313" i="1"/>
  <c r="T341" i="1" l="1"/>
  <c r="Q341" i="1"/>
  <c r="A314" i="1"/>
  <c r="V313" i="1"/>
  <c r="T342" i="1" l="1"/>
  <c r="Q342" i="1"/>
  <c r="A315" i="1"/>
  <c r="V314" i="1"/>
  <c r="T343" i="1" l="1"/>
  <c r="Q343" i="1"/>
  <c r="V315" i="1"/>
  <c r="A316" i="1"/>
  <c r="T344" i="1" l="1"/>
  <c r="Q344" i="1"/>
  <c r="V316" i="1"/>
  <c r="A317" i="1"/>
  <c r="T345" i="1" l="1"/>
  <c r="Q345" i="1"/>
  <c r="A318" i="1"/>
  <c r="V317" i="1"/>
  <c r="T346" i="1" l="1"/>
  <c r="Q346" i="1"/>
  <c r="A319" i="1"/>
  <c r="V318" i="1"/>
  <c r="T347" i="1" l="1"/>
  <c r="Q347" i="1"/>
  <c r="V319" i="1"/>
  <c r="A320" i="1"/>
  <c r="T348" i="1" l="1"/>
  <c r="Q348" i="1"/>
  <c r="V320" i="1"/>
  <c r="A321" i="1"/>
  <c r="T349" i="1" l="1"/>
  <c r="Q349" i="1"/>
  <c r="A322" i="1"/>
  <c r="V321" i="1"/>
  <c r="T350" i="1" l="1"/>
  <c r="Q350" i="1"/>
  <c r="A323" i="1"/>
  <c r="V322" i="1"/>
  <c r="T351" i="1" l="1"/>
  <c r="Q351" i="1"/>
  <c r="V323" i="1"/>
  <c r="A324" i="1"/>
  <c r="T352" i="1" l="1"/>
  <c r="Q352" i="1"/>
  <c r="V324" i="1"/>
  <c r="A325" i="1"/>
  <c r="T353" i="1" l="1"/>
  <c r="Q353" i="1"/>
  <c r="A326" i="1"/>
  <c r="V325" i="1"/>
  <c r="T354" i="1" l="1"/>
  <c r="Q354" i="1"/>
  <c r="A327" i="1"/>
  <c r="V326" i="1"/>
  <c r="T355" i="1" l="1"/>
  <c r="Q355" i="1"/>
  <c r="V327" i="1"/>
  <c r="A328" i="1"/>
  <c r="T356" i="1" l="1"/>
  <c r="Q356" i="1"/>
  <c r="V328" i="1"/>
  <c r="A329" i="1"/>
  <c r="T357" i="1" l="1"/>
  <c r="Q357" i="1"/>
  <c r="A330" i="1"/>
  <c r="V329" i="1"/>
  <c r="T358" i="1" l="1"/>
  <c r="Q358" i="1"/>
  <c r="V330" i="1"/>
  <c r="A331" i="1"/>
  <c r="T359" i="1" l="1"/>
  <c r="Q359" i="1"/>
  <c r="V331" i="1"/>
  <c r="A332" i="1"/>
  <c r="T360" i="1" l="1"/>
  <c r="Q360" i="1"/>
  <c r="V332" i="1"/>
  <c r="A333" i="1"/>
  <c r="T361" i="1" l="1"/>
  <c r="Q361" i="1"/>
  <c r="A334" i="1"/>
  <c r="V333" i="1"/>
  <c r="T362" i="1" l="1"/>
  <c r="Q362" i="1"/>
  <c r="A335" i="1"/>
  <c r="V334" i="1"/>
  <c r="T363" i="1" l="1"/>
  <c r="Q363" i="1"/>
  <c r="V335" i="1"/>
  <c r="A336" i="1"/>
  <c r="T364" i="1" l="1"/>
  <c r="Q364" i="1"/>
  <c r="A337" i="1"/>
  <c r="V336" i="1"/>
  <c r="T365" i="1" l="1"/>
  <c r="Q365" i="1"/>
  <c r="A338" i="1"/>
  <c r="V337" i="1"/>
  <c r="T366" i="1" l="1"/>
  <c r="Q366" i="1"/>
  <c r="A339" i="1"/>
  <c r="V338" i="1"/>
  <c r="T367" i="1" l="1"/>
  <c r="Q367" i="1"/>
  <c r="V339" i="1"/>
  <c r="A340" i="1"/>
  <c r="T368" i="1" l="1"/>
  <c r="Q368" i="1"/>
  <c r="A341" i="1"/>
  <c r="V340" i="1"/>
  <c r="T369" i="1" l="1"/>
  <c r="Q369" i="1"/>
  <c r="A342" i="1"/>
  <c r="V341" i="1"/>
  <c r="T370" i="1" l="1"/>
  <c r="Q370" i="1"/>
  <c r="A343" i="1"/>
  <c r="V342" i="1"/>
  <c r="T371" i="1" l="1"/>
  <c r="Q371" i="1"/>
  <c r="V343" i="1"/>
  <c r="A344" i="1"/>
  <c r="T372" i="1" l="1"/>
  <c r="Q372" i="1"/>
  <c r="A345" i="1"/>
  <c r="V344" i="1"/>
  <c r="T373" i="1" l="1"/>
  <c r="Q373" i="1"/>
  <c r="A346" i="1"/>
  <c r="V345" i="1"/>
  <c r="T374" i="1" l="1"/>
  <c r="Q374" i="1"/>
  <c r="A347" i="1"/>
  <c r="V346" i="1"/>
  <c r="T375" i="1" l="1"/>
  <c r="Q375" i="1"/>
  <c r="V347" i="1"/>
  <c r="A348" i="1"/>
  <c r="T376" i="1" l="1"/>
  <c r="Q376" i="1"/>
  <c r="A349" i="1"/>
  <c r="V348" i="1"/>
  <c r="T377" i="1" l="1"/>
  <c r="Q377" i="1"/>
  <c r="A350" i="1"/>
  <c r="V349" i="1"/>
  <c r="T378" i="1" l="1"/>
  <c r="Q378" i="1"/>
  <c r="A351" i="1"/>
  <c r="V350" i="1"/>
  <c r="T379" i="1" l="1"/>
  <c r="Q379" i="1"/>
  <c r="V351" i="1"/>
  <c r="A352" i="1"/>
  <c r="T380" i="1" l="1"/>
  <c r="Q380" i="1"/>
  <c r="A353" i="1"/>
  <c r="V352" i="1"/>
  <c r="T381" i="1" l="1"/>
  <c r="Q381" i="1"/>
  <c r="A354" i="1"/>
  <c r="V353" i="1"/>
  <c r="T382" i="1" l="1"/>
  <c r="Q382" i="1"/>
  <c r="A355" i="1"/>
  <c r="V354" i="1"/>
  <c r="T383" i="1" l="1"/>
  <c r="Q383" i="1"/>
  <c r="V355" i="1"/>
  <c r="A356" i="1"/>
  <c r="T384" i="1" l="1"/>
  <c r="Q384" i="1"/>
  <c r="A357" i="1"/>
  <c r="V356" i="1"/>
  <c r="T385" i="1" l="1"/>
  <c r="Q385" i="1"/>
  <c r="A358" i="1"/>
  <c r="V357" i="1"/>
  <c r="T386" i="1" l="1"/>
  <c r="Q386" i="1"/>
  <c r="A359" i="1"/>
  <c r="V358" i="1"/>
  <c r="T387" i="1" l="1"/>
  <c r="Q387" i="1"/>
  <c r="V359" i="1"/>
  <c r="A360" i="1"/>
  <c r="T388" i="1" l="1"/>
  <c r="Q388" i="1"/>
  <c r="A361" i="1"/>
  <c r="V360" i="1"/>
  <c r="T389" i="1" l="1"/>
  <c r="Q389" i="1"/>
  <c r="A362" i="1"/>
  <c r="V361" i="1"/>
  <c r="T390" i="1" l="1"/>
  <c r="Q390" i="1"/>
  <c r="A363" i="1"/>
  <c r="V362" i="1"/>
  <c r="T391" i="1" l="1"/>
  <c r="Q391" i="1"/>
  <c r="V363" i="1"/>
  <c r="A364" i="1"/>
  <c r="T392" i="1" l="1"/>
  <c r="Q392" i="1"/>
  <c r="A365" i="1"/>
  <c r="V364" i="1"/>
  <c r="T393" i="1" l="1"/>
  <c r="Q393" i="1"/>
  <c r="A366" i="1"/>
  <c r="V365" i="1"/>
  <c r="T394" i="1" l="1"/>
  <c r="Q394" i="1"/>
  <c r="A367" i="1"/>
  <c r="V366" i="1"/>
  <c r="T395" i="1" l="1"/>
  <c r="Q395" i="1"/>
  <c r="V367" i="1"/>
  <c r="A368" i="1"/>
  <c r="T396" i="1" l="1"/>
  <c r="Q396" i="1"/>
  <c r="A369" i="1"/>
  <c r="V368" i="1"/>
  <c r="T397" i="1" l="1"/>
  <c r="Q397" i="1"/>
  <c r="A370" i="1"/>
  <c r="V369" i="1"/>
  <c r="T398" i="1" l="1"/>
  <c r="Q398" i="1"/>
  <c r="A371" i="1"/>
  <c r="V370" i="1"/>
  <c r="T399" i="1" l="1"/>
  <c r="Q399" i="1"/>
  <c r="V371" i="1"/>
  <c r="A372" i="1"/>
  <c r="T400" i="1" l="1"/>
  <c r="Q400" i="1"/>
  <c r="A373" i="1"/>
  <c r="V372" i="1"/>
  <c r="T401" i="1" l="1"/>
  <c r="Q401" i="1"/>
  <c r="A374" i="1"/>
  <c r="V373" i="1"/>
  <c r="T402" i="1" l="1"/>
  <c r="Q402" i="1"/>
  <c r="A375" i="1"/>
  <c r="V374" i="1"/>
  <c r="T403" i="1" l="1"/>
  <c r="Q403" i="1"/>
  <c r="V375" i="1"/>
  <c r="A376" i="1"/>
  <c r="T404" i="1" l="1"/>
  <c r="Q404" i="1"/>
  <c r="A377" i="1"/>
  <c r="V376" i="1"/>
  <c r="T405" i="1" l="1"/>
  <c r="Q405" i="1"/>
  <c r="A378" i="1"/>
  <c r="V377" i="1"/>
  <c r="T406" i="1" l="1"/>
  <c r="Q406" i="1"/>
  <c r="A379" i="1"/>
  <c r="V378" i="1"/>
  <c r="T407" i="1" l="1"/>
  <c r="Q407" i="1"/>
  <c r="V379" i="1"/>
  <c r="A380" i="1"/>
  <c r="T408" i="1" l="1"/>
  <c r="Q408" i="1"/>
  <c r="A381" i="1"/>
  <c r="V380" i="1"/>
  <c r="T409" i="1" l="1"/>
  <c r="Q409" i="1"/>
  <c r="A382" i="1"/>
  <c r="V381" i="1"/>
  <c r="T410" i="1" l="1"/>
  <c r="Q410" i="1"/>
  <c r="A383" i="1"/>
  <c r="V382" i="1"/>
  <c r="T411" i="1" l="1"/>
  <c r="Q411" i="1"/>
  <c r="V383" i="1"/>
  <c r="A384" i="1"/>
  <c r="T412" i="1" l="1"/>
  <c r="Q412" i="1"/>
  <c r="A385" i="1"/>
  <c r="V384" i="1"/>
  <c r="T413" i="1" l="1"/>
  <c r="Q413" i="1"/>
  <c r="A386" i="1"/>
  <c r="V385" i="1"/>
  <c r="T414" i="1" l="1"/>
  <c r="Q414" i="1"/>
  <c r="A387" i="1"/>
  <c r="V386" i="1"/>
  <c r="T415" i="1" l="1"/>
  <c r="Q415" i="1"/>
  <c r="V387" i="1"/>
  <c r="A388" i="1"/>
  <c r="T416" i="1" l="1"/>
  <c r="Q416" i="1"/>
  <c r="A389" i="1"/>
  <c r="V388" i="1"/>
  <c r="T417" i="1" l="1"/>
  <c r="Q417" i="1"/>
  <c r="A390" i="1"/>
  <c r="V389" i="1"/>
  <c r="T418" i="1" l="1"/>
  <c r="Q418" i="1"/>
  <c r="A391" i="1"/>
  <c r="V390" i="1"/>
  <c r="T419" i="1" l="1"/>
  <c r="Q419" i="1"/>
  <c r="V391" i="1"/>
  <c r="A392" i="1"/>
  <c r="T420" i="1" l="1"/>
  <c r="Q420" i="1"/>
  <c r="A393" i="1"/>
  <c r="V392" i="1"/>
  <c r="T421" i="1" l="1"/>
  <c r="Q421" i="1"/>
  <c r="A394" i="1"/>
  <c r="V393" i="1"/>
  <c r="T422" i="1" l="1"/>
  <c r="Q422" i="1"/>
  <c r="A395" i="1"/>
  <c r="V394" i="1"/>
  <c r="T423" i="1" l="1"/>
  <c r="Q423" i="1"/>
  <c r="V395" i="1"/>
  <c r="A396" i="1"/>
  <c r="T424" i="1" l="1"/>
  <c r="Q424" i="1"/>
  <c r="A397" i="1"/>
  <c r="V396" i="1"/>
  <c r="T425" i="1" l="1"/>
  <c r="Q425" i="1"/>
  <c r="A398" i="1"/>
  <c r="V397" i="1"/>
  <c r="T426" i="1" l="1"/>
  <c r="Q426" i="1"/>
  <c r="A399" i="1"/>
  <c r="V398" i="1"/>
  <c r="T427" i="1" l="1"/>
  <c r="Q427" i="1"/>
  <c r="V399" i="1"/>
  <c r="A400" i="1"/>
  <c r="T428" i="1" l="1"/>
  <c r="Q428" i="1"/>
  <c r="V400" i="1"/>
  <c r="A401" i="1"/>
  <c r="T429" i="1" l="1"/>
  <c r="Q429" i="1"/>
  <c r="A402" i="1"/>
  <c r="V401" i="1"/>
  <c r="T430" i="1" l="1"/>
  <c r="Q430" i="1"/>
  <c r="V402" i="1"/>
  <c r="A403" i="1"/>
  <c r="T431" i="1" l="1"/>
  <c r="Q431" i="1"/>
  <c r="A404" i="1"/>
  <c r="V403" i="1"/>
  <c r="T432" i="1" l="1"/>
  <c r="Q432" i="1"/>
  <c r="V404" i="1"/>
  <c r="A405" i="1"/>
  <c r="T433" i="1" l="1"/>
  <c r="Q433" i="1"/>
  <c r="V405" i="1"/>
  <c r="A406" i="1"/>
  <c r="T434" i="1" l="1"/>
  <c r="Q434" i="1"/>
  <c r="A407" i="1"/>
  <c r="V406" i="1"/>
  <c r="T435" i="1" l="1"/>
  <c r="Q435" i="1"/>
  <c r="A408" i="1"/>
  <c r="V407" i="1"/>
  <c r="T436" i="1" l="1"/>
  <c r="Q436" i="1"/>
  <c r="V408" i="1"/>
  <c r="A409" i="1"/>
  <c r="T437" i="1" l="1"/>
  <c r="Q437" i="1"/>
  <c r="A410" i="1"/>
  <c r="V409" i="1"/>
  <c r="T438" i="1" l="1"/>
  <c r="Q438" i="1"/>
  <c r="A411" i="1"/>
  <c r="V410" i="1"/>
  <c r="T439" i="1" l="1"/>
  <c r="Q439" i="1"/>
  <c r="A412" i="1"/>
  <c r="V411" i="1"/>
  <c r="T440" i="1" l="1"/>
  <c r="Q440" i="1"/>
  <c r="V412" i="1"/>
  <c r="A413" i="1"/>
  <c r="T441" i="1" l="1"/>
  <c r="Q441" i="1"/>
  <c r="A414" i="1"/>
  <c r="V413" i="1"/>
  <c r="T442" i="1" l="1"/>
  <c r="Q442" i="1"/>
  <c r="V414" i="1"/>
  <c r="A415" i="1"/>
  <c r="T443" i="1" l="1"/>
  <c r="Q443" i="1"/>
  <c r="A416" i="1"/>
  <c r="V415" i="1"/>
  <c r="T444" i="1" l="1"/>
  <c r="Q444" i="1"/>
  <c r="A417" i="1"/>
  <c r="V416" i="1"/>
  <c r="T445" i="1" l="1"/>
  <c r="Q445" i="1"/>
  <c r="A418" i="1"/>
  <c r="V417" i="1"/>
  <c r="T446" i="1" l="1"/>
  <c r="Q446" i="1"/>
  <c r="V418" i="1"/>
  <c r="A419" i="1"/>
  <c r="T447" i="1" l="1"/>
  <c r="Q447" i="1"/>
  <c r="A420" i="1"/>
  <c r="V419" i="1"/>
  <c r="T448" i="1" l="1"/>
  <c r="Q448" i="1"/>
  <c r="A421" i="1"/>
  <c r="V420" i="1"/>
  <c r="T449" i="1" l="1"/>
  <c r="Q449" i="1"/>
  <c r="A422" i="1"/>
  <c r="V421" i="1"/>
  <c r="T450" i="1" l="1"/>
  <c r="Q450" i="1"/>
  <c r="V422" i="1"/>
  <c r="A423" i="1"/>
  <c r="T451" i="1" l="1"/>
  <c r="Q451" i="1"/>
  <c r="A424" i="1"/>
  <c r="V423" i="1"/>
  <c r="T452" i="1" l="1"/>
  <c r="Q452" i="1"/>
  <c r="A425" i="1"/>
  <c r="V424" i="1"/>
  <c r="T453" i="1" l="1"/>
  <c r="Q453" i="1"/>
  <c r="A426" i="1"/>
  <c r="V425" i="1"/>
  <c r="T454" i="1" l="1"/>
  <c r="Q454" i="1"/>
  <c r="V426" i="1"/>
  <c r="A427" i="1"/>
  <c r="T455" i="1" l="1"/>
  <c r="Q455" i="1"/>
  <c r="A428" i="1"/>
  <c r="V427" i="1"/>
  <c r="T456" i="1" l="1"/>
  <c r="Q456" i="1"/>
  <c r="A429" i="1"/>
  <c r="V428" i="1"/>
  <c r="T457" i="1" l="1"/>
  <c r="Q457" i="1"/>
  <c r="A430" i="1"/>
  <c r="V429" i="1"/>
  <c r="T458" i="1" l="1"/>
  <c r="Q458" i="1"/>
  <c r="V430" i="1"/>
  <c r="A431" i="1"/>
  <c r="T459" i="1" l="1"/>
  <c r="Q459" i="1"/>
  <c r="A432" i="1"/>
  <c r="V431" i="1"/>
  <c r="T460" i="1" l="1"/>
  <c r="Q460" i="1"/>
  <c r="A433" i="1"/>
  <c r="V432" i="1"/>
  <c r="T461" i="1" l="1"/>
  <c r="Q461" i="1"/>
  <c r="A434" i="1"/>
  <c r="V433" i="1"/>
  <c r="T462" i="1" l="1"/>
  <c r="Q462" i="1"/>
  <c r="V434" i="1"/>
  <c r="A435" i="1"/>
  <c r="T463" i="1" l="1"/>
  <c r="Q463" i="1"/>
  <c r="A436" i="1"/>
  <c r="V435" i="1"/>
  <c r="T464" i="1" l="1"/>
  <c r="Q464" i="1"/>
  <c r="A437" i="1"/>
  <c r="V436" i="1"/>
  <c r="T465" i="1" l="1"/>
  <c r="Q465" i="1"/>
  <c r="A438" i="1"/>
  <c r="V437" i="1"/>
  <c r="T466" i="1" l="1"/>
  <c r="Q466" i="1"/>
  <c r="V438" i="1"/>
  <c r="A439" i="1"/>
  <c r="T467" i="1" l="1"/>
  <c r="Q467" i="1"/>
  <c r="A440" i="1"/>
  <c r="V439" i="1"/>
  <c r="T468" i="1" l="1"/>
  <c r="Q468" i="1"/>
  <c r="A441" i="1"/>
  <c r="V440" i="1"/>
  <c r="T469" i="1" l="1"/>
  <c r="Q469" i="1"/>
  <c r="A442" i="1"/>
  <c r="V441" i="1"/>
  <c r="T470" i="1" l="1"/>
  <c r="Q470" i="1"/>
  <c r="V442" i="1"/>
  <c r="A443" i="1"/>
  <c r="T471" i="1" l="1"/>
  <c r="Q471" i="1"/>
  <c r="A444" i="1"/>
  <c r="V443" i="1"/>
  <c r="T472" i="1" l="1"/>
  <c r="Q472" i="1"/>
  <c r="A445" i="1"/>
  <c r="V444" i="1"/>
  <c r="T473" i="1" l="1"/>
  <c r="Q473" i="1"/>
  <c r="A446" i="1"/>
  <c r="V445" i="1"/>
  <c r="T474" i="1" l="1"/>
  <c r="Q474" i="1"/>
  <c r="V446" i="1"/>
  <c r="A447" i="1"/>
  <c r="T475" i="1" l="1"/>
  <c r="Q475" i="1"/>
  <c r="A448" i="1"/>
  <c r="V447" i="1"/>
  <c r="T476" i="1" l="1"/>
  <c r="Q476" i="1"/>
  <c r="A449" i="1"/>
  <c r="V448" i="1"/>
  <c r="T477" i="1" l="1"/>
  <c r="Q477" i="1"/>
  <c r="A450" i="1"/>
  <c r="V449" i="1"/>
  <c r="T478" i="1" l="1"/>
  <c r="Q478" i="1"/>
  <c r="V450" i="1"/>
  <c r="A451" i="1"/>
  <c r="T479" i="1" l="1"/>
  <c r="Q479" i="1"/>
  <c r="A452" i="1"/>
  <c r="V451" i="1"/>
  <c r="T480" i="1" l="1"/>
  <c r="Q480" i="1"/>
  <c r="A453" i="1"/>
  <c r="V452" i="1"/>
  <c r="T481" i="1" l="1"/>
  <c r="Q481" i="1"/>
  <c r="A454" i="1"/>
  <c r="V453" i="1"/>
  <c r="T482" i="1" l="1"/>
  <c r="Q482" i="1"/>
  <c r="V454" i="1"/>
  <c r="A455" i="1"/>
  <c r="T483" i="1" l="1"/>
  <c r="Q483" i="1"/>
  <c r="A456" i="1"/>
  <c r="V455" i="1"/>
  <c r="T484" i="1" l="1"/>
  <c r="Q484" i="1"/>
  <c r="A457" i="1"/>
  <c r="V456" i="1"/>
  <c r="T485" i="1" l="1"/>
  <c r="Q485" i="1"/>
  <c r="A458" i="1"/>
  <c r="V457" i="1"/>
  <c r="T486" i="1" l="1"/>
  <c r="Q486" i="1"/>
  <c r="V458" i="1"/>
  <c r="A459" i="1"/>
  <c r="T487" i="1" l="1"/>
  <c r="Q487" i="1"/>
  <c r="A460" i="1"/>
  <c r="V459" i="1"/>
  <c r="T488" i="1" l="1"/>
  <c r="Q488" i="1"/>
  <c r="A461" i="1"/>
  <c r="V460" i="1"/>
  <c r="T489" i="1" l="1"/>
  <c r="Q489" i="1"/>
  <c r="A462" i="1"/>
  <c r="V461" i="1"/>
  <c r="T490" i="1" l="1"/>
  <c r="Q490" i="1"/>
  <c r="V462" i="1"/>
  <c r="A463" i="1"/>
  <c r="T491" i="1" l="1"/>
  <c r="Q491" i="1"/>
  <c r="A464" i="1"/>
  <c r="V463" i="1"/>
  <c r="T492" i="1" l="1"/>
  <c r="Q492" i="1"/>
  <c r="A465" i="1"/>
  <c r="V464" i="1"/>
  <c r="T493" i="1" l="1"/>
  <c r="Q493" i="1"/>
  <c r="A466" i="1"/>
  <c r="V465" i="1"/>
  <c r="T494" i="1" l="1"/>
  <c r="Q494" i="1"/>
  <c r="V466" i="1"/>
  <c r="A467" i="1"/>
  <c r="T495" i="1" l="1"/>
  <c r="Q495" i="1"/>
  <c r="A468" i="1"/>
  <c r="V467" i="1"/>
  <c r="T496" i="1" l="1"/>
  <c r="Q496" i="1"/>
  <c r="A469" i="1"/>
  <c r="V468" i="1"/>
  <c r="T497" i="1" l="1"/>
  <c r="Q497" i="1"/>
  <c r="A470" i="1"/>
  <c r="V469" i="1"/>
  <c r="T498" i="1" l="1"/>
  <c r="Q498" i="1"/>
  <c r="V470" i="1"/>
  <c r="A471" i="1"/>
  <c r="T499" i="1" l="1"/>
  <c r="Q499" i="1"/>
  <c r="A472" i="1"/>
  <c r="V471" i="1"/>
  <c r="T500" i="1" l="1"/>
  <c r="Q500" i="1"/>
  <c r="A473" i="1"/>
  <c r="V472" i="1"/>
  <c r="T501" i="1" l="1"/>
  <c r="Q501" i="1"/>
  <c r="A474" i="1"/>
  <c r="V473" i="1"/>
  <c r="T502" i="1" l="1"/>
  <c r="Q502" i="1"/>
  <c r="V474" i="1"/>
  <c r="A475" i="1"/>
  <c r="T503" i="1" l="1"/>
  <c r="Q503" i="1"/>
  <c r="A476" i="1"/>
  <c r="V475" i="1"/>
  <c r="T504" i="1" l="1"/>
  <c r="Q504" i="1"/>
  <c r="A477" i="1"/>
  <c r="V476" i="1"/>
  <c r="T505" i="1" l="1"/>
  <c r="Q505" i="1"/>
  <c r="A478" i="1"/>
  <c r="V477" i="1"/>
  <c r="T506" i="1" l="1"/>
  <c r="Q506" i="1"/>
  <c r="V478" i="1"/>
  <c r="A479" i="1"/>
  <c r="T507" i="1" l="1"/>
  <c r="Q507" i="1"/>
  <c r="A480" i="1"/>
  <c r="V479" i="1"/>
  <c r="T508" i="1" l="1"/>
  <c r="Q508" i="1"/>
  <c r="A481" i="1"/>
  <c r="V480" i="1"/>
  <c r="T509" i="1" l="1"/>
  <c r="Q509" i="1"/>
  <c r="A482" i="1"/>
  <c r="V481" i="1"/>
  <c r="T510" i="1" l="1"/>
  <c r="Q510" i="1"/>
  <c r="V482" i="1"/>
  <c r="A483" i="1"/>
  <c r="T511" i="1" l="1"/>
  <c r="Q511" i="1"/>
  <c r="A484" i="1"/>
  <c r="V483" i="1"/>
  <c r="T512" i="1" l="1"/>
  <c r="Q512" i="1"/>
  <c r="A485" i="1"/>
  <c r="V484" i="1"/>
  <c r="T513" i="1" l="1"/>
  <c r="Q513" i="1"/>
  <c r="A486" i="1"/>
  <c r="V485" i="1"/>
  <c r="T514" i="1" l="1"/>
  <c r="Q514" i="1"/>
  <c r="V486" i="1"/>
  <c r="A487" i="1"/>
  <c r="T515" i="1" l="1"/>
  <c r="Q515" i="1"/>
  <c r="A488" i="1"/>
  <c r="V487" i="1"/>
  <c r="T516" i="1" l="1"/>
  <c r="Q516" i="1"/>
  <c r="A489" i="1"/>
  <c r="V488" i="1"/>
  <c r="T517" i="1" l="1"/>
  <c r="Q517" i="1"/>
  <c r="A490" i="1"/>
  <c r="V489" i="1"/>
  <c r="T518" i="1" l="1"/>
  <c r="Q518" i="1"/>
  <c r="V490" i="1"/>
  <c r="A491" i="1"/>
  <c r="T519" i="1" l="1"/>
  <c r="Q519" i="1"/>
  <c r="A492" i="1"/>
  <c r="V491" i="1"/>
  <c r="T520" i="1" l="1"/>
  <c r="Q520" i="1"/>
  <c r="A493" i="1"/>
  <c r="V492" i="1"/>
  <c r="T521" i="1" l="1"/>
  <c r="Q521" i="1"/>
  <c r="A494" i="1"/>
  <c r="V493" i="1"/>
  <c r="T522" i="1" l="1"/>
  <c r="Q522" i="1"/>
  <c r="V494" i="1"/>
  <c r="A495" i="1"/>
  <c r="T523" i="1" l="1"/>
  <c r="Q523" i="1"/>
  <c r="A496" i="1"/>
  <c r="V495" i="1"/>
  <c r="T524" i="1" l="1"/>
  <c r="Q524" i="1"/>
  <c r="A497" i="1"/>
  <c r="V496" i="1"/>
  <c r="T525" i="1" l="1"/>
  <c r="Q525" i="1"/>
  <c r="A498" i="1"/>
  <c r="V497" i="1"/>
  <c r="T526" i="1" l="1"/>
  <c r="Q526" i="1"/>
  <c r="V498" i="1"/>
  <c r="A499" i="1"/>
  <c r="T527" i="1" l="1"/>
  <c r="Q527" i="1"/>
  <c r="A500" i="1"/>
  <c r="V499" i="1"/>
  <c r="T528" i="1" l="1"/>
  <c r="Q528" i="1"/>
  <c r="A501" i="1"/>
  <c r="V500" i="1"/>
  <c r="T529" i="1" l="1"/>
  <c r="Q529" i="1"/>
  <c r="A502" i="1"/>
  <c r="V501" i="1"/>
  <c r="T530" i="1" l="1"/>
  <c r="Q530" i="1"/>
  <c r="A503" i="1"/>
  <c r="V502" i="1"/>
  <c r="T531" i="1" l="1"/>
  <c r="Q531" i="1"/>
  <c r="V503" i="1"/>
  <c r="A504" i="1"/>
  <c r="T532" i="1" l="1"/>
  <c r="Q532" i="1"/>
  <c r="V504" i="1"/>
  <c r="A505" i="1"/>
  <c r="T533" i="1" l="1"/>
  <c r="Q533" i="1"/>
  <c r="A506" i="1"/>
  <c r="V505" i="1"/>
  <c r="T534" i="1" l="1"/>
  <c r="Q534" i="1"/>
  <c r="V506" i="1"/>
  <c r="A507" i="1"/>
  <c r="T535" i="1" l="1"/>
  <c r="Q535" i="1"/>
  <c r="V507" i="1"/>
  <c r="A508" i="1"/>
  <c r="T536" i="1" l="1"/>
  <c r="Q536" i="1"/>
  <c r="V508" i="1"/>
  <c r="A509" i="1"/>
  <c r="T537" i="1" l="1"/>
  <c r="Q537" i="1"/>
  <c r="A510" i="1"/>
  <c r="V509" i="1"/>
  <c r="T538" i="1" l="1"/>
  <c r="Q538" i="1"/>
  <c r="V510" i="1"/>
  <c r="A511" i="1"/>
  <c r="T539" i="1" l="1"/>
  <c r="Q539" i="1"/>
  <c r="V511" i="1"/>
  <c r="A512" i="1"/>
  <c r="T540" i="1" l="1"/>
  <c r="Q540" i="1"/>
  <c r="V512" i="1"/>
  <c r="A513" i="1"/>
  <c r="T541" i="1" l="1"/>
  <c r="Q541" i="1"/>
  <c r="A514" i="1"/>
  <c r="V513" i="1"/>
  <c r="T542" i="1" l="1"/>
  <c r="Q542" i="1"/>
  <c r="V514" i="1"/>
  <c r="A515" i="1"/>
  <c r="T543" i="1" l="1"/>
  <c r="Q543" i="1"/>
  <c r="V515" i="1"/>
  <c r="A516" i="1"/>
  <c r="T544" i="1" l="1"/>
  <c r="Q544" i="1"/>
  <c r="V516" i="1"/>
  <c r="A517" i="1"/>
  <c r="T545" i="1" l="1"/>
  <c r="Q545" i="1"/>
  <c r="A518" i="1"/>
  <c r="V517" i="1"/>
  <c r="T546" i="1" l="1"/>
  <c r="Q546" i="1"/>
  <c r="V518" i="1"/>
  <c r="A519" i="1"/>
  <c r="T547" i="1" l="1"/>
  <c r="Q547" i="1"/>
  <c r="V519" i="1"/>
  <c r="A520" i="1"/>
  <c r="T548" i="1" l="1"/>
  <c r="Q548" i="1"/>
  <c r="V520" i="1"/>
  <c r="A521" i="1"/>
  <c r="T549" i="1" l="1"/>
  <c r="Q549" i="1"/>
  <c r="A522" i="1"/>
  <c r="V521" i="1"/>
  <c r="T550" i="1" l="1"/>
  <c r="Q550" i="1"/>
  <c r="V522" i="1"/>
  <c r="A523" i="1"/>
  <c r="T551" i="1" l="1"/>
  <c r="Q551" i="1"/>
  <c r="V523" i="1"/>
  <c r="A524" i="1"/>
  <c r="T552" i="1" l="1"/>
  <c r="Q552" i="1"/>
  <c r="V524" i="1"/>
  <c r="A525" i="1"/>
  <c r="T553" i="1" l="1"/>
  <c r="Q553" i="1"/>
  <c r="A526" i="1"/>
  <c r="V525" i="1"/>
  <c r="T554" i="1" l="1"/>
  <c r="Q554" i="1"/>
  <c r="V526" i="1"/>
  <c r="A527" i="1"/>
  <c r="T555" i="1" l="1"/>
  <c r="Q555" i="1"/>
  <c r="V527" i="1"/>
  <c r="A528" i="1"/>
  <c r="T556" i="1" l="1"/>
  <c r="Q556" i="1"/>
  <c r="V528" i="1"/>
  <c r="A529" i="1"/>
  <c r="T557" i="1" l="1"/>
  <c r="Q557" i="1"/>
  <c r="A530" i="1"/>
  <c r="V529" i="1"/>
  <c r="T558" i="1" l="1"/>
  <c r="Q558" i="1"/>
  <c r="V530" i="1"/>
  <c r="A531" i="1"/>
  <c r="T559" i="1" l="1"/>
  <c r="Q559" i="1"/>
  <c r="V531" i="1"/>
  <c r="A532" i="1"/>
  <c r="T560" i="1" l="1"/>
  <c r="Q560" i="1"/>
  <c r="V532" i="1"/>
  <c r="A533" i="1"/>
  <c r="T561" i="1" l="1"/>
  <c r="Q561" i="1"/>
  <c r="A534" i="1"/>
  <c r="V533" i="1"/>
  <c r="T562" i="1" l="1"/>
  <c r="Q562" i="1"/>
  <c r="V534" i="1"/>
  <c r="A535" i="1"/>
  <c r="T563" i="1" l="1"/>
  <c r="Q563" i="1"/>
  <c r="V535" i="1"/>
  <c r="A536" i="1"/>
  <c r="T564" i="1" l="1"/>
  <c r="Q564" i="1"/>
  <c r="V536" i="1"/>
  <c r="A537" i="1"/>
  <c r="T565" i="1" l="1"/>
  <c r="Q565" i="1"/>
  <c r="A538" i="1"/>
  <c r="V537" i="1"/>
  <c r="T566" i="1" l="1"/>
  <c r="Q566" i="1"/>
  <c r="V538" i="1"/>
  <c r="A539" i="1"/>
  <c r="T567" i="1" l="1"/>
  <c r="Q567" i="1"/>
  <c r="V539" i="1"/>
  <c r="A540" i="1"/>
  <c r="T568" i="1" l="1"/>
  <c r="Q568" i="1"/>
  <c r="V540" i="1"/>
  <c r="A541" i="1"/>
  <c r="T569" i="1" l="1"/>
  <c r="Q569" i="1"/>
  <c r="A542" i="1"/>
  <c r="V541" i="1"/>
  <c r="T570" i="1" l="1"/>
  <c r="Q570" i="1"/>
  <c r="V542" i="1"/>
  <c r="A543" i="1"/>
  <c r="T571" i="1" l="1"/>
  <c r="Q571" i="1"/>
  <c r="V543" i="1"/>
  <c r="A544" i="1"/>
  <c r="T572" i="1" l="1"/>
  <c r="Q572" i="1"/>
  <c r="V544" i="1"/>
  <c r="A545" i="1"/>
  <c r="T573" i="1" l="1"/>
  <c r="Q573" i="1"/>
  <c r="A546" i="1"/>
  <c r="V545" i="1"/>
  <c r="T574" i="1" l="1"/>
  <c r="Q574" i="1"/>
  <c r="V546" i="1"/>
  <c r="A547" i="1"/>
  <c r="T575" i="1" l="1"/>
  <c r="Q575" i="1"/>
  <c r="V547" i="1"/>
  <c r="A548" i="1"/>
  <c r="T576" i="1" l="1"/>
  <c r="Q576" i="1"/>
  <c r="V548" i="1"/>
  <c r="A549" i="1"/>
  <c r="T577" i="1" l="1"/>
  <c r="Q577" i="1"/>
  <c r="A550" i="1"/>
  <c r="V549" i="1"/>
  <c r="T578" i="1" l="1"/>
  <c r="Q578" i="1"/>
  <c r="V550" i="1"/>
  <c r="A551" i="1"/>
  <c r="T579" i="1" l="1"/>
  <c r="Q579" i="1"/>
  <c r="V551" i="1"/>
  <c r="A552" i="1"/>
  <c r="T580" i="1" l="1"/>
  <c r="Q580" i="1"/>
  <c r="A553" i="1"/>
  <c r="V552" i="1"/>
  <c r="T581" i="1" l="1"/>
  <c r="Q581" i="1"/>
  <c r="A554" i="1"/>
  <c r="V553" i="1"/>
  <c r="T582" i="1" l="1"/>
  <c r="Q582" i="1"/>
  <c r="V554" i="1"/>
  <c r="A555" i="1"/>
  <c r="T583" i="1" l="1"/>
  <c r="Q583" i="1"/>
  <c r="V555" i="1"/>
  <c r="A556" i="1"/>
  <c r="T584" i="1" l="1"/>
  <c r="Q584" i="1"/>
  <c r="A557" i="1"/>
  <c r="V556" i="1"/>
  <c r="T585" i="1" l="1"/>
  <c r="Q585" i="1"/>
  <c r="A558" i="1"/>
  <c r="V557" i="1"/>
  <c r="T586" i="1" l="1"/>
  <c r="Q586" i="1"/>
  <c r="V558" i="1"/>
  <c r="A559" i="1"/>
  <c r="T587" i="1" l="1"/>
  <c r="Q587" i="1"/>
  <c r="V559" i="1"/>
  <c r="A560" i="1"/>
  <c r="T588" i="1" l="1"/>
  <c r="Q588" i="1"/>
  <c r="A561" i="1"/>
  <c r="V560" i="1"/>
  <c r="T589" i="1" l="1"/>
  <c r="Q589" i="1"/>
  <c r="A562" i="1"/>
  <c r="V561" i="1"/>
  <c r="T590" i="1" l="1"/>
  <c r="Q590" i="1"/>
  <c r="V562" i="1"/>
  <c r="A563" i="1"/>
  <c r="T591" i="1" l="1"/>
  <c r="Q591" i="1"/>
  <c r="V563" i="1"/>
  <c r="A564" i="1"/>
  <c r="T592" i="1" l="1"/>
  <c r="Q592" i="1"/>
  <c r="A565" i="1"/>
  <c r="V564" i="1"/>
  <c r="T593" i="1" l="1"/>
  <c r="Q593" i="1"/>
  <c r="A566" i="1"/>
  <c r="V565" i="1"/>
  <c r="T594" i="1" l="1"/>
  <c r="Q594" i="1"/>
  <c r="V566" i="1"/>
  <c r="A567" i="1"/>
  <c r="T595" i="1" l="1"/>
  <c r="Q595" i="1"/>
  <c r="V567" i="1"/>
  <c r="A568" i="1"/>
  <c r="T596" i="1" l="1"/>
  <c r="Q596" i="1"/>
  <c r="A569" i="1"/>
  <c r="V568" i="1"/>
  <c r="T597" i="1" l="1"/>
  <c r="Q597" i="1"/>
  <c r="A570" i="1"/>
  <c r="V569" i="1"/>
  <c r="T598" i="1" l="1"/>
  <c r="Q598" i="1"/>
  <c r="V570" i="1"/>
  <c r="A571" i="1"/>
  <c r="T599" i="1" l="1"/>
  <c r="Q599" i="1"/>
  <c r="V571" i="1"/>
  <c r="A572" i="1"/>
  <c r="T600" i="1" l="1"/>
  <c r="Q600" i="1"/>
  <c r="A573" i="1"/>
  <c r="V572" i="1"/>
  <c r="T601" i="1" l="1"/>
  <c r="Q601" i="1"/>
  <c r="A574" i="1"/>
  <c r="V573" i="1"/>
  <c r="T602" i="1" l="1"/>
  <c r="Q602" i="1"/>
  <c r="V574" i="1"/>
  <c r="A575" i="1"/>
  <c r="T603" i="1" l="1"/>
  <c r="Q603" i="1"/>
  <c r="V575" i="1"/>
  <c r="A576" i="1"/>
  <c r="T604" i="1" l="1"/>
  <c r="Q604" i="1"/>
  <c r="A577" i="1"/>
  <c r="V576" i="1"/>
  <c r="T605" i="1" l="1"/>
  <c r="Q605" i="1"/>
  <c r="A578" i="1"/>
  <c r="V577" i="1"/>
  <c r="V578" i="1" l="1"/>
  <c r="A579" i="1"/>
  <c r="V579" i="1" l="1"/>
  <c r="A580" i="1"/>
  <c r="A581" i="1" l="1"/>
  <c r="V580" i="1"/>
  <c r="A582" i="1" l="1"/>
  <c r="V581" i="1"/>
  <c r="V582" i="1" l="1"/>
  <c r="A583" i="1"/>
  <c r="V583" i="1" l="1"/>
  <c r="A584" i="1"/>
  <c r="A585" i="1" l="1"/>
  <c r="V584" i="1"/>
  <c r="A586" i="1" l="1"/>
  <c r="V585" i="1"/>
  <c r="AT607" i="1" l="1"/>
  <c r="V586" i="1"/>
  <c r="A587" i="1"/>
  <c r="V587" i="1" l="1"/>
  <c r="A588" i="1"/>
  <c r="A589" i="1" l="1"/>
  <c r="V588" i="1"/>
  <c r="A590" i="1" l="1"/>
  <c r="V589" i="1"/>
  <c r="AW607" i="1" l="1"/>
  <c r="V590" i="1"/>
  <c r="A591" i="1"/>
  <c r="V591" i="1" l="1"/>
  <c r="A592" i="1"/>
  <c r="A593" i="1" l="1"/>
  <c r="V592" i="1"/>
  <c r="BF607" i="1" l="1"/>
  <c r="A594" i="1"/>
  <c r="V593" i="1"/>
  <c r="V594" i="1" l="1"/>
  <c r="A595" i="1"/>
  <c r="V595" i="1" l="1"/>
  <c r="A596" i="1"/>
  <c r="A597" i="1" l="1"/>
  <c r="V596" i="1"/>
  <c r="A598" i="1" l="1"/>
  <c r="V597" i="1"/>
  <c r="V598" i="1" l="1"/>
  <c r="A599" i="1"/>
  <c r="V599" i="1" l="1"/>
  <c r="A600" i="1"/>
  <c r="A601" i="1" l="1"/>
  <c r="V600" i="1"/>
  <c r="A602" i="1" l="1"/>
  <c r="V601" i="1"/>
  <c r="V602" i="1" l="1"/>
  <c r="A603" i="1"/>
  <c r="V603" i="1" l="1"/>
  <c r="A604" i="1"/>
  <c r="A605" i="1" s="1"/>
  <c r="V605" i="1" l="1"/>
  <c r="V604" i="1"/>
  <c r="F21" i="69" l="1"/>
  <c r="C18" i="69"/>
  <c r="B21" i="69"/>
  <c r="C19" i="69"/>
  <c r="D21"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B2" authorId="0" shapeId="0" xr:uid="{BE33C018-0BA4-4EDC-8527-0F10C15C8B3B}">
      <text>
        <r>
          <rPr>
            <b/>
            <sz val="9"/>
            <color indexed="81"/>
            <rFont val="Tahoma"/>
            <family val="2"/>
            <charset val="238"/>
          </rPr>
          <t>Typ poplatníka</t>
        </r>
        <r>
          <rPr>
            <sz val="9"/>
            <color indexed="81"/>
            <rFont val="Tahoma"/>
            <family val="2"/>
            <charset val="238"/>
          </rPr>
          <t xml:space="preserve"> (XML: typ_popldpp)</t>
        </r>
        <r>
          <rPr>
            <b/>
            <sz val="9"/>
            <color indexed="81"/>
            <rFont val="Tahoma"/>
            <family val="2"/>
            <charset val="238"/>
          </rPr>
          <t>:</t>
        </r>
        <r>
          <rPr>
            <sz val="9"/>
            <color indexed="81"/>
            <rFont val="Tahoma"/>
            <family val="2"/>
            <charset val="238"/>
          </rPr>
          <t xml:space="preserve">
0 - nositel příslibu investiční pobídky ve formě slevy na dani podle § 35b zákona
9 - nositel příslibu investiční pobídky ve formě slevy na dani podle § 35a zákona
8 - nositel příslibu investiční pobídky v daňové oblasti podle usnesení vlády
7 - poplatník, který byl po část zdaňovacího období základním investičním fondem (§ 20a zákona)
6 - instituce penzijního pojištění nebo penzijní společnost, vč. fondů penzijní společnosti (§ 17 odst. 1 písm. e) zákona)
5 - investiční společnost, vč. obhospodařovaných podílových fondů
4 - investiční fond podle zákona upravujícího investiční společnosti a investiční fondy vyjma podílových fondů
</t>
        </r>
        <r>
          <rPr>
            <b/>
            <sz val="9"/>
            <color indexed="81"/>
            <rFont val="Tahoma"/>
            <family val="2"/>
            <charset val="238"/>
          </rPr>
          <t>3 - veřejně prospěšný poplatník (§ 17a zákona)</t>
        </r>
        <r>
          <rPr>
            <sz val="9"/>
            <color indexed="81"/>
            <rFont val="Tahoma"/>
            <family val="2"/>
            <charset val="238"/>
          </rPr>
          <t xml:space="preserve">
2 - daňový nerezident (§ 17 odst. 4 zákona)
1 - ostatní
(viz https://adisspr.mfcr.cz/dpr/adis/idpr_pub/epo2_info/popis_struktury_detail.faces?zkratka=DPPDP9)</t>
        </r>
      </text>
    </comment>
    <comment ref="B3" authorId="0" shapeId="0" xr:uid="{34CC31BB-3598-42C7-AF6A-521C43D2AA93}">
      <text>
        <r>
          <rPr>
            <b/>
            <sz val="9"/>
            <color indexed="81"/>
            <rFont val="Tahoma"/>
            <family val="2"/>
            <charset val="238"/>
          </rPr>
          <t>Typ daňového přiznání</t>
        </r>
        <r>
          <rPr>
            <sz val="9"/>
            <color indexed="81"/>
            <rFont val="Tahoma"/>
            <family val="2"/>
            <charset val="238"/>
          </rPr>
          <t xml:space="preserve"> (XML: typ_dapdpp)</t>
        </r>
        <r>
          <rPr>
            <b/>
            <sz val="9"/>
            <color indexed="81"/>
            <rFont val="Tahoma"/>
            <family val="2"/>
            <charset val="238"/>
          </rPr>
          <t>:</t>
        </r>
        <r>
          <rPr>
            <sz val="9"/>
            <color indexed="81"/>
            <rFont val="Tahoma"/>
            <family val="2"/>
            <charset val="238"/>
          </rPr>
          <t xml:space="preserve">
</t>
        </r>
        <r>
          <rPr>
            <b/>
            <sz val="9"/>
            <color indexed="81"/>
            <rFont val="Tahoma"/>
            <family val="2"/>
            <charset val="238"/>
          </rPr>
          <t>A - daňové přiznání za zdaňovací období</t>
        </r>
        <r>
          <rPr>
            <sz val="9"/>
            <color indexed="81"/>
            <rFont val="Tahoma"/>
            <family val="2"/>
            <charset val="238"/>
          </rPr>
          <t xml:space="preserve"> (§ 21a zákona) nebo daňové přiznání nespadající do typů uvedených pod symboly B až T
B - daňové přiznání při vstupu do likvidace
C - daňové přiznání v průběhu likvidace
D - daňové přiznání za uplynulou část zdaňovacího období předcházející dni zániku subjektu při zrušení bez provedení likvidace
G - daňové přiznání při ukončení činnosti v rámci privatizace v případě stanoveném zvláštním zákonem
H - daňové přiznání za období předcházející dni zpracování návrhu na použití likvidačního zůstatku
J - daňové přiznání za období předcházející rozhodnému dni fúze nebo převodu jmění na společníka anebo rozdělení obchodní korporace, zápisu přeměny obchodní společnosti do obchodního rejstříku přejímajícím společníkem, fyzickou osobou, za které nebylo dosud daňové přiznání podáno, není-li tento rozhodný den prvním dnem kalendářního roku nebo hospodářského roku
K - daňové přiznání za období předcházející dni zápisu změny právní formy komanditní společnosti na jinou obchodní korporaci a změny právní formy akciové společnosti nebo společnosti s ručením omezeným či družstva na veřejnou obchodní společnost nebo na komanditní společnost, za které nebylo dosud daňové přiznání podáno
L - daňové přiznání za období předcházející změně zdaňovacího období z kalendářního roku na hospodářský rok nebo naopak, za které nebylo dosud daňové přiznání podáno; tento typ označení daňového přiznání se použije i tehdy, bude-li uvedené období delší než dvanáct měsíců
M - daňové přiznání za období počínající dnem vzniku poplatníka, bez ohledu na to, zda je toto období kratší nebo delší než dvanáct měsíců
O - daňové přiznání za období předcházející dni přemístění sídla evropské společnosti nebo evropské družstevní společnosti zapsaného do obchodního rejstříku z území České republiky
P - daňové přiznání ke dni nabytí účinnosti rozhodnutí o úpadku, bez ohledu na způsob jeho řešení
R - daňové přiznání v průběhu insolvenčního řízení, bez ohledu na způsob řešení úpadku
T - daňové přiznání ke dni předložení konečné zprávy
(viz https://adisspr.mfcr.cz/dpr/adis/idpr_pub/epo2_info/popis_struktury_detail.faces?zkratka=DPPDP9)</t>
        </r>
      </text>
    </comment>
    <comment ref="B17" authorId="0" shapeId="0" xr:uid="{E2E22D81-3039-4A74-BDFF-9E49E379F06D}">
      <text>
        <r>
          <rPr>
            <sz val="9"/>
            <color indexed="81"/>
            <rFont val="Tahoma"/>
            <family val="2"/>
            <charset val="238"/>
          </rPr>
          <t xml:space="preserve">Poštovní směrovací číslo adresy trvalého bydliště nebo sídla. PSČ v České republice musí mít délku </t>
        </r>
        <r>
          <rPr>
            <b/>
            <sz val="9"/>
            <color indexed="81"/>
            <rFont val="Tahoma"/>
            <family val="2"/>
            <charset val="238"/>
          </rPr>
          <t>5 znaků bez mezer</t>
        </r>
        <r>
          <rPr>
            <sz val="9"/>
            <color indexed="81"/>
            <rFont val="Tahoma"/>
            <family val="2"/>
            <charset val="23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A2" authorId="0" shapeId="0" xr:uid="{EB2235E7-0B1D-41D3-A405-BBE16C1D8763}">
      <text>
        <r>
          <rPr>
            <sz val="9"/>
            <color indexed="81"/>
            <rFont val="Tahoma"/>
            <family val="2"/>
            <charset val="238"/>
          </rPr>
          <t>Chyba na listě Základní informace, která může být PSČ včetně mezery nebo chybně vybraná hodnota z číselníku Pracoviš, Obce nebo Činnosti.</t>
        </r>
      </text>
    </comment>
    <comment ref="A3" authorId="0" shapeId="0" xr:uid="{FF2D7AE5-B8D9-44EF-9D3E-BFCD24CCD80F}">
      <text>
        <r>
          <rPr>
            <sz val="9"/>
            <color indexed="81"/>
            <rFont val="Tahoma"/>
            <family val="2"/>
            <charset val="238"/>
          </rPr>
          <t xml:space="preserve">Libovolná chyba na listu </t>
        </r>
        <r>
          <rPr>
            <b/>
            <sz val="9"/>
            <color indexed="81"/>
            <rFont val="Tahoma"/>
            <family val="2"/>
            <charset val="238"/>
          </rPr>
          <t>Deník</t>
        </r>
      </text>
    </comment>
    <comment ref="A4" authorId="0" shapeId="0" xr:uid="{5B48256D-1676-4148-ACC7-875B4C87E46A}">
      <text>
        <r>
          <rPr>
            <sz val="9"/>
            <color indexed="81"/>
            <rFont val="Tahoma"/>
            <family val="2"/>
            <charset val="238"/>
          </rPr>
          <t xml:space="preserve">V jednom řádku Deníku je zapsána částka jak v Pokladně, tak v Bance (nebo na více bankovních účtech najednou).
</t>
        </r>
        <r>
          <rPr>
            <b/>
            <sz val="9"/>
            <color indexed="81"/>
            <rFont val="Tahoma"/>
            <family val="2"/>
            <charset val="238"/>
          </rPr>
          <t>Průběžná položka</t>
        </r>
        <r>
          <rPr>
            <sz val="9"/>
            <color indexed="81"/>
            <rFont val="Tahoma"/>
            <family val="2"/>
            <charset val="238"/>
          </rPr>
          <t xml:space="preserve"> musí být zapsána jako jeden záznam pro výdej a druhý záznam pro příjem.</t>
        </r>
      </text>
    </comment>
    <comment ref="A5" authorId="0" shapeId="0" xr:uid="{D2B95EAF-37F6-4FFB-AC65-4164D4FE7554}">
      <text>
        <r>
          <rPr>
            <b/>
            <sz val="9"/>
            <color indexed="81"/>
            <rFont val="Tahoma"/>
            <family val="2"/>
            <charset val="238"/>
          </rPr>
          <t xml:space="preserve">Součet všech Průběžných položek </t>
        </r>
        <r>
          <rPr>
            <sz val="9"/>
            <color indexed="81"/>
            <rFont val="Tahoma"/>
            <family val="2"/>
            <charset val="238"/>
          </rPr>
          <t xml:space="preserve">(převodů bezi pokladnou a bankovním účtem nebo mezi bankovními účty) </t>
        </r>
        <r>
          <rPr>
            <b/>
            <sz val="9"/>
            <color indexed="81"/>
            <rFont val="Tahoma"/>
            <family val="2"/>
            <charset val="238"/>
          </rPr>
          <t>musí být nulový</t>
        </r>
        <r>
          <rPr>
            <sz val="9"/>
            <color indexed="81"/>
            <rFont val="Tahoma"/>
            <family val="2"/>
            <charset val="238"/>
          </rPr>
          <t>.
Resp. pro účely kontroly by měl být nulový. Výjimkou je, pokud převádíte peníze z pokladny na bankovní účet poslední den v roce a na bankovním účtu se vklad projeví až v novém roce. Pokud si ale nechcete umělě vyrábět komplikace, tak převádějte na účty v rozumné dny :)</t>
        </r>
      </text>
    </comment>
    <comment ref="A6" authorId="0" shapeId="0" xr:uid="{F7D8DC7E-DB1A-4FA7-AD75-D6ED98DDF152}">
      <text>
        <r>
          <rPr>
            <sz val="9"/>
            <color indexed="81"/>
            <rFont val="Tahoma"/>
            <family val="2"/>
            <charset val="238"/>
          </rPr>
          <t>V případě chyby nesouhlasí Rozdíl příjmů a výdajů.
Zkontrolujte správnost Klasifikací a Označení, příp. Průběžné položky.</t>
        </r>
      </text>
    </comment>
    <comment ref="A7" authorId="0" shapeId="0" xr:uid="{D2AB0ACE-F175-4829-A98D-957F16358621}">
      <text>
        <r>
          <rPr>
            <sz val="9"/>
            <color indexed="81"/>
            <rFont val="Tahoma"/>
            <family val="2"/>
            <charset val="238"/>
          </rPr>
          <t>V případě chyby došlo k úpravě vzorců nebo nevyplnění základních informací potřebných pro export XML souboru.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C2" authorId="0" shapeId="0" xr:uid="{21A3052E-BAAA-47F0-9F39-8D5D8E7D0540}">
      <text>
        <r>
          <rPr>
            <b/>
            <sz val="9"/>
            <color indexed="81"/>
            <rFont val="Tahoma"/>
            <family val="2"/>
            <charset val="238"/>
          </rPr>
          <t>Zölfl Michal:</t>
        </r>
        <r>
          <rPr>
            <sz val="9"/>
            <color indexed="81"/>
            <rFont val="Tahoma"/>
            <family val="2"/>
            <charset val="238"/>
          </rPr>
          <t xml:space="preserve">
Dohledá číslo pokladního dokladu a z něj všechny potřebné údaje.
V listu Deník musí číslo pokladního dokladu začínat písmenem </t>
        </r>
        <r>
          <rPr>
            <b/>
            <sz val="9"/>
            <color indexed="81"/>
            <rFont val="Tahoma"/>
            <family val="2"/>
            <charset val="238"/>
          </rPr>
          <t>P</t>
        </r>
        <r>
          <rPr>
            <sz val="9"/>
            <color indexed="81"/>
            <rFont val="Tahoma"/>
            <family val="2"/>
            <charset val="238"/>
          </rPr>
          <t xml:space="preserve"> bezpoprostředně následované číslem, bez mezer (např P12).</t>
        </r>
      </text>
    </comment>
    <comment ref="C6" authorId="0" shapeId="0" xr:uid="{166E944E-C5E7-45FE-B120-122B917EBE32}">
      <text>
        <r>
          <rPr>
            <b/>
            <sz val="9"/>
            <color indexed="81"/>
            <rFont val="Tahoma"/>
            <family val="2"/>
            <charset val="238"/>
          </rPr>
          <t>Zölfl Michal:</t>
        </r>
        <r>
          <rPr>
            <sz val="9"/>
            <color indexed="81"/>
            <rFont val="Tahoma"/>
            <family val="2"/>
            <charset val="238"/>
          </rPr>
          <t xml:space="preserve">
Pokud je potřeba jako Účel platby zadat jiný text, než který je v Deníku, tak toto pole je na to.
Po tisku je ale dobré ho zase smazat, aby se netisklo na všechny doklady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J10" authorId="0" shapeId="0" xr:uid="{B1DA9F70-F57F-495B-B129-4DF5B53F2DDB}">
      <text>
        <r>
          <rPr>
            <b/>
            <sz val="9"/>
            <color indexed="81"/>
            <rFont val="Tahoma"/>
            <family val="2"/>
            <charset val="238"/>
          </rPr>
          <t xml:space="preserve">Ručně opsat hodnoty z minulého výkazu.
</t>
        </r>
        <r>
          <rPr>
            <sz val="9"/>
            <color indexed="81"/>
            <rFont val="Tahoma"/>
            <family val="2"/>
            <charset val="238"/>
          </rPr>
          <t>Do žlutě podbarvených buněk opište nenulové hodnoty z loňska.</t>
        </r>
      </text>
    </comment>
    <comment ref="P10" authorId="0" shapeId="0" xr:uid="{CC452911-E20E-41AD-8354-9827DAB77BF5}">
      <text>
        <r>
          <rPr>
            <sz val="9"/>
            <color indexed="81"/>
            <rFont val="Tahoma"/>
            <family val="2"/>
            <charset val="238"/>
          </rPr>
          <t>Číslo řádku ve Větě U1 datového souboru XML, do kterého se částka plní.</t>
        </r>
      </text>
    </comment>
    <comment ref="P21" authorId="0" shapeId="0" xr:uid="{1AB3EE84-B12A-4841-AF82-ADFC8B2DAC13}">
      <text>
        <r>
          <rPr>
            <b/>
            <sz val="9"/>
            <color indexed="81"/>
            <rFont val="Tahoma"/>
            <family val="2"/>
            <charset val="238"/>
          </rPr>
          <t>Zölfl Michal:</t>
        </r>
        <r>
          <rPr>
            <sz val="9"/>
            <color indexed="81"/>
            <rFont val="Tahoma"/>
            <family val="2"/>
            <charset val="238"/>
          </rPr>
          <t xml:space="preserve">
</t>
        </r>
        <r>
          <rPr>
            <b/>
            <sz val="9"/>
            <color indexed="81"/>
            <rFont val="Tahoma"/>
            <family val="2"/>
            <charset val="238"/>
          </rPr>
          <t>S kursovými rozdíly deník nepočítá.</t>
        </r>
        <r>
          <rPr>
            <sz val="9"/>
            <color indexed="81"/>
            <rFont val="Tahoma"/>
            <family val="2"/>
            <charset val="238"/>
          </rPr>
          <t xml:space="preserve"> Pokud takový účet máte, napište mi jak na to :)</t>
        </r>
      </text>
    </comment>
    <comment ref="P37" authorId="0" shapeId="0" xr:uid="{FC2F9512-F1E0-4F15-AEDA-3DA692C0F475}">
      <text>
        <r>
          <rPr>
            <b/>
            <sz val="9"/>
            <color indexed="81"/>
            <rFont val="Tahoma"/>
            <family val="2"/>
            <charset val="238"/>
          </rPr>
          <t>Zölfl Michal:</t>
        </r>
        <r>
          <rPr>
            <sz val="9"/>
            <color indexed="81"/>
            <rFont val="Tahoma"/>
            <family val="2"/>
            <charset val="238"/>
          </rPr>
          <t xml:space="preserve">
</t>
        </r>
        <r>
          <rPr>
            <b/>
            <sz val="9"/>
            <color indexed="81"/>
            <rFont val="Tahoma"/>
            <family val="2"/>
            <charset val="238"/>
          </rPr>
          <t>S kursovými rozdíly deník nepočítá.</t>
        </r>
        <r>
          <rPr>
            <sz val="9"/>
            <color indexed="81"/>
            <rFont val="Tahoma"/>
            <family val="2"/>
            <charset val="238"/>
          </rPr>
          <t xml:space="preserve"> Pokud takový účet máte, napište mi jak na to :)</t>
        </r>
      </text>
    </comment>
    <comment ref="Q40" authorId="0" shapeId="0" xr:uid="{2BAF81CF-5B05-48B6-90E4-E326705C81A3}">
      <text>
        <r>
          <rPr>
            <b/>
            <sz val="9"/>
            <color indexed="81"/>
            <rFont val="Tahoma"/>
            <family val="2"/>
            <charset val="238"/>
          </rPr>
          <t>Zölfl Michal:</t>
        </r>
        <r>
          <rPr>
            <sz val="9"/>
            <color indexed="81"/>
            <rFont val="Tahoma"/>
            <family val="2"/>
            <charset val="238"/>
          </rPr>
          <t xml:space="preserve">
Není to zaokrouhlené číslo z buňky D38, ale vypočítaná hodnota již zaokrouhlených čísel.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J9" authorId="0" shapeId="0" xr:uid="{54E7B3A3-0A88-4AAA-9289-911DDBC2A9C4}">
      <text>
        <r>
          <rPr>
            <b/>
            <sz val="9"/>
            <color indexed="81"/>
            <rFont val="Tahoma"/>
            <family val="2"/>
            <charset val="238"/>
          </rPr>
          <t>Zölfl Michal:</t>
        </r>
        <r>
          <rPr>
            <sz val="9"/>
            <color indexed="81"/>
            <rFont val="Tahoma"/>
            <family val="2"/>
            <charset val="238"/>
          </rPr>
          <t xml:space="preserve">
Číslo řádku ve Větě U2 datového souboru XML, do kterého se částka plní.</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C42" authorId="0" shapeId="0" xr:uid="{354F8A33-333A-4765-818F-C9F34DB78484}">
      <text>
        <r>
          <rPr>
            <sz val="9"/>
            <color indexed="81"/>
            <rFont val="Tahoma"/>
            <family val="2"/>
            <charset val="238"/>
          </rPr>
          <t>změnou čísla stránky se překreslí celý list a lze tak vytisknout jednotlivé stránky (pomocí klávesy Tab to jde jednodušeji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E36" authorId="0" shapeId="0" xr:uid="{B16DA03B-D13D-46D6-92AC-C61BBBE0FBE7}">
      <text>
        <r>
          <rPr>
            <sz val="9"/>
            <color indexed="81"/>
            <rFont val="Tahoma"/>
            <family val="2"/>
            <charset val="238"/>
          </rPr>
          <t>Nemá vlastní sloupec.
Odečítá se od Typu pohybu "</t>
        </r>
        <r>
          <rPr>
            <b/>
            <sz val="9"/>
            <color indexed="81"/>
            <rFont val="Tahoma"/>
            <family val="2"/>
            <charset val="238"/>
          </rPr>
          <t>P Dotace a příspěvky přijaté z veřejných rozpočtů</t>
        </r>
        <r>
          <rPr>
            <sz val="9"/>
            <color indexed="81"/>
            <rFont val="Tahoma"/>
            <family val="2"/>
            <charset val="238"/>
          </rPr>
          <t>".</t>
        </r>
      </text>
    </comment>
  </commentList>
</comments>
</file>

<file path=xl/sharedStrings.xml><?xml version="1.0" encoding="utf-8"?>
<sst xmlns="http://schemas.openxmlformats.org/spreadsheetml/2006/main" count="4713" uniqueCount="3519">
  <si>
    <t>Peněžní prostředky</t>
  </si>
  <si>
    <t>x</t>
  </si>
  <si>
    <t>Ostatní</t>
  </si>
  <si>
    <t>Datum</t>
  </si>
  <si>
    <t>Č.dokl.</t>
  </si>
  <si>
    <t>Text</t>
  </si>
  <si>
    <t>Příjmy</t>
  </si>
  <si>
    <t>Výdaje</t>
  </si>
  <si>
    <t>Zůstatek</t>
  </si>
  <si>
    <t>a</t>
  </si>
  <si>
    <t>b</t>
  </si>
  <si>
    <t>c</t>
  </si>
  <si>
    <t>d</t>
  </si>
  <si>
    <t>Druh činnosti</t>
  </si>
  <si>
    <t>Pokladna</t>
  </si>
  <si>
    <t>P E N Ě Ž N Í  ( finanční ) D E N Í K  - údaje v Kč</t>
  </si>
  <si>
    <t>V hotovosti - pokladna</t>
  </si>
  <si>
    <t>Hlavní činnost</t>
  </si>
  <si>
    <t>3.B</t>
  </si>
  <si>
    <t xml:space="preserve">Příjmy neovlivňující základ daně </t>
  </si>
  <si>
    <t xml:space="preserve">Rozdíl příjmů a výdajů </t>
  </si>
  <si>
    <t>1.A</t>
  </si>
  <si>
    <t>2.A</t>
  </si>
  <si>
    <t>10.A</t>
  </si>
  <si>
    <t>10.B</t>
  </si>
  <si>
    <t>9.A</t>
  </si>
  <si>
    <t>2.B</t>
  </si>
  <si>
    <t>4.B</t>
  </si>
  <si>
    <t>5.B</t>
  </si>
  <si>
    <t>6.B</t>
  </si>
  <si>
    <t>7.B</t>
  </si>
  <si>
    <t>11.B</t>
  </si>
  <si>
    <t>12.B</t>
  </si>
  <si>
    <t>13.B</t>
  </si>
  <si>
    <t>Rozdíl nedaňových příjmů a výdajů</t>
  </si>
  <si>
    <t>e</t>
  </si>
  <si>
    <t>f</t>
  </si>
  <si>
    <t>Označení hlavní činnosti (X,Y,Z1…)</t>
  </si>
  <si>
    <t>Průběžný stav</t>
  </si>
  <si>
    <t>S O U Č E T za období</t>
  </si>
  <si>
    <t>Členské příspěvky</t>
  </si>
  <si>
    <t>Klasifikace příjmu-výdeje</t>
  </si>
  <si>
    <t>Daňový</t>
  </si>
  <si>
    <t>Nedaňový</t>
  </si>
  <si>
    <t>Označení ve výkazu</t>
  </si>
  <si>
    <t>5a</t>
  </si>
  <si>
    <t>5b</t>
  </si>
  <si>
    <t>Pojmenování</t>
  </si>
  <si>
    <t>Příjmy z reklamy, pronájmu a podnikání</t>
  </si>
  <si>
    <t>Příjmy z hlavní činnosti (dle Stanov)</t>
  </si>
  <si>
    <t>Příjmy zdaněné srážkovou daní</t>
  </si>
  <si>
    <t>Dotace ze státního rozpočtu</t>
  </si>
  <si>
    <t>Dotace a podpory z rozpočtu obcí</t>
  </si>
  <si>
    <t>Dary přijaté</t>
  </si>
  <si>
    <t>Ostatní (úroky, půjčky, úvěry)</t>
  </si>
  <si>
    <t>Příjmy celkem (řádek 1 až 7)</t>
  </si>
  <si>
    <t>Výdaje související s reklamou,
pronájmem a podnikáním</t>
  </si>
  <si>
    <t>Výdaje na hlavní činnost (dle Stanov)</t>
  </si>
  <si>
    <t>Nákup hmot., nehmot. a finančního majetku</t>
  </si>
  <si>
    <t>Odvody, dary a půjčky - poskytnuté</t>
  </si>
  <si>
    <t>Ostatní (poplatky, daně)</t>
  </si>
  <si>
    <t>Výdaje na činnost (řádek 9 až 13)</t>
  </si>
  <si>
    <t>Příjmy a výdaje za zdaňovací období (rok)</t>
  </si>
  <si>
    <t>Výdaje související s reklamou, pronájmem a podnikáním</t>
  </si>
  <si>
    <t>Osvobozený příjem</t>
  </si>
  <si>
    <t>*</t>
  </si>
  <si>
    <t>Průběžná položka</t>
  </si>
  <si>
    <t xml:space="preserve">Základ daně </t>
  </si>
  <si>
    <t>Hlavní
činnost</t>
  </si>
  <si>
    <t>Členské
příspěvky</t>
  </si>
  <si>
    <t>Dary, úvěry
a půjčky</t>
  </si>
  <si>
    <t>Dotace
a příspěvky</t>
  </si>
  <si>
    <t>Nákup
majetku</t>
  </si>
  <si>
    <t>Odvody,
dary a půjčky</t>
  </si>
  <si>
    <t>Výdaje neovlivňující základ daně</t>
  </si>
  <si>
    <t>Zdaněné
sráž. daní</t>
  </si>
  <si>
    <t>Výdaje ovlivňující
základ daně</t>
  </si>
  <si>
    <t>Příjmy ovlivňující
základ daně</t>
  </si>
  <si>
    <t>Klasifikace
příjmu - výdaje</t>
  </si>
  <si>
    <t>Označení
ve výkazu</t>
  </si>
  <si>
    <t>Přehled údajů k přiznání k dani z příjmů právnických osob u neziskových
organizací, které vedou jednoduché účetnictví</t>
  </si>
  <si>
    <t xml:space="preserve">za rok: </t>
  </si>
  <si>
    <t>Údaje v Kč</t>
  </si>
  <si>
    <t>Majetek ( vlastní )</t>
  </si>
  <si>
    <t>Č. ř.</t>
  </si>
  <si>
    <t xml:space="preserve">Peníze v hotovosti a ceniny </t>
  </si>
  <si>
    <t>Bankovní účty</t>
  </si>
  <si>
    <t>Cenné papíry, peněžní vklady, ostat. fin.majetek</t>
  </si>
  <si>
    <t>Zásoby</t>
  </si>
  <si>
    <t>Pohledávky</t>
  </si>
  <si>
    <t>Součet aktiv  (řádek 1 až 7)</t>
  </si>
  <si>
    <t>Závazky</t>
  </si>
  <si>
    <t xml:space="preserve">Úvěry a půjčky </t>
  </si>
  <si>
    <t xml:space="preserve">Zákonné rezervy </t>
  </si>
  <si>
    <t>Součet pasiv  (řádek 9 až 12)</t>
  </si>
  <si>
    <t>Stav majetku celkem  (ř. 8 - 13)</t>
  </si>
  <si>
    <t>Činnost celkem
C</t>
  </si>
  <si>
    <t>Dlouhodobý hmotný a nehmotný majetek
v zůstatkové ceně</t>
  </si>
  <si>
    <t>Podpis starosty:</t>
  </si>
  <si>
    <r>
      <rPr>
        <sz val="14"/>
        <rFont val="Arial"/>
        <family val="2"/>
        <charset val="238"/>
      </rPr>
      <t>B</t>
    </r>
    <r>
      <rPr>
        <sz val="16"/>
        <rFont val="Arial"/>
        <family val="2"/>
        <charset val="238"/>
      </rPr>
      <t>.</t>
    </r>
    <r>
      <rPr>
        <sz val="10"/>
        <rFont val="Arial"/>
        <family val="2"/>
        <charset val="238"/>
      </rPr>
      <t xml:space="preserve"> Výkaz příjmů a výdajů (upravený pro neziskové organizace).</t>
    </r>
  </si>
  <si>
    <r>
      <rPr>
        <sz val="14"/>
        <rFont val="Arial"/>
        <family val="2"/>
        <charset val="238"/>
      </rPr>
      <t>A</t>
    </r>
    <r>
      <rPr>
        <sz val="16"/>
        <rFont val="Arial"/>
        <family val="2"/>
        <charset val="238"/>
      </rPr>
      <t>.</t>
    </r>
    <r>
      <rPr>
        <sz val="10"/>
        <rFont val="Arial"/>
        <family val="2"/>
        <charset val="238"/>
      </rPr>
      <t xml:space="preserve"> Výkaz o majetku a závazcích (upravený pro neziskové organizace):</t>
    </r>
  </si>
  <si>
    <t xml:space="preserve"> Název organizace:</t>
  </si>
  <si>
    <t xml:space="preserve"> DIČ:</t>
  </si>
  <si>
    <t>P6</t>
  </si>
  <si>
    <t>P9</t>
  </si>
  <si>
    <t>P13</t>
  </si>
  <si>
    <t>P17</t>
  </si>
  <si>
    <t>B6</t>
  </si>
  <si>
    <t>B9</t>
  </si>
  <si>
    <t>S O U Č E T za stránku</t>
  </si>
  <si>
    <t>B</t>
  </si>
  <si>
    <t>C</t>
  </si>
  <si>
    <t>D</t>
  </si>
  <si>
    <t>E</t>
  </si>
  <si>
    <t>F</t>
  </si>
  <si>
    <t>G</t>
  </si>
  <si>
    <t>H</t>
  </si>
  <si>
    <t>I</t>
  </si>
  <si>
    <t>J</t>
  </si>
  <si>
    <t>K</t>
  </si>
  <si>
    <t>L</t>
  </si>
  <si>
    <t>N</t>
  </si>
  <si>
    <t>O</t>
  </si>
  <si>
    <t>P</t>
  </si>
  <si>
    <t>Q</t>
  </si>
  <si>
    <t>R</t>
  </si>
  <si>
    <t>S</t>
  </si>
  <si>
    <t>U</t>
  </si>
  <si>
    <t>W</t>
  </si>
  <si>
    <t>X</t>
  </si>
  <si>
    <t>Y</t>
  </si>
  <si>
    <t>Z</t>
  </si>
  <si>
    <t>AA</t>
  </si>
  <si>
    <t>strana</t>
  </si>
  <si>
    <t>Ř.</t>
  </si>
  <si>
    <t>Instrukce k vyplňování Peněžního (finančního) deníku pro SDH.</t>
  </si>
  <si>
    <t>CZ</t>
  </si>
  <si>
    <r>
      <t>Kód klasifikace CZ-NACE</t>
    </r>
    <r>
      <rPr>
        <vertAlign val="superscript"/>
        <sz val="8"/>
        <rFont val="Arial CE"/>
        <family val="2"/>
        <charset val="238"/>
      </rPr>
      <t>2</t>
    </r>
    <r>
      <rPr>
        <sz val="8"/>
        <rFont val="Arial CE"/>
        <charset val="238"/>
      </rPr>
      <t>)</t>
    </r>
  </si>
  <si>
    <t>13 Hlavní (převažující) činnost</t>
  </si>
  <si>
    <r>
      <t>12 Transakce uskutečněné se spojenými osobami</t>
    </r>
    <r>
      <rPr>
        <vertAlign val="superscript"/>
        <sz val="8"/>
        <rFont val="Arial CE"/>
        <family val="2"/>
        <charset val="238"/>
      </rPr>
      <t>9</t>
    </r>
    <r>
      <rPr>
        <sz val="8"/>
        <rFont val="Arial CE"/>
        <charset val="238"/>
      </rPr>
      <t>)</t>
    </r>
  </si>
  <si>
    <r>
      <t>10 Zákonná povinnost ověření účetní závěrky auditorem</t>
    </r>
    <r>
      <rPr>
        <vertAlign val="superscript"/>
        <sz val="8"/>
        <rFont val="Arial CE"/>
        <family val="2"/>
        <charset val="238"/>
      </rPr>
      <t>1)</t>
    </r>
  </si>
  <si>
    <t>e) číslo telefonu</t>
  </si>
  <si>
    <t>d) stát / kód státu</t>
  </si>
  <si>
    <t>c) PSČ</t>
  </si>
  <si>
    <t>b) obec</t>
  </si>
  <si>
    <t>a) ulice a číslo orientační, část obce a číslo popisné</t>
  </si>
  <si>
    <r>
      <t>06 Sídlo</t>
    </r>
    <r>
      <rPr>
        <vertAlign val="superscript"/>
        <sz val="8"/>
        <rFont val="Arial CE"/>
        <charset val="238"/>
      </rPr>
      <t>10)</t>
    </r>
  </si>
  <si>
    <t>05 Název poplatníka</t>
  </si>
  <si>
    <t>I. ODDÍL - údaje o poplatníkovi</t>
  </si>
  <si>
    <t>do</t>
  </si>
  <si>
    <t>od</t>
  </si>
  <si>
    <t xml:space="preserve"> podle zákona č. 586/1992 Sb., o daních z příjmů, ve znění pozdějších předpisů (dále jen "zákon")</t>
  </si>
  <si>
    <t>k dani z příjmů právnických osob</t>
  </si>
  <si>
    <t>P Ř I Z N Á N Í</t>
  </si>
  <si>
    <t>zákona</t>
  </si>
  <si>
    <t>Zdaňovací období podle § 21a písm.</t>
  </si>
  <si>
    <r>
      <t>Počet samostatných příloh</t>
    </r>
    <r>
      <rPr>
        <vertAlign val="superscript"/>
        <sz val="8"/>
        <rFont val="Arial CE"/>
        <family val="2"/>
        <charset val="238"/>
      </rPr>
      <t>9)</t>
    </r>
  </si>
  <si>
    <r>
      <t>Základní investiční fond podle § 17b zákona</t>
    </r>
    <r>
      <rPr>
        <vertAlign val="superscript"/>
        <sz val="8"/>
        <rFont val="Arial CE"/>
        <charset val="238"/>
      </rPr>
      <t xml:space="preserve">1)  </t>
    </r>
  </si>
  <si>
    <r>
      <t>Počet zvláštních příloh</t>
    </r>
    <r>
      <rPr>
        <vertAlign val="superscript"/>
        <sz val="8"/>
        <rFont val="Arial CE"/>
        <family val="2"/>
        <charset val="238"/>
      </rPr>
      <t>8)</t>
    </r>
  </si>
  <si>
    <t>04 Kód rozlišení typu přiznání</t>
  </si>
  <si>
    <t>Počet příloh II. oddílu</t>
  </si>
  <si>
    <t>Důvody pro podání dodatečného daňového přiznání zjištěny dne</t>
  </si>
  <si>
    <t>6)</t>
  </si>
  <si>
    <t>řádné</t>
  </si>
  <si>
    <r>
      <t>03 Daňové přiznání</t>
    </r>
    <r>
      <rPr>
        <vertAlign val="superscript"/>
        <sz val="8"/>
        <rFont val="Arial CE"/>
        <family val="2"/>
        <charset val="238"/>
      </rPr>
      <t>1)</t>
    </r>
  </si>
  <si>
    <t>02 Identifikační číslo</t>
  </si>
  <si>
    <t>01 Daňové identifikační číslo</t>
  </si>
  <si>
    <t>Územnímu pracovišti v, ve, pro</t>
  </si>
  <si>
    <t>otisk podacího razítka finančního úřadu</t>
  </si>
  <si>
    <t>Finančnímu úřadu pro / Specializovanému finančnímu úřadu</t>
  </si>
  <si>
    <t>Než začnete vyplňovat tiskopis, přečtěte si, prosím, pokyny.</t>
  </si>
  <si>
    <r>
      <t>162</t>
    </r>
    <r>
      <rPr>
        <vertAlign val="superscript"/>
        <sz val="8"/>
        <rFont val="Arial CE"/>
        <family val="2"/>
        <charset val="238"/>
      </rPr>
      <t>8)</t>
    </r>
  </si>
  <si>
    <r>
      <t>161</t>
    </r>
    <r>
      <rPr>
        <vertAlign val="superscript"/>
        <sz val="8"/>
        <rFont val="Arial CE"/>
        <family val="2"/>
        <charset val="238"/>
      </rPr>
      <t>8)</t>
    </r>
  </si>
  <si>
    <r>
      <t>160</t>
    </r>
    <r>
      <rPr>
        <vertAlign val="superscript"/>
        <sz val="8"/>
        <rFont val="Arial CE"/>
        <family val="2"/>
        <charset val="238"/>
      </rPr>
      <t>8)</t>
    </r>
  </si>
  <si>
    <r>
      <t>140</t>
    </r>
    <r>
      <rPr>
        <vertAlign val="superscript"/>
        <sz val="8"/>
        <rFont val="Arial CE"/>
        <family val="2"/>
        <charset val="238"/>
      </rPr>
      <t>8)</t>
    </r>
  </si>
  <si>
    <t>Příjmy nezahrnované do základu daně podle § 23 odst. 4 písm. b) zákona</t>
  </si>
  <si>
    <t>Příjmy nezahrnované do základu daně podle § 23 odst. 4 písm. a) zákona</t>
  </si>
  <si>
    <r>
      <t>112</t>
    </r>
    <r>
      <rPr>
        <vertAlign val="superscript"/>
        <sz val="8"/>
        <rFont val="Arial CE"/>
        <family val="2"/>
        <charset val="238"/>
      </rPr>
      <t>8)</t>
    </r>
  </si>
  <si>
    <r>
      <t>111</t>
    </r>
    <r>
      <rPr>
        <vertAlign val="superscript"/>
        <sz val="8"/>
        <rFont val="Arial CE"/>
        <family val="2"/>
        <charset val="238"/>
      </rPr>
      <t>8)</t>
    </r>
  </si>
  <si>
    <r>
      <t>110</t>
    </r>
    <r>
      <rPr>
        <vertAlign val="superscript"/>
        <sz val="8"/>
        <rFont val="Arial CE"/>
        <family val="2"/>
        <charset val="238"/>
      </rPr>
      <t>8)</t>
    </r>
  </si>
  <si>
    <r>
      <t>109</t>
    </r>
    <r>
      <rPr>
        <vertAlign val="superscript"/>
        <sz val="8"/>
        <rFont val="Arial CE"/>
        <family val="2"/>
        <charset val="238"/>
      </rPr>
      <t>8)</t>
    </r>
  </si>
  <si>
    <r>
      <t>62</t>
    </r>
    <r>
      <rPr>
        <vertAlign val="superscript"/>
        <sz val="8"/>
        <rFont val="Arial CE"/>
        <family val="2"/>
        <charset val="238"/>
      </rPr>
      <t>8)</t>
    </r>
  </si>
  <si>
    <r>
      <t>61</t>
    </r>
    <r>
      <rPr>
        <vertAlign val="superscript"/>
        <sz val="8"/>
        <rFont val="Arial CE"/>
        <family val="2"/>
        <charset val="238"/>
      </rPr>
      <t>8)</t>
    </r>
  </si>
  <si>
    <r>
      <t>30</t>
    </r>
    <r>
      <rPr>
        <vertAlign val="superscript"/>
        <sz val="8"/>
        <rFont val="Arial CE"/>
        <family val="2"/>
        <charset val="238"/>
      </rPr>
      <t>8)</t>
    </r>
  </si>
  <si>
    <r>
      <t>20</t>
    </r>
    <r>
      <rPr>
        <vertAlign val="superscript"/>
        <sz val="8"/>
        <rFont val="Arial CE"/>
        <family val="2"/>
        <charset val="238"/>
      </rPr>
      <t>8)</t>
    </r>
  </si>
  <si>
    <r>
      <t>10</t>
    </r>
    <r>
      <rPr>
        <vertAlign val="superscript"/>
        <sz val="8"/>
        <rFont val="Arial CE"/>
        <family val="2"/>
        <charset val="238"/>
      </rPr>
      <t>8)</t>
    </r>
  </si>
  <si>
    <t>finanční úřad</t>
  </si>
  <si>
    <t>poplatník</t>
  </si>
  <si>
    <t>Vyplní v celých Kč</t>
  </si>
  <si>
    <t>Název položky</t>
  </si>
  <si>
    <t>Řádek</t>
  </si>
  <si>
    <t>II. ODDÍL - daň z příjmů právnických osob (dále jen "daň ")</t>
  </si>
  <si>
    <t>b)   Účetní odpisy hmotného a nehmotného  majetku uplatněné jako výdaj (náklad) na dosažení, zajištění a udržení zdanitelných příjmů podle § 24 odst. 2 písm v) zákona</t>
  </si>
  <si>
    <t>Daňové odpisy hmotného a nehmotného majetku celkem</t>
  </si>
  <si>
    <t>Odpisy hmotného majetku podle § 30 odst. 4 až 6 a § 30b zákona</t>
  </si>
  <si>
    <t>Odpisy hmotného majetku zařazeného do odpisové skupiny 6</t>
  </si>
  <si>
    <t>Odpisy hmotného majetku zařazeného do odpisové skupiny 5</t>
  </si>
  <si>
    <t>Odpisy hmotného majetku zařazeného do odpisové skupiny 4</t>
  </si>
  <si>
    <t>Odpisy hmotného a nehmotného majetku zařazeného do odpisové skupiny 3</t>
  </si>
  <si>
    <t>Odpisy hmotného a nehmotného majetku zařazeného do odpisové skupiny 2</t>
  </si>
  <si>
    <t>(neobsazeno)</t>
  </si>
  <si>
    <t>Odpisy hmotného a nehmotného majetku zařazeného do odpisové skupiny 1</t>
  </si>
  <si>
    <t>a)   Daňové odpisy hmotného a nehmotného majetku uplatněné jako výdaj (náklad) na dosažení, zajištění  a udržení zdanitelných příjmů podle § 24 odst. 2 písm a) zákona</t>
  </si>
  <si>
    <t>B. Odpisy hmotného a nehmotného majetku</t>
  </si>
  <si>
    <t>Celkem</t>
  </si>
  <si>
    <t xml:space="preserve">Daňové identifikační číslo </t>
  </si>
  <si>
    <t>Identifikační číslo</t>
  </si>
  <si>
    <t xml:space="preserve">Příloha č. 1 II. oddílu </t>
  </si>
  <si>
    <t>d) Rezervy v pojišťovnictví - vyplňují pouze pojišťovny</t>
  </si>
  <si>
    <r>
      <t>21</t>
    </r>
    <r>
      <rPr>
        <vertAlign val="superscript"/>
        <sz val="8"/>
        <rFont val="Arial CE"/>
        <family val="2"/>
        <charset val="238"/>
      </rPr>
      <t>8)</t>
    </r>
  </si>
  <si>
    <t>c) Opravné položky podle § 5a zákona o rezervách - vyplňují pouze spořitelní a úvěrní družstva a ostatní finanční instituce</t>
  </si>
  <si>
    <r>
      <t>17</t>
    </r>
    <r>
      <rPr>
        <vertAlign val="superscript"/>
        <sz val="8"/>
        <rFont val="Arial CE"/>
        <family val="2"/>
        <charset val="238"/>
      </rPr>
      <t>8)</t>
    </r>
  </si>
  <si>
    <r>
      <t>14</t>
    </r>
    <r>
      <rPr>
        <vertAlign val="superscript"/>
        <sz val="8"/>
        <rFont val="Arial CE"/>
        <family val="2"/>
        <charset val="238"/>
      </rPr>
      <t>8)</t>
    </r>
  </si>
  <si>
    <t>b) Bankovní rezervy a opravné položky podle § 5 zákona o rezervách - vyplňují pouze banky</t>
  </si>
  <si>
    <t>( neobsazeno )</t>
  </si>
  <si>
    <t>a) Odpis neuhrazených pohledávek zahrnovaný do daňových výdajů (nákladů) a zákonné opravné položky k pohledávkám, mimo bankovních opravných položek podle § 5 zákona o rezervách - vyplňují všichni poplatníci</t>
  </si>
  <si>
    <t>Část nároku na odpočet ze sl. 2</t>
  </si>
  <si>
    <t>a) neobsazeno</t>
  </si>
  <si>
    <t>F. Odečet podle § 34 zákona odst. 4 zákona</t>
  </si>
  <si>
    <t>Část daňové ztráty ze sl. 2</t>
  </si>
  <si>
    <t>D. (neobsazeno)</t>
  </si>
  <si>
    <t>Rezerva na nakládání s elektroodpadem ze solárních panelů vytvořená podle § 11a
až 11c zákona o rezervách v daném období, za které se podává daňové přiznání</t>
  </si>
  <si>
    <t>g) Rezerva na nakládání s elektroodpadem ze solárních panelů – vyplňují pouze poplatníci oprávněni k její tvorbě a použití</t>
  </si>
  <si>
    <r>
      <t>29</t>
    </r>
    <r>
      <rPr>
        <vertAlign val="superscript"/>
        <sz val="8"/>
        <rFont val="Arial CE"/>
        <family val="2"/>
        <charset val="238"/>
      </rPr>
      <t>8)</t>
    </r>
  </si>
  <si>
    <t>f) Ostatní zákonné rezervy - vyplňují pouze poplatníci oprávění k jejich tvorbě a použití</t>
  </si>
  <si>
    <t>e) Rezerva na opravy hmotného majetku - vyplňují všichni poplatníci</t>
  </si>
  <si>
    <t>osoby</t>
  </si>
  <si>
    <t>Průměrný přepočtený počet zaměstnanců, zaokrouhlený na celé číslo</t>
  </si>
  <si>
    <t>Kč</t>
  </si>
  <si>
    <t>Roční úhrn čistého obratu</t>
  </si>
  <si>
    <t>jednotka</t>
  </si>
  <si>
    <t>Vyplní</t>
  </si>
  <si>
    <t>Měrná</t>
  </si>
  <si>
    <t>K. Vybrané ukazatele hospodaření</t>
  </si>
  <si>
    <t>Celkový nárok na slevy na dani podle § 35 odst. 1 zákona (ř. 4 tabulky H)</t>
  </si>
  <si>
    <t>Hodnota bezúplatných plnění poskytnutých na účely vymezené v § 20 odst. 8 zákona (ř. 1 tabulky G)</t>
  </si>
  <si>
    <t>Nárok na odečet podle § 34 odst. 4 a § 34a až § 34e zákona (příslušný řádek sl. 2 tabulky F/b)</t>
  </si>
  <si>
    <t>Nárok na odečet podle § 34 odst. 4 a § 34f až § 34h
zákona (příslušný řádek sl. 2 tabulky F/c)</t>
  </si>
  <si>
    <t>Základ daně nebo daňová ztráta z ř.200 (ř. 201)</t>
  </si>
  <si>
    <r>
      <t>J. Rozdělení některých položek v případě komanditní společnosti</t>
    </r>
    <r>
      <rPr>
        <vertAlign val="superscript"/>
        <sz val="9"/>
        <rFont val="Arial CE"/>
        <family val="2"/>
        <charset val="238"/>
      </rPr>
      <t>4)</t>
    </r>
    <r>
      <rPr>
        <sz val="9"/>
        <rFont val="Arial CE"/>
        <family val="2"/>
        <charset val="238"/>
      </rPr>
      <t xml:space="preserve"> ( vyplní se v celých Kč )</t>
    </r>
  </si>
  <si>
    <r>
      <t xml:space="preserve">Výše daní zaplacených v zahraničí, kterou </t>
    </r>
    <r>
      <rPr>
        <b/>
        <sz val="8"/>
        <rFont val="Arial CE"/>
        <family val="2"/>
        <charset val="238"/>
      </rPr>
      <t>nelze započíst</t>
    </r>
    <r>
      <rPr>
        <sz val="8"/>
        <rFont val="Arial CE"/>
        <charset val="238"/>
      </rPr>
      <t xml:space="preserve"> (kladný rozdíl mezi částkami na ř. 2 a 3, zvýšený o kladný rozdíl mezi částkami na ř. 4 a na ř. 320 II. oddílu)</t>
    </r>
  </si>
  <si>
    <t>Úhrn částek daní zaplacených v zahraničí, o které lze snížit daňovou povinnost metodou prostého zápočtu (úhrn částek ze ř. 7 samostatných příloh k tabuce I)</t>
  </si>
  <si>
    <r>
      <t>3</t>
    </r>
    <r>
      <rPr>
        <vertAlign val="superscript"/>
        <sz val="8"/>
        <rFont val="Arial CE"/>
        <family val="2"/>
        <charset val="238"/>
      </rPr>
      <t>9)</t>
    </r>
  </si>
  <si>
    <t>Úhrn daní zaplacených v zahraničí, u nichž lze uplatnit metodu prostého zápočtu (úhrn částek z ř. 3 samostatných příloh k tabuce I)</t>
  </si>
  <si>
    <r>
      <t>2</t>
    </r>
    <r>
      <rPr>
        <vertAlign val="superscript"/>
        <sz val="8"/>
        <rFont val="Arial CE"/>
        <family val="2"/>
        <charset val="238"/>
      </rPr>
      <t>9)</t>
    </r>
  </si>
  <si>
    <t>Úhrn daní zaplacených v zahraničí, o které lze snížit daňovou povinnost metodou úplného zápočtu</t>
  </si>
  <si>
    <r>
      <t>1</t>
    </r>
    <r>
      <rPr>
        <vertAlign val="superscript"/>
        <sz val="8"/>
        <rFont val="Arial CE"/>
        <family val="2"/>
        <charset val="238"/>
      </rPr>
      <t>8)</t>
    </r>
  </si>
  <si>
    <r>
      <t>I. Zápočet daně zaplacené v zahraničí</t>
    </r>
    <r>
      <rPr>
        <vertAlign val="superscript"/>
        <sz val="9"/>
        <rFont val="Arial CE"/>
        <family val="2"/>
        <charset val="238"/>
      </rPr>
      <t>5)</t>
    </r>
  </si>
  <si>
    <r>
      <t>Sleva podle § 35a</t>
    </r>
    <r>
      <rPr>
        <vertAlign val="superscript"/>
        <sz val="8"/>
        <rFont val="Arial CE"/>
        <family val="2"/>
        <charset val="238"/>
      </rPr>
      <t>1)</t>
    </r>
    <r>
      <rPr>
        <sz val="8"/>
        <rFont val="Arial CE"/>
        <charset val="238"/>
      </rPr>
      <t xml:space="preserve"> nebo § 35b</t>
    </r>
    <r>
      <rPr>
        <vertAlign val="superscript"/>
        <sz val="8"/>
        <rFont val="Arial CE"/>
        <family val="2"/>
        <charset val="238"/>
      </rPr>
      <t>1)</t>
    </r>
    <r>
      <rPr>
        <sz val="8"/>
        <rFont val="Arial CE"/>
        <charset val="238"/>
      </rPr>
      <t xml:space="preserve"> zákona</t>
    </r>
  </si>
  <si>
    <r>
      <t>5</t>
    </r>
    <r>
      <rPr>
        <vertAlign val="superscript"/>
        <sz val="8"/>
        <rFont val="Arial CE"/>
        <charset val="238"/>
      </rPr>
      <t>9)</t>
    </r>
  </si>
  <si>
    <t>Úhrn slev podle § 35 odst. 1 zákona (ř. 1 + 2)</t>
  </si>
  <si>
    <t>Sleva podle § 35 odst. 1 písm. b) zákona</t>
  </si>
  <si>
    <t>Sleva podle § 35 odst. 1 písm. a) zákona</t>
  </si>
  <si>
    <r>
      <t>H. Rozčlenění celkového nároku na slevy na dani (§ 35 odst. 1 a § 35a nebo a § 35b zákona), který lze uplatnit na ř. 300</t>
    </r>
    <r>
      <rPr>
        <vertAlign val="superscript"/>
        <sz val="9"/>
        <rFont val="Arial CE"/>
        <family val="2"/>
        <charset val="238"/>
      </rPr>
      <t>5)</t>
    </r>
  </si>
  <si>
    <t xml:space="preserve">Poslední známá daňová povinnost pro účely stanovení výše a periodicity záloh podle § 38a odst. 1 zákona (ř. 340 - 335 = ř. 330) </t>
  </si>
  <si>
    <t>Sazba daně (v %) podle § 21 odst. 4 zákona, ve spojení s § 21 odst. 6 zákona</t>
  </si>
  <si>
    <r>
      <t>Samostatný základ daně podle § 20b zákona, zaokrouhlený na celé tisícikoruny dolů</t>
    </r>
    <r>
      <rPr>
        <vertAlign val="superscript"/>
        <sz val="8"/>
        <rFont val="Arial CE"/>
        <family val="2"/>
        <charset val="238"/>
      </rPr>
      <t>5)</t>
    </r>
  </si>
  <si>
    <r>
      <t>331</t>
    </r>
    <r>
      <rPr>
        <vertAlign val="superscript"/>
        <sz val="8"/>
        <rFont val="Arial CE"/>
        <family val="2"/>
        <charset val="238"/>
      </rPr>
      <t>8)</t>
    </r>
  </si>
  <si>
    <t>Daň (ř. 270 x ř. 280) / 100</t>
  </si>
  <si>
    <t>Sazba daně (v %) podle § 21 odst. 1 nebo odst. 2 anebo odst. 3 zákona, ve spojení s § 21 odst. 6 zákona</t>
  </si>
  <si>
    <t>Částka podle § 20 odst. 7 zákona, o níž mohou veřejně prospěšní poplatníci
(§ 17a zákona) dále snížit základ daně uvedený na ř. 250</t>
  </si>
  <si>
    <r>
      <t>240</t>
    </r>
    <r>
      <rPr>
        <vertAlign val="superscript"/>
        <sz val="8"/>
        <rFont val="Arial CE"/>
        <charset val="238"/>
      </rPr>
      <t>8)</t>
    </r>
  </si>
  <si>
    <r>
      <t>Odečet daňové ztráty podle § 34 odst. 1 zákona</t>
    </r>
    <r>
      <rPr>
        <vertAlign val="superscript"/>
        <sz val="8"/>
        <rFont val="Arial CE"/>
        <family val="2"/>
        <charset val="238"/>
      </rPr>
      <t>5)</t>
    </r>
  </si>
  <si>
    <r>
      <t>210</t>
    </r>
    <r>
      <rPr>
        <vertAlign val="superscript"/>
        <sz val="8"/>
        <rFont val="Arial CE"/>
        <family val="2"/>
        <charset val="238"/>
      </rPr>
      <t>8)</t>
    </r>
  </si>
  <si>
    <r>
      <t>Část základu daně nebo daňové ztráty připadající na komplementáře</t>
    </r>
    <r>
      <rPr>
        <vertAlign val="superscript"/>
        <sz val="8"/>
        <rFont val="Arial CE"/>
        <family val="2"/>
        <charset val="238"/>
      </rPr>
      <t>3),4)</t>
    </r>
  </si>
  <si>
    <t>Vysvětlivky:</t>
  </si>
  <si>
    <t>Vlastnoruční podpis osoby oprávněné  k podpisu</t>
  </si>
  <si>
    <t>Otisk razítka</t>
  </si>
  <si>
    <t>Osoba oprávněná k podpisu</t>
  </si>
  <si>
    <t>Jméno(-a) a příjmení / Vztah k právnické osobě</t>
  </si>
  <si>
    <r>
      <t>s uvedením vztahu k právnické osobě</t>
    </r>
    <r>
      <rPr>
        <sz val="8"/>
        <rFont val="Arial"/>
        <family val="2"/>
        <charset val="238"/>
      </rPr>
      <t xml:space="preserve"> (např. jednatel, pověřený pracovník apod.)</t>
    </r>
  </si>
  <si>
    <r>
      <t>Fyzická osoba oprávněná k podpisu</t>
    </r>
    <r>
      <rPr>
        <sz val="8"/>
        <rFont val="Arial"/>
        <family val="2"/>
        <charset val="238"/>
      </rPr>
      <t xml:space="preserve"> (je-li daňový subjekt či zástupce právnickou osobou),</t>
    </r>
  </si>
  <si>
    <t>Datum narození / Evidenční číslo osvědčení daňového poradce / IČ právnické osoby</t>
  </si>
  <si>
    <t>Jméno(-a) a příjmení / Název právnické osoby</t>
  </si>
  <si>
    <t>Kód podepisující osoby:</t>
  </si>
  <si>
    <t>Údaje o podepisující osobě:</t>
  </si>
  <si>
    <r>
      <t>3</t>
    </r>
    <r>
      <rPr>
        <vertAlign val="superscript"/>
        <sz val="8"/>
        <rFont val="Arial CE"/>
        <family val="2"/>
        <charset val="238"/>
      </rPr>
      <t>8)</t>
    </r>
  </si>
  <si>
    <t>Na zajištění daně sraženo plátcem (§ 38e zákona)</t>
  </si>
  <si>
    <r>
      <t>2</t>
    </r>
    <r>
      <rPr>
        <vertAlign val="superscript"/>
        <sz val="8"/>
        <rFont val="Arial CE"/>
        <family val="2"/>
        <charset val="238"/>
      </rPr>
      <t>8)</t>
    </r>
  </si>
  <si>
    <t>Na zálohách (§ 38a zákona) zaplaceno</t>
  </si>
  <si>
    <t>V. ODDÍL - placení daně</t>
  </si>
  <si>
    <t>Zvýšení (+), snížení (-) daňové ztráty (ř. 5 - ř. 4)</t>
  </si>
  <si>
    <t>Nově zjištěná daňová ztráta (ř. 220 II. oddílu)</t>
  </si>
  <si>
    <t>Poslední známá daňová ztráta</t>
  </si>
  <si>
    <t>Zvýšení (+), snížení (-) částky daně (ř. 2 - ř. 1)</t>
  </si>
  <si>
    <t>Nově zjištěná daň (ř. 340 II. oddílu)</t>
  </si>
  <si>
    <t>Poslední známá daň</t>
  </si>
  <si>
    <t>IV. ODDÍL - dodatečné daňové přiznání</t>
  </si>
  <si>
    <r>
      <t xml:space="preserve">III. ODDÍL </t>
    </r>
    <r>
      <rPr>
        <sz val="10"/>
        <rFont val="Arial CE"/>
        <charset val="238"/>
      </rPr>
      <t>- (neobsazeno)</t>
    </r>
  </si>
  <si>
    <t>Pardubický kraj</t>
  </si>
  <si>
    <t>Litomyšli</t>
  </si>
  <si>
    <t>opravné</t>
  </si>
  <si>
    <t>dodatečné</t>
  </si>
  <si>
    <t>NE</t>
  </si>
  <si>
    <t>a)</t>
  </si>
  <si>
    <t>Osík</t>
  </si>
  <si>
    <t>Sídlo SDH</t>
  </si>
  <si>
    <t>Dobrovolní hasiči</t>
  </si>
  <si>
    <t>ANO</t>
  </si>
  <si>
    <r>
      <t xml:space="preserve">ANO </t>
    </r>
    <r>
      <rPr>
        <vertAlign val="superscript"/>
        <sz val="10"/>
        <rFont val="Arial CE"/>
        <charset val="238"/>
      </rPr>
      <t>2)</t>
    </r>
  </si>
  <si>
    <t>Opravné položky k pohledávkám za dlužníky v insolvenčním řízení vytvořené podle
§ 8 zákona o rezervách v daném období, za které se podává daňové přiznání</t>
  </si>
  <si>
    <t>Opravné položky k nepromlčeným pohledávkám vytvořené podle § 8a zákona
o rezervách  v daném období, za které se podává daňové přiznání</t>
  </si>
  <si>
    <t>Stav zákonných opravných položek k nepromlčeným pohledávkám splatným
po 31. prosinci 1994 (§ 8a zákona o rezervách) ke konci období, za které se podává
daňové přiznání</t>
  </si>
  <si>
    <t>Opravné položky k pohledávkám z titulu ručení za celní dluh vytvořené podle
§ 8b zákona o rezervách v daném období, za které se podává daňové přiznání</t>
  </si>
  <si>
    <t>Stav zákonných opravných položek k pohledávkám z titulu ručení za celní dluh
(§ 8b zákona o rezervách) ke konci období, za které se podává daňové přiznání</t>
  </si>
  <si>
    <t>Opravné položky k nepromlčeným pohledávkám, vytvořené podle § 8c zákona
o rezervách v daném období, za které se podává přiznání</t>
  </si>
  <si>
    <t>Stav zákonných opravných položek k nepromlčeným pohledávkám vytvořených
podle § 8c zákona o rezervách ke konci období, za které se podává daňové přiznání</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</si>
  <si>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</si>
  <si>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</si>
  <si>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</si>
  <si>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</si>
  <si>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</si>
  <si>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ke konci zdaňovacího období</t>
  </si>
  <si>
    <t>Prům. stav rozvahové hodnoty nepromlčených pohledávek z úvěrů poskytnutých
fyzickým osobám na základě smlouvy o úvěru, bez příslušenství, v ocenění
nesníženém o opravné položky již vytvořené (§ 5a odst. 3 zákona o rezervách)</t>
  </si>
  <si>
    <t>Výše základního kapitálu k poslednímu dni zdaňovacího období
(§ 5a odst. 4 zákona o rezervách)</t>
  </si>
  <si>
    <t>Opravné položky k nepromlčeným pohledávkám z úvěrů poskytnutých fyzickým
osobám na základě smlouvy o úvěru, vytvořené podle § 5a odst. 4 zákona
o rezervách za dané zdaňovací období</t>
  </si>
  <si>
    <t>Stav zákonných opravných položek k nepromlčeným pohledávkám z úvěrů poskytnutých fyzickým osobám na základě smlouvy o úvěru (§ 5a odst. 4 zákona
o rezervách) ke konci zdaňovacího období</t>
  </si>
  <si>
    <t>Rezerva na opravy hmotného majetku vytvořená podle § 7 zákona o rezervách
v daném zdaňovacím období</t>
  </si>
  <si>
    <t>Stav rezerv na opravy hmotného majetku (§ 7 zákona o rezervách) ke konci
zdaňovacího období</t>
  </si>
  <si>
    <t xml:space="preserve">Rezerva na pěstební činnost vytvořená podle § 9 zákona o rezervách v daném
období, za které se podává daňové přiznání </t>
  </si>
  <si>
    <t xml:space="preserve">Stav rezervy na pěstební činnost (§ 9 zákona o rezervách) ke konci období, za které
se podává daňové přiznání </t>
  </si>
  <si>
    <t>Ostatní rezervy vytvořené podle § 10 zákona o rezervách v daném zdaňovacím
období</t>
  </si>
  <si>
    <t>Stav rezervy na nakládání s elektroodpadem ze solárních panelů
(§11a až 11c zákona o rezervách) ke konci období, za které se podává daň. přiznání</t>
  </si>
  <si>
    <r>
      <t xml:space="preserve">Výše daní zaplacených v zahraničí, kterou </t>
    </r>
    <r>
      <rPr>
        <b/>
        <sz val="8"/>
        <rFont val="Arial CE"/>
        <family val="2"/>
        <charset val="238"/>
      </rPr>
      <t>lze započíst</t>
    </r>
    <r>
      <rPr>
        <sz val="8"/>
        <rFont val="Arial CE"/>
        <charset val="238"/>
      </rPr>
      <t xml:space="preserve"> metodou úplného
a prostého zápočtu (součet částek ze ř. 1 a 3)</t>
    </r>
  </si>
  <si>
    <t>starosta SDH</t>
  </si>
  <si>
    <t xml:space="preserve">Finančnímu úřad pro: </t>
  </si>
  <si>
    <t xml:space="preserve">Územní pracoviště v, ve, pro: </t>
  </si>
  <si>
    <t xml:space="preserve">IČO: </t>
  </si>
  <si>
    <t xml:space="preserve">Obec:  </t>
  </si>
  <si>
    <t xml:space="preserve">PSČ: </t>
  </si>
  <si>
    <t>56967</t>
  </si>
  <si>
    <t xml:space="preserve">Telefon: </t>
  </si>
  <si>
    <t xml:space="preserve">Funkce: </t>
  </si>
  <si>
    <t xml:space="preserve">Datum podpisu: </t>
  </si>
  <si>
    <t>Informace o SDH</t>
  </si>
  <si>
    <t>Základní údaje pro daňové přiznání</t>
  </si>
  <si>
    <t>Fyzická osoba oprávněná k podpisu</t>
  </si>
  <si>
    <t>Kontaktní údaje</t>
  </si>
  <si>
    <t>odečtená
v předcházejících obdobích</t>
  </si>
  <si>
    <t xml:space="preserve"> kterou lze odečíst
v následujících
obdobích</t>
  </si>
  <si>
    <r>
      <t>c) Uplatňování odpočtu na podporu odborného vzdělávání od základu daně podle § 34 odst. 4 a § 34f až § 34h zákona</t>
    </r>
    <r>
      <rPr>
        <sz val="8"/>
        <rFont val="Arial CE"/>
        <charset val="238"/>
      </rPr>
      <t xml:space="preserve"> (v celých Kč)</t>
    </r>
  </si>
  <si>
    <r>
      <t>b) Uplatňování odpočtu na podporu výzkumu a vývoje od základu daně podle § 34 odst. 4 a § 34a až 34e zákona</t>
    </r>
    <r>
      <rPr>
        <sz val="8"/>
        <rFont val="Arial CE"/>
        <charset val="238"/>
      </rPr>
      <t xml:space="preserve"> (v celých Kč)</t>
    </r>
  </si>
  <si>
    <t>Zdaň. činnost
A</t>
  </si>
  <si>
    <t>Nezdaň. činnost
B</t>
  </si>
  <si>
    <t>Přehled o majetku a závazcích</t>
  </si>
  <si>
    <t>Název a sídlo účetní jednotky</t>
  </si>
  <si>
    <t>A. MAJETEK</t>
  </si>
  <si>
    <t>číslo řádku</t>
  </si>
  <si>
    <t>Stav</t>
  </si>
  <si>
    <t>Dlouhodobý nehmotný majetek (v zůstatkové ceně)</t>
  </si>
  <si>
    <t>01</t>
  </si>
  <si>
    <t>Dlouhodobý hmotný majetek (v zůstatkové ceně)</t>
  </si>
  <si>
    <t>02</t>
  </si>
  <si>
    <t>Finanční majetek (cenné papíry, peněžní vklady, aj.)</t>
  </si>
  <si>
    <t>03</t>
  </si>
  <si>
    <t>Peněžní prostředky v hotovosti a ceniny</t>
  </si>
  <si>
    <t>04</t>
  </si>
  <si>
    <t>Peněžní prostředky na bankovních účtech</t>
  </si>
  <si>
    <t>05</t>
  </si>
  <si>
    <t>06</t>
  </si>
  <si>
    <t>07</t>
  </si>
  <si>
    <t>Úvěry a zápůjčky poskytnuté</t>
  </si>
  <si>
    <t>08</t>
  </si>
  <si>
    <t>Ostatní majetek</t>
  </si>
  <si>
    <t>09</t>
  </si>
  <si>
    <t>Majetek celkem ( Ř. 01 až 09 )</t>
  </si>
  <si>
    <t>B. ZÁVAZKY</t>
  </si>
  <si>
    <t>21</t>
  </si>
  <si>
    <t>Úvěry a půjčky přijaté</t>
  </si>
  <si>
    <t>22</t>
  </si>
  <si>
    <t>Závazky celkem ( Ř. 21 + 22 )</t>
  </si>
  <si>
    <t>23</t>
  </si>
  <si>
    <t xml:space="preserve">Rozdíl majetku a závazků  ( Ř 10 - 23 )  </t>
  </si>
  <si>
    <t>99</t>
  </si>
  <si>
    <t>Odesláno dne:</t>
  </si>
  <si>
    <t>Právní forma:</t>
  </si>
  <si>
    <t>Činnosti v oblasti protipožární ochrany ( 842 500 )</t>
  </si>
  <si>
    <t>L 2096</t>
  </si>
  <si>
    <t>IČO</t>
  </si>
  <si>
    <t>Přehled o majetku
a závazcích pro pobočné spolky, které vedou jednoduché účetnictví</t>
  </si>
  <si>
    <t>k prvnímu dni
účetního období</t>
  </si>
  <si>
    <t>k poslednímu dni
účetního období</t>
  </si>
  <si>
    <t>10</t>
  </si>
  <si>
    <t>Předmět činnosti:</t>
  </si>
  <si>
    <t>Pobočný spolek</t>
  </si>
  <si>
    <t>Podpisový záznam statutárního orgánu účetní jednotky:</t>
  </si>
  <si>
    <t>Poznámka:</t>
  </si>
  <si>
    <r>
      <t>Označení roku se automaticky přebírá z prvního vyplněného data</t>
    </r>
    <r>
      <rPr>
        <sz val="12"/>
        <rFont val="Arial"/>
        <family val="2"/>
        <charset val="238"/>
      </rPr>
      <t xml:space="preserve"> (tedy z buňky B6).</t>
    </r>
  </si>
  <si>
    <t>Kontroly chyb</t>
  </si>
  <si>
    <t>najednou</t>
  </si>
  <si>
    <t>Nalezena</t>
  </si>
  <si>
    <t>chyba</t>
  </si>
  <si>
    <t>Chybná</t>
  </si>
  <si>
    <t>klasifikace</t>
  </si>
  <si>
    <t>Průběžná</t>
  </si>
  <si>
    <t>položka</t>
  </si>
  <si>
    <t>Verze</t>
  </si>
  <si>
    <t>Popis</t>
  </si>
  <si>
    <t>Přidány kontroly na list Deník:</t>
  </si>
  <si>
    <t>Do Povolených hodnot Označení doplněna * (hvězdička :)</t>
  </si>
  <si>
    <t>Vytvořen nový list Historie verzí, aby byl trochu přehled, co je nového :)</t>
  </si>
  <si>
    <r>
      <t xml:space="preserve">Daň upravená o položky uvedené na ř. 300 a 301 (ř. 290 - 300 </t>
    </r>
    <r>
      <rPr>
        <u/>
        <sz val="8"/>
        <rFont val="Arial CE"/>
        <charset val="238"/>
      </rPr>
      <t>+</t>
    </r>
    <r>
      <rPr>
        <sz val="8"/>
        <rFont val="Arial CE"/>
        <charset val="238"/>
      </rPr>
      <t xml:space="preserve"> 301)</t>
    </r>
    <r>
      <rPr>
        <vertAlign val="superscript"/>
        <sz val="8"/>
        <rFont val="Arial CE"/>
        <family val="2"/>
        <charset val="238"/>
      </rPr>
      <t>5)</t>
    </r>
  </si>
  <si>
    <r>
      <t>Slevy na dani podle § 35 odst. 1 a § 35a nebo § 35b zákona
(nejvýše do částky na ř. 290)</t>
    </r>
    <r>
      <rPr>
        <vertAlign val="superscript"/>
        <sz val="8"/>
        <rFont val="Arial CE"/>
        <family val="2"/>
        <charset val="238"/>
      </rPr>
      <t>5)</t>
    </r>
  </si>
  <si>
    <t>V Tisku deníku provedeny úpravy:</t>
  </si>
  <si>
    <t>6</t>
  </si>
  <si>
    <t>Název organizace:</t>
  </si>
  <si>
    <t>registrace u:</t>
  </si>
  <si>
    <t>Městského soudu v Praze</t>
  </si>
  <si>
    <t>vložka:</t>
  </si>
  <si>
    <t>SH ČMS - Sbor dobrovolných hasičů Osík</t>
  </si>
  <si>
    <t>B23</t>
  </si>
  <si>
    <t>B38</t>
  </si>
  <si>
    <t>P38</t>
  </si>
  <si>
    <t>P47</t>
  </si>
  <si>
    <t>P49</t>
  </si>
  <si>
    <t>P71</t>
  </si>
  <si>
    <t>Upravena kontrola na Průběžné položky (změna bankovního účtu)</t>
  </si>
  <si>
    <t>Doplněn přenos hodnot z "Přehled o majetku a závazcích" do "Přehled údajů k přiznání":</t>
  </si>
  <si>
    <t xml:space="preserve"> 1 - Dlouhodobý hmotný a nehmotný majetek v zůstatkové ceně</t>
  </si>
  <si>
    <t xml:space="preserve"> 4 - Cenné papíry, peněžní vklady, ostat. fin.majetek</t>
  </si>
  <si>
    <t xml:space="preserve"> 5 - Zásoby</t>
  </si>
  <si>
    <t xml:space="preserve"> 6 - Pohledávky</t>
  </si>
  <si>
    <t xml:space="preserve"> 9 - Závazky</t>
  </si>
  <si>
    <r>
      <rPr>
        <b/>
        <sz val="12"/>
        <rFont val="Arial"/>
        <family val="2"/>
        <charset val="238"/>
      </rPr>
      <t>Nechť Vám slouží k dobrému. Ohni zmar!</t>
    </r>
    <r>
      <rPr>
        <sz val="12"/>
        <rFont val="Arial"/>
        <family val="2"/>
        <charset val="238"/>
      </rPr>
      <t xml:space="preserve">
Michal Zölfl
hospodář SDH Osík</t>
    </r>
  </si>
  <si>
    <t xml:space="preserve">  - u větších částek se projevila zaokrouhlovací chyba Excelu v součtech</t>
  </si>
  <si>
    <t xml:space="preserve">  - na listu Základní údaje jsou nové buňky (Název organizace, Registrace, Vložka)</t>
  </si>
  <si>
    <t xml:space="preserve">  - pro SDH jsou tyto údaje předvyplněny, ostatní spolky si mohou upravit</t>
  </si>
  <si>
    <t xml:space="preserve">  - zadání pouze jedné hodnoty do Pokladny a Banky</t>
  </si>
  <si>
    <t xml:space="preserve">  - kombinace Klasifikace a Označení</t>
  </si>
  <si>
    <t xml:space="preserve">  - vyrovnanost Průběžných položek</t>
  </si>
  <si>
    <t xml:space="preserve">  - v případě zjištěné chyby se červeně podbarví první sloupec s číslem řádku</t>
  </si>
  <si>
    <t xml:space="preserve">  - druh chyby je vidět ve sloupcích úplně vpravo</t>
  </si>
  <si>
    <t xml:space="preserve">  - rozdíl příjmů a výdajů je na desetinná místa</t>
  </si>
  <si>
    <t xml:space="preserve">  - zobrazeny desetinná místa ve sloupcích bankovních pohybů</t>
  </si>
  <si>
    <t xml:space="preserve">  - přidán varovný text v případě nesrovnalosti Příjmů a Výdajů</t>
  </si>
  <si>
    <t>07 Kategorie účetní jednotky</t>
  </si>
  <si>
    <t xml:space="preserve">Kód  </t>
  </si>
  <si>
    <t>Částky, o které se podle § 23 odst. 3 písm. a) zákona, s výjimkou § 23 odst. 3
písm. a) bodů 1 a 2 zákona, zvyšuje výsledek hospodaření nebo rozdíl mezi příjmy
a výdaji na ř. 10</t>
  </si>
  <si>
    <t>Úprava základu daně podle § 23 odst. 8 zákona v případě zrušení poplatníka
s likvidací</t>
  </si>
  <si>
    <t>Příjmy osvobozené od daně podle § 19b zákona, pokud jsou zahrnuty
ve výsledku hospodaření nebo v rozdílu mezi příjmy a výdaji (ř. 10)</t>
  </si>
  <si>
    <t>Příjmy osvobozené od daně podle § 19 zákona, pokud jsou zahrnuty 
ve výsledku hospodaření nebo v rozdílu mezi příjmy a výdaji (ř. 10)</t>
  </si>
  <si>
    <t>Rozdíl, o který odpisy hmotného a nehmotného majetku stanovené podle § 26
až 33 zákona převyšují odpisy tohoto majetku uplatněné v účetnictví</t>
  </si>
  <si>
    <t>Souhrn jednotlivých rozdílů, o které částky výdajů (nákladů) vynaložených
na dosažení, zajištění a udržení příjmů převyšují náklady uplatněné v účetnictví</t>
  </si>
  <si>
    <t xml:space="preserve">   Název účtové skupiny (včetně číselného označení)</t>
  </si>
  <si>
    <t xml:space="preserve">  Celkem</t>
  </si>
  <si>
    <t>Odpisy hmotného majetku podle § 30 odst. 4 zákona,
ve znění účinném do 31. prosince 2007</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</si>
  <si>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(náklad) k dosažení, zajištění a udržení zdanitelných příjmů. Pro nehmotný majetek zaevidovaný do majetku poplatníka do 31. prosince 2000, se použije zákon ve znění platném do uvedeného data, a to až do doby jeho vyřazení z majetku poplatníka</t>
  </si>
  <si>
    <r>
      <t>E. Odečet daňové ztráty od základu daně podle § 34 odst. 1 až 3 zákona</t>
    </r>
    <r>
      <rPr>
        <vertAlign val="superscript"/>
        <sz val="10"/>
        <rFont val="Arial CE"/>
        <family val="2"/>
        <charset val="238"/>
      </rPr>
      <t>5)</t>
    </r>
    <r>
      <rPr>
        <b/>
        <sz val="10"/>
        <rFont val="Arial CE"/>
        <charset val="238"/>
      </rPr>
      <t xml:space="preserve"> </t>
    </r>
    <r>
      <rPr>
        <sz val="10"/>
        <rFont val="Arial CE"/>
        <family val="2"/>
        <charset val="238"/>
      </rPr>
      <t>(vyplní se v celých Kč)</t>
    </r>
  </si>
  <si>
    <t>Zdaňovací období nebo období,
za které je podáváno daňové
přiznání, v němž vznikl nárok na
odpočet podle § 34 odst. 4
a § 34a až § 34e zákona od – do</t>
  </si>
  <si>
    <t>Zdaňovací období nebo období,
za které je podáváno daňové
přiznání, v němž vznikl nárok na
odpočet podle § 34 odst. 4
a § 34f až § 34h zákona od – do</t>
  </si>
  <si>
    <r>
      <t>G. Celková hodnota bezúplatných plnění, kterou lze podle § 20 odst. 8 zákona uplatnit jako odečet od základu
daně sníženého podle § 34 zákona</t>
    </r>
    <r>
      <rPr>
        <b/>
        <vertAlign val="superscript"/>
        <sz val="9"/>
        <rFont val="Arial CE"/>
        <charset val="238"/>
      </rPr>
      <t>5)</t>
    </r>
  </si>
  <si>
    <t>Celková hodnota bezúplatných plnění poskytnutých na účely vymezené
v § 20 odst. 8 zákona pro odečet ze základu daně sníženého podle § 34 zákona</t>
  </si>
  <si>
    <t xml:space="preserve">Počet samostatných příloh </t>
  </si>
  <si>
    <t>Název položky a číslo řádku II. oddílu, případně číslo
řádku vyznačené tabulky přílohy č. 1 II. oddílu,
s nimiž souvisí částka ze sloupce 2 nebo 3 této tabulky</t>
  </si>
  <si>
    <t>Částka připadající
na komplementáře</t>
  </si>
  <si>
    <t>Částka připadající
na komandisty</t>
  </si>
  <si>
    <t>Částka za komanditní
společnost jako celek
(sl. 2 + 3)</t>
  </si>
  <si>
    <t>Úhrn vyňatých příjmů (základů daně a daňových ztrát) podléhajících zdanění v zahraničí (ř. 210)</t>
  </si>
  <si>
    <t>Úhrn daně zaplacené v zahraničí, kterou lze započíst metodou úplného a prostého zápočtu (ř. 4 tabulky I)</t>
  </si>
  <si>
    <r>
      <t>Základ daně před úpravou o část základu daně (daňové ztráty) připadající
na komplementáře a o příjmy podléhající zdanění v zahraničí, u nichž je
uplatňováno vynětí, a před snížením o položky podle § 34 a § 20 odst. 7
nebo odst. 8 zákona, nebo daňová ztráta před úpravou o část základu daně
(daňové ztráty) připadající na komplementáře a o příjmy podléhající zdanění
v zahraničí, u nichž je uplatňováno vynětí (ř. 10 + 70 - 170)</t>
    </r>
    <r>
      <rPr>
        <vertAlign val="superscript"/>
        <sz val="8"/>
        <rFont val="Arial CE"/>
        <family val="2"/>
        <charset val="238"/>
      </rPr>
      <t>3)</t>
    </r>
  </si>
  <si>
    <r>
      <t xml:space="preserve">Úhrn vyňatých příjmů (základů daně a daňových ztrát) podlehajících zdanění
v zahraničí </t>
    </r>
    <r>
      <rPr>
        <vertAlign val="superscript"/>
        <sz val="8"/>
        <rFont val="Arial CE"/>
        <charset val="238"/>
      </rPr>
      <t>3)5)</t>
    </r>
  </si>
  <si>
    <r>
      <t>Základ daně po úpravě o část základu daně (daňové ztráty) připadající
na komplementáře a o příjmy podléhající zdanění v zahraničí, u nichž je
uplatňováno vynětí, před snížením o položky podle § 34 a § 20 odst. 7
nebo odst. 8 zákona</t>
    </r>
    <r>
      <rPr>
        <vertAlign val="superscript"/>
        <sz val="8"/>
        <rFont val="Arial CE"/>
        <family val="2"/>
        <charset val="238"/>
      </rPr>
      <t>5)</t>
    </r>
    <r>
      <rPr>
        <sz val="8"/>
        <rFont val="Arial CE"/>
        <charset val="238"/>
      </rPr>
      <t xml:space="preserve"> nebo daňová ztráta po úpravě o část základu daně
(daňové ztráty) připadající na komplementáře a o příjmy podléhající zdanění
v zahraničí, u nichž je uplatňováno vynětí (ř. 200 - 201 - 210)</t>
    </r>
    <r>
      <rPr>
        <vertAlign val="superscript"/>
        <sz val="8"/>
        <rFont val="Arial CE"/>
        <family val="2"/>
        <charset val="238"/>
      </rPr>
      <t>3)</t>
    </r>
  </si>
  <si>
    <t>Odečet nároku na odpočet na podporu odborného vzdělávání podle § 34 odst. 4
a § 34f až § 34h zákona</t>
  </si>
  <si>
    <r>
      <t>Základ daně po úpravě o část základu daně (daňové ztráty)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charset val="238"/>
      </rPr>
      <t>5)</t>
    </r>
    <r>
      <rPr>
        <sz val="8"/>
        <rFont val="Arial CE"/>
        <charset val="238"/>
      </rPr>
      <t xml:space="preserve"> (ř. 220 - 230 - 240 - 241 - 242 - 243)</t>
    </r>
  </si>
  <si>
    <r>
      <t>Odečet bezúplatných plnění podle § 20 odst. 8 zákona (nejvýše 10 % z částky
na ř. 250)</t>
    </r>
    <r>
      <rPr>
        <vertAlign val="superscript"/>
        <sz val="8"/>
        <rFont val="Arial CE"/>
        <charset val="238"/>
      </rPr>
      <t>5)</t>
    </r>
  </si>
  <si>
    <r>
      <t>Základ daně po úpravě o část základu daně (daňové ztráty)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charset val="238"/>
      </rPr>
      <t>5)</t>
    </r>
    <r>
      <rPr>
        <sz val="8"/>
        <rFont val="Arial CE"/>
        <charset val="238"/>
      </rPr>
      <t xml:space="preserve"> (ř. 250 - 251- 260)</t>
    </r>
  </si>
  <si>
    <t>Datum pořízení</t>
  </si>
  <si>
    <t>Nákup</t>
  </si>
  <si>
    <t>Prodej, odpis</t>
  </si>
  <si>
    <t>Digitální váha, 1 ks</t>
  </si>
  <si>
    <t>Přilby pro MH, 9 ks</t>
  </si>
  <si>
    <t>P85</t>
  </si>
  <si>
    <t>Mop velký, 2 ks</t>
  </si>
  <si>
    <t>Chladnička, 1 ks</t>
  </si>
  <si>
    <t>Sada překážek 100m</t>
  </si>
  <si>
    <t>Savice - sestava</t>
  </si>
  <si>
    <t>Vzduchovka</t>
  </si>
  <si>
    <t>Ozvuč. technika</t>
  </si>
  <si>
    <t>Přilba MH</t>
  </si>
  <si>
    <t>EVIDENCE DROBNÉHO KRÁTKODOBÉHO MAJETKU</t>
  </si>
  <si>
    <t>údaje v celých Kć</t>
  </si>
  <si>
    <t>Rychlovarná konvice</t>
  </si>
  <si>
    <t>Sportovní dresy, 8 ks</t>
  </si>
  <si>
    <t>Nůžkové stany, 2 ks</t>
  </si>
  <si>
    <t>Matrace nafukovací, 8 ks</t>
  </si>
  <si>
    <t>Matrace nafukovací, 4 ks</t>
  </si>
  <si>
    <t>Vyřazení - Rychlovarná konvice (17.1.2014)</t>
  </si>
  <si>
    <t>Vložen nový list Evidence DKP</t>
  </si>
  <si>
    <t xml:space="preserve">  - obsahuje vzorová data a měl by sloužit jako pomocná evidence</t>
  </si>
  <si>
    <t xml:space="preserve">  - díky SDH Jámy (Jan Mach) za inspiraci :)</t>
  </si>
  <si>
    <t>Upraveno zaokrouhlování na listech Deník (resp. Přehled údajů k přiznání, Tisk deníku)</t>
  </si>
  <si>
    <t>Upraven výpočet částky o kterou lze snížit základ daně (ř. 251 Přiznání)</t>
  </si>
  <si>
    <t xml:space="preserve">  - Veřejně prospěšný poplatník (což SDH je) může snížit základ daně až o 30%</t>
  </si>
  <si>
    <t xml:space="preserve">    (min. 300.000,- až do výše základu; max. 1.000.000,- Kč)</t>
  </si>
  <si>
    <t>Upraveno pro použití i jiným spolkům (Veřejně prospěšný poplatník) než SDH</t>
  </si>
  <si>
    <t xml:space="preserve">  - POZOR = ze základu daně se odečítá 30% na Veřejně prospěšného poplatníka (viz níže)</t>
  </si>
  <si>
    <t xml:space="preserve">  - funguje i pro spolky s vyšším základem daně než 300.000,- Kč</t>
  </si>
  <si>
    <t>P1</t>
  </si>
  <si>
    <t>P2</t>
  </si>
  <si>
    <t>P3</t>
  </si>
  <si>
    <t>P4</t>
  </si>
  <si>
    <t>P5</t>
  </si>
  <si>
    <t>P7</t>
  </si>
  <si>
    <t>P8</t>
  </si>
  <si>
    <t>B1</t>
  </si>
  <si>
    <t>B2</t>
  </si>
  <si>
    <t>B3</t>
  </si>
  <si>
    <t>P10</t>
  </si>
  <si>
    <t>P11</t>
  </si>
  <si>
    <t>P12</t>
  </si>
  <si>
    <t>B4</t>
  </si>
  <si>
    <t>B5</t>
  </si>
  <si>
    <t>P14</t>
  </si>
  <si>
    <t>B7</t>
  </si>
  <si>
    <t>B8</t>
  </si>
  <si>
    <t>P15</t>
  </si>
  <si>
    <t>P16</t>
  </si>
  <si>
    <t>P18</t>
  </si>
  <si>
    <t>B10</t>
  </si>
  <si>
    <t>P19</t>
  </si>
  <si>
    <t>P20</t>
  </si>
  <si>
    <t>P21</t>
  </si>
  <si>
    <t>P22</t>
  </si>
  <si>
    <t>P23</t>
  </si>
  <si>
    <t>P25</t>
  </si>
  <si>
    <t>P24</t>
  </si>
  <si>
    <t>Částky, o které se podle § 23e, § 23g,  § 23h a § 38fa zákona zvyšuje výsledek
hospodaření nebo rozdíl mezi příjmy a výdaji (ř. 10)</t>
  </si>
  <si>
    <t>Mezisoučet (ř. 20 + 30 + 40 + 50 + 61 + 62 + 63)</t>
  </si>
  <si>
    <r>
      <t>Mezisoučet</t>
    </r>
    <r>
      <rPr>
        <sz val="7"/>
        <rFont val="Arial CE"/>
        <family val="2"/>
        <charset val="238"/>
      </rPr>
      <t xml:space="preserve">
</t>
    </r>
    <r>
      <rPr>
        <sz val="8"/>
        <rFont val="Arial CE"/>
        <charset val="238"/>
      </rPr>
      <t>(ř. 100+101+109+110+111+112+120+130+140+150+160+161+162+163)</t>
    </r>
  </si>
  <si>
    <t>Odečet nároku na odpočet na podporu výzkumu a vývoje podle § 34 odst. 4
a § 34a až § 34e zákona</t>
  </si>
  <si>
    <r>
      <t>319</t>
    </r>
    <r>
      <rPr>
        <vertAlign val="superscript"/>
        <sz val="8"/>
        <rFont val="Arial CE"/>
        <charset val="238"/>
      </rPr>
      <t>9)</t>
    </r>
  </si>
  <si>
    <t>6) Při podání dodatečného daňového přiznání podle § 141 odst. 2 nebo 4 zákona č. 280/2009 Sb., daňový řád, ve znění pozdějších předpisů anebo podle
§ 38u zákona, budou na zvláštní příloze uvedeny důvody pro jeho podání. Při elektronickém podání těchto dodatečných daňových přiznání je součástí
programového vybavení aplikace Elektronická podání pro finanční správu textové pole pro vyplnění zvláštní přílohy.</t>
  </si>
  <si>
    <t>8) Bude-li vyplněn některý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vyplnění zvláštních příloh
součástí programového vybavení aplikace Elektronická podání pro finanční správu.</t>
  </si>
  <si>
    <t>Verze Daňového přiznání za rok 2017 = vzor č.28 (pravděpodobně nepodstatné :)</t>
  </si>
  <si>
    <t>601 234 567</t>
  </si>
  <si>
    <r>
      <t xml:space="preserve"> - Peněžní deník nově obsahuje </t>
    </r>
    <r>
      <rPr>
        <b/>
        <sz val="10"/>
        <rFont val="Arial CE"/>
        <charset val="238"/>
      </rPr>
      <t xml:space="preserve">600 řádků </t>
    </r>
    <r>
      <rPr>
        <sz val="10"/>
        <rFont val="Arial CE"/>
        <charset val="238"/>
      </rPr>
      <t>(snad to bude stačit :)</t>
    </r>
  </si>
  <si>
    <r>
      <t>08 Přiznání podal poradce</t>
    </r>
    <r>
      <rPr>
        <vertAlign val="superscript"/>
        <sz val="8"/>
        <rFont val="Arial CE"/>
        <family val="2"/>
        <charset val="238"/>
      </rPr>
      <t>1</t>
    </r>
    <r>
      <rPr>
        <sz val="8"/>
        <rFont val="Arial CE"/>
        <charset val="238"/>
      </rPr>
      <t>)</t>
    </r>
  </si>
  <si>
    <t>Příjmy, které nejsou předmětem daně podle § 18 odst. 2 zákona a podle § 38fa
zákona, pokud jsou zahrnuty ve výsledku hospodaření nebo v rozdílu mezi příjmy
a výdaji (ř. 10)</t>
  </si>
  <si>
    <t>Rozdíl mezi výší upravených rezerv v pojišťovnictví na konci období, za které se
podává daňové přiznání a výší upravených rezerv v pojišťovnictví na začátku období,
za které se podává daňové přiznání (§ 6 zákona o rezervách)</t>
  </si>
  <si>
    <t>Stav zákonných opravných položek k pohledávkám za dlužníky v insolvenčním
řízení (§ 8 zákona o rezervách) ke konci období, za které se podává daňové přiznání</t>
  </si>
  <si>
    <t>Stav nepromlčených pohledávek splatných po  31. prosinci 1994, k nimž lze tvořit
zákonné opravné položky (§ 8a zákona o rezervách) ke konci období, za které
se podává daňové přiznání</t>
  </si>
  <si>
    <t>Stav upravených rezerv v pojišťovnictví (§ 6 zákona o rezervách) ke konci období,
za které se podává daňové přiznání</t>
  </si>
  <si>
    <t>již odečtená</t>
  </si>
  <si>
    <t>319a</t>
  </si>
  <si>
    <t>Snížení daně podle § 38fa odst. 8 zákona</t>
  </si>
  <si>
    <r>
      <t>Zápočet daně zaplacené v zahraničí na daň uvedenou na ř. 310</t>
    </r>
    <r>
      <rPr>
        <vertAlign val="superscript"/>
        <sz val="8"/>
        <rFont val="Arial CE"/>
        <family val="2"/>
        <charset val="238"/>
      </rPr>
      <t xml:space="preserve">5)
</t>
    </r>
    <r>
      <rPr>
        <sz val="8"/>
        <rFont val="Arial CE"/>
        <family val="2"/>
        <charset val="238"/>
      </rPr>
      <t>(nejvýše do částky uvedené na ř. 310 po snížení daně na ř. 319 a ř. 319a)</t>
    </r>
  </si>
  <si>
    <r>
      <t xml:space="preserve">Daň po snížení na ř. 319, ř. 319a a po zápočtu na ř. 320
(ř.310 - 319 - 319a - 320), zaokrouhlená na celé Kč nahoru </t>
    </r>
    <r>
      <rPr>
        <vertAlign val="superscript"/>
        <sz val="8"/>
        <rFont val="Arial CE"/>
        <family val="2"/>
        <charset val="238"/>
      </rPr>
      <t>5)</t>
    </r>
  </si>
  <si>
    <t>Snížení daně podle § 38fa odst. 8 zákona a zápočet daně zaplacené
v zahraničí na daň ze samostatného základu daně (nejvýše do částky uvedené
na ř. 333)</t>
  </si>
  <si>
    <t>Daň ze samostatného základu daně po snížení daně a po zápočtu (ř. 333 - 334),
zaokrouhlená na celé Kč nahoru</t>
  </si>
  <si>
    <t>Celková daň (ř. 330 + 335)</t>
  </si>
  <si>
    <t xml:space="preserve"> - opravena chyba v kontrole příjmů a výdajů v případě zaokrouhlovací chyby (díky SDH Markvartice)</t>
  </si>
  <si>
    <r>
      <rPr>
        <b/>
        <sz val="10"/>
        <rFont val="Arial CE"/>
        <charset val="238"/>
      </rPr>
      <t>Verze Daňového přiznání za rok 2018</t>
    </r>
    <r>
      <rPr>
        <sz val="10"/>
        <rFont val="Arial CE"/>
        <charset val="238"/>
      </rPr>
      <t xml:space="preserve"> = vzor č.29 (víceméně kosmetické úpravy :)</t>
    </r>
  </si>
  <si>
    <r>
      <rPr>
        <b/>
        <sz val="10"/>
        <rFont val="Arial CE"/>
        <charset val="238"/>
      </rPr>
      <t>Verze Daňového přiznání za rok 2019</t>
    </r>
    <r>
      <rPr>
        <sz val="10"/>
        <rFont val="Arial CE"/>
        <charset val="238"/>
      </rPr>
      <t xml:space="preserve"> = vzor č.30 (přidána pro hasiče nepodstatná pole :)</t>
    </r>
  </si>
  <si>
    <r>
      <rPr>
        <b/>
        <sz val="10"/>
        <rFont val="Arial CE"/>
        <charset val="238"/>
      </rPr>
      <t>Verze Daňového přiznání za rok 2020</t>
    </r>
    <r>
      <rPr>
        <sz val="10"/>
        <rFont val="Arial CE"/>
        <charset val="238"/>
      </rPr>
      <t xml:space="preserve"> = vzor č.31 (přidána pro hasiče nepodstatná pole :)</t>
    </r>
  </si>
  <si>
    <t xml:space="preserve">za zdaňovací období nebo za období, za které se podává daňové přiznání </t>
  </si>
  <si>
    <t>ke dni</t>
  </si>
  <si>
    <r>
      <t>Výsledek hospodaření (zisk +, ztráta -)</t>
    </r>
    <r>
      <rPr>
        <vertAlign val="superscript"/>
        <sz val="8"/>
        <rFont val="Arial CE"/>
        <family val="2"/>
        <charset val="238"/>
      </rPr>
      <t>3)</t>
    </r>
    <r>
      <rPr>
        <sz val="8"/>
        <rFont val="Arial CE"/>
        <charset val="238"/>
      </rPr>
      <t xml:space="preserve"> nebo rozdíl mezi příjmy a výdaji</t>
    </r>
    <r>
      <rPr>
        <vertAlign val="superscript"/>
        <sz val="8"/>
        <rFont val="Arial CE"/>
        <charset val="238"/>
      </rPr>
      <t>3)</t>
    </r>
  </si>
  <si>
    <t>Částky neoprávněně zkracující příjmy (§ 23 odst. 3 písm. a) bod 1 zákona) a hodnota
nepeněžních příjmů (§ 23 odst. 6 zákona), pokud nejsou zahrnuty ve výsledku
hospodaření nebo v rozdílu mezi příjmy a výdaji na ř. 10</t>
  </si>
  <si>
    <t>Výdaje (náklady) neuznávané za výdaje (náklady) vynaložené k dosažení, zajištění
a udržení příjmů (§ 25 nebo 24 zákona), pokud jsou zahrnuty ve výsledku
hospodaření nebo v rozdílu mezi příjmy a výdaji na ř. 10</t>
  </si>
  <si>
    <t>Příjmy, jež u veřejně prospěšných poplatníků, nejsou předmětem daně podle
§ 18a odst. 1 zákona, pokud jsou zahrnuty ve výsledku hospodaření nebo v rozdílu
mezi příjmy a výdaji (ř. 10)</t>
  </si>
  <si>
    <t>Částky, o které se podle § 23 odst. 3 písm. b) zákona snižuje výsledek hospodaření
nebo rozdíl mezi příjmy a výdaji (ř. 10)</t>
  </si>
  <si>
    <t>Částky, o které lze podle § 23 odst. 3 písm. c) zákona snížit výsledek hospodaření
nebo rozdíl mezi příjmy a výdaji (ř. 10)</t>
  </si>
  <si>
    <t>Úprava základu daně podle § 23 odst. 8 zákona v případě zrušení poplatníka s likvidací</t>
  </si>
  <si>
    <t>Částky, o které se podle § 23e, § 23g a § 38fa zákona snižuje výsledek hospodaření
nebo rozdíl mezi příjmy a výdaji (ř. 10)</t>
  </si>
  <si>
    <r>
      <t xml:space="preserve">A. Rozdělení výdajů (nákladů), které se neuznávají za výdaje (náklady) vynaložené na dosažení, zajištění
a udržení příjmů, </t>
    </r>
    <r>
      <rPr>
        <b/>
        <u/>
        <sz val="10"/>
        <rFont val="Arial CE"/>
        <charset val="238"/>
      </rPr>
      <t>uvedených na řádku 40</t>
    </r>
    <r>
      <rPr>
        <b/>
        <sz val="10"/>
        <rFont val="Arial CE"/>
        <charset val="238"/>
      </rPr>
      <t xml:space="preserve"> podle účtových skupin účtové třídy - náklady</t>
    </r>
  </si>
  <si>
    <t xml:space="preserve"> Výdaje na nezdaňovanou činnost</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</si>
  <si>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(dále jen "zákon o rezervách")</t>
  </si>
  <si>
    <t>Úhrn hodnot pohledávek nebo pořizovacích cen pohledávek nabytých postoupením,
uplatněných v daném zdaňovacím období, za které se podává daňové přiznání jako
výdaj (náklad) na dosažení,zajištění a udržení příjmů podle §24 odst.2 písm.y) zákona</t>
  </si>
  <si>
    <t>Daň ze samostatného základu daně (ř. 331 x ř. 332) / 100,
zaokrouhlená na celé Kč nahoru</t>
  </si>
  <si>
    <t xml:space="preserve">Přeplatek    (+) (ř. 1 + ř. 2 + ř. 3 - ř. 340 II. oddílu) &gt; 0 </t>
  </si>
  <si>
    <t xml:space="preserve">Nedoplatek (-)  (ř. 1 + ř. 2 + ř. 3 - ř. 340 II. oddílu) &lt; 0 </t>
  </si>
  <si>
    <t>1) Nehodící se škrtněte.</t>
  </si>
  <si>
    <t>2) Vyplní finanční úřad.</t>
  </si>
  <si>
    <t>3) V případě vykázání ztráty nebo daňové ztráty se uvede částka se znaménkem minus (–).</t>
  </si>
  <si>
    <t>4) Vyplní pouze poplatník, který je komanditní společností.</t>
  </si>
  <si>
    <t>5) Pokud poplatníkem daně je komanditní společnost, uvede pouze částky připadající na komanditisty.</t>
  </si>
  <si>
    <t>10) § 17 odst. 3 zákona.</t>
  </si>
  <si>
    <r>
      <rPr>
        <b/>
        <sz val="10"/>
        <rFont val="Arial CE"/>
        <charset val="238"/>
      </rPr>
      <t>Verze Daňového přiznání za rok 2021</t>
    </r>
    <r>
      <rPr>
        <sz val="10"/>
        <rFont val="Arial CE"/>
        <charset val="238"/>
      </rPr>
      <t xml:space="preserve"> = vzor č.31 (shodná verze jako vloni, kupodivu :)</t>
    </r>
  </si>
  <si>
    <t xml:space="preserve"> - přepracováno formátování pro kompatibilitu se staršími verzemi Excelu</t>
  </si>
  <si>
    <t>manko</t>
  </si>
  <si>
    <t>Počet</t>
  </si>
  <si>
    <t>Hodnota</t>
  </si>
  <si>
    <t>dle dokladů</t>
  </si>
  <si>
    <t xml:space="preserve"> - přidán list Výčetka (pro zjednodušení porovnání fyzických a dokladových peněz :)</t>
  </si>
  <si>
    <t>Doklad číslo</t>
  </si>
  <si>
    <t>slovy Kč</t>
  </si>
  <si>
    <t xml:space="preserve"> Organizace</t>
  </si>
  <si>
    <t xml:space="preserve"> Účel platby</t>
  </si>
  <si>
    <t xml:space="preserve"> Celkem</t>
  </si>
  <si>
    <t xml:space="preserve"> Datum vystavení</t>
  </si>
  <si>
    <t xml:space="preserve"> Datum platby</t>
  </si>
  <si>
    <t xml:space="preserve"> Vystavil</t>
  </si>
  <si>
    <t xml:space="preserve"> Schválil</t>
  </si>
  <si>
    <t xml:space="preserve"> Podpis pokladníka</t>
  </si>
  <si>
    <t xml:space="preserve"> Podpis příjemce</t>
  </si>
  <si>
    <t xml:space="preserve"> Zaúčtoval</t>
  </si>
  <si>
    <t>jednotky</t>
  </si>
  <si>
    <t>desítky</t>
  </si>
  <si>
    <t>stovky</t>
  </si>
  <si>
    <t>tisíce</t>
  </si>
  <si>
    <t>desetitiisíce</t>
  </si>
  <si>
    <t>statisíce</t>
  </si>
  <si>
    <t>tisíc</t>
  </si>
  <si>
    <t>Jednosto</t>
  </si>
  <si>
    <t>Dvacet</t>
  </si>
  <si>
    <t>Dvěstě</t>
  </si>
  <si>
    <t>Třista</t>
  </si>
  <si>
    <t>Čtyřista</t>
  </si>
  <si>
    <t>Pětset</t>
  </si>
  <si>
    <t>Šeset</t>
  </si>
  <si>
    <t>Sedmset</t>
  </si>
  <si>
    <t>Osmset</t>
  </si>
  <si>
    <t>Devětset</t>
  </si>
  <si>
    <t>Deset</t>
  </si>
  <si>
    <t>Jedenáct</t>
  </si>
  <si>
    <t>Dvanáct</t>
  </si>
  <si>
    <t>Třináct</t>
  </si>
  <si>
    <t>Čtrnáct</t>
  </si>
  <si>
    <t>Patnáct</t>
  </si>
  <si>
    <t>Šestnáct</t>
  </si>
  <si>
    <t>Sedmnáct</t>
  </si>
  <si>
    <t>Osmnáct</t>
  </si>
  <si>
    <t>Devatenáct</t>
  </si>
  <si>
    <t>Třicet</t>
  </si>
  <si>
    <t>Čtyřicet</t>
  </si>
  <si>
    <t>Padesát</t>
  </si>
  <si>
    <t>Šedesát</t>
  </si>
  <si>
    <t>Sedmdesát</t>
  </si>
  <si>
    <t>Osmdesát</t>
  </si>
  <si>
    <t>Devadesát</t>
  </si>
  <si>
    <t>Jedna</t>
  </si>
  <si>
    <t>Tři</t>
  </si>
  <si>
    <t>Čtyři</t>
  </si>
  <si>
    <t>Pět</t>
  </si>
  <si>
    <t>Šest</t>
  </si>
  <si>
    <t>Sedm</t>
  </si>
  <si>
    <t>Osm</t>
  </si>
  <si>
    <t>Devět</t>
  </si>
  <si>
    <t>Jeden</t>
  </si>
  <si>
    <t>Dva</t>
  </si>
  <si>
    <t>slovně</t>
  </si>
  <si>
    <t>cifer</t>
  </si>
  <si>
    <t>Dvě</t>
  </si>
  <si>
    <t>2. desítky</t>
  </si>
  <si>
    <t xml:space="preserve"> - přidán list Pokladní doklad (pro tisk Příjmových i Výdajových dokladů - výběrem v buňce B2)</t>
  </si>
  <si>
    <t>5.A</t>
  </si>
  <si>
    <t>AB</t>
  </si>
  <si>
    <t>Doklad:</t>
  </si>
  <si>
    <t>Datum:</t>
  </si>
  <si>
    <t>Částka</t>
  </si>
  <si>
    <t>Text z deníku:</t>
  </si>
  <si>
    <t>Rozdíl příjmů a výdajů - zisk (ř. 8 - 14)</t>
  </si>
  <si>
    <t>9.2</t>
  </si>
  <si>
    <r>
      <t xml:space="preserve">Částečně </t>
    </r>
    <r>
      <rPr>
        <b/>
        <sz val="10"/>
        <rFont val="Arial CE"/>
        <charset val="238"/>
      </rPr>
      <t>opravena zaokrouhlovací chyba</t>
    </r>
    <r>
      <rPr>
        <sz val="10"/>
        <rFont val="Arial CE"/>
        <charset val="238"/>
      </rPr>
      <t xml:space="preserve"> - sloupec 5.B rozdělen na dva
(chyba se projevila jen pokud byla zadána dotace s částkou, která nebyla na celé koruny,
ale končila na 50 haléřů a více - no kdo toto vymyslel :)</t>
    </r>
  </si>
  <si>
    <r>
      <t xml:space="preserve">Přidána </t>
    </r>
    <r>
      <rPr>
        <b/>
        <sz val="10"/>
        <rFont val="Arial CE"/>
        <charset val="238"/>
      </rPr>
      <t xml:space="preserve">kontrola zaokrouhlovací chyby </t>
    </r>
    <r>
      <rPr>
        <sz val="10"/>
        <rFont val="Arial CE"/>
        <charset val="238"/>
      </rPr>
      <t>na list Přehled údajů k přiznání
(pokud je na bankovním účtu více transakcí končících na 50 haléřů a více
a zároveň jsou tyto částky v jiných kategoriích, v takovém případě se musí ručně upravit částky,
vzorový příklad je v tomto deníku nasimulován a jestli ho někdo vyřeší, tak mi napište :)</t>
    </r>
  </si>
  <si>
    <r>
      <t xml:space="preserve">Upraven list </t>
    </r>
    <r>
      <rPr>
        <b/>
        <sz val="10"/>
        <rFont val="Arial CE"/>
        <charset val="238"/>
      </rPr>
      <t>Pokladní doklad</t>
    </r>
    <r>
      <rPr>
        <sz val="10"/>
        <rFont val="Arial CE"/>
        <charset val="238"/>
      </rPr>
      <t xml:space="preserve"> - vyhledává dle čísla pokladního dokladu údaje z Deníku</t>
    </r>
  </si>
  <si>
    <r>
      <rPr>
        <b/>
        <sz val="10"/>
        <rFont val="Arial CE"/>
        <charset val="238"/>
      </rPr>
      <t>Verze Daňového přiznání za rok 2022</t>
    </r>
    <r>
      <rPr>
        <sz val="10"/>
        <rFont val="Arial CE"/>
        <charset val="238"/>
      </rPr>
      <t xml:space="preserve"> = vzor č.32 (pro hasiče nevýznamné změny)</t>
    </r>
  </si>
  <si>
    <r>
      <t>09 Zákonná povinnost sestavení účetní závěrky dle mezinárodních účetních standardů
     upravených právem Evropské unie</t>
    </r>
    <r>
      <rPr>
        <vertAlign val="superscript"/>
        <sz val="8"/>
        <rFont val="Arial CE"/>
        <family val="2"/>
        <charset val="238"/>
      </rPr>
      <t>1</t>
    </r>
    <r>
      <rPr>
        <sz val="8"/>
        <rFont val="Arial CE"/>
        <charset val="238"/>
      </rPr>
      <t>)</t>
    </r>
  </si>
  <si>
    <r>
      <t>11 Účetní závěrka sestavená daňovým subjektem</t>
    </r>
    <r>
      <rPr>
        <vertAlign val="superscript"/>
        <sz val="8"/>
        <rFont val="Arial CE"/>
        <charset val="238"/>
      </rPr>
      <t>11)</t>
    </r>
    <r>
      <rPr>
        <sz val="8"/>
        <rFont val="Arial CE"/>
        <charset val="238"/>
      </rPr>
      <t xml:space="preserve"> nebo přehledy o majetku a závazcích
     a o příjmech a výdajích, přiloženy</t>
    </r>
    <r>
      <rPr>
        <vertAlign val="superscript"/>
        <sz val="8"/>
        <rFont val="Arial CE"/>
        <family val="2"/>
        <charset val="238"/>
      </rPr>
      <t>1</t>
    </r>
    <r>
      <rPr>
        <sz val="8"/>
        <rFont val="Arial CE"/>
        <charset val="238"/>
      </rPr>
      <t>),</t>
    </r>
    <r>
      <rPr>
        <vertAlign val="superscript"/>
        <sz val="8"/>
        <rFont val="Arial CE"/>
        <family val="2"/>
        <charset val="238"/>
      </rPr>
      <t>7</t>
    </r>
    <r>
      <rPr>
        <sz val="8"/>
        <rFont val="Arial CE"/>
        <charset val="238"/>
      </rPr>
      <t>)</t>
    </r>
  </si>
  <si>
    <t>Rozdíl, o který odpisy hmotného a nehmotného majetku uplatněné v účetnictví
převyšují odpisy tohoto majetku stanovené podle § 26 až 33 zákona</t>
  </si>
  <si>
    <t>Příjmy a částky podle § 23 odst. 4 zákona, s výjimkou příjmů podle § 23
odst. 4. písm. a) a b) zákona, nezahrnované do základu daně</t>
  </si>
  <si>
    <t>Odpisy nehmotného majetku podle § 32a zákona,
ve znění účinném do 31. prosince 2020</t>
  </si>
  <si>
    <t>Zdaňovací období nebo období,
za které se podává daňové
přiznání, za které byla daňová
ztráta pravomocně stanovena
od - do</t>
  </si>
  <si>
    <t>Celková výše
daňové ztráty
pravomocně
stanovené
za období
uvedené ve sl. 1</t>
  </si>
  <si>
    <t xml:space="preserve"> odečtená
v daném
zdaňovacím
období</t>
  </si>
  <si>
    <t>kterou lze
odečíst</t>
  </si>
  <si>
    <t>Identifikační číslo ob-
chodní korporace, od
které je daňová ztráta
dle § 23a a § 23c
zákona převzata</t>
  </si>
  <si>
    <t>Celková výše nároku na od-
počet na podporu výzkumu
a vývoje vzniklá v období uvedeném ve sl. 1</t>
  </si>
  <si>
    <t>Celková výše nároku na odpočet na podporu odbor-
ného vzdělávání vzniklá
v období uvedeném ve sl. 1</t>
  </si>
  <si>
    <t xml:space="preserve"> odečtená v daném
období</t>
  </si>
  <si>
    <t>Snížení daně podle § 38fa odst. 10 zákona</t>
  </si>
  <si>
    <t>Uplatňovaný zápočet daně vybrané srážkou (§ 36 odst. 7 zákona)</t>
  </si>
  <si>
    <r>
      <t xml:space="preserve">7) Účetní závěrka nebo přehled o majetku a závazcích a přehled o příjmech a výdajích, jako příloha vyznačená pod položkou 11 v I. oddílu, je součástí daňového
přiznání (§ 72 odst. 1 zákona č. 280/2009 Sb., daňový řád, ve znění pozdějších předpisů). Pro účely elektronického podání daňového přiznání se </t>
    </r>
    <r>
      <rPr>
        <b/>
        <sz val="7"/>
        <rFont val="Arial CE"/>
        <charset val="238"/>
      </rPr>
      <t xml:space="preserve">Účetní
závěrkou </t>
    </r>
    <r>
      <rPr>
        <sz val="7"/>
        <rFont val="Arial CE"/>
        <charset val="238"/>
      </rPr>
      <t xml:space="preserve">rozumí elektronické přílohy </t>
    </r>
    <r>
      <rPr>
        <b/>
        <sz val="7"/>
        <rFont val="Arial CE"/>
        <charset val="238"/>
      </rPr>
      <t>Rozvahy a Výkaz zisku a ztráty</t>
    </r>
    <r>
      <rPr>
        <sz val="7"/>
        <rFont val="Arial CE"/>
        <charset val="238"/>
      </rPr>
      <t xml:space="preserve">, popřípadě </t>
    </r>
    <r>
      <rPr>
        <b/>
        <sz val="7"/>
        <rFont val="Arial CE"/>
        <charset val="238"/>
      </rPr>
      <t>Přehled o změnách vlastního kapitálu a Přehled o peněžních tocích</t>
    </r>
    <r>
      <rPr>
        <sz val="7"/>
        <rFont val="Arial CE"/>
        <charset val="238"/>
      </rPr>
      <t xml:space="preserve">,
které jsou součástí programového vybavení aplikace Elektronická podání pro finanční správu, a </t>
    </r>
    <r>
      <rPr>
        <b/>
        <sz val="7"/>
        <rFont val="Arial CE"/>
        <charset val="238"/>
      </rPr>
      <t>Opis Přílohy účetní závěrky</t>
    </r>
    <r>
      <rPr>
        <sz val="7"/>
        <rFont val="Arial CE"/>
        <charset val="238"/>
      </rPr>
      <t>, vkládaný s použitím E-přílohy
jako samostatný soubor ve formátu .doc, .docx, .txt, .xls, .xlsx, .rtf, .pdf nebo .jpg.</t>
    </r>
  </si>
  <si>
    <r>
      <t>Přehledy o majetku a závazcích a příjmech a výdajích a Účetní závěrky</t>
    </r>
    <r>
      <rPr>
        <sz val="7"/>
        <rFont val="Arial CE"/>
        <charset val="238"/>
      </rPr>
      <t xml:space="preserve">, pro které nejsou v programovém vybavení aplikace Elektronická podání
pro finanční správu k dispozici elektronické přílohy se závazně stanoveným uspořádáním údajů (se stanovenou strukturou), lze účinně elektronicky podat
prostřednictvím E-příloh, umožňujících vložení souboru ve formátu .doc, docx, .txt, .xls, .xlsx, .rtf, .pdf nebo .jpg. </t>
    </r>
  </si>
  <si>
    <t>9) Výpočet vykázané částky nebo uvedení dalších údajů k takto označenému řádku se provede na samostatné příloze. Tiskopisy samostatných příloh vydává Ministerstvo
financí. Pro účely elektronického podání daňového přiznání jsou elektronické verze těchto tiskopisů součástí programového vybavení aplikace Elektronická podání
pro finanční správu.</t>
  </si>
  <si>
    <t>11) § 21a odst. 1 ve spojení s § 18 odst. 4 zákona o účetnictví.</t>
  </si>
  <si>
    <t>&lt;?xml version="1.0" encoding="UTF-8" standalone="yes"?&gt;</t>
  </si>
  <si>
    <t>&lt;/DPPDP9&gt;</t>
  </si>
  <si>
    <t>&lt;/Pisemnost&gt;</t>
  </si>
  <si>
    <t>c_ufo</t>
  </si>
  <si>
    <t>Středočeský kraj</t>
  </si>
  <si>
    <t>Jihočeský kraj</t>
  </si>
  <si>
    <t>Plzeňský kraj</t>
  </si>
  <si>
    <t>Karlovarský kraj</t>
  </si>
  <si>
    <t>Ústecký kraj</t>
  </si>
  <si>
    <t>Liberecký kraj</t>
  </si>
  <si>
    <t>Královéhradecký kraj</t>
  </si>
  <si>
    <t>Kraj Vysočina</t>
  </si>
  <si>
    <t>Jihomoravský kraj</t>
  </si>
  <si>
    <t>Olomoucký kraj</t>
  </si>
  <si>
    <t>Moravskoslezský kraj</t>
  </si>
  <si>
    <t>Zlínský kraj</t>
  </si>
  <si>
    <t>Specializovaný</t>
  </si>
  <si>
    <t>453</t>
  </si>
  <si>
    <t>458</t>
  </si>
  <si>
    <t>459</t>
  </si>
  <si>
    <t>461</t>
  </si>
  <si>
    <t>457</t>
  </si>
  <si>
    <t>454</t>
  </si>
  <si>
    <t>452</t>
  </si>
  <si>
    <t>455</t>
  </si>
  <si>
    <t>463</t>
  </si>
  <si>
    <t>456</t>
  </si>
  <si>
    <t>13</t>
  </si>
  <si>
    <t>451</t>
  </si>
  <si>
    <t>Finanční úřad pro</t>
  </si>
  <si>
    <t>hlavní město Prahu</t>
  </si>
  <si>
    <t>460</t>
  </si>
  <si>
    <t>462</t>
  </si>
  <si>
    <t>464</t>
  </si>
  <si>
    <t xml:space="preserve">Číslo popisné: </t>
  </si>
  <si>
    <t>240</t>
  </si>
  <si>
    <t xml:space="preserve">Ulice/část obce: </t>
  </si>
  <si>
    <t>c_pracufo</t>
  </si>
  <si>
    <t>c_pufo</t>
  </si>
  <si>
    <t>2402</t>
  </si>
  <si>
    <t>3006</t>
  </si>
  <si>
    <t>3007</t>
  </si>
  <si>
    <t>3003</t>
  </si>
  <si>
    <t>3205</t>
  </si>
  <si>
    <t>3302</t>
  </si>
  <si>
    <t>2107</t>
  </si>
  <si>
    <t>2503</t>
  </si>
  <si>
    <t>2704</t>
  </si>
  <si>
    <t>3209</t>
  </si>
  <si>
    <t>3211</t>
  </si>
  <si>
    <t>2306</t>
  </si>
  <si>
    <t>2701</t>
  </si>
  <si>
    <t>2403</t>
  </si>
  <si>
    <t>3012</t>
  </si>
  <si>
    <t>2707</t>
  </si>
  <si>
    <t>2505</t>
  </si>
  <si>
    <t>2110</t>
  </si>
  <si>
    <t>3213</t>
  </si>
  <si>
    <t>2404</t>
  </si>
  <si>
    <t>3013</t>
  </si>
  <si>
    <t>2507</t>
  </si>
  <si>
    <t>2509</t>
  </si>
  <si>
    <t>3014</t>
  </si>
  <si>
    <t>2806</t>
  </si>
  <si>
    <t>2709</t>
  </si>
  <si>
    <t>2710</t>
  </si>
  <si>
    <t>2118</t>
  </si>
  <si>
    <t>3202</t>
  </si>
  <si>
    <t>3306</t>
  </si>
  <si>
    <t>2208</t>
  </si>
  <si>
    <t>2511</t>
  </si>
  <si>
    <t>2010</t>
  </si>
  <si>
    <t>2005</t>
  </si>
  <si>
    <t>2009</t>
  </si>
  <si>
    <t>2209</t>
  </si>
  <si>
    <t>2311</t>
  </si>
  <si>
    <t>2512</t>
  </si>
  <si>
    <t>2122</t>
  </si>
  <si>
    <t>3016</t>
  </si>
  <si>
    <t>2314</t>
  </si>
  <si>
    <t>3109</t>
  </si>
  <si>
    <t>2911</t>
  </si>
  <si>
    <t>2713</t>
  </si>
  <si>
    <t>2609</t>
  </si>
  <si>
    <t>2501</t>
  </si>
  <si>
    <t>2913</t>
  </si>
  <si>
    <t>2217</t>
  </si>
  <si>
    <t>2810</t>
  </si>
  <si>
    <t>3020</t>
  </si>
  <si>
    <t>2610</t>
  </si>
  <si>
    <t>2103</t>
  </si>
  <si>
    <t>2202</t>
  </si>
  <si>
    <t>2105</t>
  </si>
  <si>
    <t>3004</t>
  </si>
  <si>
    <t>3008</t>
  </si>
  <si>
    <t>2106</t>
  </si>
  <si>
    <t>2203</t>
  </si>
  <si>
    <t>2703</t>
  </si>
  <si>
    <t>3207</t>
  </si>
  <si>
    <t>3210</t>
  </si>
  <si>
    <t>3010</t>
  </si>
  <si>
    <t>2307</t>
  </si>
  <si>
    <t>3102</t>
  </si>
  <si>
    <t>2504</t>
  </si>
  <si>
    <t>2604</t>
  </si>
  <si>
    <t>2901</t>
  </si>
  <si>
    <t>2206</t>
  </si>
  <si>
    <t>2308</t>
  </si>
  <si>
    <t>2708</t>
  </si>
  <si>
    <t>3214</t>
  </si>
  <si>
    <t>2906</t>
  </si>
  <si>
    <t>2805</t>
  </si>
  <si>
    <t>3305</t>
  </si>
  <si>
    <t>2207</t>
  </si>
  <si>
    <t>2907</t>
  </si>
  <si>
    <t>2908</t>
  </si>
  <si>
    <t>2606</t>
  </si>
  <si>
    <t>3101</t>
  </si>
  <si>
    <t>3203</t>
  </si>
  <si>
    <t>2909</t>
  </si>
  <si>
    <t>2301</t>
  </si>
  <si>
    <t>2119</t>
  </si>
  <si>
    <t>2002</t>
  </si>
  <si>
    <t>2006</t>
  </si>
  <si>
    <t>2011</t>
  </si>
  <si>
    <t>3106</t>
  </si>
  <si>
    <t>2120</t>
  </si>
  <si>
    <t>3307</t>
  </si>
  <si>
    <t>2123</t>
  </si>
  <si>
    <t>2210</t>
  </si>
  <si>
    <t>2315</t>
  </si>
  <si>
    <t>2212</t>
  </si>
  <si>
    <t>2514</t>
  </si>
  <si>
    <t>2912</t>
  </si>
  <si>
    <t>2215</t>
  </si>
  <si>
    <t>2809</t>
  </si>
  <si>
    <t>3018</t>
  </si>
  <si>
    <t>2126</t>
  </si>
  <si>
    <t>3019</t>
  </si>
  <si>
    <t>2811</t>
  </si>
  <si>
    <t>2104</t>
  </si>
  <si>
    <t>2304</t>
  </si>
  <si>
    <t>3001</t>
  </si>
  <si>
    <t>3005</t>
  </si>
  <si>
    <t>3009</t>
  </si>
  <si>
    <t>2602</t>
  </si>
  <si>
    <t>3206</t>
  </si>
  <si>
    <t>2108</t>
  </si>
  <si>
    <t>2603</t>
  </si>
  <si>
    <t>2903</t>
  </si>
  <si>
    <t>3303</t>
  </si>
  <si>
    <t>2705</t>
  </si>
  <si>
    <t>2904</t>
  </si>
  <si>
    <t>2905</t>
  </si>
  <si>
    <t>2706</t>
  </si>
  <si>
    <t>2605</t>
  </si>
  <si>
    <t>2401</t>
  </si>
  <si>
    <t>2111</t>
  </si>
  <si>
    <t>2309</t>
  </si>
  <si>
    <t>3304</t>
  </si>
  <si>
    <t>2601</t>
  </si>
  <si>
    <t>3105</t>
  </si>
  <si>
    <t>2405</t>
  </si>
  <si>
    <t>2115</t>
  </si>
  <si>
    <t>3015</t>
  </si>
  <si>
    <t>2310</t>
  </si>
  <si>
    <t>2711</t>
  </si>
  <si>
    <t>3216</t>
  </si>
  <si>
    <t>3201</t>
  </si>
  <si>
    <t>2801</t>
  </si>
  <si>
    <t>2303</t>
  </si>
  <si>
    <t>2102</t>
  </si>
  <si>
    <t>2003</t>
  </si>
  <si>
    <t>2007</t>
  </si>
  <si>
    <t>2012</t>
  </si>
  <si>
    <t>2807</t>
  </si>
  <si>
    <t>2121</t>
  </si>
  <si>
    <t>2513</t>
  </si>
  <si>
    <t>2607</t>
  </si>
  <si>
    <t>2407</t>
  </si>
  <si>
    <t>2808</t>
  </si>
  <si>
    <t>2313</t>
  </si>
  <si>
    <t>3017</t>
  </si>
  <si>
    <t>2214</t>
  </si>
  <si>
    <t>3309</t>
  </si>
  <si>
    <t>3311</t>
  </si>
  <si>
    <t>2216</t>
  </si>
  <si>
    <t>2714</t>
  </si>
  <si>
    <t>3110</t>
  </si>
  <si>
    <t>2515</t>
  </si>
  <si>
    <t>2502</t>
  </si>
  <si>
    <t>3204</t>
  </si>
  <si>
    <t>3002</t>
  </si>
  <si>
    <t>2702</t>
  </si>
  <si>
    <t>2902</t>
  </si>
  <si>
    <t>2201</t>
  </si>
  <si>
    <t>2204</t>
  </si>
  <si>
    <t>2305</t>
  </si>
  <si>
    <t>3208</t>
  </si>
  <si>
    <t>2802</t>
  </si>
  <si>
    <t>2803</t>
  </si>
  <si>
    <t>2109</t>
  </si>
  <si>
    <t>3011</t>
  </si>
  <si>
    <t>2804</t>
  </si>
  <si>
    <t>3103</t>
  </si>
  <si>
    <t>2205</t>
  </si>
  <si>
    <t>3212</t>
  </si>
  <si>
    <t>3104</t>
  </si>
  <si>
    <t>2112</t>
  </si>
  <si>
    <t>2113</t>
  </si>
  <si>
    <t>2506</t>
  </si>
  <si>
    <t>2508</t>
  </si>
  <si>
    <t>2114</t>
  </si>
  <si>
    <t>2116</t>
  </si>
  <si>
    <t>2510</t>
  </si>
  <si>
    <t>2117</t>
  </si>
  <si>
    <t>3215</t>
  </si>
  <si>
    <t>3217</t>
  </si>
  <si>
    <t>2406</t>
  </si>
  <si>
    <t>2910</t>
  </si>
  <si>
    <t>2302</t>
  </si>
  <si>
    <t>2001</t>
  </si>
  <si>
    <t>2004</t>
  </si>
  <si>
    <t>2008</t>
  </si>
  <si>
    <t>2101</t>
  </si>
  <si>
    <t>3107</t>
  </si>
  <si>
    <t>2312</t>
  </si>
  <si>
    <t>2712</t>
  </si>
  <si>
    <t>2124</t>
  </si>
  <si>
    <t>2211</t>
  </si>
  <si>
    <t>3108</t>
  </si>
  <si>
    <t>2608</t>
  </si>
  <si>
    <t>2213</t>
  </si>
  <si>
    <t>3218</t>
  </si>
  <si>
    <t>3308</t>
  </si>
  <si>
    <t>3310</t>
  </si>
  <si>
    <t>2125</t>
  </si>
  <si>
    <t>3312</t>
  </si>
  <si>
    <t>3301</t>
  </si>
  <si>
    <t>2914</t>
  </si>
  <si>
    <t>123</t>
  </si>
  <si>
    <t>283</t>
  </si>
  <si>
    <t>284</t>
  </si>
  <si>
    <t>290</t>
  </si>
  <si>
    <t>358</t>
  </si>
  <si>
    <t>322</t>
  </si>
  <si>
    <t>35</t>
  </si>
  <si>
    <t>178</t>
  </si>
  <si>
    <t>268</t>
  </si>
  <si>
    <t>374</t>
  </si>
  <si>
    <t>385</t>
  </si>
  <si>
    <t>133</t>
  </si>
  <si>
    <t>228</t>
  </si>
  <si>
    <t>294</t>
  </si>
  <si>
    <t>238</t>
  </si>
  <si>
    <t>183</t>
  </si>
  <si>
    <t>30</t>
  </si>
  <si>
    <t>376</t>
  </si>
  <si>
    <t>155</t>
  </si>
  <si>
    <t>310</t>
  </si>
  <si>
    <t>196</t>
  </si>
  <si>
    <t>201</t>
  </si>
  <si>
    <t>298</t>
  </si>
  <si>
    <t>263</t>
  </si>
  <si>
    <t>243</t>
  </si>
  <si>
    <t>53</t>
  </si>
  <si>
    <t>389</t>
  </si>
  <si>
    <t>305</t>
  </si>
  <si>
    <t>97</t>
  </si>
  <si>
    <t>203</t>
  </si>
  <si>
    <t>5</t>
  </si>
  <si>
    <t>9</t>
  </si>
  <si>
    <t>101</t>
  </si>
  <si>
    <t>142</t>
  </si>
  <si>
    <t>198</t>
  </si>
  <si>
    <t>59</t>
  </si>
  <si>
    <t>341</t>
  </si>
  <si>
    <t>160</t>
  </si>
  <si>
    <t>398</t>
  </si>
  <si>
    <t>314</t>
  </si>
  <si>
    <t>260</t>
  </si>
  <si>
    <t>214</t>
  </si>
  <si>
    <t>353</t>
  </si>
  <si>
    <t>105</t>
  </si>
  <si>
    <t>274</t>
  </si>
  <si>
    <t>346</t>
  </si>
  <si>
    <t>187</t>
  </si>
  <si>
    <t>57</t>
  </si>
  <si>
    <t>291</t>
  </si>
  <si>
    <t>39</t>
  </si>
  <si>
    <t>82</t>
  </si>
  <si>
    <t>254</t>
  </si>
  <si>
    <t>362</t>
  </si>
  <si>
    <t>370</t>
  </si>
  <si>
    <t>309</t>
  </si>
  <si>
    <t>118</t>
  </si>
  <si>
    <t>394</t>
  </si>
  <si>
    <t>182</t>
  </si>
  <si>
    <t>253</t>
  </si>
  <si>
    <t>359</t>
  </si>
  <si>
    <t>223</t>
  </si>
  <si>
    <t>303</t>
  </si>
  <si>
    <t>98</t>
  </si>
  <si>
    <t>332</t>
  </si>
  <si>
    <t>330</t>
  </si>
  <si>
    <t>172</t>
  </si>
  <si>
    <t>379</t>
  </si>
  <si>
    <t>390</t>
  </si>
  <si>
    <t>91</t>
  </si>
  <si>
    <t>138</t>
  </si>
  <si>
    <t>55</t>
  </si>
  <si>
    <t>2</t>
  </si>
  <si>
    <t>11</t>
  </si>
  <si>
    <t>325</t>
  </si>
  <si>
    <t>63</t>
  </si>
  <si>
    <t>404</t>
  </si>
  <si>
    <t>66</t>
  </si>
  <si>
    <t>111</t>
  </si>
  <si>
    <t>110</t>
  </si>
  <si>
    <t>210</t>
  </si>
  <si>
    <t>79</t>
  </si>
  <si>
    <t>273</t>
  </si>
  <si>
    <t>311</t>
  </si>
  <si>
    <t>275</t>
  </si>
  <si>
    <t>26</t>
  </si>
  <si>
    <t>141</t>
  </si>
  <si>
    <t>288</t>
  </si>
  <si>
    <t>293</t>
  </si>
  <si>
    <t>367</t>
  </si>
  <si>
    <t>192</t>
  </si>
  <si>
    <t>92</t>
  </si>
  <si>
    <t>259</t>
  </si>
  <si>
    <t>128</t>
  </si>
  <si>
    <t>34</t>
  </si>
  <si>
    <t>145</t>
  </si>
  <si>
    <t>320</t>
  </si>
  <si>
    <t>381</t>
  </si>
  <si>
    <t>48</t>
  </si>
  <si>
    <t>384</t>
  </si>
  <si>
    <t>388</t>
  </si>
  <si>
    <t>248</t>
  </si>
  <si>
    <t>140</t>
  </si>
  <si>
    <t>60</t>
  </si>
  <si>
    <t>3</t>
  </si>
  <si>
    <t>7</t>
  </si>
  <si>
    <t>12</t>
  </si>
  <si>
    <t>69</t>
  </si>
  <si>
    <t>179</t>
  </si>
  <si>
    <t>258</t>
  </si>
  <si>
    <t>295</t>
  </si>
  <si>
    <t>88</t>
  </si>
  <si>
    <t>336</t>
  </si>
  <si>
    <t>403</t>
  </si>
  <si>
    <t>102</t>
  </si>
  <si>
    <t>270</t>
  </si>
  <si>
    <t>400</t>
  </si>
  <si>
    <t>289</t>
  </si>
  <si>
    <t>351</t>
  </si>
  <si>
    <t>77</t>
  </si>
  <si>
    <t>86</t>
  </si>
  <si>
    <t>233</t>
  </si>
  <si>
    <t>27</t>
  </si>
  <si>
    <t>299</t>
  </si>
  <si>
    <t>399</t>
  </si>
  <si>
    <t>44</t>
  </si>
  <si>
    <t>38</t>
  </si>
  <si>
    <t>207</t>
  </si>
  <si>
    <t>43</t>
  </si>
  <si>
    <t>50</t>
  </si>
  <si>
    <t>206</t>
  </si>
  <si>
    <t>45</t>
  </si>
  <si>
    <t>1</t>
  </si>
  <si>
    <t>4</t>
  </si>
  <si>
    <t>8</t>
  </si>
  <si>
    <t>393</t>
  </si>
  <si>
    <t>150</t>
  </si>
  <si>
    <t>31</t>
  </si>
  <si>
    <t>364</t>
  </si>
  <si>
    <t>338</t>
  </si>
  <si>
    <t>405</t>
  </si>
  <si>
    <t>Aši</t>
  </si>
  <si>
    <t>Blansku</t>
  </si>
  <si>
    <t>Boskovicích</t>
  </si>
  <si>
    <t>Brno III</t>
  </si>
  <si>
    <t>Bruntále</t>
  </si>
  <si>
    <t>Bystřici pod Hostýnem</t>
  </si>
  <si>
    <t>Českém Brodě</t>
  </si>
  <si>
    <t>Děčíně</t>
  </si>
  <si>
    <t>Dvoře Králové nad Labem</t>
  </si>
  <si>
    <t>Fulneku</t>
  </si>
  <si>
    <t>Hlučíně</t>
  </si>
  <si>
    <t>Horažďovicích</t>
  </si>
  <si>
    <t>Hradci Králové</t>
  </si>
  <si>
    <t>Chebu</t>
  </si>
  <si>
    <t>Ivančicích</t>
  </si>
  <si>
    <t>Jičíně</t>
  </si>
  <si>
    <t>Kadani</t>
  </si>
  <si>
    <t>Kladně</t>
  </si>
  <si>
    <t>Kopřivnici</t>
  </si>
  <si>
    <t>Kraslicích</t>
  </si>
  <si>
    <t>Kyjově</t>
  </si>
  <si>
    <t>Litoměřicích</t>
  </si>
  <si>
    <t>Lounech</t>
  </si>
  <si>
    <t>Mikulově</t>
  </si>
  <si>
    <t>Moravské Třebové</t>
  </si>
  <si>
    <t>Náchodě</t>
  </si>
  <si>
    <t>Nové Pace</t>
  </si>
  <si>
    <t>Nymburku</t>
  </si>
  <si>
    <t>Ostrava II</t>
  </si>
  <si>
    <t>Otrokovicích</t>
  </si>
  <si>
    <t>Písku</t>
  </si>
  <si>
    <t>Podbořanech</t>
  </si>
  <si>
    <t>Prahu 10</t>
  </si>
  <si>
    <t>Prahu 5</t>
  </si>
  <si>
    <t>Prahu 9</t>
  </si>
  <si>
    <t>Prachaticích</t>
  </si>
  <si>
    <t>Přešticích</t>
  </si>
  <si>
    <t>Roudnici nad Labem</t>
  </si>
  <si>
    <t>Říčanech</t>
  </si>
  <si>
    <t>Slavkově u Brna</t>
  </si>
  <si>
    <t>Stříbře</t>
  </si>
  <si>
    <t>Šumperku</t>
  </si>
  <si>
    <t>Telči</t>
  </si>
  <si>
    <t>Trutnově</t>
  </si>
  <si>
    <t>Turnově</t>
  </si>
  <si>
    <t>Ústí nad Labem</t>
  </si>
  <si>
    <t>Velkém Meziříčí</t>
  </si>
  <si>
    <t>Vodňanech</t>
  </si>
  <si>
    <t>Vysokém Mýtě</t>
  </si>
  <si>
    <t>Znojmě</t>
  </si>
  <si>
    <t>Železném Brodě</t>
  </si>
  <si>
    <t>Benešově</t>
  </si>
  <si>
    <t>Blatné</t>
  </si>
  <si>
    <t>Brandýse n.L.-Staré Bol.</t>
  </si>
  <si>
    <t>Brno IV</t>
  </si>
  <si>
    <t>Břeclavi</t>
  </si>
  <si>
    <t>Čáslavi</t>
  </si>
  <si>
    <t>Českém Krumlově</t>
  </si>
  <si>
    <t>Dobrušce</t>
  </si>
  <si>
    <t>Frýdku-Místku</t>
  </si>
  <si>
    <t>Havířově</t>
  </si>
  <si>
    <t>Hodoníně</t>
  </si>
  <si>
    <t>Horšovském Týně</t>
  </si>
  <si>
    <t>Hranicích</t>
  </si>
  <si>
    <t>Chomutově</t>
  </si>
  <si>
    <t>Jablonci nad Nisou</t>
  </si>
  <si>
    <t>Jihlavě</t>
  </si>
  <si>
    <t>Kaplici</t>
  </si>
  <si>
    <t>Klatovech</t>
  </si>
  <si>
    <t>Kostelci nad Orlicí</t>
  </si>
  <si>
    <t>Krnově</t>
  </si>
  <si>
    <t>Ledči nad Sázavou</t>
  </si>
  <si>
    <t>Luhačovicích</t>
  </si>
  <si>
    <t>Milevsku</t>
  </si>
  <si>
    <t>Moravských Budějovicích</t>
  </si>
  <si>
    <t>Náměšti nad Oslavou</t>
  </si>
  <si>
    <t>Novém Boru</t>
  </si>
  <si>
    <t>Olomouci</t>
  </si>
  <si>
    <t>Ostrava III</t>
  </si>
  <si>
    <t>Pacově</t>
  </si>
  <si>
    <t>Plzni</t>
  </si>
  <si>
    <t>Poděbradech</t>
  </si>
  <si>
    <t>Prahu 2</t>
  </si>
  <si>
    <t>Prahu 6</t>
  </si>
  <si>
    <t>Prahu - Jižní Město</t>
  </si>
  <si>
    <t>Prostějově</t>
  </si>
  <si>
    <t>Příbrami</t>
  </si>
  <si>
    <t>Rožnově pod Radhoštěm</t>
  </si>
  <si>
    <t>Sedlčanech</t>
  </si>
  <si>
    <t>Soběslavi</t>
  </si>
  <si>
    <t>Sušici</t>
  </si>
  <si>
    <t>Táboře</t>
  </si>
  <si>
    <t>Teplicích</t>
  </si>
  <si>
    <t>Třebíči</t>
  </si>
  <si>
    <t>Týně nad Vltavou</t>
  </si>
  <si>
    <t>Ústí nad Orlicí</t>
  </si>
  <si>
    <t>Veselí nad Moravou</t>
  </si>
  <si>
    <t>Voticích</t>
  </si>
  <si>
    <t>Vyškově</t>
  </si>
  <si>
    <t>Žamberku</t>
  </si>
  <si>
    <t>Berouně</t>
  </si>
  <si>
    <t>Blovicích</t>
  </si>
  <si>
    <t>Brno I</t>
  </si>
  <si>
    <t>Brno-venkov</t>
  </si>
  <si>
    <t>Bučovicích</t>
  </si>
  <si>
    <t>České Lípě</t>
  </si>
  <si>
    <t>Českém Těšíně</t>
  </si>
  <si>
    <t>Dobříši</t>
  </si>
  <si>
    <t>Frýdlantě</t>
  </si>
  <si>
    <t>Havlíčkově Brodě</t>
  </si>
  <si>
    <t>Holešově</t>
  </si>
  <si>
    <t>Hořicích</t>
  </si>
  <si>
    <t>Humpolci</t>
  </si>
  <si>
    <t>Chotěboři</t>
  </si>
  <si>
    <t>Jaroměři</t>
  </si>
  <si>
    <t>Jilemnici</t>
  </si>
  <si>
    <t>Karlových Varech</t>
  </si>
  <si>
    <t>Kolíně</t>
  </si>
  <si>
    <t>Kralovicích</t>
  </si>
  <si>
    <t>Kroměříži</t>
  </si>
  <si>
    <t>Liberci</t>
  </si>
  <si>
    <t>Litovli</t>
  </si>
  <si>
    <t>Mariánských Lázních</t>
  </si>
  <si>
    <t>Mladé Boleslavi</t>
  </si>
  <si>
    <t>Moravském Krumlově</t>
  </si>
  <si>
    <t>Nepomuku</t>
  </si>
  <si>
    <t>Novém Bydžově</t>
  </si>
  <si>
    <t>Opavě</t>
  </si>
  <si>
    <t>Ostrava I</t>
  </si>
  <si>
    <t>Pardubicích</t>
  </si>
  <si>
    <t>Plzeň-jih</t>
  </si>
  <si>
    <t>Praha-západ</t>
  </si>
  <si>
    <t>Prahu 3</t>
  </si>
  <si>
    <t>Prahu 7</t>
  </si>
  <si>
    <t>Praze - Modřanech</t>
  </si>
  <si>
    <t>Přelouči</t>
  </si>
  <si>
    <t>Rakovníku</t>
  </si>
  <si>
    <t>Rumburku</t>
  </si>
  <si>
    <t>Semilech</t>
  </si>
  <si>
    <t>Sokolově</t>
  </si>
  <si>
    <t>Svitavách</t>
  </si>
  <si>
    <t>Tachově</t>
  </si>
  <si>
    <t>Tišnově</t>
  </si>
  <si>
    <t>Třeboni</t>
  </si>
  <si>
    <t>Uherském Hradišti</t>
  </si>
  <si>
    <t>Valašských Kloboukách</t>
  </si>
  <si>
    <t>Vimperku</t>
  </si>
  <si>
    <t>Vrchlabí</t>
  </si>
  <si>
    <t>Zábřehu</t>
  </si>
  <si>
    <t>Žatci</t>
  </si>
  <si>
    <t>Bílině</t>
  </si>
  <si>
    <t>Bohumíně</t>
  </si>
  <si>
    <t>Brno II</t>
  </si>
  <si>
    <t>Broumově</t>
  </si>
  <si>
    <t>Bystřici nad Pernštejnem</t>
  </si>
  <si>
    <t>Českých Budějovicích</t>
  </si>
  <si>
    <t>Dačicích</t>
  </si>
  <si>
    <t>Domažlicích</t>
  </si>
  <si>
    <t>Frýdlantě nad Ostravicí</t>
  </si>
  <si>
    <t>Hlinsku</t>
  </si>
  <si>
    <t>Holicích</t>
  </si>
  <si>
    <t>Hořovicích</t>
  </si>
  <si>
    <t>Hustopečích</t>
  </si>
  <si>
    <t>Chrudimi</t>
  </si>
  <si>
    <t>Jeseníku</t>
  </si>
  <si>
    <t>Jindřichově Hradci</t>
  </si>
  <si>
    <t>Karviné</t>
  </si>
  <si>
    <t>Konici</t>
  </si>
  <si>
    <t>Kralupech nad Vltavou</t>
  </si>
  <si>
    <t>Kutné Hoře</t>
  </si>
  <si>
    <t>Libochovicích</t>
  </si>
  <si>
    <t>Litvínově</t>
  </si>
  <si>
    <t>Mělníce</t>
  </si>
  <si>
    <t>Mnichově Hradišti</t>
  </si>
  <si>
    <t>Mostě</t>
  </si>
  <si>
    <t>Neratovicích</t>
  </si>
  <si>
    <t>Novém Jičíně</t>
  </si>
  <si>
    <t>Orlové</t>
  </si>
  <si>
    <t>Ostrově</t>
  </si>
  <si>
    <t>Pelhřimově</t>
  </si>
  <si>
    <t>Plzeň-sever</t>
  </si>
  <si>
    <t>Prahu 1</t>
  </si>
  <si>
    <t>Prahu 4</t>
  </si>
  <si>
    <t>Prahu 8</t>
  </si>
  <si>
    <t>Praha-východ</t>
  </si>
  <si>
    <t>Přerově</t>
  </si>
  <si>
    <t>Rokycanech</t>
  </si>
  <si>
    <t>Rychnově nad Kněžnou</t>
  </si>
  <si>
    <t>Slaném</t>
  </si>
  <si>
    <t>Strakonicích</t>
  </si>
  <si>
    <t>Šternberku</t>
  </si>
  <si>
    <t>Tanvaldě</t>
  </si>
  <si>
    <t>Trhových Svinech</t>
  </si>
  <si>
    <t>Třinci</t>
  </si>
  <si>
    <t>Uherském Brodě</t>
  </si>
  <si>
    <t>Valašském Meziříčí</t>
  </si>
  <si>
    <t>Vlašimi</t>
  </si>
  <si>
    <t>Vsetíně</t>
  </si>
  <si>
    <t>Zlíně</t>
  </si>
  <si>
    <t>Žďáru nad Sázavou</t>
  </si>
  <si>
    <r>
      <t>dle čísleníku MF "</t>
    </r>
    <r>
      <rPr>
        <b/>
        <sz val="10"/>
        <rFont val="Arial CE"/>
        <charset val="238"/>
      </rPr>
      <t>ufo</t>
    </r>
    <r>
      <rPr>
        <sz val="10"/>
        <rFont val="Arial CE"/>
        <charset val="238"/>
      </rPr>
      <t>" verze 42.20.00630</t>
    </r>
  </si>
  <si>
    <r>
      <t>dle čísleníku MF "</t>
    </r>
    <r>
      <rPr>
        <b/>
        <sz val="10"/>
        <rFont val="Arial CE"/>
        <charset val="238"/>
      </rPr>
      <t>pracufo</t>
    </r>
    <r>
      <rPr>
        <sz val="10"/>
        <rFont val="Arial CE"/>
        <charset val="238"/>
      </rPr>
      <t>" verze 42.20.00163</t>
    </r>
  </si>
  <si>
    <t>Název pracoviště (v, pro)</t>
  </si>
  <si>
    <t xml:space="preserve">Typ poplatníka: </t>
  </si>
  <si>
    <t xml:space="preserve">Typ danového přiznání: </t>
  </si>
  <si>
    <t>A</t>
  </si>
  <si>
    <t>10000</t>
  </si>
  <si>
    <t>ROSTLINNÁ A ŽIVOČIŠNÁ VÝROBA, MYSLIVOST A SOUVISEJÍCÍ ČINNOSTI</t>
  </si>
  <si>
    <t>11900</t>
  </si>
  <si>
    <t>PĚSTOVÁNÍ OSTATNÍCH PLODIN JINÝCH NEŽ TRVALÝCH</t>
  </si>
  <si>
    <t>12700</t>
  </si>
  <si>
    <t>PĚSTOVÁNÍ ROSTLIN PRO VÝROBU NÁPOJŮ</t>
  </si>
  <si>
    <t>14400</t>
  </si>
  <si>
    <t>CHOV VELBLOUDŮ A VELBLOUDOVITÝCH</t>
  </si>
  <si>
    <t>14990</t>
  </si>
  <si>
    <t>CHOV OSTATNÍCH ZVÍŘAT J. N.</t>
  </si>
  <si>
    <t>20000</t>
  </si>
  <si>
    <t>LESNICTVÍ A TĚŽBA DŘEVA</t>
  </si>
  <si>
    <t>31200</t>
  </si>
  <si>
    <t>SLADKOVODNÍ RYBOLOV</t>
  </si>
  <si>
    <t>52000</t>
  </si>
  <si>
    <t>TĚŽBA A ÚPRAVA HNĚDÉHO UHLÍ</t>
  </si>
  <si>
    <t>70000</t>
  </si>
  <si>
    <t>TĚŽBA A ÚPRAVA RUD</t>
  </si>
  <si>
    <t>72900</t>
  </si>
  <si>
    <t>TĚŽBA A ÚPRAVA OSTATNÍCH NEŽELEZNÝCH RUD</t>
  </si>
  <si>
    <t>89100</t>
  </si>
  <si>
    <t>TĚŽBA CHEMICKÝCH MINERÁLŮ A MINERÁLŮ PRO VÝROBU HNOJIV</t>
  </si>
  <si>
    <t>101000</t>
  </si>
  <si>
    <t>ZPRACOVÁNÍ A KONZERVOVÁNÍ MASA A VÝROBA MASNÝCH VÝROBKŮ</t>
  </si>
  <si>
    <t>103900</t>
  </si>
  <si>
    <t>OSTATNÍ ZPRACOVÁNÍ A KONZERVOVÁNÍ OVOCE A ZELENINY</t>
  </si>
  <si>
    <t>106100</t>
  </si>
  <si>
    <t>VÝROBA MLÝNSKÝCH VÝROBKŮ</t>
  </si>
  <si>
    <t>108200</t>
  </si>
  <si>
    <t>VÝROBA KAKAA, ČOKOLÁDY A CUKROVINEK</t>
  </si>
  <si>
    <t>109200</t>
  </si>
  <si>
    <t>VÝROBA PRŮMYSLOVÝCH KRMIV PRO ZVÍŘATA V ZÁJMOVÉM CHOVU</t>
  </si>
  <si>
    <t>110700</t>
  </si>
  <si>
    <t>VÝROBA NEALKOHOLICKÝCH NÁPOJŮ; STÁČENÍ MINERÁLNÍCH A OSTATNÍCH VOD DO LAHVÍ</t>
  </si>
  <si>
    <t>139200</t>
  </si>
  <si>
    <t>VÝROBA KONFEKČNÍCH TEXTILNÍCH VÝROBKŮ, KROMĚ ODĚVŮ</t>
  </si>
  <si>
    <t>141100</t>
  </si>
  <si>
    <t>VÝROBA KOŽENÝCH ODĚVŮ</t>
  </si>
  <si>
    <t>143900</t>
  </si>
  <si>
    <t>VÝROBA OSTATNÍCH PLETENÝCH A HÁČKOVANÝCH ODĚVŮ</t>
  </si>
  <si>
    <t>160000</t>
  </si>
  <si>
    <t>ZPRACOVÁNÍ DŘEVA, VÝROBA DŘEVĚNÝCH, KORKOVÝCH, PROUTĚNÝCH A SLAMĚNÝCH VÝROBKŮ, KROMĚ NÁBYTKU</t>
  </si>
  <si>
    <t>170000</t>
  </si>
  <si>
    <t>VÝROBA PAPÍRU A VÝROBKŮ Z PAPÍRU</t>
  </si>
  <si>
    <t>172100</t>
  </si>
  <si>
    <t>VÝROBA VLNITÉHO PAPÍRU A LEPENKY, PAPÍROVÝCH A LEPENKOVÝCH OBALŮ</t>
  </si>
  <si>
    <t>181200</t>
  </si>
  <si>
    <t>TISK OSTATNÍ, KROMĚ NOVIN</t>
  </si>
  <si>
    <t>201000</t>
  </si>
  <si>
    <t>VÝROBA ZÁKLADNÍCH CHEMICKÝCH LÁTEK, HNOJIV A DUSÍKATÝCH SLOUČENIN, PLASTŮ A SYNTETICKÉHO KAUČUKU V PRIMÁRNÍCH FORMÁCH</t>
  </si>
  <si>
    <t>201600</t>
  </si>
  <si>
    <t>VÝROBA PLASTŮ V PRIMÁRNÍCH FORMÁCH</t>
  </si>
  <si>
    <t>205100</t>
  </si>
  <si>
    <t>VÝROBA VÝBUŠNIN</t>
  </si>
  <si>
    <t>211000</t>
  </si>
  <si>
    <t>VÝROBA ZÁKLADNÍCH FARMACEUTICKÝCH VÝROBKŮ</t>
  </si>
  <si>
    <t>257000</t>
  </si>
  <si>
    <t>VÝROBA NOŽÍŘSKÝCH VÝROBKŮ, NÁSTROJŮ A ŽELEZÁŘSKÝCH VÝROBKŮ</t>
  </si>
  <si>
    <t>259400</t>
  </si>
  <si>
    <t>VÝROBA SPOJOVACÍCH MATERIÁLŮ A SPOJOVACÍCH VÝROBKŮ SE ZÁVITY</t>
  </si>
  <si>
    <t>264000</t>
  </si>
  <si>
    <t>VÝROBA SPOTŘEBNÍ ELEKTRONIKY</t>
  </si>
  <si>
    <t>271000</t>
  </si>
  <si>
    <t>VÝROBA ELEKTRICKÝCH MOTORŮ, GENERÁTORŮ, TRANSFORMÁTORŮ A ELEKTRICKÝCH ROZVODNÝCH A KONTROLNÍCH ZAŘÍZENÍ</t>
  </si>
  <si>
    <t>274000</t>
  </si>
  <si>
    <t>VÝROBA ELEKTRICKÝCH OSVĚTLOVACÍCH ZAŘÍZENÍ</t>
  </si>
  <si>
    <t>281200</t>
  </si>
  <si>
    <t>VÝROBA HYDRAULICKÝCH A PNEUMATICKÝCH ZAŘÍZENÍ</t>
  </si>
  <si>
    <t>282400</t>
  </si>
  <si>
    <t>VÝROBA RUČNÍCH MECHANIZOVANÝCH NÁSTROJŮ</t>
  </si>
  <si>
    <t>289100</t>
  </si>
  <si>
    <t>VÝROBA STROJŮ PRO METALURGII</t>
  </si>
  <si>
    <t>291000</t>
  </si>
  <si>
    <t>VÝROBA MOTOROVÝCH VOZIDEL A JEJICH MOTORŮ</t>
  </si>
  <si>
    <t>301200</t>
  </si>
  <si>
    <t>STAVBA REKREAČNÍCH A SPORTOVNÍCH ČLUNŮ</t>
  </si>
  <si>
    <t>310000</t>
  </si>
  <si>
    <t>VÝROBA NÁBYTKU</t>
  </si>
  <si>
    <t>321200</t>
  </si>
  <si>
    <t>VÝROBA KLENOTŮ A PŘÍBUZNÝCH VÝROBKŮ</t>
  </si>
  <si>
    <t>329900</t>
  </si>
  <si>
    <t>OSTATNÍ ZPRACOVATELSKÝ PRŮMYSL J. N.</t>
  </si>
  <si>
    <t>331600</t>
  </si>
  <si>
    <t>OPRAVY A ÚDRŽBA LETADEL A KOSMICKÝCH LODÍ</t>
  </si>
  <si>
    <t>351100</t>
  </si>
  <si>
    <t>VÝROBA ELEKTŘINY</t>
  </si>
  <si>
    <t>353000</t>
  </si>
  <si>
    <t>VÝROBA A ROZVOD TEPLA A KLIMATIZOVANÉHO VZDUCHU, VÝROBA LEDU</t>
  </si>
  <si>
    <t>360000</t>
  </si>
  <si>
    <t>SHROMAŽĎOVÁNÍ, ÚPRAVA A ROZVOD VODY</t>
  </si>
  <si>
    <t>382200</t>
  </si>
  <si>
    <t>ODSTRAŇOVÁNÍ NEBEZPEČNÝCH ODPADŮ</t>
  </si>
  <si>
    <t>412010</t>
  </si>
  <si>
    <t>VÝSTAVBA BYTOVÝCH BUDOV</t>
  </si>
  <si>
    <t>422100</t>
  </si>
  <si>
    <t>VÝSTAVBA INŽENÝRSKÝCH SÍTÍ PRO KAPALINY A PLYNY</t>
  </si>
  <si>
    <t>431000</t>
  </si>
  <si>
    <t>DEMOLICE A PŘÍPRAVA STAVENIŠTĚ</t>
  </si>
  <si>
    <t>433000</t>
  </si>
  <si>
    <t>KOMPLETAČNÍ A DOKONČOVACÍ PRÁCE</t>
  </si>
  <si>
    <t>439000</t>
  </si>
  <si>
    <t>OSTATNÍ SPECIALIZOVANÉ STAVEBNÍ ČINNOSTI</t>
  </si>
  <si>
    <t>451900</t>
  </si>
  <si>
    <t>OBCHOD S OSTATNÍMI MOTOROVÝMI VOZIDLY, KROMĚ MOTOCYKLŮ</t>
  </si>
  <si>
    <t>461100</t>
  </si>
  <si>
    <t>ZPROSTŘEDKOVÁNÍ VELKOOBCHODU A VELKOOBCHOD V ZASTOUPENÍ SE ZÁKLADNÍMI ZEMĚDĚLSKÝMI PRODUKTY, ŽIVÝMI ZVÍŘATY, TEXTILNÍMI SUROVINAMI A POLOTOVARY</t>
  </si>
  <si>
    <t>461810</t>
  </si>
  <si>
    <t>ZPROSTŘEDKOVÁNÍ VELKOOBCHODU A VELKOOBCHOD V ZASTOUPENÍ S PAPÍRENSKÝMI VÝROBKY</t>
  </si>
  <si>
    <t>463000</t>
  </si>
  <si>
    <t>VELKOOBCHOD S POTRAVINAMI, NÁPOJI A TABÁKOVÝMI VÝROBKY</t>
  </si>
  <si>
    <t>463800</t>
  </si>
  <si>
    <t>SPECIALIZOVANÝ VELKOOBCHOD S JINÝMI POTRAVINAMI, VČETNĚ RYB, KORÝŠŮ A MĚKKÝŠŮ</t>
  </si>
  <si>
    <t>464400</t>
  </si>
  <si>
    <t>VELKOOBCHOD S PORCELÁNOVÝMI, KERAMICKÝMI A SKLENĚNÝMI VÝROBKY A ČISTICÍMI PROSTŘEDKY</t>
  </si>
  <si>
    <t>465000</t>
  </si>
  <si>
    <t>VELKOOBCHOD S POČÍTAČOVÝM A KOMUNIKAČNÍM ZAŘÍZENÍM</t>
  </si>
  <si>
    <t>466500</t>
  </si>
  <si>
    <t>VELKOOBCHOD S KANCELÁŘSKÝM NÁBYTKEM</t>
  </si>
  <si>
    <t>467200</t>
  </si>
  <si>
    <t>VELKOOBCHOD S RUDAMI, KOVY A HUTNÍMI VÝROBKY</t>
  </si>
  <si>
    <t>469000</t>
  </si>
  <si>
    <t>NESPECIALIZOVANÝ VELKOOBCHOD</t>
  </si>
  <si>
    <t>472300</t>
  </si>
  <si>
    <t>MALOOBCHOD S RYBAMI, KORÝŠI A MĚKKÝŠI</t>
  </si>
  <si>
    <t>474200</t>
  </si>
  <si>
    <t>MALOOBCHOD S TELEKOMUNIKAČNÍM ZAŘÍZENÍM</t>
  </si>
  <si>
    <t>476000</t>
  </si>
  <si>
    <t>MALOOBCHOD S VÝROBKY PRO KULTURNÍ ROZHLED A REKREACI VE SPECIALIZOVANÝCH PRODEJNÁCH</t>
  </si>
  <si>
    <t>477200</t>
  </si>
  <si>
    <t>MALOOBCHOD S OBUVÍ A KOŽENÝMI VÝROBKY</t>
  </si>
  <si>
    <t>477820</t>
  </si>
  <si>
    <t>MALOOBCHOD S PEVNÝMI PALIVY</t>
  </si>
  <si>
    <t>478900</t>
  </si>
  <si>
    <t>MALOOBCHOD S OSTATNÍM ZBOŽÍM VE STÁNCÍCH A NA TRZÍCH</t>
  </si>
  <si>
    <t>492000</t>
  </si>
  <si>
    <t>ŽELEZNIČNÍ NÁKLADNÍ DOPRAVA</t>
  </si>
  <si>
    <t>493990</t>
  </si>
  <si>
    <t>JINÁ POZEMNÍ OSOBNÍ DOPRAVA J. N.</t>
  </si>
  <si>
    <t>500000</t>
  </si>
  <si>
    <t>VODNÍ DOPRAVA</t>
  </si>
  <si>
    <t>511020</t>
  </si>
  <si>
    <t>VNITROSTÁTNÍ NEPRAVIDELNÁ LETECKÁ OSOBNÍ DOPRAVA</t>
  </si>
  <si>
    <t>521000</t>
  </si>
  <si>
    <t>SKLADOVÁNÍ</t>
  </si>
  <si>
    <t>531000</t>
  </si>
  <si>
    <t>ZÁKLADNÍ POŠTOVNÍ SLUŽBY POSKYTOVANÉ NA ZÁKLADĚ POŠTOVNÍ LICENCE</t>
  </si>
  <si>
    <t>553000</t>
  </si>
  <si>
    <t>KEMPY A TÁBOŘIŠTĚ</t>
  </si>
  <si>
    <t>562100</t>
  </si>
  <si>
    <t>POSKYTOVÁNÍ CATERINGOVÝCH SLUŽEB</t>
  </si>
  <si>
    <t>581100</t>
  </si>
  <si>
    <t>VYDÁVÁNÍ KNIH</t>
  </si>
  <si>
    <t>590000</t>
  </si>
  <si>
    <t>ČINNOSTI V OBLASTI FILMŮ, VIDEOZÁZNAMŮ A TELEVIZNÍCH PROGRAMŮ, POŘIZOVÁNÍ ZVUKOVÝCH NAHRÁVEK A HUDEBNÍ VYDAVATELSKÉ ČINNOSTI</t>
  </si>
  <si>
    <t>601000</t>
  </si>
  <si>
    <t>ROZHLASOVÉ VYSÍLÁNÍ</t>
  </si>
  <si>
    <t>611090</t>
  </si>
  <si>
    <t>OSTATNÍ ČINNOSTI SOUVISEJÍCÍ S PEVNOU TELEKOMUNIKAČNÍ SÍTÍ</t>
  </si>
  <si>
    <t>619000</t>
  </si>
  <si>
    <t>OSTATNÍ TELEKOMUNIKAČNÍ ČINNOSTI</t>
  </si>
  <si>
    <t>631100</t>
  </si>
  <si>
    <t>ČINNOSTI SOUVISEJÍCÍ SE ZPRACOVÁNÍM DAT A HOSTINGEM</t>
  </si>
  <si>
    <t>641900</t>
  </si>
  <si>
    <t>OSTATNÍ PENĚŽNÍ ZPROSTŘEDKOVÁNÍ</t>
  </si>
  <si>
    <t>649230</t>
  </si>
  <si>
    <t>ČINNOSTI ZASTAVÁREN</t>
  </si>
  <si>
    <t>651100</t>
  </si>
  <si>
    <t>ŽIVOTNÍ POJIŠTĚNÍ</t>
  </si>
  <si>
    <t>661900</t>
  </si>
  <si>
    <t>OSTATNÍ POMOCNÉ ČINNOSTI SOUVISEJÍCÍ S FINANČNÍM ZPROSTŘEDKOVÁNÍM</t>
  </si>
  <si>
    <t>682000</t>
  </si>
  <si>
    <t>PRONÁJEM A SPRÁVA VLASTNÍCH NEBO PRONAJATÝCH NEMOVITOSTÍ</t>
  </si>
  <si>
    <t>690000</t>
  </si>
  <si>
    <t>PRÁVNÍ A ÚČETNICKÉ ČINNOSTI</t>
  </si>
  <si>
    <t>710000</t>
  </si>
  <si>
    <t>ARCHITEKTONICKÉ A INŽENÝRSKÉ ČINNOSTI; TECHNICKÉ ZKOUŠKY A ANALÝZY</t>
  </si>
  <si>
    <t>712000</t>
  </si>
  <si>
    <t>TECHNICKÉ ZKOUŠKY A ANALÝZY</t>
  </si>
  <si>
    <t>721920</t>
  </si>
  <si>
    <t>VÝZKUM A VÝVOJ V OBLASTI TECHNICKÝCH VĚD</t>
  </si>
  <si>
    <t>740000</t>
  </si>
  <si>
    <t>OSTATNÍ PROFESNÍ, VĚDECKÉ A TECHNICKÉ ČINNOSTI</t>
  </si>
  <si>
    <t>750000</t>
  </si>
  <si>
    <t>VETERINÁRNÍ ČINNOSTI</t>
  </si>
  <si>
    <t>772900</t>
  </si>
  <si>
    <t>PRONÁJEM A LEASING OSTATNÍCH VÝROBKŮ PRO OSOBNÍ POTŘEBU A PŘEVÁŽNĚ PRO DOMÁCNOST</t>
  </si>
  <si>
    <t>774000</t>
  </si>
  <si>
    <t>LEASING DUŠEVNÍHO VLASTNICTVÍ A PODOBNÝCH PRODUKTŮ, KROMĚ DĚL CHRÁNĚNÝCH AUTORSKÝM PRÁVEM</t>
  </si>
  <si>
    <t>791200</t>
  </si>
  <si>
    <t>ČINNOSTI CESTOVNÍCH KANCELÁŘÍ</t>
  </si>
  <si>
    <t>810000</t>
  </si>
  <si>
    <t>ČINNOSTI SOUVISEJÍCÍ SE STAVBAMI A ÚPRAVOU KRAJINY</t>
  </si>
  <si>
    <t>821000</t>
  </si>
  <si>
    <t>ADMINISTRATIVNÍ A KANCELÁŘSKÉ ČINNOSTI</t>
  </si>
  <si>
    <t>829900</t>
  </si>
  <si>
    <t>OSTATNÍ PODPŮRNÉ ČINNOSTI PRO PODNIKÁNÍ J. N.</t>
  </si>
  <si>
    <t>842110</t>
  </si>
  <si>
    <t>POMOC CIZÍM ZEMÍM PŘI KATASTROFÁCH NEBO V NOUZOVÝCH SITUACÍCH PŘÍMO NEBO PROSTŘEDNICTVÍM MEZINÁRODNÍCH ORGANIZACÍ</t>
  </si>
  <si>
    <t>850000</t>
  </si>
  <si>
    <t>VZDĚLÁVÁNÍ</t>
  </si>
  <si>
    <t>853210</t>
  </si>
  <si>
    <t>STŘEDNÍ ODBORNÉ VZDĚLÁVÁNÍ NA UČILIŠTÍCH</t>
  </si>
  <si>
    <t>855300</t>
  </si>
  <si>
    <t>ČINNOSTI AUTOŠKOL A JINÝCH ŠKOL ŘÍZENÍ</t>
  </si>
  <si>
    <t>855990</t>
  </si>
  <si>
    <t>JINÉ VZDĚLÁVÁNÍ J. N.</t>
  </si>
  <si>
    <t>869000</t>
  </si>
  <si>
    <t>OSTATNÍ ČINNOSTI SOUVISEJÍCÍ SE ZDRAVOTNÍ PÉČÍ</t>
  </si>
  <si>
    <t>873000</t>
  </si>
  <si>
    <t>SOCIÁLNÍ PÉČE V DOMOVECH PRO SENIORY A OSOBY SE ZDRAVOTNÍM POSTIŽENÍM</t>
  </si>
  <si>
    <t>889000</t>
  </si>
  <si>
    <t>OSTATNÍ AMBULANTNÍ NEBO TERÉNNÍ SOCIÁLNÍ SLUŽBY</t>
  </si>
  <si>
    <t>900100</t>
  </si>
  <si>
    <t>SCÉNICKÁ UMĚNÍ</t>
  </si>
  <si>
    <t>910400</t>
  </si>
  <si>
    <t>ČINNOSTI BOTANICKÝCH A ZOOLOGICKÝCH ZAHRAD, PŘÍRODNÍCH REZERVACÍ A NÁRODNÍCH PARKŮ</t>
  </si>
  <si>
    <t>931300</t>
  </si>
  <si>
    <t>ČINNOSTI FITCENTER</t>
  </si>
  <si>
    <t>941200</t>
  </si>
  <si>
    <t>ČINNOSTI PROFESNÍCH ORGANIZACÍ</t>
  </si>
  <si>
    <t>949930</t>
  </si>
  <si>
    <t>ČINNOSTI ORGANIZACÍ NA PODPORU REKREAČNÍ A ZÁJMOVÉ ČINNOSTI</t>
  </si>
  <si>
    <t>951100</t>
  </si>
  <si>
    <t>OPRAVY POČÍTAČŮ A PERIFERNÍCH ZAŘÍZENÍ</t>
  </si>
  <si>
    <t>952900</t>
  </si>
  <si>
    <t>OPRAVY OSTATNÍCH VÝROBKŮ PRO OSOBNÍ POTŘEBU A PŘEVÁŽNĚ PRO DOMÁCNOST</t>
  </si>
  <si>
    <t>980000</t>
  </si>
  <si>
    <t>ČINNOSTI DOMÁCNOSTÍ PRODUKUJÍCÍCH BLÍŽE NEURČENÉ VÝROBKY A SLUŽBY PRO VLASTNÍ POTŘEBU</t>
  </si>
  <si>
    <t>222300</t>
  </si>
  <si>
    <t>VÝROBA PLASTOVÝCH VÝROBKŮ PRO STAVEBNICTVÍ</t>
  </si>
  <si>
    <t>231900</t>
  </si>
  <si>
    <t>VÝROBA A ZPRACOVÁNÍ OSTATNÍHO SKLA VČ. TECHNICKÉHO</t>
  </si>
  <si>
    <t>235000</t>
  </si>
  <si>
    <t>VÝROBA CEMENTU, VÁPNA A SÁDRY</t>
  </si>
  <si>
    <t>236500</t>
  </si>
  <si>
    <t>VÝROBA VLÁKNITÝCH CEMENTŮ</t>
  </si>
  <si>
    <t>241010</t>
  </si>
  <si>
    <t>VÝROBA SUROVÉHO ŽELEZA, OCELI A FEROSLITIN</t>
  </si>
  <si>
    <t>243400</t>
  </si>
  <si>
    <t>TAŽENÍ OCELOVÉHO DRÁTU ZA STUDENA</t>
  </si>
  <si>
    <t>244400</t>
  </si>
  <si>
    <t>VÝROBA A HUTNÍ ZPRACOVÁNÍ MĚDI</t>
  </si>
  <si>
    <t>245300</t>
  </si>
  <si>
    <t>VÝROBA ODLITKŮ Z LEHKÝCH NEŽELEZNÝCH KOVŮ</t>
  </si>
  <si>
    <t>252900</t>
  </si>
  <si>
    <t>VÝROBA KOVOVÝCH NÁDRŽÍ A ZÁSOBNÍKŮ</t>
  </si>
  <si>
    <t>11000</t>
  </si>
  <si>
    <t>PĚSTOVÁNÍ PLODIN JINÝCH NEŽ TRVALÝCH</t>
  </si>
  <si>
    <t>12000</t>
  </si>
  <si>
    <t>PĚSTOVÁNÍ TRVALÝCH PLODIN</t>
  </si>
  <si>
    <t>12800</t>
  </si>
  <si>
    <t>PĚSTOVÁNÍ KOŘENÍ, AROMATICKÝCH, LÉČIVÝCH A FARMACEUTICKÝCH ROSTLIN</t>
  </si>
  <si>
    <t>14500</t>
  </si>
  <si>
    <t>CHOV OVCÍ A KOZ</t>
  </si>
  <si>
    <t>15000</t>
  </si>
  <si>
    <t>SMÍŠENÉ HOSPODÁŘSTVÍ</t>
  </si>
  <si>
    <t>21000</t>
  </si>
  <si>
    <t>LESNÍ HOSPODÁŘSTVÍ A JINÉ ČINNOSTI V OBLASTI LESNICTVÍ</t>
  </si>
  <si>
    <t>32000</t>
  </si>
  <si>
    <t>AKVAKULTURA</t>
  </si>
  <si>
    <t>52010</t>
  </si>
  <si>
    <t>TĚŽBA HNĚDÉHO UHLÍ, KROMĚ LIGNITU</t>
  </si>
  <si>
    <t>71000</t>
  </si>
  <si>
    <t>TĚŽBA A ÚPRAVA ŽELEZNÝCH RUD</t>
  </si>
  <si>
    <t>72910</t>
  </si>
  <si>
    <t>TĚŽBA OSTATNÍCH NEŽELEZNÝCH RUD</t>
  </si>
  <si>
    <t>89200</t>
  </si>
  <si>
    <t>TĚŽBA RAŠELINY</t>
  </si>
  <si>
    <t>101100</t>
  </si>
  <si>
    <t>ZPRACOVÁNÍ A KONZERVOVÁNÍ MASA, KROMĚ DRŮBEŽÍHO</t>
  </si>
  <si>
    <t>104000</t>
  </si>
  <si>
    <t>VÝROBA ROSTLINNÝCH A ŽIVOČIŠNÝCH OLEJŮ A TUKŮ</t>
  </si>
  <si>
    <t>106200</t>
  </si>
  <si>
    <t>VÝROBA ŠKROBÁRENSKÝCH VÝROBKŮ</t>
  </si>
  <si>
    <t>108300</t>
  </si>
  <si>
    <t>ZPRACOVÁNÍ ČAJE A KÁVY</t>
  </si>
  <si>
    <t>110000</t>
  </si>
  <si>
    <t>VÝROBA NÁPOJŮ</t>
  </si>
  <si>
    <t>120000</t>
  </si>
  <si>
    <t>VÝROBA TABÁKOVÝCH VÝROBKŮ</t>
  </si>
  <si>
    <t>139300</t>
  </si>
  <si>
    <t>VÝROBA KOBERCŮ A KOBERCOVÝCH PŘEDLOŽEK</t>
  </si>
  <si>
    <t>141200</t>
  </si>
  <si>
    <t>VÝROBA PRACOVNÍCH ODĚVŮ</t>
  </si>
  <si>
    <t>150000</t>
  </si>
  <si>
    <t>VÝROBA USNÍ A SOUVISEJÍCÍCH VÝROBKŮ</t>
  </si>
  <si>
    <t>161000</t>
  </si>
  <si>
    <t>VÝROBA PILAŘSKÁ A IMPREGNACE DŘEVA</t>
  </si>
  <si>
    <t>171000</t>
  </si>
  <si>
    <t>VÝROBA BUNIČINY, PAPÍRU A LEPENKY</t>
  </si>
  <si>
    <t>172200</t>
  </si>
  <si>
    <t>VÝROBA DOMÁCÍCH POTŘEB, HYGIENICKÝCH A TOALETNÍCH VÝROBKŮ Z PAPÍRU</t>
  </si>
  <si>
    <t>181300</t>
  </si>
  <si>
    <t>PŘÍPRAVA TISKU A DIGITÁLNÍCH DAT</t>
  </si>
  <si>
    <t>201100</t>
  </si>
  <si>
    <t>VÝROBA TECHNICKÝCH PLYNŮ</t>
  </si>
  <si>
    <t>201700</t>
  </si>
  <si>
    <t>VÝROBA SYNTETICKÉHO KAUČUKU V PRIMÁRNÍCH FORMÁCH</t>
  </si>
  <si>
    <t>205200</t>
  </si>
  <si>
    <t>VÝROBA KLIHŮ</t>
  </si>
  <si>
    <t>212000</t>
  </si>
  <si>
    <t>VÝROBA FARMACEUTICKÝCH PŘÍPRAVKŮ</t>
  </si>
  <si>
    <t>257100</t>
  </si>
  <si>
    <t>VÝROBA NOŽÍŘSKÝCH VÝROBKŮ</t>
  </si>
  <si>
    <t>259900</t>
  </si>
  <si>
    <t>VÝROBA OSTATNÍCH KOVODĚLNÝCH VÝROBKŮ J. N.</t>
  </si>
  <si>
    <t>265000</t>
  </si>
  <si>
    <t>VÝROBA MĚŘICÍCH, ZKUŠEBNÍCH A NAVIGAČNÍCH PŘÍSTROJŮ; VÝROBA ČASOMĚRNÝCH PŘÍSTROJŮ</t>
  </si>
  <si>
    <t>271100</t>
  </si>
  <si>
    <t>VÝROBA ELEKTRICKÝCH MOTORŮ, GENERÁTORŮ A TRANSFORMÁTORŮ</t>
  </si>
  <si>
    <t>275000</t>
  </si>
  <si>
    <t>VÝROBA SPOTŘEBIČŮ PŘEVÁŽNĚ PRO DOMÁCNOST</t>
  </si>
  <si>
    <t>281300</t>
  </si>
  <si>
    <t>VÝROBA OSTATNÍCH ČERPADEL A KOMPRESORŮ</t>
  </si>
  <si>
    <t>282500</t>
  </si>
  <si>
    <t>VÝROBA PRŮMYSLOVÝCH CHLADICÍCH A KLIMATIZAČNÍCH ZAŘÍZENÍ</t>
  </si>
  <si>
    <t>289200</t>
  </si>
  <si>
    <t>VÝROBA STROJŮ PRO TĚŽBU, DOBÝVÁNÍ A STAVEBNICTVÍ</t>
  </si>
  <si>
    <t>292000</t>
  </si>
  <si>
    <t>VÝROBA KAROSERIÍ MOTOROVÝCH VOZIDEL; VÝROBA PŘÍVĚSŮ A NÁVĚSŮ</t>
  </si>
  <si>
    <t>302000</t>
  </si>
  <si>
    <t>VÝROBA ŽELEZNIČNÍCH LOKOMOTIV A VOZOVÉHO PARKU</t>
  </si>
  <si>
    <t>310100</t>
  </si>
  <si>
    <t>VÝROBA KANCELÁŘSKÉHO NÁBYTKU A ZAŘÍZENÍ OBCHODŮ</t>
  </si>
  <si>
    <t>321300</t>
  </si>
  <si>
    <t>VÝROBA BIŽUTERIE A PŘÍBUZNÝCH VÝROBKŮ</t>
  </si>
  <si>
    <t>330000</t>
  </si>
  <si>
    <t>OPRAVY A INSTALACE STROJŮ A ZAŘÍZENÍ</t>
  </si>
  <si>
    <t>331700</t>
  </si>
  <si>
    <t>OPRAVY A ÚDRŽBA OSTATNÍCH DOPRAVNÍCH PROSTŘEDKŮ A ZAŘÍZENÍ J. N.</t>
  </si>
  <si>
    <t>351200</t>
  </si>
  <si>
    <t>PŘENOS ELEKTŘINY</t>
  </si>
  <si>
    <t>353010</t>
  </si>
  <si>
    <t>VÝROBA TEPLA</t>
  </si>
  <si>
    <t>370000</t>
  </si>
  <si>
    <t>ČINNOSTI SOUVISEJÍCÍ S ODPADNÍMI VODAMI</t>
  </si>
  <si>
    <t>383000</t>
  </si>
  <si>
    <t>ÚPRAVA ODPADŮ K DALŠÍMU VYUŽITÍ</t>
  </si>
  <si>
    <t>412020</t>
  </si>
  <si>
    <t>VÝSTAVBA NEBYTOVÝCH BUDOV</t>
  </si>
  <si>
    <t>422110</t>
  </si>
  <si>
    <t>VÝSTAVBA INŽENÝRSKÝCH SÍTÍ PRO KAPALINY</t>
  </si>
  <si>
    <t>431100</t>
  </si>
  <si>
    <t>DEMOLICE</t>
  </si>
  <si>
    <t>433100</t>
  </si>
  <si>
    <t>OMÍTKÁŘSKÉ PRÁCE</t>
  </si>
  <si>
    <t>439100</t>
  </si>
  <si>
    <t>POKRÝVAČSKÉ PRÁCE</t>
  </si>
  <si>
    <t>452000</t>
  </si>
  <si>
    <t>OPRAVY A ÚDRŽBA MOTOROVÝCH VOZIDEL, KROMĚ MOTOCYKLŮ</t>
  </si>
  <si>
    <t>461200</t>
  </si>
  <si>
    <t>ZPROSTŘEDKOVÁNÍ VELKOOBCHODU A VELKOOBCHOD V ZASTOUPENÍ S PALIVY, RUDAMI, KOVY A PRŮMYSLOVÝMI CHEMIKÁLIEMI</t>
  </si>
  <si>
    <t>461890</t>
  </si>
  <si>
    <t>ZPROSTŘEDKOVÁNÍ SPECIALIZOVANÉHO VELKOOBCHODU A VELKOOBCHOD V ZASTOUPENÍ S OSTATNÍMI VÝROBKY J. N.</t>
  </si>
  <si>
    <t>463100</t>
  </si>
  <si>
    <t>VELKOOBCHOD S OVOCEM A ZELENINOU</t>
  </si>
  <si>
    <t>463900</t>
  </si>
  <si>
    <t>NESPECIALIZOVANÝ VELKOOBCHOD S POTRAVINAMI, NÁPOJI A TABÁKOVÝMI VÝROBKY</t>
  </si>
  <si>
    <t>464410</t>
  </si>
  <si>
    <t>VELKOOBCHOD S PORCELÁNOVÝMI, KERAMICKÝMI A SKLENĚNÝMI VÝROBKY</t>
  </si>
  <si>
    <t>465100</t>
  </si>
  <si>
    <t>VELKOOBCHOD S POČÍTAČI, POČÍTAČOVÝM PERIFERNÍM ZAŘÍZENÍM A SOFTWAREM</t>
  </si>
  <si>
    <t>466600</t>
  </si>
  <si>
    <t>VELKOOBCHOD S OSTATNÍMI KANCELÁŘSKÝMI STROJI A ZAŘÍZENÍM</t>
  </si>
  <si>
    <t>467300</t>
  </si>
  <si>
    <t>VELKOOBCHOD SE DŘEVEM, STAVEBNÍMI MATERIÁLY A SANITÁRNÍM VYBAVENÍM</t>
  </si>
  <si>
    <t>470000</t>
  </si>
  <si>
    <t>MALOOBCHOD, KROMĚ MOTOROVÝCH VOZIDEL</t>
  </si>
  <si>
    <t>472400</t>
  </si>
  <si>
    <t>MALOOBCHOD S CHLEBEM, PEČIVEM, CUKRÁŘSKÝMI VÝROBKY A CUKROVINKAMI</t>
  </si>
  <si>
    <t>474300</t>
  </si>
  <si>
    <t>MALOOBCHOD S AUDIO- A VIDEOZAŘÍZENÍM</t>
  </si>
  <si>
    <t>476100</t>
  </si>
  <si>
    <t>MALOOBCHOD S KNIHAMI</t>
  </si>
  <si>
    <t>477300</t>
  </si>
  <si>
    <t>MALOOBCHOD S FARMACEUTICKÝMI PŘÍPRAVKY</t>
  </si>
  <si>
    <t>477830</t>
  </si>
  <si>
    <t>MALOOBCHOD S KAPALNÝMI PALIVY (KROMĚ POHONNÝCH HMOT)</t>
  </si>
  <si>
    <t>479000</t>
  </si>
  <si>
    <t>MALOOBCHOD MIMO PRODEJNY, STÁNKY A TRHY</t>
  </si>
  <si>
    <t>493000</t>
  </si>
  <si>
    <t>OSTATNÍ POZEMNÍ OSOBNÍ DOPRAVA</t>
  </si>
  <si>
    <t>494000</t>
  </si>
  <si>
    <t>SILNIČNÍ NÁKLADNÍ DOPRAVA A STĚHOVACÍ SLUŽBY</t>
  </si>
  <si>
    <t>501000</t>
  </si>
  <si>
    <t>NÁMOŘNÍ A POBŘEŽNÍ OSOBNÍ DOPRAVA</t>
  </si>
  <si>
    <t>511030</t>
  </si>
  <si>
    <t>MEZINÁRODNÍ PRAVIDELNÁ LETECKÁ OSOBNÍ DOPRAVA</t>
  </si>
  <si>
    <t>522000</t>
  </si>
  <si>
    <t>VEDLEJŠÍ ČINNOSTI V DOPRAVĚ</t>
  </si>
  <si>
    <t>532000</t>
  </si>
  <si>
    <t>OSTATNÍ POŠTOVNÍ A KURÝRNÍ ČINNOSTI</t>
  </si>
  <si>
    <t>559000</t>
  </si>
  <si>
    <t>OSTATNÍ UBYTOVÁNÍ</t>
  </si>
  <si>
    <t>562900</t>
  </si>
  <si>
    <t>POSKYTOVÁNÍ OSTATNÍCH STRAVOVACÍCH SLUŽEB</t>
  </si>
  <si>
    <t>581200</t>
  </si>
  <si>
    <t>VYDÁVÁNÍ ADRESÁŘŮ A JINÝCH SEZNAMŮ</t>
  </si>
  <si>
    <t>591000</t>
  </si>
  <si>
    <t>ČINNOSTI V OBLASTI FILMŮ, VIDEOZÁZNAMŮ A TELEVIZNÍCH PROGRAMŮ</t>
  </si>
  <si>
    <t>602000</t>
  </si>
  <si>
    <t>TVORBA TELEVIZNÍCH PROGRAMŮ A TELEVIZNÍ VYSÍLÁNÍ</t>
  </si>
  <si>
    <t>612000</t>
  </si>
  <si>
    <t>ČINNOSTI SOUVISEJÍCÍ S BEZDRÁTOVOU TELEKOMUNIKAČNÍ SÍTÍ</t>
  </si>
  <si>
    <t>620000</t>
  </si>
  <si>
    <t>ČINNOSTI V OBLASTI INFORMAČNÍCH TECHNOLOGIÍ</t>
  </si>
  <si>
    <t>631200</t>
  </si>
  <si>
    <t>ČINNOSTI SOUVISEJÍCÍ S WEBOVÝMI PORTÁLY</t>
  </si>
  <si>
    <t>642000</t>
  </si>
  <si>
    <t>ČINNOSTI HOLDINGOVÝCH SPOLEČNOSTÍ</t>
  </si>
  <si>
    <t>649290</t>
  </si>
  <si>
    <t>OSTATNÍ POSKYTOVÁNÍ ÚVĚRŮ J. N.</t>
  </si>
  <si>
    <t>651200</t>
  </si>
  <si>
    <t>NEŽIVOTNÍ POJIŠTĚNÍ</t>
  </si>
  <si>
    <t>662000</t>
  </si>
  <si>
    <t>POMOCNÉ ČINNOSTI SOUVISEJÍCÍ S POJIŠŤOVNICTVÍM A PENZIJNÍM FINANCOVÁNÍM</t>
  </si>
  <si>
    <t>682010</t>
  </si>
  <si>
    <t>PRONÁJEM VLASTNÍCH NEBO PRONAJATÝCH NEMOVITOSTÍ S BYTOVÝMI PROSTORY</t>
  </si>
  <si>
    <t>691000</t>
  </si>
  <si>
    <t>PRÁVNÍ ČINNOSTI</t>
  </si>
  <si>
    <t>711000</t>
  </si>
  <si>
    <t>ARCHITEKTONICKÉ A INŽENÝRSKÉ ČINNOSTI A SOUVISEJÍCÍ TECHNICKÉ PORADENSTVÍ</t>
  </si>
  <si>
    <t>712010</t>
  </si>
  <si>
    <t>ZKOUŠKY A ANALÝZY VYHRAZENÝCH TECHNICKÝCH ZAŘÍZENÍ</t>
  </si>
  <si>
    <t>721990</t>
  </si>
  <si>
    <t>VÝZKUM A VÝVOJ V OBLASTI JINÝCH PŘÍRODNÍCH VĚD</t>
  </si>
  <si>
    <t>741000</t>
  </si>
  <si>
    <t>SPECIALIZOVANÉ NÁVRHÁŘSKÉ ČINNOSTI</t>
  </si>
  <si>
    <t>770000</t>
  </si>
  <si>
    <t>ČINNOSTI V OBLASTI PRONÁJMU A OPERATIVNÍHO LEASINGU</t>
  </si>
  <si>
    <t>773000</t>
  </si>
  <si>
    <t>PRONÁJEM A LEASING OSTATNÍCH STROJŮ, ZAŘÍZENÍ A VÝROBKŮ</t>
  </si>
  <si>
    <t>780000</t>
  </si>
  <si>
    <t>ČINNOSTI SOUVISEJÍCÍ SE ZAMĚSTNÁNÍM</t>
  </si>
  <si>
    <t>799000</t>
  </si>
  <si>
    <t>OSTATNÍ REZERVAČNÍ A SOUVISEJÍCÍ ČINNOSTI</t>
  </si>
  <si>
    <t>811000</t>
  </si>
  <si>
    <t>KOMBINOVANÉ POMOCNÉ ČINNOSTI</t>
  </si>
  <si>
    <t>821100</t>
  </si>
  <si>
    <t>UNIVERZÁLNÍ ADMINISTRATIVNÍ ČINNOSTI</t>
  </si>
  <si>
    <t>840000</t>
  </si>
  <si>
    <t>VEŘEJNÁ SPRÁVA A OBRANA; POVINNÉ SOCIÁLNÍ ZABEZPEČENÍ</t>
  </si>
  <si>
    <t>842120</t>
  </si>
  <si>
    <t>ROZVÍJENÍ VZÁJEMNÉHO PŘÁTELSTVÍ A POROZUMĚNÍ MEZI NÁRODY</t>
  </si>
  <si>
    <t>851000</t>
  </si>
  <si>
    <t>PŘEDŠKOLNÍ VZDĚLÁVÁNÍ</t>
  </si>
  <si>
    <t>853220</t>
  </si>
  <si>
    <t>STŘEDNÍ ODBORNÉ VZDĚLÁVÁNÍ NA STŘEDNÍCH ODBORNÝCH ŠKOLÁCH</t>
  </si>
  <si>
    <t>855310</t>
  </si>
  <si>
    <t>ČINNOSTI AUTOŠKOL</t>
  </si>
  <si>
    <t>856000</t>
  </si>
  <si>
    <t>PODPŮRNÉ ČINNOSTI VE VZDĚLÁVÁNÍ</t>
  </si>
  <si>
    <t>869010</t>
  </si>
  <si>
    <t>ČINNOSTI SOUVISEJÍCÍ S OCHRANOU VEŘEJNÉHO ZDRAVÍ</t>
  </si>
  <si>
    <t>873010</t>
  </si>
  <si>
    <t>SOCIÁLNÍ PÉČE V DOMOVECH PRO SENIORY</t>
  </si>
  <si>
    <t>889100</t>
  </si>
  <si>
    <t>SOCIÁLNÍ SLUŽBY POSKYTOVANÉ DĚTEM</t>
  </si>
  <si>
    <t>900200</t>
  </si>
  <si>
    <t>PODPŮRNÉ ČINNOSTI PRO SCÉNICKÁ UMĚNÍ</t>
  </si>
  <si>
    <t>910410</t>
  </si>
  <si>
    <t>ČINNOSTI BOTANICKÝCH A ZOOLOGICKÝCH ZAHRAD</t>
  </si>
  <si>
    <t>931900</t>
  </si>
  <si>
    <t>OSTATNÍ SPORTOVNÍ ČINNOSTI</t>
  </si>
  <si>
    <t>942000</t>
  </si>
  <si>
    <t>ČINNOSTI ODBOROVÝCH SVAZŮ</t>
  </si>
  <si>
    <t>949940</t>
  </si>
  <si>
    <t>ČINNOSTI SPOTŘEBITELSKÝCH ORGANIZACÍ</t>
  </si>
  <si>
    <t>951200</t>
  </si>
  <si>
    <t>OPRAVY KOMUNIKAČNÍCH ZAŘÍZENÍ</t>
  </si>
  <si>
    <t>960000</t>
  </si>
  <si>
    <t>POSKYTOVÁNÍ OSTATNÍCH OSOBNÍCH SLUŽEB</t>
  </si>
  <si>
    <t>981000</t>
  </si>
  <si>
    <t>ČINNOSTI DOMÁCNOSTÍ PRODUKUJÍCÍCH BLÍŽE NEURČENÉ VÝROBKY PRO VLASTNÍ POTŘEBU</t>
  </si>
  <si>
    <t>222900</t>
  </si>
  <si>
    <t>VÝROBA OSTATNÍCH PLASTOVÝCH VÝROBKŮ</t>
  </si>
  <si>
    <t>232000</t>
  </si>
  <si>
    <t>VÝROBA ŽÁRUVZDORNÝCH VÝROBKŮ</t>
  </si>
  <si>
    <t>235100</t>
  </si>
  <si>
    <t>VÝROBA CEMENTU</t>
  </si>
  <si>
    <t>236900</t>
  </si>
  <si>
    <t>VÝROBA OSTATNÍCH BETONOVÝCH, CEMENTOVÝCH A SÁDROVÝCH VÝROBKŮ</t>
  </si>
  <si>
    <t>241020</t>
  </si>
  <si>
    <t>VÝROBA PLOCHÝCH VÝROBKŮ (KROMĚ PÁSKY ZA STUDENA)</t>
  </si>
  <si>
    <t>245200</t>
  </si>
  <si>
    <t>VÝROBA ODLITKŮ Z OCELI</t>
  </si>
  <si>
    <t>244500</t>
  </si>
  <si>
    <t>VÝROBA A HUTNÍ ZPRACOVÁNÍ OSTATNÍCH NEŽELEZNÝCH KOVŮ</t>
  </si>
  <si>
    <t>245400</t>
  </si>
  <si>
    <t>VÝROBA ODLITKŮ Z OSTATNÍCH NEŽELEZNÝCH KOVŮ</t>
  </si>
  <si>
    <t>253000</t>
  </si>
  <si>
    <t>VÝROBA PARNÍCH KOTLŮ, KROMĚ KOTLŮ PRO ÚSTŘEDNÍ TOPENÍ</t>
  </si>
  <si>
    <t>11100</t>
  </si>
  <si>
    <t>PĚSTOVÁNÍ OBILOVIN (KROMĚ RÝŽE), LUŠTĚNIN A OLEJNATÝCH SEMEN</t>
  </si>
  <si>
    <t>12100</t>
  </si>
  <si>
    <t>PĚSTOVÁNÍ VINNÝCH HROZNŮ</t>
  </si>
  <si>
    <t>12900</t>
  </si>
  <si>
    <t>PĚSTOVÁNÍ OSTATNÍCH TRVALÝCH PLODIN</t>
  </si>
  <si>
    <t>14600</t>
  </si>
  <si>
    <t>CHOV PRASAT</t>
  </si>
  <si>
    <t>16000</t>
  </si>
  <si>
    <t>PODPŮRNÉ ČINNOSTI PRO ZEMĚDĚLSTVÍ A POSKLIZŇOVÉ ČINNOSTI</t>
  </si>
  <si>
    <t>22000</t>
  </si>
  <si>
    <t>TĚŽBA DŘEVA</t>
  </si>
  <si>
    <t>32100</t>
  </si>
  <si>
    <t>MOŘSKÁ AKVAKULTURA</t>
  </si>
  <si>
    <t>52020</t>
  </si>
  <si>
    <t>ÚPRAVA HNĚDÉHO UHLÍ, KROMĚ LIGNITU</t>
  </si>
  <si>
    <t>71010</t>
  </si>
  <si>
    <t>TĚŽBA ŽELEZNÝCH RUD</t>
  </si>
  <si>
    <t>72920</t>
  </si>
  <si>
    <t>ÚPRAVA OSTATNÍCH NEŽELEZNÝCH RUD</t>
  </si>
  <si>
    <t>89300</t>
  </si>
  <si>
    <t>TĚŽBA SOLI</t>
  </si>
  <si>
    <t>101200</t>
  </si>
  <si>
    <t>ZPRACOVÁNÍ A KONZERVOVÁNÍ DRŮBEŽÍHO MASA</t>
  </si>
  <si>
    <t>104100</t>
  </si>
  <si>
    <t>VÝROBA OLEJŮ A TUKŮ</t>
  </si>
  <si>
    <t>107000</t>
  </si>
  <si>
    <t>VÝROBA PEKAŘSKÝCH, CUKRÁŘSKÝCH A JINÝCH MOUČNÝCH VÝROBKŮ</t>
  </si>
  <si>
    <t>108400</t>
  </si>
  <si>
    <t>VÝROBA KOŘENÍ A AROMATICKÝCH VÝTAŽKŮ</t>
  </si>
  <si>
    <t>110100</t>
  </si>
  <si>
    <t>DESTILACE, REKTIFIKACE A MÍCHÁNÍ LIHOVIN</t>
  </si>
  <si>
    <t>130000</t>
  </si>
  <si>
    <t>VÝROBA TEXTILIÍ</t>
  </si>
  <si>
    <t>139400</t>
  </si>
  <si>
    <t>VÝROBA LAN, PROVAZŮ A SÍŤOVANÝCH VÝROBKŮ</t>
  </si>
  <si>
    <t>141300</t>
  </si>
  <si>
    <t>VÝROBA OSTATNÍCH SVRCHNÍCH ODĚVŮ</t>
  </si>
  <si>
    <t>151000</t>
  </si>
  <si>
    <t>ČINĚNÍ A ÚPRAVA USNÍ (VYČINĚNÝCH KŮŽÍ); ZPRACOVÁNÍ A BARVENÍ KOŽEŠIN; VÝROBA BRAŠNÁŘSKÝCH, SEDLÁŘSKÝCH A PODOBNÝCH VÝROBKŮ</t>
  </si>
  <si>
    <t>162000</t>
  </si>
  <si>
    <t>VÝROBA DŘEVĚNÝCH, KORKOVÝCH, PROUTĚNÝCH A SLAMĚNÝCH VÝROBKŮ, KROMĚ NÁBYTKU</t>
  </si>
  <si>
    <t>171100</t>
  </si>
  <si>
    <t>VÝROBA BUNIČINY</t>
  </si>
  <si>
    <t>172300</t>
  </si>
  <si>
    <t>VÝROBA KANCELÁŘSKÝCH POTŘEB Z PAPÍRU</t>
  </si>
  <si>
    <t>181400</t>
  </si>
  <si>
    <t>VÁZÁNÍ A SOUVISEJÍCÍ ČINNOSTI</t>
  </si>
  <si>
    <t>201200</t>
  </si>
  <si>
    <t>VÝROBA BARVIV A PIGMENTŮ</t>
  </si>
  <si>
    <t>202000</t>
  </si>
  <si>
    <t>VÝROBA PESTICIDŮ A JINÝCH AGROCHEMICKÝCH PŘÍPRAVKŮ</t>
  </si>
  <si>
    <t>205300</t>
  </si>
  <si>
    <t>VÝROBA VONNÝCH SILIC</t>
  </si>
  <si>
    <t>220000</t>
  </si>
  <si>
    <t>VÝROBA PRYŽOVÝCH A PLASTOVÝCH VÝROBKŮ</t>
  </si>
  <si>
    <t>257200</t>
  </si>
  <si>
    <t>VÝROBA ZÁMKŮ A KOVÁNÍ</t>
  </si>
  <si>
    <t>260000</t>
  </si>
  <si>
    <t>VÝROBA POČÍTAČŮ, ELEKTRONICKÝCH A OPTICKÝCH PŘÍSTROJŮ A ZAŘÍZENÍ</t>
  </si>
  <si>
    <t>265100</t>
  </si>
  <si>
    <t>VÝROBA MĚŘICÍCH, ZKUŠEBNÍCH A NAVIGAČNÍCH PŘÍSTROJŮ</t>
  </si>
  <si>
    <t>271200</t>
  </si>
  <si>
    <t>VÝROBA ELEKTRICKÝCH ROZVODNÝCH A KONTROLNÍCH ZAŘÍZENÍ</t>
  </si>
  <si>
    <t>275100</t>
  </si>
  <si>
    <t>VÝROBA ELEKTRICKÝCH SPOTŘEBIČŮ PŘEVÁŽNĚ PRO DOMÁCNOST</t>
  </si>
  <si>
    <t>281400</t>
  </si>
  <si>
    <t>VÝROBA OSTATNÍCH POTRUBNÍCH ARMATUR</t>
  </si>
  <si>
    <t>282900</t>
  </si>
  <si>
    <t>VÝROBA OSTATNÍCH STROJŮ A ZAŘÍZENÍ PRO VŠEOBECNÉ ÚČELY J. N.</t>
  </si>
  <si>
    <t>289300</t>
  </si>
  <si>
    <t>VÝROBA STROJŮ NA VÝROBU POTRAVIN, NÁPOJŮ A ZPRACOVÁNÍ TABÁKU</t>
  </si>
  <si>
    <t>293000</t>
  </si>
  <si>
    <t>VÝROBA DÍLŮ A PŘÍSLUŠENSTVÍ PRO MOTOROVÁ VOZIDLA A JEJICH MOTORY</t>
  </si>
  <si>
    <t>303000</t>
  </si>
  <si>
    <t>VÝROBA LETADEL A JEJICH MOTORŮ, KOSMICKÝCH LODÍ A SOUVISEJÍCÍCH ZAŘÍZENÍ</t>
  </si>
  <si>
    <t>310200</t>
  </si>
  <si>
    <t>VÝROBA KUCHYŇSKÉHO NÁBYTKU</t>
  </si>
  <si>
    <t>322000</t>
  </si>
  <si>
    <t>VÝROBA HUDEBNÍCH NÁSTROJŮ</t>
  </si>
  <si>
    <t>331000</t>
  </si>
  <si>
    <t>OPRAVY KOVODĚLNÝCH VÝROBKŮ, STROJŮ A ZAŘÍZENÍ</t>
  </si>
  <si>
    <t>331710</t>
  </si>
  <si>
    <t>OPRAVY A ÚDRŽBA KOLEJOVÝCH VOZIDEL</t>
  </si>
  <si>
    <t>351300</t>
  </si>
  <si>
    <t>ROZVOD ELEKTŘINY</t>
  </si>
  <si>
    <t>353020</t>
  </si>
  <si>
    <t>ROZVOD TEPLA</t>
  </si>
  <si>
    <t>380000</t>
  </si>
  <si>
    <t>SHROMAŽĎOVÁNÍ, SBĚR A ODSTRAŇOVÁNÍ ODPADŮ, ÚPRAVA ODPADŮ K DALŠÍMU VYUŽITÍ</t>
  </si>
  <si>
    <t>383100</t>
  </si>
  <si>
    <t>DEMONTÁŽ VRAKŮ A VYŘAZENÝCH STROJŮ A ZAŘÍZENÍ PRO ÚČELY RECYKLACE</t>
  </si>
  <si>
    <t>420000</t>
  </si>
  <si>
    <t>INŽENÝRSKÉ STAVITELSTVÍ</t>
  </si>
  <si>
    <t>422120</t>
  </si>
  <si>
    <t>VÝSTAVBA INŽENÝRSKÝCH SÍTÍ PRO PLYNY</t>
  </si>
  <si>
    <t>431200</t>
  </si>
  <si>
    <t>PŘÍPRAVA STAVENIŠTĚ</t>
  </si>
  <si>
    <t>433200</t>
  </si>
  <si>
    <t>TRUHLÁŘSKÉ PRÁCE</t>
  </si>
  <si>
    <t>439900</t>
  </si>
  <si>
    <t>OSTATNÍ SPECIALIZOVANÉ STAVEBNÍ ČINNOSTI J. N.</t>
  </si>
  <si>
    <t>453000</t>
  </si>
  <si>
    <t>OBCHOD S DÍLY A PŘÍSLUŠENSTVÍM PRO MOTOROVÁ VOZIDLA, KROMĚ MOTOCYKLŮ</t>
  </si>
  <si>
    <t>461300</t>
  </si>
  <si>
    <t>ZPROSTŘEDKOVÁNÍ VELKOOBCHODU A VELKOOBCHOD V ZASTOUPENÍ SE DŘEVEM A STAVEBNÍMI MATERIÁLY</t>
  </si>
  <si>
    <t>461900</t>
  </si>
  <si>
    <t>ZPROSTŘEDKOVÁNÍ NESPECIALIZOVANÉHO VELKOOBCHODU A NESPECIALIZOVANÝ VELKOOBCHOD V ZASTOUPENÍ</t>
  </si>
  <si>
    <t>463200</t>
  </si>
  <si>
    <t>VELKOOBCHOD S MASEM A MASNÝMI VÝROBKY</t>
  </si>
  <si>
    <t>464000</t>
  </si>
  <si>
    <t>VELKOOBCHOD S VÝROBKY PŘEVÁŽNĚ PRO DOMÁCNOST</t>
  </si>
  <si>
    <t>464420</t>
  </si>
  <si>
    <t>VELKOOBCHOD S PRACÍMI A ČISTICÍMI PROSTŘEDKY</t>
  </si>
  <si>
    <t>465200</t>
  </si>
  <si>
    <t>VELKOOBCHOD S ELEKTRONICKÝM A TELEKOMUNIKAČNÍM ZAŘÍZENÍM A JEHO DÍLY</t>
  </si>
  <si>
    <t>466900</t>
  </si>
  <si>
    <t>VELKOOBCHOD S OSTATNÍMI STROJI A ZAŘÍZENÍM</t>
  </si>
  <si>
    <t>467400</t>
  </si>
  <si>
    <t>VELKOOBCHOD S ŽELEZÁŘSKÝM ZBOŽÍM, INSTALATÉRSKÝMI A TOPENÁŘSKÝMI POTŘEBAMI</t>
  </si>
  <si>
    <t>471000</t>
  </si>
  <si>
    <t>MALOOBCHOD V NESPECIALIZOVANÝCH PRODEJNÁCH</t>
  </si>
  <si>
    <t>472500</t>
  </si>
  <si>
    <t>MALOOBCHOD S NÁPOJI</t>
  </si>
  <si>
    <t>475000</t>
  </si>
  <si>
    <t>MALOOBCHOD S OSTATNÍMI VÝROBKY PŘEVÁŽNĚ PRO DOMÁCNOST VE SPECIALIZOVANÝCH PRODEJNÁCH</t>
  </si>
  <si>
    <t>476200</t>
  </si>
  <si>
    <t>MALOOBCHOD S NOVINAMI, ČASOPISY A PAPÍRNICKÝM ZBOŽÍM</t>
  </si>
  <si>
    <t>477400</t>
  </si>
  <si>
    <t>MALOOBCHOD SE ZDRAVOTNICKÝMI A ORTOPEDICKÝMI VÝROBKY</t>
  </si>
  <si>
    <t>477840</t>
  </si>
  <si>
    <t>MALOOBCHOD S PLYNNÝMI PALIVY (KROMĚ POHONNÝCH HMOT)</t>
  </si>
  <si>
    <t>479100</t>
  </si>
  <si>
    <t>MALOOBCHOD PROSTŘEDNICTVÍM INTERNETU NEBO ZÁSILKOVÉ SLUŽBY</t>
  </si>
  <si>
    <t>493100</t>
  </si>
  <si>
    <t>MĚSTSKÁ A PŘÍMĚSTSKÁ POZEMNÍ OSOBNÍ DOPRAVA</t>
  </si>
  <si>
    <t>494100</t>
  </si>
  <si>
    <t>SILNIČNÍ NÁKLADNÍ DOPRAVA</t>
  </si>
  <si>
    <t>502000</t>
  </si>
  <si>
    <t>NÁMOŘNÍ A POBŘEŽNÍ NÁKLADNÍ DOPRAVA</t>
  </si>
  <si>
    <t>511040</t>
  </si>
  <si>
    <t>MEZINÁRODNÍ NEPRAVIDELNÁ LETECKÁ OSOBNÍ DOPRAVA</t>
  </si>
  <si>
    <t>522100</t>
  </si>
  <si>
    <t>ČINNOSTI SOUVISEJÍCÍ S POZEMNÍ DOPRAVOU</t>
  </si>
  <si>
    <t>550000</t>
  </si>
  <si>
    <t>UBYTOVÁNÍ</t>
  </si>
  <si>
    <t>559010</t>
  </si>
  <si>
    <t>UBYTOVÁNÍ V ZAŘÍZENÝCH PRONÁJMECH</t>
  </si>
  <si>
    <t>562910</t>
  </si>
  <si>
    <t>STRAVOVÁNÍ V ZÁVODNÍCH KUCHYNÍCH</t>
  </si>
  <si>
    <t>581300</t>
  </si>
  <si>
    <t>VYDÁVÁNÍ NOVIN</t>
  </si>
  <si>
    <t>591100</t>
  </si>
  <si>
    <t>PRODUKCE FILMŮ, VIDEOZÁZNAMŮ A TELEVIZNÍCH PROGRAMŮ</t>
  </si>
  <si>
    <t>610000</t>
  </si>
  <si>
    <t>TELEKOMUNIKAČNÍ ČINNOSTI</t>
  </si>
  <si>
    <t>612010</t>
  </si>
  <si>
    <t>POSKYTOVÁNÍ HLASOVÝCH SLUŽEB PŘES BEZDRÁTOVOU TELEKOMUNIKAČNÍ SÍŤ</t>
  </si>
  <si>
    <t>620100</t>
  </si>
  <si>
    <t>PROGRAMOVÁNÍ</t>
  </si>
  <si>
    <t>639000</t>
  </si>
  <si>
    <t>OSTATNÍ INFORMAČNÍ ČINNOSTI</t>
  </si>
  <si>
    <t>643000</t>
  </si>
  <si>
    <t>ČINNOSTI TRUSTŮ, FONDŮ A PODOBNÝCH FINANČNÍCH SUBJEKTŮ</t>
  </si>
  <si>
    <t>649900</t>
  </si>
  <si>
    <t>OSTATNÍ FINANČNÍ ZPROSTŘEDKOVÁNÍ J. N.</t>
  </si>
  <si>
    <t>652000</t>
  </si>
  <si>
    <t>ZAJIŠTĚNÍ</t>
  </si>
  <si>
    <t>662100</t>
  </si>
  <si>
    <t>VYHODNOCOVÁNÍ RIZIK A ŠKOD</t>
  </si>
  <si>
    <t>682020</t>
  </si>
  <si>
    <t>PRONÁJEM VLASTNÍCH NEBO PRONAJATÝCH NEMOVITOSTÍ S NEBYTOVÝMI PROSTORY</t>
  </si>
  <si>
    <t>692000</t>
  </si>
  <si>
    <t>ÚČETNICKÉ A AUDITORSKÉ ČINNOSTI; DAŇOVÉ PORADENSTVÍ</t>
  </si>
  <si>
    <t>711100</t>
  </si>
  <si>
    <t>ARCHITEKTONICKÉ ČINNOSTI</t>
  </si>
  <si>
    <t>712090</t>
  </si>
  <si>
    <t>OSTATNÍ TECHNICKÉ ZKOUŠKY A ANALÝZY</t>
  </si>
  <si>
    <t>722000</t>
  </si>
  <si>
    <t>VÝZKUM A VÝVOJ V OBLASTI SPOLEČENSKÝCH A HUMANITNÍCH VĚD</t>
  </si>
  <si>
    <t>742000</t>
  </si>
  <si>
    <t>FOTOGRAFICKÉ ČINNOSTI</t>
  </si>
  <si>
    <t>771000</t>
  </si>
  <si>
    <t>PRONÁJEM A LEASING MOTOROVÝCH VOZIDEL, KROMĚ MOTOCYKLŮ</t>
  </si>
  <si>
    <t>773100</t>
  </si>
  <si>
    <t>PRONÁJEM A LEASING ZEMĚDĚLSKÝCH STROJŮ A ZAŘÍZENÍ</t>
  </si>
  <si>
    <t>781000</t>
  </si>
  <si>
    <t>ČINNOSTI AGENTUR ZPROSTŘEDKUJÍCÍCH ZAMĚSTNÁNÍ</t>
  </si>
  <si>
    <t>799010</t>
  </si>
  <si>
    <t>PRŮVODCOVSKÉ ČINNOSTI</t>
  </si>
  <si>
    <t>812000</t>
  </si>
  <si>
    <t>ÚKLIDOVÉ ČINNOSTI</t>
  </si>
  <si>
    <t>821900</t>
  </si>
  <si>
    <t>KOPÍROVÁNÍ, PŘÍPRAVA DOKUMENTŮ A OSTATNÍ SPECIALIZOVANÉ KANCELÁŘSKÉ PODPŮRNÉ ČINNOSTI</t>
  </si>
  <si>
    <t>841000</t>
  </si>
  <si>
    <t>VEŘEJNÁ SPRÁVA A HOSPODÁŘSKÁ A SOCIÁLNÍ POLITIKA</t>
  </si>
  <si>
    <t>842190</t>
  </si>
  <si>
    <t>OSTATNÍ ČINNOSTI V OBLASTI ZAHRANIČNÍCH VĚCÍ</t>
  </si>
  <si>
    <t>852000</t>
  </si>
  <si>
    <t>PRIMÁRNÍ VZDĚLÁVÁNÍ</t>
  </si>
  <si>
    <t>854000</t>
  </si>
  <si>
    <t>POSTSEKUNDÁRNÍ VZDĚLÁVÁNÍ</t>
  </si>
  <si>
    <t>855320</t>
  </si>
  <si>
    <t>ČINNOSTI LETECKÝCH ŠKOL</t>
  </si>
  <si>
    <t>860000</t>
  </si>
  <si>
    <t>ZDRAVOTNÍ PÉČE</t>
  </si>
  <si>
    <t>869090</t>
  </si>
  <si>
    <t>OSTATNÍ ČINNOSTI SOUVISEJÍCÍ SE ZDRAVOTNÍ PÉČÍ J. N.</t>
  </si>
  <si>
    <t>873020</t>
  </si>
  <si>
    <t>SOCIÁLNÍ PÉČE V DOMOVECH PRO OSOBY SE ZDRAVOTNÍM POSTIŽENÍM</t>
  </si>
  <si>
    <t>889900</t>
  </si>
  <si>
    <t>OSTATNÍ AMBULANTNÍ NEBO TERÉNNÍ SOCIÁLNÍ SLUŽBY J. N.</t>
  </si>
  <si>
    <t>900300</t>
  </si>
  <si>
    <t>UMĚLECKÁ TVORBA</t>
  </si>
  <si>
    <t>910420</t>
  </si>
  <si>
    <t>ČINNOSTI PŘÍRODNÍCH REZERVACÍ A NÁRODNÍCH PARKŮ</t>
  </si>
  <si>
    <t>932000</t>
  </si>
  <si>
    <t>OSTATNÍ ZÁBAVNÍ A REKREAČNÍ ČINNOSTI</t>
  </si>
  <si>
    <t>949000</t>
  </si>
  <si>
    <t>ČINNOSTI OSTATNÍCH ORGANIZACÍ SDRUŽUJÍCÍCH OSOBY ZA ÚČELEM PROSAZOVÁNÍ SPOLEČNÝCH ZÁJMŮ</t>
  </si>
  <si>
    <t>949950</t>
  </si>
  <si>
    <t>ČINNOSTI ENVIRONMENTÁLNÍCH A EKOLOGICKÝCH HNUTÍ</t>
  </si>
  <si>
    <t>952000</t>
  </si>
  <si>
    <t>OPRAVY VÝROBKŮ PRO OSOBNÍ POTŘEBU A PŘEVÁŽNĚ PRO DOMÁCNOST</t>
  </si>
  <si>
    <t>960100</t>
  </si>
  <si>
    <t>PRANÍ A CHEMICKÉ ČIŠTĚNÍ TEXTILNÍCH A KOŽEŠINOVÝCH VÝROBKŮ</t>
  </si>
  <si>
    <t>982000</t>
  </si>
  <si>
    <t>ČINNOSTI DOMÁCNOSTÍ POSKYTUJÍCÍCH BLÍŽE NEURČENÉ SLUŽBY PRO VLASTNÍ POTŘEBU</t>
  </si>
  <si>
    <t>230000</t>
  </si>
  <si>
    <t>VÝROBA OSTATNÍCH NEKOVOVÝCH MINERÁLNÍCH VÝROBKŮ</t>
  </si>
  <si>
    <t>233000</t>
  </si>
  <si>
    <t>VÝROBA STAVEBNÍCH VÝROBKŮ Z JÍLOVITÝCH MATERIÁLŮ</t>
  </si>
  <si>
    <t>235200</t>
  </si>
  <si>
    <t>VÝROBA VÁPNA A SÁDRY</t>
  </si>
  <si>
    <t>237000</t>
  </si>
  <si>
    <t>ŘEZÁNÍ, TVAROVÁNÍ A KONEČNÁ ÚPRAVA KAMENŮ</t>
  </si>
  <si>
    <t>241030</t>
  </si>
  <si>
    <t>TVÁŘENÍ VÝROBKŮ ZA TEPLA</t>
  </si>
  <si>
    <t>245210</t>
  </si>
  <si>
    <t>VÝROBA ODLITKŮ Z UHLÍKATÝCH OCELÍ</t>
  </si>
  <si>
    <t>244600</t>
  </si>
  <si>
    <t>ZPRACOVÁNÍ JADERNÉHO PALIVA</t>
  </si>
  <si>
    <t>250000</t>
  </si>
  <si>
    <t>VÝROBA KOVOVÝCH KONSTRUKCÍ A KOVODĚLNÝCH VÝROBKŮ, KROMĚ STROJŮ A ZAŘÍZENÍ</t>
  </si>
  <si>
    <t>254000</t>
  </si>
  <si>
    <t>VÝROBA ZBRANÍ A STŘELIVA</t>
  </si>
  <si>
    <t>11200</t>
  </si>
  <si>
    <t>PĚSTOVÁNÍ RÝŽE</t>
  </si>
  <si>
    <t>12200</t>
  </si>
  <si>
    <t>PĚSTOVÁNÍ TROPICKÉHO A SUBTROPICKÉHO OVOCE</t>
  </si>
  <si>
    <t>13000</t>
  </si>
  <si>
    <t>MNOŽENÍ ROSTLIN</t>
  </si>
  <si>
    <t>14700</t>
  </si>
  <si>
    <t>CHOV DRŮBEŽE</t>
  </si>
  <si>
    <t>16100</t>
  </si>
  <si>
    <t>PODPŮRNÉ ČINNOSTI PRO ROSTLINNOU VÝROBU</t>
  </si>
  <si>
    <t>23000</t>
  </si>
  <si>
    <t>SBĚR A ZÍSKÁVÁNÍ VOLNĚ ROSTOUCÍCH PLODŮ A MATERIÁLŮ, KROMĚ DŘEVA</t>
  </si>
  <si>
    <t>32200</t>
  </si>
  <si>
    <t>SLADKOVODNÍ AKVAKULTURA</t>
  </si>
  <si>
    <t>52030</t>
  </si>
  <si>
    <t>TĚŽBA LIGNITU</t>
  </si>
  <si>
    <t>71020</t>
  </si>
  <si>
    <t>ÚPRAVA ŽELEZNÝCH RUD</t>
  </si>
  <si>
    <t>80000</t>
  </si>
  <si>
    <t>OSTATNÍ TĚŽBA A DOBÝVÁNÍ</t>
  </si>
  <si>
    <t>89900</t>
  </si>
  <si>
    <t>OSTATNÍ TĚŽBA A DOBÝVÁNÍ J. N.</t>
  </si>
  <si>
    <t>101300</t>
  </si>
  <si>
    <t>VÝROBA MASNÝCH VÝROBKŮ A VÝROBKŮ Z DRŮBEŽÍHO MASA</t>
  </si>
  <si>
    <t>104200</t>
  </si>
  <si>
    <t>VÝROBA MARGARÍNU A PODOBNÝCH JEDLÝCH TUKŮ</t>
  </si>
  <si>
    <t>107100</t>
  </si>
  <si>
    <t>VÝROBA PEKAŘSKÝCH A CUKRÁŘSKÝCH VÝROBKŮ, KROMĚ TRVANLIVÝCH</t>
  </si>
  <si>
    <t>108500</t>
  </si>
  <si>
    <t>VÝROBA HOTOVÝCH POKRMŮ</t>
  </si>
  <si>
    <t>110200</t>
  </si>
  <si>
    <t>VÝROBA VÍNA Z VINNÝCH HROZNŮ</t>
  </si>
  <si>
    <t>131000</t>
  </si>
  <si>
    <t>ÚPRAVA A SPŘÁDÁNÍ TEXTILNÍCH VLÁKEN A PŘÍZE</t>
  </si>
  <si>
    <t>139500</t>
  </si>
  <si>
    <t>VÝROBA NETKANÝCH TEXTILIÍ A VÝROBKŮ Z NICH, KROMĚ ODĚVŮ</t>
  </si>
  <si>
    <t>141400</t>
  </si>
  <si>
    <t>VÝROBA OSOBNÍHO PRÁDLA</t>
  </si>
  <si>
    <t>151100</t>
  </si>
  <si>
    <t>ČINĚNÍ A ÚPRAVA USNÍ (VYČINĚNÝCH KŮŽÍ); ZPRACOVÁNÍ A BARVENÍ KOŽEŠIN</t>
  </si>
  <si>
    <t>162100</t>
  </si>
  <si>
    <t>VÝROBA DÝH A DESEK NA BÁZI DŘEVA</t>
  </si>
  <si>
    <t>171110</t>
  </si>
  <si>
    <t>VÝROBA CHEMICKÝCH BUNIČIN</t>
  </si>
  <si>
    <t>172400</t>
  </si>
  <si>
    <t>VÝROBA TAPET</t>
  </si>
  <si>
    <t>182000</t>
  </si>
  <si>
    <t>ROZMNOŽOVÁNÍ NAHRANÝCH NOSIČŮ</t>
  </si>
  <si>
    <t>201300</t>
  </si>
  <si>
    <t>VÝROBA JINÝCH ZÁKLADNÍCH ANORGANICKÝCH CHEMICKÝCH LÁTEK</t>
  </si>
  <si>
    <t>203000</t>
  </si>
  <si>
    <t>VÝROBA NÁTĚROVÝCH BAREV, LAKŮ A JINÝCH NÁTĚROVÝCH MATERIÁLŮ, TISKAŘSKÝCH BAREV A TMELŮ</t>
  </si>
  <si>
    <t>205900</t>
  </si>
  <si>
    <t>VÝROBA OSTATNÍCH CHEMICKÝCH VÝROBKŮ J. N.</t>
  </si>
  <si>
    <t>221000</t>
  </si>
  <si>
    <t>VÝROBA PRYŽOVÝCH VÝROBKŮ</t>
  </si>
  <si>
    <t>257300</t>
  </si>
  <si>
    <t>VÝROBA NÁSTROJŮ A NÁŘADÍ</t>
  </si>
  <si>
    <t>261000</t>
  </si>
  <si>
    <t>VÝROBA ELEKTRONICKÝCH SOUČÁSTEK A DESEK</t>
  </si>
  <si>
    <t>265200</t>
  </si>
  <si>
    <t>VÝROBA ČASOMĚRNÝCH PŘÍSTROJŮ</t>
  </si>
  <si>
    <t>272000</t>
  </si>
  <si>
    <t>VÝROBA BATERIÍ A AKUMULÁTORŮ</t>
  </si>
  <si>
    <t>275200</t>
  </si>
  <si>
    <t>VÝROBA NEELEKTRICKÝCH SPOTŘEBIČŮ PŘEVÁŽNĚ PRO DOMÁCNOST</t>
  </si>
  <si>
    <t>281500</t>
  </si>
  <si>
    <t>VÝROBA LOŽISEK, OZUBENÝCH KOL, PŘEVODŮ A HNACÍCH PRVKŮ</t>
  </si>
  <si>
    <t>283000</t>
  </si>
  <si>
    <t>VÝROBA ZEMĚDĚLSKÝCH A LESNICKÝCH STROJŮ</t>
  </si>
  <si>
    <t>289400</t>
  </si>
  <si>
    <t>VÝROBA STROJŮ NA VÝROBU TEXTILU, ODĚVNÍCH VÝROBKŮ A VÝROBKŮ Z USNÍ</t>
  </si>
  <si>
    <t>293100</t>
  </si>
  <si>
    <t>VÝROBA ELEKTRICKÉHO A ELEKTRONICKÉHO ZAŘÍZENÍ PRO MOTOROVÁ VOZIDLA</t>
  </si>
  <si>
    <t>304000</t>
  </si>
  <si>
    <t>VÝROBA VOJENSKÝCH BOJOVÝCH VOZIDEL</t>
  </si>
  <si>
    <t>310300</t>
  </si>
  <si>
    <t>VÝROBA MATRACÍ</t>
  </si>
  <si>
    <t>323000</t>
  </si>
  <si>
    <t>VÝROBA SPORTOVNÍCH POTŘEB</t>
  </si>
  <si>
    <t>331100</t>
  </si>
  <si>
    <t>OPRAVY KOVODĚLNÝCH VÝROBKŮ</t>
  </si>
  <si>
    <t>331790</t>
  </si>
  <si>
    <t>OPRAVY A ÚDRŽBA OSTATNÍCH DOPRAVNÍCH PROSTŘEDKŮ A ZAŘÍZENÍ J. N. KROMĚ KOLEJOVÝCH VOZIDEL</t>
  </si>
  <si>
    <t>351400</t>
  </si>
  <si>
    <t>OBCHOD S ELEKTŘINOU</t>
  </si>
  <si>
    <t>353030</t>
  </si>
  <si>
    <t>VÝROBA KLIMATIZOVANÉHO VZDUCHU</t>
  </si>
  <si>
    <t>381000</t>
  </si>
  <si>
    <t>SHROMAŽĎOVÁNÍ A SBĚR ODPADŮ</t>
  </si>
  <si>
    <t>383200</t>
  </si>
  <si>
    <t>ÚPRAVA ODPADŮ K DALŠÍMU VYUŽITÍ, KROMĚ DEMONTÁŽE VRAKŮ, STROJŮ A ZAŘÍZENÍ</t>
  </si>
  <si>
    <t>421000</t>
  </si>
  <si>
    <t>VÝSTAVBA SILNIC A ŽELEZNIC</t>
  </si>
  <si>
    <t>422200</t>
  </si>
  <si>
    <t>VÝSTAVBA INŽENÝRSKÝCH SÍTÍ PRO ELEKTŘINU A TELEKOMUNIKACE</t>
  </si>
  <si>
    <t>431300</t>
  </si>
  <si>
    <t>PRŮZKUMNÉ VRTNÉ PRÁCE</t>
  </si>
  <si>
    <t>433300</t>
  </si>
  <si>
    <t>OBKLÁDÁNÍ STĚN A POKLÁDÁNÍ PODLAHOVÝCH KRYTIN</t>
  </si>
  <si>
    <t>439910</t>
  </si>
  <si>
    <t>MONTÁŽ A DEMONTÁŽ LEŠENÍ A BEDNĚNÍ</t>
  </si>
  <si>
    <t>453100</t>
  </si>
  <si>
    <t>VELKOOBCHOD S DÍLY A PŘÍSLUŠENSTVÍM PRO MOTOROVÁ VOZIDLA, KROMĚ MOTOCYKLŮ</t>
  </si>
  <si>
    <t>461400</t>
  </si>
  <si>
    <t>ZPROSTŘEDKOVÁNÍ VELKOOBCHODU A VELKOOBCHOD V ZASTOUPENÍ SE STROJI, PRŮMYSLOVÝM ZAŘÍZENÍM, LODĚMI A LETADLY</t>
  </si>
  <si>
    <t>462000</t>
  </si>
  <si>
    <t>VELKOOBCHOD SE ZÁKLADNÍMI ZEMĚDĚLSKÝMI PRODUKTY A ŽIVÝMI ZVÍŘATY</t>
  </si>
  <si>
    <t>463300</t>
  </si>
  <si>
    <t>VELKOOBCHOD S MLÉČNÝMI VÝROBKY, VEJCI, JEDLÝMI OLEJI A TUKY</t>
  </si>
  <si>
    <t>464100</t>
  </si>
  <si>
    <t>VELKOOBCHOD S TEXTILEM</t>
  </si>
  <si>
    <t>464500</t>
  </si>
  <si>
    <t>VELKOOBCHOD S KOSMETICKÝMI VÝROBKY</t>
  </si>
  <si>
    <t>466000</t>
  </si>
  <si>
    <t>VELKOOBCHOD S OSTATNÍMI STROJI, STROJNÍM ZAŘÍZENÍM A PŘÍSLUŠENSTVÍM</t>
  </si>
  <si>
    <t>467000</t>
  </si>
  <si>
    <t>OSTATNÍ SPECIALIZOVANÝ VELKOOBCHOD</t>
  </si>
  <si>
    <t>467500</t>
  </si>
  <si>
    <t>VELKOOBCHOD S CHEMICKÝMI VÝROBKY</t>
  </si>
  <si>
    <t>471100</t>
  </si>
  <si>
    <t>MALOOBCHOD S PŘEVAHOU POTRAVIN, NÁPOJŮ A TABÁKOVÝCH VÝROBKŮ V NESPECIALIZOVANÝCH PRODEJNÁCH</t>
  </si>
  <si>
    <t>472600</t>
  </si>
  <si>
    <t>MALOOBCHOD S TABÁKOVÝMI VÝROBKY</t>
  </si>
  <si>
    <t>475100</t>
  </si>
  <si>
    <t>MALOOBCHOD S TEXTILEM</t>
  </si>
  <si>
    <t>476300</t>
  </si>
  <si>
    <t>MALOOBCHOD S AUDIO- A VIDEOZÁZNAMY</t>
  </si>
  <si>
    <t>477500</t>
  </si>
  <si>
    <t>MALOOBCHOD S KOSMETICKÝMI A TOALETNÍMI VÝROBKY</t>
  </si>
  <si>
    <t>477890</t>
  </si>
  <si>
    <t>OSTATNÍ MALOOBCHOD S NOVÝM ZBOŽÍM VE SPECIALIZOVANÝCH PRODEJNÁCH J. N.</t>
  </si>
  <si>
    <t>479110</t>
  </si>
  <si>
    <t>MALOOBCHOD PROSTŘEDNICTVÍM INTERNETU</t>
  </si>
  <si>
    <t>493200</t>
  </si>
  <si>
    <t>TAXISLUŽBA A PRONÁJEM OSOBNÍCH VOZŮ S ŘIDIČEM</t>
  </si>
  <si>
    <t>494200</t>
  </si>
  <si>
    <t>STĚHOVACÍ SLUŽBY</t>
  </si>
  <si>
    <t>503000</t>
  </si>
  <si>
    <t>VNITROZEMSKÁ VODNÍ OSOBNÍ DOPRAVA</t>
  </si>
  <si>
    <t>511090</t>
  </si>
  <si>
    <t>OSTATNÍ LETECKÁ OSOBNÍ DOPRAVA</t>
  </si>
  <si>
    <t>522200</t>
  </si>
  <si>
    <t>ČINNOSTI SOUVISEJÍCÍ S VODNÍ DOPRAVOU</t>
  </si>
  <si>
    <t>551000</t>
  </si>
  <si>
    <t>UBYTOVÁNÍ V HOTELÍCH A PODOBNÝCH UBYTOVACÍCH ZAŘÍZENÍCH</t>
  </si>
  <si>
    <t>559020</t>
  </si>
  <si>
    <t>UBYTOVÁNÍ VE VYSOKOŠKOLSKÝCH KOLEJÍCH, DOMOVECH MLÁDEŽE</t>
  </si>
  <si>
    <t>562920</t>
  </si>
  <si>
    <t>STRAVOVÁNÍ VE ŠKOLNÍCH ZAŘÍZENÍCH, MENZÁCH</t>
  </si>
  <si>
    <t>581400</t>
  </si>
  <si>
    <t>VYDÁVÁNÍ ČASOPISŮ A OSTATNÍCH PERIODICKÝCH PUBLIKACÍ</t>
  </si>
  <si>
    <t>591200</t>
  </si>
  <si>
    <t>POSTPRODUKCE FILMŮ, VIDEOZÁZNAMŮ A TELEVIZNÍCH PROGRAMŮ</t>
  </si>
  <si>
    <t>611000</t>
  </si>
  <si>
    <t>ČINNOSTI SOUVISEJÍCÍ S PEVNOU TELEKOMUNIKAČNÍ SÍTÍ</t>
  </si>
  <si>
    <t>612020</t>
  </si>
  <si>
    <t>PRONÁJEM BEZDRÁTOVÉ TELEKOMUNIKAČNÍ SÍTĚ</t>
  </si>
  <si>
    <t>620200</t>
  </si>
  <si>
    <t>PORADENSTVÍ V OBLASTI INFORMAČNÍCH TECHNOLOGIÍ</t>
  </si>
  <si>
    <t>639100</t>
  </si>
  <si>
    <t>ČINNOSTI ZPRAVODAJSKÝCH TISKOVÝCH KANCELÁŘÍ A AGENTUR</t>
  </si>
  <si>
    <t>649000</t>
  </si>
  <si>
    <t>OSTATNÍ FINANČNÍ ZPROSTŘEDKOVÁNÍ</t>
  </si>
  <si>
    <t>649910</t>
  </si>
  <si>
    <t>FAKTORINGOVÉ ČINNOSTI</t>
  </si>
  <si>
    <t>653000</t>
  </si>
  <si>
    <t>PENZIJNÍ FINANCOVÁNÍ</t>
  </si>
  <si>
    <t>662200</t>
  </si>
  <si>
    <t>ČINNOSTI ZÁSTUPCŮ POJIŠŤOVNY A MAKLÉŘŮ</t>
  </si>
  <si>
    <t>682030</t>
  </si>
  <si>
    <t>SPRÁVA VLASTNÍCH NEBO PRONAJATÝCH NEMOVITOSTÍ S BYTOVÝMI PROSTORY</t>
  </si>
  <si>
    <t>700000</t>
  </si>
  <si>
    <t>ČINNOSTI VEDENÍ PODNIKŮ; PORADENSTVÍ V OBLASTI ŘÍZENÍ</t>
  </si>
  <si>
    <t>711200</t>
  </si>
  <si>
    <t>INŽENÝRSKÉ ČINNOSTI A SOUVISEJÍCÍ TECHNICKÉ PORADENSTVÍ</t>
  </si>
  <si>
    <t>720000</t>
  </si>
  <si>
    <t>VÝZKUM A VÝVOJ</t>
  </si>
  <si>
    <t>730000</t>
  </si>
  <si>
    <t>REKLAMA A PRŮZKUM TRHU</t>
  </si>
  <si>
    <t>743000</t>
  </si>
  <si>
    <t>PŘEKLADATELSKÉ A TLUMOČNICKÉ ČINNOSTI</t>
  </si>
  <si>
    <t>771100</t>
  </si>
  <si>
    <t>PRONÁJEM A LEASING AUTOMOBILŮ A JINÝCH LEHKÝCH MOTOROVÝCH VOZIDEL, KROMĚ MOTOCYKLŮ</t>
  </si>
  <si>
    <t>773200</t>
  </si>
  <si>
    <t>PRONÁJEM A LEASING STAVEBNÍCH STROJŮ A ZAŘÍZENÍ</t>
  </si>
  <si>
    <t>782000</t>
  </si>
  <si>
    <t>ČINNOSTI AGENTUR ZPROSTŘEDKUJÍCÍCH PRÁCI NA PŘECHODNOU DOBU</t>
  </si>
  <si>
    <t>799090</t>
  </si>
  <si>
    <t>OSTATNÍ REZERVAČNÍ A SOUVISEJÍCÍ ČINNOSTI J. N.</t>
  </si>
  <si>
    <t>812100</t>
  </si>
  <si>
    <t>VŠEOBECNÝ ÚKLID BUDOV</t>
  </si>
  <si>
    <t>822000</t>
  </si>
  <si>
    <t>ČINNOSTI ZPROSTŘEDKOVATELSKÝCH STŘEDISEK PO TELEFONU</t>
  </si>
  <si>
    <t>841100</t>
  </si>
  <si>
    <t>VŠEOBECNÉ ČINNOSTI VEŘEJNÉ SPRÁVY</t>
  </si>
  <si>
    <t>842200</t>
  </si>
  <si>
    <t>ČINNOSTI V OBLASTI OBRANY</t>
  </si>
  <si>
    <t>853000</t>
  </si>
  <si>
    <t>SEKUNDÁRNÍ VZDĚLÁVÁNÍ</t>
  </si>
  <si>
    <t>854100</t>
  </si>
  <si>
    <t>POSTSEKUNDÁRNÍ NIKOLI TERCIÁRNÍ VZDĚLÁVÁNÍ</t>
  </si>
  <si>
    <t>855390</t>
  </si>
  <si>
    <t>ČINNOSTI OSTATNÍCH ŠKOL ŘÍZENÍ</t>
  </si>
  <si>
    <t>861000</t>
  </si>
  <si>
    <t>ÚSTAVNÍ ZDRAVOTNÍ PÉČE</t>
  </si>
  <si>
    <t>870000</t>
  </si>
  <si>
    <t>POBYTOVÉ SLUŽBY SOCIÁLNÍ PÉČE</t>
  </si>
  <si>
    <t>879000</t>
  </si>
  <si>
    <t>OSTATNÍ POBYTOVÉ SLUŽBY SOCIÁLNÍ PÉČE</t>
  </si>
  <si>
    <t>889910</t>
  </si>
  <si>
    <t>SOCIÁLNÍ SLUŽBY PRO UPRCHLÍKY, OBĚTI KATASTROF</t>
  </si>
  <si>
    <t>900400</t>
  </si>
  <si>
    <t>PROVOZOVÁNÍ KULTURNÍCH ZAŘÍZENÍ</t>
  </si>
  <si>
    <t>920000</t>
  </si>
  <si>
    <t>ČINNOSTI HEREN, KASIN A SÁZKOVÝCH KANCELÁŘÍ</t>
  </si>
  <si>
    <t>932100</t>
  </si>
  <si>
    <t>ČINNOSTI LUNAPARKŮ A ZÁBAVNÍCH PARKŮ</t>
  </si>
  <si>
    <t>949100</t>
  </si>
  <si>
    <t>ČINNOSTI NÁBOŽENSKÝCH ORGANIZACÍ</t>
  </si>
  <si>
    <t>949960</t>
  </si>
  <si>
    <t>ČINNOSTI ORGANIZACÍ NA OCHRANU A ZLEPŠENÍ POSTAVENÍ ETNICKÝCH, MENŠINOVÝCH A JINÝCH SPECIÁLNÍCH SKUPIN</t>
  </si>
  <si>
    <t>952100</t>
  </si>
  <si>
    <t>OPRAVY SPOTŘEBNÍ ELEKTRONIKY</t>
  </si>
  <si>
    <t>960200</t>
  </si>
  <si>
    <t>KADEŘNICKÉ, KOSMETICKÉ A PODOBNÉ ČINNOSTI</t>
  </si>
  <si>
    <t>990000</t>
  </si>
  <si>
    <t>ČINNOSTI EXTERITORIÁLNÍCH ORGANIZACÍ A ORGÁNŮ</t>
  </si>
  <si>
    <t>231000</t>
  </si>
  <si>
    <t>VÝROBA SKLA A SKLENĚNÝCH VÝROBKŮ</t>
  </si>
  <si>
    <t>234100</t>
  </si>
  <si>
    <t>VÝROBA KERAMICKÝCH A PORCELÁNOVÝCH VÝROBKŮ PŘEVÁŽNĚ PRO DOMÁCNOST A OZDOBNÝCH PŘEDMĚTŮ</t>
  </si>
  <si>
    <t>236000</t>
  </si>
  <si>
    <t>VÝROBA BETONOVÝCH, CEMENTOVÝCH A SÁDROVÝCH VÝROBKŮ</t>
  </si>
  <si>
    <t>239000</t>
  </si>
  <si>
    <t>VÝROBA BRUSIV A OSTATNÍCH NEKOVOVÝCH MINERÁLNÍCH VÝROBKŮ J. N.</t>
  </si>
  <si>
    <t>242000</t>
  </si>
  <si>
    <t>VÝROBA OCELOVÝCH TRUB, TRUBEK, DUTÝCH PROFILŮ A SOUVISEJÍCÍCH POTRUBNÍCH TVAROVEK</t>
  </si>
  <si>
    <t>245220</t>
  </si>
  <si>
    <t>VÝROBA ODLITKŮ Z LEGOVANÝCH OCELÍ</t>
  </si>
  <si>
    <t>245000</t>
  </si>
  <si>
    <t>SLÉVÁRENSTVÍ</t>
  </si>
  <si>
    <t>251000</t>
  </si>
  <si>
    <t>VÝROBA KONSTRUKČNÍCH KOVOVÝCH VÝROBKŮ</t>
  </si>
  <si>
    <t>255000</t>
  </si>
  <si>
    <t>KOVÁNÍ, LISOVÁNÍ, RAŽENÍ, VÁLCOVÁNÍ A PROTLAČOVÁNÍ KOVŮ; PRÁŠKOVÁ METALURGIE</t>
  </si>
  <si>
    <t>11300</t>
  </si>
  <si>
    <t>PĚSTOVÁNÍ ZELENINY A MELOUNŮ, KOŘENŮ A HLÍZ</t>
  </si>
  <si>
    <t>12300</t>
  </si>
  <si>
    <t>PĚSTOVÁNÍ CITRUSOVÝCH PLODŮ</t>
  </si>
  <si>
    <t>14000</t>
  </si>
  <si>
    <t>ŽIVOČIŠNÁ VÝROBA</t>
  </si>
  <si>
    <t>14900</t>
  </si>
  <si>
    <t>CHOV OSTATNÍCH ZVÍŘAT</t>
  </si>
  <si>
    <t>16200</t>
  </si>
  <si>
    <t>PODPŮRNÉ ČINNOSTI PRO ŽIVOČIŠNOU VÝROBU</t>
  </si>
  <si>
    <t>24000</t>
  </si>
  <si>
    <t>PODPŮRNÉ ČINNOSTI PRO LESNICTVÍ</t>
  </si>
  <si>
    <t>50000</t>
  </si>
  <si>
    <t>TĚŽBA A ÚPRAVA ČERNÉHO A HNĚDÉHO UHLÍ</t>
  </si>
  <si>
    <t>52040</t>
  </si>
  <si>
    <t>ÚPRAVA LIGNITU</t>
  </si>
  <si>
    <t>72000</t>
  </si>
  <si>
    <t>TĚŽBA A ÚPRAVA NEŽELEZNÝCH RUD</t>
  </si>
  <si>
    <t>81000</t>
  </si>
  <si>
    <t>DOBÝVÁNÍ KAMENE, PÍSKŮ A JÍLŮ</t>
  </si>
  <si>
    <t>90000</t>
  </si>
  <si>
    <t>PODPŮRNÉ ČINNOSTI PŘI TĚŽBĚ</t>
  </si>
  <si>
    <t>102000</t>
  </si>
  <si>
    <t>ZPRACOVÁNÍ A KONZERVOVÁNÍ RYB, KORÝŠŮ A MĚKKÝŠŮ</t>
  </si>
  <si>
    <t>105000</t>
  </si>
  <si>
    <t>VÝROBA MLÉČNÝCH VÝROBKŮ</t>
  </si>
  <si>
    <t>107200</t>
  </si>
  <si>
    <t>VÝROBA SUCHARŮ A SUŠENEK; VÝROBA TRVANLIVÝCH CUKRÁŘSKÝCH VÝROBKŮ</t>
  </si>
  <si>
    <t>108600</t>
  </si>
  <si>
    <t>VÝROBA HOMOGENIZOVANÝCH POTRAVINÁŘSKÝCH PŘÍPRAVKŮ A DIETNÍCH POTRAVIN</t>
  </si>
  <si>
    <t>110300</t>
  </si>
  <si>
    <t>VÝROBA JABLEČNÉHO VÍNA A JINÝCH OVOCNÝCH VÍN</t>
  </si>
  <si>
    <t>132000</t>
  </si>
  <si>
    <t>TKANÍ TEXTILIÍ</t>
  </si>
  <si>
    <t>139600</t>
  </si>
  <si>
    <t>VÝROBA OSTATNÍCH TECHNICKÝCH A PRŮMYSLOVÝCH TEXTILIÍ</t>
  </si>
  <si>
    <t>141900</t>
  </si>
  <si>
    <t>VÝROBA OSTATNÍCH ODĚVŮ A ODĚVNÍCH DOPLŇKŮ</t>
  </si>
  <si>
    <t>151200</t>
  </si>
  <si>
    <t>VÝROBA BRAŠNÁŘSKÝCH, SEDLÁŘSKÝCH A PODOBNÝCH VÝROBKŮ</t>
  </si>
  <si>
    <t>162200</t>
  </si>
  <si>
    <t>VÝROBA SESTAVENÝCH PARKETOVÝCH PODLAH</t>
  </si>
  <si>
    <t>171120</t>
  </si>
  <si>
    <t>VÝROBA MECHANICKÝCH VLÁKNIN</t>
  </si>
  <si>
    <t>172900</t>
  </si>
  <si>
    <t>VÝROBA OSTATNÍCH VÝROBKŮ Z PAPÍRU A LEPENKY</t>
  </si>
  <si>
    <t>190000</t>
  </si>
  <si>
    <t>VÝROBA KOKSU A RAFINOVANÝCH ROPNÝCH PRODUKTŮ</t>
  </si>
  <si>
    <t>201400</t>
  </si>
  <si>
    <t>VÝROBA JINÝCH ZÁKLADNÍCH ORGANICKÝCH CHEMICKÝCH LÁTEK</t>
  </si>
  <si>
    <t>204000</t>
  </si>
  <si>
    <t>VÝROBA MÝDEL A DETERGENTŮ, ČISTICÍCH A LEŠTICÍCH PROSTŘEDKŮ, PARFÉMŮ A TOALETNÍCH PŘÍPRAVKŮ</t>
  </si>
  <si>
    <t>205910</t>
  </si>
  <si>
    <t>VÝROBA METYLESTERŮ A ETYLESTERŮ MASTNÝCH KYSELIN PRO POHON MOTORŮ A PRO VÝROBU SMĚSÍ PALIV PRO POHON MOTORŮ</t>
  </si>
  <si>
    <t>221100</t>
  </si>
  <si>
    <t>VÝROBA PRYŽOVÝCH PLÁŠŤŮ A DUŠÍ; PROTEKTOROVÁNÍ PNEUMATIK</t>
  </si>
  <si>
    <t>259000</t>
  </si>
  <si>
    <t>VÝROBA OSTATNÍCH KOVODĚLNÝCH VÝROBKŮ</t>
  </si>
  <si>
    <t>261100</t>
  </si>
  <si>
    <t>VÝROBA ELEKTRONICKÝCH SOUČÁSTEK</t>
  </si>
  <si>
    <t>266000</t>
  </si>
  <si>
    <t>VÝROBA OZAŘOVACÍCH, ELEKTROLÉČEBNÝCH A ELEKTROTERAPEUTICKÝCH PŘÍSTROJŮ</t>
  </si>
  <si>
    <t>273000</t>
  </si>
  <si>
    <t>VÝROBA OPTICKÝCH A ELEKTRICKÝCH KABELŮ, ELEKTRICKÝCH VODIČŮ A ELEKTROINSTALAČNÍCH ZAŘÍZENÍ</t>
  </si>
  <si>
    <t>279000</t>
  </si>
  <si>
    <t>VÝROBA OSTATNÍCH ELEKTRICKÝCH ZAŘÍZENÍ</t>
  </si>
  <si>
    <t>282000</t>
  </si>
  <si>
    <t>VÝROBA OSTATNÍCH STROJŮ A ZAŘÍZENÍ PRO VŠEOBECNÉ ÚČELY</t>
  </si>
  <si>
    <t>284000</t>
  </si>
  <si>
    <t>VÝROBA KOVOOBRÁBĚCÍCH A OSTATNÍCH OBRÁBĚCÍCH STROJŮ</t>
  </si>
  <si>
    <t>289500</t>
  </si>
  <si>
    <t>VÝROBA STROJŮ A PŘÍSTROJŮ NA VÝROBU PAPÍRU A LEPENKY</t>
  </si>
  <si>
    <t>293200</t>
  </si>
  <si>
    <t>VÝROBA OSTATNÍCH DÍLŮ A PŘÍSLUŠENSTVÍ PRO MOTOROVÁ VOZIDLA</t>
  </si>
  <si>
    <t>309000</t>
  </si>
  <si>
    <t>VÝROBA DOPRAVNÍCH PROSTŘEDKŮ A ZAŘÍZENÍ J. N.</t>
  </si>
  <si>
    <t>310900</t>
  </si>
  <si>
    <t>VÝROBA OSTATNÍHO NÁBYTKU</t>
  </si>
  <si>
    <t>324000</t>
  </si>
  <si>
    <t>VÝROBA HER A HRAČEK</t>
  </si>
  <si>
    <t>331200</t>
  </si>
  <si>
    <t>OPRAVY STROJŮ</t>
  </si>
  <si>
    <t>331900</t>
  </si>
  <si>
    <t>OPRAVY OSTATNÍCH ZAŘÍZENÍ</t>
  </si>
  <si>
    <t>352000</t>
  </si>
  <si>
    <t>VÝROBA PLYNU; ROZVOD PLYNNÝCH PALIV PROSTŘEDNICTVÍM SÍTÍ</t>
  </si>
  <si>
    <t>353040</t>
  </si>
  <si>
    <t>ROZVOD KLIMATIZOVANÉHO VZDUCHU</t>
  </si>
  <si>
    <t>381100</t>
  </si>
  <si>
    <t>SHROMAŽĎOVÁNÍ A SBĚR ODPADŮ, KROMĚ NEBEZPEČNÝCH</t>
  </si>
  <si>
    <t>390000</t>
  </si>
  <si>
    <t>SANACE A JINÉ ČINNOSTI SOUVISEJÍCÍ S ODPADY</t>
  </si>
  <si>
    <t>421100</t>
  </si>
  <si>
    <t>VÝSTAVBA SILNIC A DÁLNIC</t>
  </si>
  <si>
    <t>429000</t>
  </si>
  <si>
    <t>VÝSTAVBA OSTATNÍCH STAVEB</t>
  </si>
  <si>
    <t>432000</t>
  </si>
  <si>
    <t>ELEKTROINSTALAČNÍ, INSTALATÉRSKÉ A OSTATNÍ STAVEBNĚ INSTALAČNÍ PRÁCE</t>
  </si>
  <si>
    <t>433400</t>
  </si>
  <si>
    <t>SKLENÁŘSKÉ, MALÍŘSKÉ A NATĚRAČSKÉ PRÁCE</t>
  </si>
  <si>
    <t>439990</t>
  </si>
  <si>
    <t>JINÉ SPECIALIZOVANÉ STAVEBNÍ ČINNOSTI J. N.</t>
  </si>
  <si>
    <t>453200</t>
  </si>
  <si>
    <t>MALOOBCHOD S DÍLY A PŘÍSLUŠENSTVÍM PRO MOTOROVÁ VOZIDLA, KROMĚ MOTOCYKLŮ</t>
  </si>
  <si>
    <t>461500</t>
  </si>
  <si>
    <t>ZPROSTŘEDKOVÁNÍ VELKOOBCHODU A VELKOOBCHOD V ZASTOUPENÍ S NÁBYTKEM, ŽELEZÁŘSKÝM ZBOŽÍM A POTŘEBAMI PŘEVÁŽNĚ PRO DOMÁCNOST</t>
  </si>
  <si>
    <t>462100</t>
  </si>
  <si>
    <t>VELKOOBCHOD S OBILÍM, SUROVÝM TABÁKEM, OSIVY A KRMIVY</t>
  </si>
  <si>
    <t>463400</t>
  </si>
  <si>
    <t>VELKOOBCHOD S NÁPOJI</t>
  </si>
  <si>
    <t>464200</t>
  </si>
  <si>
    <t>VELKOOBCHOD S ODĚVY A OBUVÍ</t>
  </si>
  <si>
    <t>464600</t>
  </si>
  <si>
    <t>VELKOOBCHOD S FARMACEUTICKÝMI VÝROBKY</t>
  </si>
  <si>
    <t>466100</t>
  </si>
  <si>
    <t>VELKOOBCHOD SE ZEMĚDĚLSKÝMI STROJI, STROJNÍM ZAŘÍZENÍM A PŘÍSLUŠENSTVÍM</t>
  </si>
  <si>
    <t>467100</t>
  </si>
  <si>
    <t>VELKOOBCHOD S PEVNÝMI, KAPALNÝMI A PLYNNÝMI PALIVY A PŘÍBUZNÝMI VÝROBKY</t>
  </si>
  <si>
    <t>467600</t>
  </si>
  <si>
    <t>VELKOOBCHOD S OSTATNÍMI MEZIPRODUKTY</t>
  </si>
  <si>
    <t>471900</t>
  </si>
  <si>
    <t>OSTATNÍ MALOOBCHOD V NESPECIALIZOVANÝCH PRODEJNÁCH</t>
  </si>
  <si>
    <t>472900</t>
  </si>
  <si>
    <t>OSTATNÍ MALOOBCHOD S POTRAVINAMI VE SPECIALIZOVANÝCH PRODEJNÁCH</t>
  </si>
  <si>
    <t>475200</t>
  </si>
  <si>
    <t>MALOOBCHOD S ŽELEZÁŘSKÝM ZBOŽÍM, BARVAMI, SKLEM A POTŘEBAMI PRO KUTILY</t>
  </si>
  <si>
    <t>476400</t>
  </si>
  <si>
    <t>MALOOBCHOD SE SPORTOVNÍM VYBAVENÍM</t>
  </si>
  <si>
    <t>477600</t>
  </si>
  <si>
    <t>MALOOBCHOD S KVĚTINAMI, ROSTLINAMI, OSIVY, HNOJIVY, ZVÍŘATY PRO ZÁJMOVÝ CHOV A KRMIVY PRO NĚ</t>
  </si>
  <si>
    <t>477900</t>
  </si>
  <si>
    <t>MALOOBCHOD S POUŽITÝM ZBOŽÍM V PRODEJNÁCH</t>
  </si>
  <si>
    <t>479120</t>
  </si>
  <si>
    <t>MALOOBCHOD PROSTŘEDNICTVÍM ZÁSILKOVÉ SLUŽBY (JINÝ NEŽ PROSTŘEDNICTVÍM INTERNETU)</t>
  </si>
  <si>
    <t>493900</t>
  </si>
  <si>
    <t>OSTATNÍ POZEMNÍ OSOBNÍ DOPRAVA J. N.</t>
  </si>
  <si>
    <t>495000</t>
  </si>
  <si>
    <t>POTRUBNÍ DOPRAVA</t>
  </si>
  <si>
    <t>504000</t>
  </si>
  <si>
    <t>VNITROZEMSKÁ VODNÍ NÁKLADNÍ DOPRAVA</t>
  </si>
  <si>
    <t>512000</t>
  </si>
  <si>
    <t>LETECKÁ NÁKLADNÍ DOPRAVA A KOSMICKÁ DOPRAVA</t>
  </si>
  <si>
    <t>522300</t>
  </si>
  <si>
    <t>ČINNOSTI SOUVISEJÍCÍ S LETECKOU DOPRAVOU</t>
  </si>
  <si>
    <t>551010</t>
  </si>
  <si>
    <t>HOTELY</t>
  </si>
  <si>
    <t>559090</t>
  </si>
  <si>
    <t>OSTATNÍ UBYTOVÁNÍ J. N.</t>
  </si>
  <si>
    <t>562990</t>
  </si>
  <si>
    <t>POSKYTOVÁNÍ JINÝCH STRAVOVACÍCH SLUŽEB J. N.</t>
  </si>
  <si>
    <t>581900</t>
  </si>
  <si>
    <t>OSTATNÍ VYDAVATELSKÉ ČINNOSTI</t>
  </si>
  <si>
    <t>591300</t>
  </si>
  <si>
    <t>DISTRIBUCE FILMŮ, VIDEOZÁZNAMŮ A TELEVIZNÍCH PROGRAMŮ</t>
  </si>
  <si>
    <t>611010</t>
  </si>
  <si>
    <t>POSKYTOVÁNÍ HLASOVÝCH SLUŽEB PŘES PEVNOU TELEKOMUNIKAČNÍ SÍŤ</t>
  </si>
  <si>
    <t>612030</t>
  </si>
  <si>
    <t>PŘENOS DAT PŘES BEZDRÁTOVOU TELEKOMUNIKAČNÍ SÍŤ</t>
  </si>
  <si>
    <t>620300</t>
  </si>
  <si>
    <t>SPRÁVA POČÍTAČOVÉHO VYBAVENÍ</t>
  </si>
  <si>
    <t>639900</t>
  </si>
  <si>
    <t>OSTATNÍ INFORMAČNÍ ČINNOSTI J. N.</t>
  </si>
  <si>
    <t>649100</t>
  </si>
  <si>
    <t>FINANČNÍ LEASING</t>
  </si>
  <si>
    <t>649920</t>
  </si>
  <si>
    <t>OBCHODOVÁNÍ S CENNÝMI PAPÍRY NA VLASTNÍ ÚČET</t>
  </si>
  <si>
    <t>660000</t>
  </si>
  <si>
    <t>OSTATNÍ FINANČNÍ ČINNOSTI</t>
  </si>
  <si>
    <t>662900</t>
  </si>
  <si>
    <t>OSTATNÍ POMOCNÉ ČINNOSTI SOUVISEJÍCÍ S POJIŠŤOVNICTVÍM A PENZIJNÍM FINANCOVÁNÍM</t>
  </si>
  <si>
    <t>682040</t>
  </si>
  <si>
    <t>SPRÁVA VLASTNÍCH NEBO PRONAJATÝCH NEMOVITOSTÍ S NEBYTOVÝMI PROSTORY</t>
  </si>
  <si>
    <t>701000</t>
  </si>
  <si>
    <t>ČINNOSTI VEDENÍ PODNIKŮ</t>
  </si>
  <si>
    <t>711210</t>
  </si>
  <si>
    <t>GEOLOGICKÝ PRŮZKUM</t>
  </si>
  <si>
    <t>721000</t>
  </si>
  <si>
    <t>VÝZKUM A VÝVOJ V OBLASTI PŘÍRODNÍCH A TECHNICKÝCH VĚD</t>
  </si>
  <si>
    <t>731000</t>
  </si>
  <si>
    <t>REKLAMNÍ ČINNOSTI</t>
  </si>
  <si>
    <t>749000</t>
  </si>
  <si>
    <t>OSTATNÍ PROFESNÍ, VĚDECKÉ A TECHNICKÉ ČINNOSTI J. N.</t>
  </si>
  <si>
    <t>771200</t>
  </si>
  <si>
    <t>PRONÁJEM A LEASING NÁKLADNÍCH AUTOMOBILŮ</t>
  </si>
  <si>
    <t>773300</t>
  </si>
  <si>
    <t>PRONÁJEM A LEASING KANCELÁŘSKÝCH STROJŮ A ZAŘÍZENÍ, VČETNĚ POČÍTAČŮ</t>
  </si>
  <si>
    <t>783000</t>
  </si>
  <si>
    <t>OSTATNÍ POSKYTOVÁNÍ LIDSKÝCH ZDROJŮ</t>
  </si>
  <si>
    <t>800000</t>
  </si>
  <si>
    <t>BEZPEČNOSTNÍ A PÁTRACÍ ČINNOSTI</t>
  </si>
  <si>
    <t>812200</t>
  </si>
  <si>
    <t>SPECIALIZOVANÉ ČIŠTĚNÍ A ÚKLID BUDOV A PRŮMYSLOVÝCH ZAŘÍZENÍ</t>
  </si>
  <si>
    <t>823000</t>
  </si>
  <si>
    <t>POŘÁDÁNÍ KONFERENCÍ A HOSPODÁŘSKÝCH VÝSTAV</t>
  </si>
  <si>
    <t>841200</t>
  </si>
  <si>
    <t>REGULACE ČINNOSTÍ SOUVISEJÍCÍCH S POSKYTOVÁNÍM ZDRAVOTNÍ PÉČE, VZDĚLÁVÁNÍM, KULTUROU A SOCIÁLNÍ PÉČÍ, KROMĚ SOCIÁLNÍHO ZABEZPEČENÍ</t>
  </si>
  <si>
    <t>842300</t>
  </si>
  <si>
    <t>ČINNOSTI V OBLASTI SPRAVEDLNOSTI A SOUDNICTVÍ</t>
  </si>
  <si>
    <t>853100</t>
  </si>
  <si>
    <t>SEKUNDÁRNÍ VŠEOBECNÉ VZDĚLÁVÁNÍ</t>
  </si>
  <si>
    <t>854200</t>
  </si>
  <si>
    <t>TERCIÁRNÍ VZDĚLÁVÁNÍ</t>
  </si>
  <si>
    <t>855900</t>
  </si>
  <si>
    <t>OSTATNÍ VZDĚLÁVÁNÍ J. N.</t>
  </si>
  <si>
    <t>862000</t>
  </si>
  <si>
    <t>AMBULANTNÍ A ZUBNÍ ZDRAVOTNÍ PÉČE</t>
  </si>
  <si>
    <t>871000</t>
  </si>
  <si>
    <t>SOCIÁLNÍ PÉČE VE ZDRAVOTNICKÝCH ZAŘÍZENÍCH ÚSTAVNÍ PÉČE</t>
  </si>
  <si>
    <t>880000</t>
  </si>
  <si>
    <t>AMBULANTNÍ NEBO TERÉNNÍ SOCIÁLNÍ SLUŽBY</t>
  </si>
  <si>
    <t>889920</t>
  </si>
  <si>
    <t>SOCIÁLNÍ PREVENCE</t>
  </si>
  <si>
    <t>910000</t>
  </si>
  <si>
    <t>ČINNOSTI KNIHOVEN, ARCHIVŮ, MUZEÍ A JINÝCH KULTURNÍCH ZAŘÍZENÍ</t>
  </si>
  <si>
    <t>930000</t>
  </si>
  <si>
    <t>SPORTOVNÍ, ZÁBAVNÍ A REKREAČNÍ ČINNOSTI</t>
  </si>
  <si>
    <t>932900</t>
  </si>
  <si>
    <t>OSTATNÍ ZÁBAVNÍ A REKREAČNÍ ČINNOSTI J. N.</t>
  </si>
  <si>
    <t>949200</t>
  </si>
  <si>
    <t>ČINNOSTI POLITICKÝCH STRAN A ORGANIZACÍ</t>
  </si>
  <si>
    <t>949970</t>
  </si>
  <si>
    <t>ČINNOSTI OBČANSKÝCH INICIATIV, PROTESTNÍCH HNUTÍ</t>
  </si>
  <si>
    <t>952200</t>
  </si>
  <si>
    <t>OPRAVY PŘÍSTROJŮ A ZAŘÍZENÍ PŘEVÁŽNĚ PRO DOMÁCNOST, DŮM A ZAHRADU</t>
  </si>
  <si>
    <t>960300</t>
  </si>
  <si>
    <t>POHŘEBNÍ A SOUVISEJÍCÍ ČINNOSTI</t>
  </si>
  <si>
    <t>233100</t>
  </si>
  <si>
    <t>VÝROBA KERAMICKÝCH OBKLÁDAČEK A DLAŽDIC</t>
  </si>
  <si>
    <t>231100</t>
  </si>
  <si>
    <t>VÝROBA PLOCHÉHO SKLA</t>
  </si>
  <si>
    <t>234200</t>
  </si>
  <si>
    <t>VÝROBA KERAMICKÝCH SANITÁRNÍCH VÝROBKŮ</t>
  </si>
  <si>
    <t>236100</t>
  </si>
  <si>
    <t>VÝROBA BETONOVÝCH VÝROBKŮ PRO STAVEBNÍ ÚČELY</t>
  </si>
  <si>
    <t>239100</t>
  </si>
  <si>
    <t>VÝROBA BRUSIV</t>
  </si>
  <si>
    <t>243000</t>
  </si>
  <si>
    <t>VÝROBA OSTATNÍCH VÝROBKŮ ZÍSKANÝCH JEDNOSTUPŇOVÝM ZPRACOVÁNÍM OCELI</t>
  </si>
  <si>
    <t>244000</t>
  </si>
  <si>
    <t>VÝROBA A HUTNÍ ZPRACOVÁNÍ DRAHÝCH A NEŽELEZNÝCH KOVŮ</t>
  </si>
  <si>
    <t>245100</t>
  </si>
  <si>
    <t>VÝROBA ODLITKŮ Z LITINY</t>
  </si>
  <si>
    <t>251100</t>
  </si>
  <si>
    <t>VÝROBA KOVOVÝCH KONSTRUKCÍ A JEJICH DÍLŮ</t>
  </si>
  <si>
    <t>256000</t>
  </si>
  <si>
    <t>POVRCHOVÁ ÚPRAVA A ZUŠLECHŤOVÁNÍ KOVŮ; OBRÁBĚNÍ</t>
  </si>
  <si>
    <t>11400</t>
  </si>
  <si>
    <t>PĚSTOVÁNÍ CUKROVÉ TŘTINY</t>
  </si>
  <si>
    <t>12400</t>
  </si>
  <si>
    <t>PĚSTOVÁNÍ JÁDROVÉHO A PECKOVÉHO OVOCE</t>
  </si>
  <si>
    <t>14100</t>
  </si>
  <si>
    <t>CHOV MLÉČNÉHO SKOTU</t>
  </si>
  <si>
    <t>14910</t>
  </si>
  <si>
    <t>CHOV DROBNÝCH HOSPODÁŘSKÝCH ZVÍŘAT</t>
  </si>
  <si>
    <t>16300</t>
  </si>
  <si>
    <t>POSKLIZŇOVÉ ČINNOSTI</t>
  </si>
  <si>
    <t>30000</t>
  </si>
  <si>
    <t>RYBOLOV A AKVAKULTURA</t>
  </si>
  <si>
    <t>51000</t>
  </si>
  <si>
    <t>TĚŽBA A ÚPRAVA ČERNÉHO UHLÍ</t>
  </si>
  <si>
    <t>60000</t>
  </si>
  <si>
    <t>TĚŽBA ROPY A ZEMNÍHO PLYNU</t>
  </si>
  <si>
    <t>72100</t>
  </si>
  <si>
    <t>TĚŽBA A ÚPRAVA URANOVÝCH A THORIOVÝCH RUD</t>
  </si>
  <si>
    <t>81100</t>
  </si>
  <si>
    <t>DOBÝVÁNÍ KAMENE PRO VÝTVARNÉ NEBO STAVEBNÍ ÚČELY, VÁPENCE, SÁDROVCE, KŘÍDY A BŘIDLICE</t>
  </si>
  <si>
    <t>91000</t>
  </si>
  <si>
    <t>PODPŮRNÉ ČINNOSTI PŘI TĚŽBĚ ROPY A ZEMNÍHO PLYNU</t>
  </si>
  <si>
    <t>103000</t>
  </si>
  <si>
    <t>ZPRACOVÁNÍ A KONZERVOVÁNÍ OVOCE A ZELENINY</t>
  </si>
  <si>
    <t>105100</t>
  </si>
  <si>
    <t>ZPRACOVÁNÍ MLÉKA, VÝROBA MLÉČNÝCH VÝROBKŮ A SÝRŮ</t>
  </si>
  <si>
    <t>107300</t>
  </si>
  <si>
    <t>VÝROBA MAKARONŮ, NUDLÍ, KUSKUSU A PODOBNÝCH MOUČNÝCH VÝROBKŮ</t>
  </si>
  <si>
    <t>108900</t>
  </si>
  <si>
    <t>VÝROBA OSTATNÍCH POTRAVINÁŘSKÝCH VÝROBKŮ J. N.</t>
  </si>
  <si>
    <t>110400</t>
  </si>
  <si>
    <t>VÝROBA OSTATNÍCH NEDESTILOVANÝCH KVAŠENÝCH NÁPOJŮ</t>
  </si>
  <si>
    <t>133000</t>
  </si>
  <si>
    <t>KONEČNÁ ÚPRAVA TEXTILIÍ</t>
  </si>
  <si>
    <t>139900</t>
  </si>
  <si>
    <t>VÝROBA OSTATNÍCH TEXTILIÍ J. N.</t>
  </si>
  <si>
    <t>142000</t>
  </si>
  <si>
    <t>VÝROBA KOŽEŠINOVÝCH VÝROBKŮ</t>
  </si>
  <si>
    <t>152000</t>
  </si>
  <si>
    <t>VÝROBA OBUVI</t>
  </si>
  <si>
    <t>162300</t>
  </si>
  <si>
    <t>VÝROBA OSTATNÍCH VÝROBKŮ STAVEBNÍHO TRUHLÁŘSTVÍ A TESAŘSTVÍ</t>
  </si>
  <si>
    <t>171130</t>
  </si>
  <si>
    <t>VÝROBA OSTATNÍCH PAPÍRENSKÝCH VLÁKNIN</t>
  </si>
  <si>
    <t>180000</t>
  </si>
  <si>
    <t>TISK A ROZMNOŽOVÁNÍ NAHRANÝCH NOSIČŮ</t>
  </si>
  <si>
    <t>191000</t>
  </si>
  <si>
    <t>VÝROBA KOKSÁRENSKÝCH PRODUKTŮ</t>
  </si>
  <si>
    <t>201410</t>
  </si>
  <si>
    <t>VÝROBA BIOETANOLU (BIOLIHU) PRO POHON MOTORŮ A PRO VÝROBU SMĚSÍ A KOMPONENT PALIV PRO POHON MOTORŮ</t>
  </si>
  <si>
    <t>204100</t>
  </si>
  <si>
    <t>VÝROBA MÝDEL A DETERGENTŮ, ČISTICÍCH A LEŠTICÍCH PROSTŘEDKŮ</t>
  </si>
  <si>
    <t>205990</t>
  </si>
  <si>
    <t>VÝROBA JINÝCH CHEMICKÝCH VÝROBKŮ J. N.</t>
  </si>
  <si>
    <t>221900</t>
  </si>
  <si>
    <t>VÝROBA OSTATNÍCH PRYŽOVÝCH VÝROBKŮ</t>
  </si>
  <si>
    <t>259100</t>
  </si>
  <si>
    <t>VÝROBA OCELOVÝCH SUDŮ A PODOBNÝCH NÁDOB</t>
  </si>
  <si>
    <t>261200</t>
  </si>
  <si>
    <t>VÝROBA OSAZENÝCH ELEKTRONICKÝCH DESEK</t>
  </si>
  <si>
    <t>267000</t>
  </si>
  <si>
    <t>VÝROBA OPTICKÝCH A FOTOGRAFICKÝCH PŘÍSTROJŮ A ZAŘÍZENÍ</t>
  </si>
  <si>
    <t>273100</t>
  </si>
  <si>
    <t>VÝROBA OPTICKÝCH KABELŮ</t>
  </si>
  <si>
    <t>280000</t>
  </si>
  <si>
    <t>VÝROBA STROJŮ A ZAŘÍZENÍ J. N.</t>
  </si>
  <si>
    <t>282100</t>
  </si>
  <si>
    <t>VÝROBA PECÍ A HOŘÁKŮ PRO TOPENIŠTĚ</t>
  </si>
  <si>
    <t>284100</t>
  </si>
  <si>
    <t>VÝROBA KOVOOBRÁBĚCÍCH STROJŮ</t>
  </si>
  <si>
    <t>289600</t>
  </si>
  <si>
    <t>VÝROBA STROJŮ NA VÝROBU PLASTŮ A PRYŽE</t>
  </si>
  <si>
    <t>300000</t>
  </si>
  <si>
    <t>VÝROBA OSTATNÍCH DOPRAVNÍCH PROSTŘEDKŮ A ZAŘÍZENÍ</t>
  </si>
  <si>
    <t>309100</t>
  </si>
  <si>
    <t>VÝROBA MOTOCYKLŮ</t>
  </si>
  <si>
    <t>320000</t>
  </si>
  <si>
    <t>OSTATNÍ ZPRACOVATELSKÝ PRŮMYSL</t>
  </si>
  <si>
    <t>325000</t>
  </si>
  <si>
    <t>VÝROBA LÉKAŘSKÝCH A DENTÁLNÍCH NÁSTROJŮ A POTŘEB</t>
  </si>
  <si>
    <t>331300</t>
  </si>
  <si>
    <t>OPRAVY ELEKTRONICKÝCH A OPTICKÝCH PŘÍSTROJŮ A ZAŘÍZENÍ</t>
  </si>
  <si>
    <t>332000</t>
  </si>
  <si>
    <t>INSTALACE PRŮMYSLOVÝCH STROJŮ A ZAŘÍZENÍ</t>
  </si>
  <si>
    <t>352100</t>
  </si>
  <si>
    <t>VÝROBA PLYNU</t>
  </si>
  <si>
    <t>353050</t>
  </si>
  <si>
    <t>VÝROBA CHLADICÍ VODY</t>
  </si>
  <si>
    <t>381200</t>
  </si>
  <si>
    <t>SHROMAŽĎOVÁNÍ A SBĚR NEBEZPEČNÝCH ODPADŮ</t>
  </si>
  <si>
    <t>410000</t>
  </si>
  <si>
    <t>VÝSTAVBA BUDOV</t>
  </si>
  <si>
    <t>421200</t>
  </si>
  <si>
    <t>VÝSTAVBA ŽELEZNIC A PODZEMNÍCH DRAH</t>
  </si>
  <si>
    <t>429100</t>
  </si>
  <si>
    <t>VÝSTAVBA VODNÍCH DĚL</t>
  </si>
  <si>
    <t>432100</t>
  </si>
  <si>
    <t>ELEKTRICKÉ INSTALACE</t>
  </si>
  <si>
    <t>433410</t>
  </si>
  <si>
    <t>SKLENÁŘSKÉ PRÁCE</t>
  </si>
  <si>
    <t>450000</t>
  </si>
  <si>
    <t>VELKOOBCHOD, MALOOBCHOD A OPRAVY MOTOROVÝCH VOZIDEL</t>
  </si>
  <si>
    <t>454000</t>
  </si>
  <si>
    <t>OBCHOD, OPRAVY A ÚDRŽBA MOTOCYKLŮ, JEJICH DÍLŮ A PŘÍSLUŠENSTVÍ</t>
  </si>
  <si>
    <t>461600</t>
  </si>
  <si>
    <t>ZPROSTŘEDKOVÁNÍ VELKOOBCHODU A VELKOOBCHOD V ZASTOUPENÍ S TEXTILEM, ODĚVY, KOŽEŠINAMI, OBUVÍ A KOŽENÝMI VÝROBKY</t>
  </si>
  <si>
    <t>462200</t>
  </si>
  <si>
    <t>VELKOOBCHOD S KVĚTINAMI A JINÝMI ROSTLINAMI</t>
  </si>
  <si>
    <t>463500</t>
  </si>
  <si>
    <t>VELKOOBCHOD S TABÁKOVÝMI VÝROBKY</t>
  </si>
  <si>
    <t>464210</t>
  </si>
  <si>
    <t>VELKOOBCHOD S ODĚVY</t>
  </si>
  <si>
    <t>464700</t>
  </si>
  <si>
    <t>VELKOOBCHOD S NÁBYTKEM, KOBERCI A SVÍTIDLY</t>
  </si>
  <si>
    <t>466200</t>
  </si>
  <si>
    <t>VELKOOBCHOD S OBRÁBĚCÍMI STROJI</t>
  </si>
  <si>
    <t>467110</t>
  </si>
  <si>
    <t>VELKOOBCHOD S PEVNÝMI PALIVY A PŘÍBUZNÝMI VÝROBKY</t>
  </si>
  <si>
    <t>467610</t>
  </si>
  <si>
    <t>VELKOOBCHOD S PAPÍRENSKÝMI MEZIPRODUKTY</t>
  </si>
  <si>
    <t>472000</t>
  </si>
  <si>
    <t>MALOOBCHOD S POTRAVINAMI, NÁPOJI A TABÁKOVÝMI VÝROBKY VE SPECIALIZOVANÝCH PRODEJNÁCH</t>
  </si>
  <si>
    <t>473000</t>
  </si>
  <si>
    <t>MALOOBCHOD S POHONNÝMI HMOTAMI VE SPECIALIZOVANÝCH PRODEJNÁCH</t>
  </si>
  <si>
    <t>475300</t>
  </si>
  <si>
    <t>MALOOBCHOD S KOBERCI, PODLAHOVÝMI KRYTINAMI A NÁSTĚNNÝMI OBKLADY</t>
  </si>
  <si>
    <t>476500</t>
  </si>
  <si>
    <t>MALOOBCHOD S HRAMI A HRAČKAMI</t>
  </si>
  <si>
    <t>477700</t>
  </si>
  <si>
    <t>MALOOBCHOD S HODINAMI, HODINKAMI A KLENOTY</t>
  </si>
  <si>
    <t>478000</t>
  </si>
  <si>
    <t>MALOOBCHOD VE STÁNCÍCH A NA TRZÍCH</t>
  </si>
  <si>
    <t>479900</t>
  </si>
  <si>
    <t>OSTATNÍ MALOOBCHOD MIMO PRODEJNY, STÁNKY A TRHY</t>
  </si>
  <si>
    <t>493910</t>
  </si>
  <si>
    <t>MEZIMĚSTSKÁ PRAVIDELNÁ POZEMNÍ OSOBNÍ DOPRAVA</t>
  </si>
  <si>
    <t>495010</t>
  </si>
  <si>
    <t>POTRUBNÍ DOPRAVA ROPOVODEM</t>
  </si>
  <si>
    <t>510000</t>
  </si>
  <si>
    <t>LETECKÁ DOPRAVA</t>
  </si>
  <si>
    <t>512100</t>
  </si>
  <si>
    <t>LETECKÁ NÁKLADNÍ DOPRAVA</t>
  </si>
  <si>
    <t>522400</t>
  </si>
  <si>
    <t>MANIPULACE S NÁKLADEM</t>
  </si>
  <si>
    <t>551020</t>
  </si>
  <si>
    <t>MOTELY, BOTELY</t>
  </si>
  <si>
    <t>560000</t>
  </si>
  <si>
    <t>STRAVOVÁNÍ A POHOSTINSTVÍ</t>
  </si>
  <si>
    <t>563000</t>
  </si>
  <si>
    <t>POHOSTINSTVÍ</t>
  </si>
  <si>
    <t>582000</t>
  </si>
  <si>
    <t>VYDÁVÁNÍ SOFTWARU</t>
  </si>
  <si>
    <t>591400</t>
  </si>
  <si>
    <t>PROMÍTÁNÍ FILMŮ</t>
  </si>
  <si>
    <t>611020</t>
  </si>
  <si>
    <t>PRONÁJEM PEVNÉ TELEKOMUNIKAČNÍ SÍTĚ</t>
  </si>
  <si>
    <t>612040</t>
  </si>
  <si>
    <t>POSKYTOVÁNÍ PŘÍSTUPU K INTERNETU PŘES BEZDRÁTOVOU TELEKOMUNIKAČNÍ SÍŤ</t>
  </si>
  <si>
    <t>620900</t>
  </si>
  <si>
    <t>OSTATNÍ ČINNOSTI V OBLASTI INFORMAČNÍCH TECHNOLOGIÍ</t>
  </si>
  <si>
    <t>640000</t>
  </si>
  <si>
    <t>FINANČNÍ ZPROSTŘEDKOVÁNÍ, KROMĚ POJIŠŤOVNICTVÍ A PENZIJNÍHO FINANCOVÁNÍ</t>
  </si>
  <si>
    <t>649200</t>
  </si>
  <si>
    <t>OSTATNÍ POSKYTOVÁNÍ ÚVĚRŮ</t>
  </si>
  <si>
    <t>649990</t>
  </si>
  <si>
    <t>JINÉ FINANČNÍ ZPROSTŘEDKOVÁNÍ J. N.</t>
  </si>
  <si>
    <t>661000</t>
  </si>
  <si>
    <t>POMOCNÉ ČINNOSTI SOUVISEJÍCÍ S FINANČNÍM ZPROSTŘEDKOVÁNÍM, KROMĚ POJIŠŤOVNICTVÍ A PENZIJNÍHO FINANCOVÁNÍ</t>
  </si>
  <si>
    <t>663000</t>
  </si>
  <si>
    <t>SPRÁVA FONDŮ</t>
  </si>
  <si>
    <t>683000</t>
  </si>
  <si>
    <t>ČINNOSTI V OBLASTI NEMOVITOSTÍ NA ZÁKLADĚ SMLOUVY NEBO DOHODY</t>
  </si>
  <si>
    <t>702000</t>
  </si>
  <si>
    <t>PORADENSTVÍ V OBLASTI ŘÍZENÍ</t>
  </si>
  <si>
    <t>711220</t>
  </si>
  <si>
    <t>ZEMĚMĚŘICKÉ A KARTOGRAFICKÉ ČINNOSTI</t>
  </si>
  <si>
    <t>721100</t>
  </si>
  <si>
    <t>VÝZKUM A VÝVOJ V OBLASTI BIOTECHNOLOGIE</t>
  </si>
  <si>
    <t>731100</t>
  </si>
  <si>
    <t>ČINNOSTI REKLAMNÍCH AGENTUR</t>
  </si>
  <si>
    <t>749010</t>
  </si>
  <si>
    <t>PORADENSTVÍ V OBLASTI BEZPEČNOSTI A OCHRANY ZDRAVÍ PŘI PRÁCI</t>
  </si>
  <si>
    <t>772000</t>
  </si>
  <si>
    <t>PRONÁJEM A LEASING VÝROBKŮ PRO OSOBNÍ POTŘEBU A PŘEVÁŽNĚ PRO DOMÁCNOST</t>
  </si>
  <si>
    <t>773400</t>
  </si>
  <si>
    <t>PRONÁJEM A LEASING VODNÍCH DOPRAVNÍCH PROSTŘEDKŮ</t>
  </si>
  <si>
    <t>790000</t>
  </si>
  <si>
    <t>ČINNOSTI CESTOVNÍCH AGENTUR, KANCELÁŘÍ A JINÉ REZERVAČNÍ A SOUVISEJÍCÍ ČINNOSTI</t>
  </si>
  <si>
    <t>801000</t>
  </si>
  <si>
    <t>ČINNOSTI SOUKROMÝCH BEZPEČNOSTNÍCH AGENTUR</t>
  </si>
  <si>
    <t>812900</t>
  </si>
  <si>
    <t>OSTATNÍ ÚKLIDOVÉ ČINNOSTI</t>
  </si>
  <si>
    <t>829000</t>
  </si>
  <si>
    <t>PODPŮRNÉ ČINNOSTI PRO PODNIKÁNÍ J. N.</t>
  </si>
  <si>
    <t>841300</t>
  </si>
  <si>
    <t>REGULACE A PODPORA PODNIKATELSKÉHO PROSTŘEDÍ</t>
  </si>
  <si>
    <t>842400</t>
  </si>
  <si>
    <t>ČINNOSTI V OBLASTI VEŘEJNÉHO POŘÁDKU A BEZPEČNOSTI</t>
  </si>
  <si>
    <t>853110</t>
  </si>
  <si>
    <t>ZÁKLADNÍ VZDĚLÁVÁNÍ NA DRUHÉM STUPNI ZÁKLADNÍCH ŠKOL</t>
  </si>
  <si>
    <t>855000</t>
  </si>
  <si>
    <t>OSTATNÍ VZDĚLÁVÁNÍ</t>
  </si>
  <si>
    <t>855910</t>
  </si>
  <si>
    <t>VZDĚLÁVÁNÍ V JAZYKOVÝCH ŠKOLÁCH</t>
  </si>
  <si>
    <t>862100</t>
  </si>
  <si>
    <t>VŠEOBECNÁ AMBULANTNÍ ZDRAVOTNÍ PÉČE</t>
  </si>
  <si>
    <t>872000</t>
  </si>
  <si>
    <t>SOCIÁLNÍ PÉČE V ZAŘÍZENÍCH PRO OSOBY S CHRONICKÝM DUŠEVNÍM ONEMOCNĚNÍM A OSOBY ZÁVISLÉ NA NÁVYKOVÝCH LÁTKÁCH</t>
  </si>
  <si>
    <t>881000</t>
  </si>
  <si>
    <t>AMBULANTNÍ NEBO TERÉNNÍ SOCIÁLNÍ SLUŽBY PRO SENIORY A OSOBY SE ZDRAVOTNÍM POSTIŽENÍM</t>
  </si>
  <si>
    <t>889930</t>
  </si>
  <si>
    <t>SOCIÁLNÍ REHABILITACE</t>
  </si>
  <si>
    <t>910100</t>
  </si>
  <si>
    <t>ČINNOSTI KNIHOVEN A ARCHIVŮ</t>
  </si>
  <si>
    <t>931000</t>
  </si>
  <si>
    <t>SPORTOVNÍ ČINNOSTI</t>
  </si>
  <si>
    <t>940000</t>
  </si>
  <si>
    <t>ČINNOSTI ORGANIZACÍ SDRUŽUJÍCÍCH OSOBY ZA ÚČELEM PROSAZOVÁNÍ SPOLEČNÝCH ZÁJMŮ</t>
  </si>
  <si>
    <t>949900</t>
  </si>
  <si>
    <t>ČINNOSTI OSTATNÍCH ORGANIZACÍ SDRUŽUJÍCÍCH OSOBY ZA ÚČELEM PROSAZOVÁNÍ SPOLEČNÝCH ZÁJMŮ J. N.</t>
  </si>
  <si>
    <t>949990</t>
  </si>
  <si>
    <t>ČINNOSTI OSTATNÍCH ORGANIZACÍ J. N.</t>
  </si>
  <si>
    <t>952300</t>
  </si>
  <si>
    <t>OPRAVY OBUVI A KOŽENÝCH VÝROBKŮ</t>
  </si>
  <si>
    <t>960400</t>
  </si>
  <si>
    <t>ČINNOSTI PRO OSOBNÍ A FYZICKOU POHODU</t>
  </si>
  <si>
    <t>233200</t>
  </si>
  <si>
    <t>VÝROBA PÁLENÝCH ZDICÍCH MATERIÁLŮ, TAŠEK, DLAŽDIC A PODOBNÝCH VÝROBKŮ</t>
  </si>
  <si>
    <t>231200</t>
  </si>
  <si>
    <t>TVAROVÁNÍ A ZPRACOVÁNÍ PLOCHÉHO SKLA</t>
  </si>
  <si>
    <t>234300</t>
  </si>
  <si>
    <t>VÝROBA KERAMICKÝCH IZOLÁTORŮ A IZOLAČNÍHO PŘÍSLUŠENSTVÍ</t>
  </si>
  <si>
    <t>236200</t>
  </si>
  <si>
    <t>VÝROBA SÁDROVÝCH VÝROBKŮ PRO STAVEBNÍ ÚČELY</t>
  </si>
  <si>
    <t>239900</t>
  </si>
  <si>
    <t>VÝROBA OSTATNÍCH NEKOVOVÝCH MINERÁLNÍCH VÝROBKŮ J. N.</t>
  </si>
  <si>
    <t>243100</t>
  </si>
  <si>
    <t>TAŽENÍ TYČÍ ZA STUDENA</t>
  </si>
  <si>
    <t>244100</t>
  </si>
  <si>
    <t>VÝROBA A HUTNÍ ZPRACOVÁNÍ DRAHÝCH KOVŮ</t>
  </si>
  <si>
    <t>245110</t>
  </si>
  <si>
    <t>VÝROBA ODLITKŮ Z LITINY S LUPÍNKOVÝM GRAFITEM</t>
  </si>
  <si>
    <t>251200</t>
  </si>
  <si>
    <t>VÝROBA KOVOVÝCH DVEŘÍ A OKEN</t>
  </si>
  <si>
    <t>256100</t>
  </si>
  <si>
    <t>POVRCHOVÁ ÚPRAVA A ZUŠLECHŤOVÁNÍ KOVŮ</t>
  </si>
  <si>
    <t>11500</t>
  </si>
  <si>
    <t>PĚSTOVÁNÍ TABÁKU</t>
  </si>
  <si>
    <t>12500</t>
  </si>
  <si>
    <t>PĚSTOVÁNÍ OSTATNÍHO STROMOVÉHO A KEŘOVÉHO OVOCE A OŘECHŮ</t>
  </si>
  <si>
    <t>14200</t>
  </si>
  <si>
    <t>CHOV JINÉHO SKOTU</t>
  </si>
  <si>
    <t>14920</t>
  </si>
  <si>
    <t>CHOV KOŽEŠINOVÝCH ZVÍŘAT</t>
  </si>
  <si>
    <t>16400</t>
  </si>
  <si>
    <t>ZPRACOVÁNÍ OSIVA PRO ÚČELY MNOŽENÍ</t>
  </si>
  <si>
    <t>31000</t>
  </si>
  <si>
    <t>RYBOLOV</t>
  </si>
  <si>
    <t>51010</t>
  </si>
  <si>
    <t>TĚŽBA ČERNÉHO UHLÍ</t>
  </si>
  <si>
    <t>61000</t>
  </si>
  <si>
    <t>TĚŽBA ROPY</t>
  </si>
  <si>
    <t>72110</t>
  </si>
  <si>
    <t>TĚŽBA URANOVÝCH A THORIOVÝCH RUD</t>
  </si>
  <si>
    <t>81200</t>
  </si>
  <si>
    <t>PROVOZ PÍSKOVEN A ŠTĚRKOPÍSKOVEN; TĚŽBA JÍLŮ A KAOLINU</t>
  </si>
  <si>
    <t>99000</t>
  </si>
  <si>
    <t>PODPŮRNÉ ČINNOSTI PŘI OSTATNÍ TĚŽBĚ A DOBÝVÁNÍ</t>
  </si>
  <si>
    <t>103100</t>
  </si>
  <si>
    <t>ZPRACOVÁNÍ A KONZERVOVÁNÍ BRAMBOR</t>
  </si>
  <si>
    <t>105200</t>
  </si>
  <si>
    <t>VÝROBA ZMRZLINY</t>
  </si>
  <si>
    <t>108000</t>
  </si>
  <si>
    <t>VÝROBA OSTATNÍCH POTRAVINÁŘSKÝCH VÝROBKŮ</t>
  </si>
  <si>
    <t>109000</t>
  </si>
  <si>
    <t>VÝROBA PRŮMYSLOVÝCH KRMIV</t>
  </si>
  <si>
    <t>110500</t>
  </si>
  <si>
    <t>VÝROBA PIVA</t>
  </si>
  <si>
    <t>139000</t>
  </si>
  <si>
    <t>VÝROBA OSTATNÍCH TEXTILIÍ</t>
  </si>
  <si>
    <t>140000</t>
  </si>
  <si>
    <t>VÝROBA ODĚVŮ</t>
  </si>
  <si>
    <t>143000</t>
  </si>
  <si>
    <t>VÝROBA PLETENÝCH A HÁČKOVANÝCH ODĚVŮ</t>
  </si>
  <si>
    <t>152010</t>
  </si>
  <si>
    <t>VÝROBA OBUVI S USŇOVÝM SVRŠKEM</t>
  </si>
  <si>
    <t>162400</t>
  </si>
  <si>
    <t>VÝROBA DŘEVĚNÝCH OBALŮ</t>
  </si>
  <si>
    <t>171200</t>
  </si>
  <si>
    <t>VÝROBA PAPÍRU A LEPENKY</t>
  </si>
  <si>
    <t>181000</t>
  </si>
  <si>
    <t>TISK A ČINNOSTI SOUVISEJÍCÍ S TISKEM</t>
  </si>
  <si>
    <t>192000</t>
  </si>
  <si>
    <t>VÝROBA RAFINOVANÝCH ROPNÝCH PRODUKTŮ</t>
  </si>
  <si>
    <t>201490</t>
  </si>
  <si>
    <t>VÝROBA OSTATNÍCH ZÁKLADNÍCH ORGANICKÝCH CHEMICKÝCH LÁTEK</t>
  </si>
  <si>
    <t>204200</t>
  </si>
  <si>
    <t>VÝROBA PARFÉMŮ A TOALETNÍCH PŘÍPRAVKŮ</t>
  </si>
  <si>
    <t>206000</t>
  </si>
  <si>
    <t>VÝROBA CHEMICKÝCH VLÁKEN</t>
  </si>
  <si>
    <t>222000</t>
  </si>
  <si>
    <t>VÝROBA PLASTOVÝCH VÝROBKŮ</t>
  </si>
  <si>
    <t>259200</t>
  </si>
  <si>
    <t>VÝROBA DROBNÝCH KOVOVÝCH OBALŮ</t>
  </si>
  <si>
    <t>262000</t>
  </si>
  <si>
    <t>VÝROBA POČÍTAČŮ A PERIFERNÍCH ZAŘÍZENÍ</t>
  </si>
  <si>
    <t>268000</t>
  </si>
  <si>
    <t>VÝROBA MAGNETICKÝCH A OPTICKÝCH MÉDIÍ</t>
  </si>
  <si>
    <t>273200</t>
  </si>
  <si>
    <t>VÝROBA ELEKTRICKÝCH VODIČŮ A KABELŮ J. N.</t>
  </si>
  <si>
    <t>281000</t>
  </si>
  <si>
    <t>VÝROBA STROJŮ A ZAŘÍZENÍ PRO VŠEOBECNÉ ÚČELY</t>
  </si>
  <si>
    <t>282200</t>
  </si>
  <si>
    <t>VÝROBA ZDVIHACÍCH A MANIPULAČNÍCH ZAŘÍZENÍ</t>
  </si>
  <si>
    <t>284900</t>
  </si>
  <si>
    <t>VÝROBA OSTATNÍCH OBRÁBĚCÍCH STROJŮ</t>
  </si>
  <si>
    <t>289900</t>
  </si>
  <si>
    <t>VÝROBA OSTATNÍCH STROJŮ PRO SPECIÁLNÍ ÚČELY J. N.</t>
  </si>
  <si>
    <t>301000</t>
  </si>
  <si>
    <t>STAVBA LODÍ A ČLUNŮ</t>
  </si>
  <si>
    <t>309200</t>
  </si>
  <si>
    <t>VÝROBA JÍZDNÍCH KOL A VOZÍKŮ PRO INVALIDY</t>
  </si>
  <si>
    <t>321000</t>
  </si>
  <si>
    <t>VÝROBA KLENOTŮ, BIŽUTERIE A PŘÍBUZNÝCH VÝROBKŮ</t>
  </si>
  <si>
    <t>329000</t>
  </si>
  <si>
    <t>ZPRACOVATELSKÝ PRŮMYSL J. N.</t>
  </si>
  <si>
    <t>331400</t>
  </si>
  <si>
    <t>OPRAVY ELEKTRICKÝCH ZAŘÍZENÍ</t>
  </si>
  <si>
    <t>350000</t>
  </si>
  <si>
    <t>VÝROBA A ROZVOD ELEKTŘINY, PLYNU, TEPLA A KLIMATIZOVANÉHO VZDUCHU</t>
  </si>
  <si>
    <t>352200</t>
  </si>
  <si>
    <t>ROZVOD PLYNNÝCH PALIV PROSTŘEDNICTVÍM SÍTÍ</t>
  </si>
  <si>
    <t>353060</t>
  </si>
  <si>
    <t>ROZVOD CHLADICÍ VODY</t>
  </si>
  <si>
    <t>382000</t>
  </si>
  <si>
    <t>ODSTRAŇOVÁNÍ ODPADŮ</t>
  </si>
  <si>
    <t>411000</t>
  </si>
  <si>
    <t>DEVELOPERSKÁ ČINNOST</t>
  </si>
  <si>
    <t>421300</t>
  </si>
  <si>
    <t>VÝSTAVBA MOSTŮ A TUNELŮ</t>
  </si>
  <si>
    <t>429900</t>
  </si>
  <si>
    <t>VÝSTAVBA OSTATNÍCH STAVEB J. N.</t>
  </si>
  <si>
    <t>432200</t>
  </si>
  <si>
    <t>INSTALACE VODY, ODPADU, PLYNU, TOPENÍ A KLIMATIZACE</t>
  </si>
  <si>
    <t>433420</t>
  </si>
  <si>
    <t>MALÍŘSKÉ A NATĚRAČSKÉ PRÁCE</t>
  </si>
  <si>
    <t>451000</t>
  </si>
  <si>
    <t>OBCHOD S MOTOROVÝMI VOZIDLY, KROMĚ MOTOCYKLŮ</t>
  </si>
  <si>
    <t>460000</t>
  </si>
  <si>
    <t>VELKOOBCHOD, KROMĚ MOTOROVÝCH VOZIDEL</t>
  </si>
  <si>
    <t>461700</t>
  </si>
  <si>
    <t>ZPROSTŘEDKOVÁNÍ VELKOOBCHODU A VELKOOBCHOD V ZASTOUPENÍ S POTRAVINAMI, NÁPOJI, TABÁKEM A TABÁKOVÝMI VÝROBKY</t>
  </si>
  <si>
    <t>462300</t>
  </si>
  <si>
    <t>VELKOOBCHOD S ŽIVÝMI ZVÍŘATY</t>
  </si>
  <si>
    <t>463600</t>
  </si>
  <si>
    <t>VELKOOBCHOD S CUKREM, ČOKOLÁDOU A CUKROVINKAMI</t>
  </si>
  <si>
    <t>464220</t>
  </si>
  <si>
    <t>VELKOOBCHOD S OBUVÍ</t>
  </si>
  <si>
    <t>464800</t>
  </si>
  <si>
    <t>VELKOOBCHOD S HODINAMI, HODINKAMI A KLENOTY</t>
  </si>
  <si>
    <t>466300</t>
  </si>
  <si>
    <t>VELKOOBCHOD S TĚŽEBNÍMI A STAVEBNÍMI STROJI A ZAŘÍZENÍM</t>
  </si>
  <si>
    <t>467120</t>
  </si>
  <si>
    <t>VELKOOBCHOD S KAPALNÝMI PALIVY A PŘÍBUZNÝMI VÝROBKY</t>
  </si>
  <si>
    <t>467690</t>
  </si>
  <si>
    <t>VELKOOBCHOD S OSTATNÍMI MEZIPRODUKTY J. N.</t>
  </si>
  <si>
    <t>472100</t>
  </si>
  <si>
    <t>MALOOBCHOD S OVOCEM A ZELENINOU</t>
  </si>
  <si>
    <t>474000</t>
  </si>
  <si>
    <t>MALOOBCHOD S POČÍTAČOVÝM A KOMUNIKAČNÍM ZAŘÍZENÍM VE SPECIALIZOVANÝCH PRODEJNÁCH</t>
  </si>
  <si>
    <t>475400</t>
  </si>
  <si>
    <t>MALOOBCHOD S ELEKTROSPOTŘEBIČI A ELEKTRONIKOU</t>
  </si>
  <si>
    <t>477000</t>
  </si>
  <si>
    <t>MALOOBCHOD S OSTATNÍM ZBOŽÍM VE SPECIALIZOVANÝCH PRODEJNÁCH</t>
  </si>
  <si>
    <t>477800</t>
  </si>
  <si>
    <t>OSTATNÍ MALOOBCHOD S NOVÝM ZBOŽÍM VE SPECIALIZOVANÝCH PRODEJNÁCH</t>
  </si>
  <si>
    <t>478100</t>
  </si>
  <si>
    <t>MALOOBCHOD S POTRAVINAMI, NÁPOJI A TABÁKOVÝMI VÝROBKY VE STÁNCÍCH A NA TRZÍCH</t>
  </si>
  <si>
    <t>490000</t>
  </si>
  <si>
    <t>POZEMNÍ A POTRUBNÍ DOPRAVA</t>
  </si>
  <si>
    <t>493920</t>
  </si>
  <si>
    <t>OSOBNÍ DOPRAVA LANOVKOU NEBO VLEKEM</t>
  </si>
  <si>
    <t>495020</t>
  </si>
  <si>
    <t>POTRUBNÍ DOPRAVA PLYNOVODEM</t>
  </si>
  <si>
    <t>511000</t>
  </si>
  <si>
    <t>LETECKÁ OSOBNÍ DOPRAVA</t>
  </si>
  <si>
    <t>512200</t>
  </si>
  <si>
    <t>KOSMICKÁ DOPRAVA</t>
  </si>
  <si>
    <t>522900</t>
  </si>
  <si>
    <t>OSTATNÍ VEDLEJŠÍ ČINNOSTI V DOPRAVĚ</t>
  </si>
  <si>
    <t>551090</t>
  </si>
  <si>
    <t>OSTATNÍ PODOBNÁ UBYTOVACÍ ZAŘÍZENÍ</t>
  </si>
  <si>
    <t>561000</t>
  </si>
  <si>
    <t>STRAVOVÁNÍ V RESTAURACÍCH, U STÁNKŮ A V MOBILNÍCH ZAŘÍZENÍCH</t>
  </si>
  <si>
    <t>580000</t>
  </si>
  <si>
    <t>VYDAVATELSKÉ ČINNOSTI</t>
  </si>
  <si>
    <t>582100</t>
  </si>
  <si>
    <t>VYDÁVÁNÍ POČÍTAČOVÝCH HER</t>
  </si>
  <si>
    <t>592000</t>
  </si>
  <si>
    <t>POŘIZOVÁNÍ ZVUKOVÝCH NAHRÁVEK A HUDEBNÍ VYDAVATELSKÉ ČINNOSTI</t>
  </si>
  <si>
    <t>611030</t>
  </si>
  <si>
    <t>PŘENOS DAT PŘES PEVNOU TELEKOMUNIKAČNÍ SÍŤ</t>
  </si>
  <si>
    <t>612090</t>
  </si>
  <si>
    <t>OSTATNÍ ČINNOSTI SOUVISEJÍCÍ S BEZDRÁTOVOU TELEKOMUNIKAČNÍ SÍTÍ</t>
  </si>
  <si>
    <t>630000</t>
  </si>
  <si>
    <t>INFORMAČNÍ ČINNOSTI</t>
  </si>
  <si>
    <t>641000</t>
  </si>
  <si>
    <t>PENĚŽNÍ ZPROSTŘEDKOVÁNÍ</t>
  </si>
  <si>
    <t>649210</t>
  </si>
  <si>
    <t>POSKYTOVÁNÍ ÚVĚRŮ SPOLEČNOSTMI, KTERÉ NEPŘIJÍMAJÍ VKLADY</t>
  </si>
  <si>
    <t>650000</t>
  </si>
  <si>
    <t>POJIŠTĚNÍ, ZAJIŠTĚNÍ A PENZIJNÍ FINANCOVÁNÍ, KROMĚ POVINNÉHO SOCIÁLNÍHO ZABEZPEČENÍ</t>
  </si>
  <si>
    <t>661100</t>
  </si>
  <si>
    <t>ŘÍZENÍ A SPRÁVA FINANČNÍCH TRHŮ</t>
  </si>
  <si>
    <t>680000</t>
  </si>
  <si>
    <t>ČINNOSTI V OBLASTI NEMOVITOSTÍ</t>
  </si>
  <si>
    <t>683100</t>
  </si>
  <si>
    <t>ZPROSTŘEDKOVATELSKÉ ČINNOSTI REALITNÍCH AGENTUR</t>
  </si>
  <si>
    <t>702100</t>
  </si>
  <si>
    <t>PORADENSTVÍ V OBLASTI VZTAHŮ S VEŘEJNOSTÍ A KOMUNIKACE</t>
  </si>
  <si>
    <t>711230</t>
  </si>
  <si>
    <t>HYDROMETEOROLOGICKÉ A METEOROLOGICKÉ ČINNOSTI</t>
  </si>
  <si>
    <t>721900</t>
  </si>
  <si>
    <t>OSTATNÍ VÝZKUM A VÝVOJ V OBLASTI PŘÍRODNÍCH A TECHNICKÝCH VĚD</t>
  </si>
  <si>
    <t>731200</t>
  </si>
  <si>
    <t>ZASTUPOVÁNÍ MÉDIÍ PŘI PRODEJI REKLAMNÍHO ČASU A PROSTORU</t>
  </si>
  <si>
    <t>749020</t>
  </si>
  <si>
    <t>PORADENSTVÍ V OBLASTI POŽÁRNÍ OCHRANY</t>
  </si>
  <si>
    <t>772100</t>
  </si>
  <si>
    <t>PRONÁJEM A LEASING REKREAČNÍCH A SPORTOVNÍCH POTŘEB</t>
  </si>
  <si>
    <t>773500</t>
  </si>
  <si>
    <t>PRONÁJEM A LEASING LETECKÝCH DOPRAVNÍCH PROSTŘEDKŮ</t>
  </si>
  <si>
    <t>791000</t>
  </si>
  <si>
    <t>ČINNOSTI CESTOVNÍCH AGENTUR A CESTOVNÍCH KANCELÁŘÍ</t>
  </si>
  <si>
    <t>802000</t>
  </si>
  <si>
    <t>ČINNOSTI SOUVISEJÍCÍ S PROVOZEM BEZPEČNOSTNÍCH SYSTÉMŮ</t>
  </si>
  <si>
    <t>813000</t>
  </si>
  <si>
    <t>ČINNOSTI SOUVISEJÍCÍ S ÚPRAVOU KRAJINY</t>
  </si>
  <si>
    <t>829100</t>
  </si>
  <si>
    <t>INKASNÍ ČINNOSTI, OVĚŘOVÁNÍ SOLVENTNOSTI ZÁKAZNÍKA</t>
  </si>
  <si>
    <t>842000</t>
  </si>
  <si>
    <t>ČINNOSTI PRO SPOLEČNOST JAKO CELEK</t>
  </si>
  <si>
    <t>842500</t>
  </si>
  <si>
    <t>ČINNOSTI V OBLASTI PROTIPOŽÁRNÍ OCHRANY</t>
  </si>
  <si>
    <t>853120</t>
  </si>
  <si>
    <t>STŘEDNÍ VŠEOBECNÉ VZDĚLÁVÁNÍ</t>
  </si>
  <si>
    <t>855100</t>
  </si>
  <si>
    <t>SPORTOVNÍ A REKREAČNÍ VZDĚLÁVÁNÍ</t>
  </si>
  <si>
    <t>855920</t>
  </si>
  <si>
    <t>ENVIRONMENTÁLNÍ VZDĚLÁVÁNÍ</t>
  </si>
  <si>
    <t>862200</t>
  </si>
  <si>
    <t>SPECIALIZOVANÁ AMBULANTNÍ ZDRAVOTNÍ PÉČE</t>
  </si>
  <si>
    <t>872010</t>
  </si>
  <si>
    <t>SOCIÁLNÍ PÉČE V ZAŘÍZENÍCH PRO OSOBY S CHRONICKÝM DUŠEVNÍM ONEMOCNĚNÍM</t>
  </si>
  <si>
    <t>881010</t>
  </si>
  <si>
    <t>AMBULANTNÍ NEBO TERÉNNÍ SOCIÁLNÍ SLUŽBY PRO SENIORY</t>
  </si>
  <si>
    <t>889990</t>
  </si>
  <si>
    <t>JINÉ AMBULANTNÍ NEBO TERÉNNÍ SOCIÁLNÍ SLUŽBY J. N.</t>
  </si>
  <si>
    <t>910200</t>
  </si>
  <si>
    <t>ČINNOSTI MUZEÍ</t>
  </si>
  <si>
    <t>931100</t>
  </si>
  <si>
    <t>PROVOZOVÁNÍ SPORTOVNÍCH ZAŘÍZENÍ</t>
  </si>
  <si>
    <t>941000</t>
  </si>
  <si>
    <t>ČINNOSTI PODNIKATELSKÝCH, ZAMĚSTNAVATELSKÝCH A PROFESNÍCH ORGANIZACÍ</t>
  </si>
  <si>
    <t>949910</t>
  </si>
  <si>
    <t>ČINNOSTI ORGANIZACÍ DĚTÍ A MLÁDEŽE</t>
  </si>
  <si>
    <t>950000</t>
  </si>
  <si>
    <t>OPRAVY POČÍTAČŮ A VÝROBKŮ PRO OSOBNÍ POTŘEBU A PŘEVÁŽNĚ PRO DOMÁCNOST</t>
  </si>
  <si>
    <t>952400</t>
  </si>
  <si>
    <t>OPRAVY NÁBYTKU A BYTOVÉHO ZAŘÍZENÍ</t>
  </si>
  <si>
    <t>960900</t>
  </si>
  <si>
    <t>POSKYTOVÁNÍ OSTATNÍCH OSOBNÍCH SLUŽEB J. N.</t>
  </si>
  <si>
    <t>234000</t>
  </si>
  <si>
    <t>VÝROBA OSTATNÍCH PORCELÁNOVÝCH A KERAMICKÝCH VÝROBKŮ</t>
  </si>
  <si>
    <t>231300</t>
  </si>
  <si>
    <t>VÝROBA DUTÉHO SKLA</t>
  </si>
  <si>
    <t>234400</t>
  </si>
  <si>
    <t>VÝROBA OSTATNÍCH TECHNICKÝCH KERAMICKÝCH VÝROBKŮ</t>
  </si>
  <si>
    <t>236300</t>
  </si>
  <si>
    <t>VÝROBA BETONU PŘIPRAVENÉHO K LITÍ</t>
  </si>
  <si>
    <t>240000</t>
  </si>
  <si>
    <t>VÝROBA ZÁKLADNÍCH KOVŮ, HUTNÍ ZPRACOVÁNÍ KOVŮ; SLÉVÁRENSTVÍ</t>
  </si>
  <si>
    <t>243200</t>
  </si>
  <si>
    <t>VÁLCOVÁNÍ OCELOVÝCH ÚZKÝCH PÁSŮ ZA STUDENA</t>
  </si>
  <si>
    <t>244200</t>
  </si>
  <si>
    <t>VÝROBA A HUTNÍ ZPRACOVÁNÍ HLINÍKU</t>
  </si>
  <si>
    <t>245120</t>
  </si>
  <si>
    <t>VÝROBA ODLITKŮ Z LITINY S KULIČKOVÝM GRAFITEM</t>
  </si>
  <si>
    <t>252000</t>
  </si>
  <si>
    <t>VÝROBA RADIÁTORŮ A KOTLŮ K ÚSTŘEDNÍMU TOPENÍ, KOVOVÝCH NÁDRŽÍ A ZÁSOBNÍKŮ</t>
  </si>
  <si>
    <t>256200</t>
  </si>
  <si>
    <t>OBRÁBĚNÍ</t>
  </si>
  <si>
    <t>11600</t>
  </si>
  <si>
    <t>PĚSTOVÁNÍ PŘADNÝCH ROSTLIN</t>
  </si>
  <si>
    <t>12600</t>
  </si>
  <si>
    <t>PĚSTOVÁNÍ OLEJNATÝCH PLODŮ</t>
  </si>
  <si>
    <t>14300</t>
  </si>
  <si>
    <t>CHOV KONÍ A JINÝCH KOŇOVITÝCH</t>
  </si>
  <si>
    <t>14930</t>
  </si>
  <si>
    <t>CHOV ZVÍŘAT PRO ZÁJMOVÝ CHOV</t>
  </si>
  <si>
    <t>17000</t>
  </si>
  <si>
    <t>LOV A ODCHYT DIVOKÝCH ZVÍŘAT A SOUVISEJÍCÍ ČINNOSTI</t>
  </si>
  <si>
    <t>31100</t>
  </si>
  <si>
    <t>MOŘSKÝ RYBOLOV</t>
  </si>
  <si>
    <t>51020</t>
  </si>
  <si>
    <t>ÚPRAVA ČERNÉHO UHLÍ</t>
  </si>
  <si>
    <t>62000</t>
  </si>
  <si>
    <t>TĚŽBA ZEMNÍHO PLYNU</t>
  </si>
  <si>
    <t>72120</t>
  </si>
  <si>
    <t>ÚPRAVA URANOVÝCH A THORIOVÝCH RUD</t>
  </si>
  <si>
    <t>89000</t>
  </si>
  <si>
    <t>TĚŽBA A DOBÝVÁNÍ J. N.</t>
  </si>
  <si>
    <t>100000</t>
  </si>
  <si>
    <t>VÝROBA POTRAVINÁŘSKÝCH VÝROBKŮ</t>
  </si>
  <si>
    <t>103200</t>
  </si>
  <si>
    <t>VÝROBA OVOCNÝCH A ZELENINOVÝCH ŠŤÁV</t>
  </si>
  <si>
    <t>106000</t>
  </si>
  <si>
    <t>VÝROBA MLÝNSKÝCH A ŠKROBÁRENSKÝCH VÝROBKŮ</t>
  </si>
  <si>
    <t>108100</t>
  </si>
  <si>
    <t>VÝROBA CUKRU</t>
  </si>
  <si>
    <t>109100</t>
  </si>
  <si>
    <t>VÝROBA PRŮMYSLOVÝCH KRMIV PRO HOSPODÁŘSKÁ ZVÍŘATA</t>
  </si>
  <si>
    <t>110600</t>
  </si>
  <si>
    <t>VÝROBA SLADU</t>
  </si>
  <si>
    <t>139100</t>
  </si>
  <si>
    <t>VÝROBA PLETENÝCH A HÁČKOVANÝCH MATERIÁLŮ</t>
  </si>
  <si>
    <t>141000</t>
  </si>
  <si>
    <t>VÝROBA ODĚVŮ, KROMĚ KOŽEŠINOVÝCH VÝROBKŮ</t>
  </si>
  <si>
    <t>143100</t>
  </si>
  <si>
    <t>VÝROBA PLETENÝCH A HÁČKOVANÝCH PUNČOCHOVÝCH VÝROBKŮ</t>
  </si>
  <si>
    <t>152090</t>
  </si>
  <si>
    <t>VÝROBA OBUVI Z OSTATNÍCH MATERIÁLŮ</t>
  </si>
  <si>
    <t>162900</t>
  </si>
  <si>
    <t>VÝROBA OSTATNÍCH DŘEVĚNÝCH, KORKOVÝCH, PROUTĚNÝCH A SLAMĚNÝCH VÝROBKŮ, KROMĚ NÁBYTKU</t>
  </si>
  <si>
    <t>172000</t>
  </si>
  <si>
    <t>VÝROBA VÝROBKŮ Z PAPÍRU A LEPENKY</t>
  </si>
  <si>
    <t>181100</t>
  </si>
  <si>
    <t>TISK NOVIN</t>
  </si>
  <si>
    <t>200000</t>
  </si>
  <si>
    <t>VÝROBA CHEMICKÝCH LÁTEK A CHEMICKÝCH PŘÍPRAVKŮ</t>
  </si>
  <si>
    <t>201500</t>
  </si>
  <si>
    <t>VÝROBA HNOJIV A DUSÍKATÝCH SLOUČENIN</t>
  </si>
  <si>
    <t>205000</t>
  </si>
  <si>
    <t>VÝROBA OSTATNÍCH CHEMICKÝCH VÝROBKŮ</t>
  </si>
  <si>
    <t>210000</t>
  </si>
  <si>
    <t>VÝROBA ZÁKLADNÍCH FARMACEUTICKÝCH VÝROBKŮ A FARMACEUTICKÝCH PŘÍPRAVKŮ</t>
  </si>
  <si>
    <t>222100</t>
  </si>
  <si>
    <t>VÝROBA PLASTOVÝCH DESEK, FÓLIÍ, HADIC, TRUBEK A PROFILŮ</t>
  </si>
  <si>
    <t>259300</t>
  </si>
  <si>
    <t>VÝROBA DRÁTĚNÝCH VÝROBKŮ, ŘETĚZŮ A PRUŽIN</t>
  </si>
  <si>
    <t>263000</t>
  </si>
  <si>
    <t>VÝROBA KOMUNIKAČNÍCH ZAŘÍZENÍ</t>
  </si>
  <si>
    <t>270000</t>
  </si>
  <si>
    <t>VÝROBA ELEKTRICKÝCH ZAŘÍZENÍ</t>
  </si>
  <si>
    <t>273300</t>
  </si>
  <si>
    <t>VÝROBA ELEKTROINSTALAČNÍCH ZAŘÍZENÍ</t>
  </si>
  <si>
    <t>281100</t>
  </si>
  <si>
    <t>VÝROBA MOTORŮ A TURBÍN, KROMĚ MOTORŮ PRO LETADLA, AUTOMOBILY A MOTOCYKLY</t>
  </si>
  <si>
    <t>282300</t>
  </si>
  <si>
    <t>VÝROBA KANCELÁŘSKÝCH STROJŮ A ZAŘÍZENÍ, KROMĚ POČÍTAČŮ A PERIFERNÍCH ZAŘÍZENÍ</t>
  </si>
  <si>
    <t>289000</t>
  </si>
  <si>
    <t>VÝROBA OSTATNÍCH STROJŮ PRO SPECIÁLNÍ ÚČELY</t>
  </si>
  <si>
    <t>290000</t>
  </si>
  <si>
    <t>VÝROBA MOTOROVÝCH VOZIDEL (KROMĚ MOTOCYKLŮ), PŘÍVĚSŮ A NÁVĚSŮ</t>
  </si>
  <si>
    <t>301100</t>
  </si>
  <si>
    <t>STAVBA LODÍ A PLAVIDEL</t>
  </si>
  <si>
    <t>309900</t>
  </si>
  <si>
    <t>VÝROBA OSTATNÍCH DOPRAVNÍCH PROSTŘEDKŮ A ZAŘÍZENÍ J. N.</t>
  </si>
  <si>
    <t>321100</t>
  </si>
  <si>
    <t>RAŽENÍ MINCÍ</t>
  </si>
  <si>
    <t>329100</t>
  </si>
  <si>
    <t>VÝROBA KOŠŤAT A KARTÁČNICKÝCH VÝROBKŮ</t>
  </si>
  <si>
    <t>331500</t>
  </si>
  <si>
    <t>OPRAVY A ÚDRŽBA LODÍ A ČLUNŮ</t>
  </si>
  <si>
    <t>351000</t>
  </si>
  <si>
    <t>VÝROBA, PŘENOS A ROZVOD ELEKTŘINY</t>
  </si>
  <si>
    <t>352300</t>
  </si>
  <si>
    <t>OBCHOD S PLYNEM PROSTŘEDNICTVÍM SÍTÍ</t>
  </si>
  <si>
    <t>353070</t>
  </si>
  <si>
    <t>VÝROBA LEDU</t>
  </si>
  <si>
    <t>382100</t>
  </si>
  <si>
    <t>ODSTRAŇOVÁNÍ ODPADŮ, KROMĚ NEBEZPEČNÝCH</t>
  </si>
  <si>
    <t>412000</t>
  </si>
  <si>
    <t>VÝSTAVBA BYTOVÝCH A NEBYTOVÝCH BUDOV</t>
  </si>
  <si>
    <t>422000</t>
  </si>
  <si>
    <t>VÝSTAVBA INŽENÝRSKÝCH SÍTÍ</t>
  </si>
  <si>
    <t>430000</t>
  </si>
  <si>
    <t>SPECIALIZOVANÉ STAVEBNÍ ČINNOSTI</t>
  </si>
  <si>
    <t>432900</t>
  </si>
  <si>
    <t>OSTATNÍ STAVEBNÍ INSTALACE</t>
  </si>
  <si>
    <t>433900</t>
  </si>
  <si>
    <t>OSTATNÍ KOMPLETAČNÍ A DOKONČOVACÍ PRÁCE</t>
  </si>
  <si>
    <t>451100</t>
  </si>
  <si>
    <t>OBCHOD S AUTOMOBILY A JINÝMI LEHKÝMI MOTOROVÝMI VOZIDLY</t>
  </si>
  <si>
    <t>461000</t>
  </si>
  <si>
    <t>ZPROSTŘEDKOVÁNÍ VELKOOBCHODU A VELKOOBCHOD V ZASTOUPENÍ</t>
  </si>
  <si>
    <t>461800</t>
  </si>
  <si>
    <t>ZPROSTŘEDKOVÁNÍ SPECIALIZOVANÉHO VELKOOBCHODU A SPECIALIZOVANÝ VELKOOBCHOD V ZASTOUPENÍ S OSTATNÍMI VÝROBKY</t>
  </si>
  <si>
    <t>462400</t>
  </si>
  <si>
    <t>VELKOOBCHOD SE SUROVÝMI KŮŽEMI, KOŽEŠINAMI A USNĚMI</t>
  </si>
  <si>
    <t>463700</t>
  </si>
  <si>
    <t>VELKOOBCHOD S KÁVOU, ČAJEM, KAKAEM A KOŘENÍM</t>
  </si>
  <si>
    <t>464300</t>
  </si>
  <si>
    <t>VELKOOBCHOD S ELEKTROSPOTŘEBIČI A ELEKTRONIKOU</t>
  </si>
  <si>
    <t>464900</t>
  </si>
  <si>
    <t>VELKOOBCHOD S OSTATNÍMI VÝROBKY PŘEVÁŽNĚ PRO DOMÁCNOST</t>
  </si>
  <si>
    <t>466400</t>
  </si>
  <si>
    <t>VELKOOBCHOD SE STROJNÍM ZAŘÍZENÍM PRO TEXTILNÍ PRŮMYSL, ŠICÍMI A PLETACÍMI STROJI</t>
  </si>
  <si>
    <t>467130</t>
  </si>
  <si>
    <t>VELKOOBCHOD S PLYNNÝMI PALIVY A PŘÍBUZNÝMI VÝROBKY</t>
  </si>
  <si>
    <t>467700</t>
  </si>
  <si>
    <t>VELKOOBCHOD S ODPADEM A ŠROTEM</t>
  </si>
  <si>
    <t>472200</t>
  </si>
  <si>
    <t>MALOOBCHOD S MASEM A MASNÝMI VÝROBKY</t>
  </si>
  <si>
    <t>474100</t>
  </si>
  <si>
    <t>MALOOBCHOD S POČÍTAČI, POČÍTAČOVÝM PERIFERNÍM ZAŘÍZENÍM A SOFTWAREM</t>
  </si>
  <si>
    <t>475900</t>
  </si>
  <si>
    <t>MALOOBCHOD S NÁBYTKEM, SVÍTIDLY A OSTATNÍMI VÝROBKY PŘEVÁŽNĚ PRO DOMÁCNOST VE SPECIALIZOVANÝCH PRODEJNÁCH</t>
  </si>
  <si>
    <t>477100</t>
  </si>
  <si>
    <t>MALOOBCHOD S ODĚVY</t>
  </si>
  <si>
    <t>477810</t>
  </si>
  <si>
    <t>MALOOBCHOD S FOTOGRAFICKÝM A OPTICKÝM ZAŘÍZENÍM A POTŘEBAMI</t>
  </si>
  <si>
    <t>478200</t>
  </si>
  <si>
    <t>MALOOBCHOD S TEXTILEM, ODĚVY A OBUVÍ VE STÁNCÍCH A NA TRZÍCH</t>
  </si>
  <si>
    <t>491000</t>
  </si>
  <si>
    <t>ŽELEZNIČNÍ OSOBNÍ DOPRAVA MEZIMĚSTSKÁ</t>
  </si>
  <si>
    <t>493930</t>
  </si>
  <si>
    <t>NEPRAVIDELNÁ POZEMNÍ OSOBNÍ DOPRAVA</t>
  </si>
  <si>
    <t>495090</t>
  </si>
  <si>
    <t>POTRUBNÍ DOPRAVA OSTATNÍ</t>
  </si>
  <si>
    <t>511010</t>
  </si>
  <si>
    <t>VNITROSTÁTNÍ PRAVIDELNÁ LETECKÁ OSOBNÍ DOPRAVA</t>
  </si>
  <si>
    <t>520000</t>
  </si>
  <si>
    <t>SKLADOVÁNÍ A VEDLEJŠÍ ČINNOSTI V DOPRAVĚ</t>
  </si>
  <si>
    <t>530000</t>
  </si>
  <si>
    <t>POŠTOVNÍ A KURÝRNÍ ČINNOSTI</t>
  </si>
  <si>
    <t>552000</t>
  </si>
  <si>
    <t>REKREAČNÍ A OSTATNÍ KRÁTKODOBÉ UBYTOVÁNÍ</t>
  </si>
  <si>
    <t>562000</t>
  </si>
  <si>
    <t>POSKYTOVÁNÍ CATERINGOVÝCH A OSTATNÍCH STRAVOVACÍCH SLUŽEB</t>
  </si>
  <si>
    <t>581000</t>
  </si>
  <si>
    <t>VYDÁVÁNÍ KNIH, PERIODICKÝCH PUBLIKACÍ A OSTATNÍ VYDAVATELSKÉ ČINNOSTI</t>
  </si>
  <si>
    <t>582900</t>
  </si>
  <si>
    <t>OSTATNÍ VYDÁVÁNÍ SOFTWARU</t>
  </si>
  <si>
    <t>600000</t>
  </si>
  <si>
    <t>TVORBA PROGRAMŮ A VYSÍLÁNÍ</t>
  </si>
  <si>
    <t>611040</t>
  </si>
  <si>
    <t>POSKYTOVÁNÍ PŘÍSTUPU K INTERNETU PŘES PEVNOU TELEKOMUNIKAČNÍ SÍŤ</t>
  </si>
  <si>
    <t>613000</t>
  </si>
  <si>
    <t>ČINNOSTI SOUVISEJÍCÍ SE SATELITNÍ TELEKOMUNIKAČNÍ SÍTÍ</t>
  </si>
  <si>
    <t>631000</t>
  </si>
  <si>
    <t>ČINNOSTI SOUVISEJÍCÍ SE ZPRACOVÁNÍM DAT A HOSTINGEM; ČINNOSTI SOUVISEJÍCÍ S WEBOVÝMI PORTÁLY</t>
  </si>
  <si>
    <t>641100</t>
  </si>
  <si>
    <t>CENTRÁLNÍ BANKOVNICTVÍ</t>
  </si>
  <si>
    <t>649220</t>
  </si>
  <si>
    <t>POSKYTOVÁNÍ OBCHODNÍCH ÚVĚRŮ</t>
  </si>
  <si>
    <t>651000</t>
  </si>
  <si>
    <t>POJIŠTĚNÍ</t>
  </si>
  <si>
    <t>661200</t>
  </si>
  <si>
    <t>OBCHODOVÁNÍ S CENNÝMI PAPÍRY A KOMODITAMI NA BURZÁCH</t>
  </si>
  <si>
    <t>681000</t>
  </si>
  <si>
    <t>NÁKUP A NÁSLEDNÝ PRODEJ VLASTNÍCH NEMOVITOSTÍ</t>
  </si>
  <si>
    <t>683200</t>
  </si>
  <si>
    <t>SPRÁVA NEMOVITOSTÍ NA ZÁKLADĚ SMLOUVY</t>
  </si>
  <si>
    <t>702200</t>
  </si>
  <si>
    <t>OSTATNÍ PORADENSTVÍ V OBLASTI PODNIKÁNÍ A ŘÍZENÍ</t>
  </si>
  <si>
    <t>711290</t>
  </si>
  <si>
    <t>OSTATNÍ INŽENÝRSKÉ ČINNOSTI A SOUVISEJÍCÍ TECHNICKÉ PORADENSTVÍ J. N.</t>
  </si>
  <si>
    <t>721910</t>
  </si>
  <si>
    <t>VÝZKUM A VÝVOJ V OBLASTI LÉKAŘSKÝCH VĚD</t>
  </si>
  <si>
    <t>732000</t>
  </si>
  <si>
    <t>PRŮZKUM TRHU A VEŘEJNÉHO MÍNĚNÍ</t>
  </si>
  <si>
    <t>749090</t>
  </si>
  <si>
    <t>JINÉ PROFESNÍ, VĚDECKÉ A TECHNICKÉ ČINNOSTI J. N.</t>
  </si>
  <si>
    <t>772200</t>
  </si>
  <si>
    <t>PRONÁJEM VIDEOKAZET A DISKŮ</t>
  </si>
  <si>
    <t>773900</t>
  </si>
  <si>
    <t>PRONÁJEM A LEASING OSTATNÍCH STROJŮ, ZAŘÍZENÍ A VÝROBKŮ J. N.</t>
  </si>
  <si>
    <t>791100</t>
  </si>
  <si>
    <t>ČINNOSTI CESTOVNÍCH AGENTUR</t>
  </si>
  <si>
    <t>803000</t>
  </si>
  <si>
    <t>PÁTRACÍ ČINNOSTI</t>
  </si>
  <si>
    <t>820000</t>
  </si>
  <si>
    <t>ADMINISTRATIVNÍ, KANCELÁŘSKÉ A JINÉ PODPŮRNÉ ČINNOSTI PRO PODNIKÁNÍ</t>
  </si>
  <si>
    <t>829200</t>
  </si>
  <si>
    <t>BALICÍ ČINNOSTI</t>
  </si>
  <si>
    <t>842100</t>
  </si>
  <si>
    <t>ČINNOSTI V OBLASTI ZAHRANIČNÍCH VĚCÍ</t>
  </si>
  <si>
    <t>843000</t>
  </si>
  <si>
    <t>ČINNOSTI V OBLASTI POVINNÉHO SOCIÁLNÍHO ZABEZPEČENÍ</t>
  </si>
  <si>
    <t>853200</t>
  </si>
  <si>
    <t>SEKUNDÁRNÍ ODBORNÉ VZDĚLÁVÁNÍ</t>
  </si>
  <si>
    <t>855200</t>
  </si>
  <si>
    <t>UMĚLECKÉ VZDĚLÁVÁNÍ</t>
  </si>
  <si>
    <t>855930</t>
  </si>
  <si>
    <t>INOVAČNÍ VZDĚLÁVÁNÍ</t>
  </si>
  <si>
    <t>862300</t>
  </si>
  <si>
    <t>ZUBNÍ PÉČE</t>
  </si>
  <si>
    <t>872020</t>
  </si>
  <si>
    <t>SOCIÁLNÍ PÉČE V ZAŘÍZENÍCH PRO OSOBY ZÁVISLÉ NA NÁVYKOVÝCH LÁTKÁCH</t>
  </si>
  <si>
    <t>881020</t>
  </si>
  <si>
    <t>AMBULANTNÍ NEBO TERÉNNÍ SOCIÁLNÍ SLUŽBY PRO OSOBY SE ZDRAVOTNÍM POSTIŽENÍM</t>
  </si>
  <si>
    <t>900000</t>
  </si>
  <si>
    <t>TVŮRČÍ, UMĚLECKÉ A ZÁBAVNÍ ČINNOSTI</t>
  </si>
  <si>
    <t>910300</t>
  </si>
  <si>
    <t>PROVOZOVÁNÍ KULTURNÍCH PAMÁTEK, HISTORICKÝCH STAVEB A OBDOBNÝCH TURISTICKÝCH ZAJÍMAVOSTÍ</t>
  </si>
  <si>
    <t>931200</t>
  </si>
  <si>
    <t>ČINNOSTI SPORTOVNÍCH KLUBŮ</t>
  </si>
  <si>
    <t>941100</t>
  </si>
  <si>
    <t>ČINNOSTI PODNIKATELSKÝCH A ZAMĚSTNAVATELSKÝCH ORGANIZACÍ</t>
  </si>
  <si>
    <t>949920</t>
  </si>
  <si>
    <t>ČINNOSTI ORGANIZACÍ NA PODPORU KULTURNÍ ČINNOSTI</t>
  </si>
  <si>
    <t>951000</t>
  </si>
  <si>
    <t>OPRAVY POČÍTAČŮ A KOMUNIKAČNÍCH ZAŘÍZENÍ</t>
  </si>
  <si>
    <t>952500</t>
  </si>
  <si>
    <t>OPRAVY HODIN, HODINEK A KLENOTNICKÝCH VÝROBKŮ</t>
  </si>
  <si>
    <t>970000</t>
  </si>
  <si>
    <t>ČINNOSTI DOMÁCNOSTÍ JAKO ZAMĚSTNAVATELŮ DOMÁCÍHO PERSONÁLU</t>
  </si>
  <si>
    <t>222200</t>
  </si>
  <si>
    <t>VÝROBA PLASTOVÝCH OBALŮ</t>
  </si>
  <si>
    <t>231400</t>
  </si>
  <si>
    <t>VÝROBA SKLENĚNÝCH VLÁKEN</t>
  </si>
  <si>
    <t>234900</t>
  </si>
  <si>
    <t>VÝROBA OSTATNÍCH KERAMICKÝCH VÝROBKŮ</t>
  </si>
  <si>
    <t>236400</t>
  </si>
  <si>
    <t>VÝROBA MALT</t>
  </si>
  <si>
    <t>241000</t>
  </si>
  <si>
    <t>VÝROBA SUROVÉHO ŽELEZA, OCELI A FEROSLITIN, PLOCHÝCH VÝROBKŮ (KROMĚ PÁSKY ZA STUDENA), TVÁŘENÍ VÝROBKŮ ZA TEPLA</t>
  </si>
  <si>
    <t>243300</t>
  </si>
  <si>
    <t>TVÁŘENÍ OCELOVÝCH PROFILŮ ZA STUDENA</t>
  </si>
  <si>
    <t>244300</t>
  </si>
  <si>
    <t>VÝROBA A HUTNÍ ZPRACOVÁNÍ OLOVA, ZINKU A CÍNU</t>
  </si>
  <si>
    <t>245190</t>
  </si>
  <si>
    <t>VÝROBA OSTATNÍCH ODLITKŮ Z LITINY</t>
  </si>
  <si>
    <t>252100</t>
  </si>
  <si>
    <t>VÝROBA RADIÁTORŮ A KOTLŮ K ÚSTŘEDNÍMU TOPENÍ</t>
  </si>
  <si>
    <r>
      <t>dle čísleníku MF "</t>
    </r>
    <r>
      <rPr>
        <b/>
        <sz val="10"/>
        <rFont val="Arial CE"/>
        <charset val="238"/>
      </rPr>
      <t>okec</t>
    </r>
    <r>
      <rPr>
        <sz val="10"/>
        <rFont val="Arial CE"/>
        <charset val="238"/>
      </rPr>
      <t>" verze 42.22.00019</t>
    </r>
  </si>
  <si>
    <t>CZ-NACE</t>
  </si>
  <si>
    <t>Název</t>
  </si>
  <si>
    <t xml:space="preserve">Jméno: </t>
  </si>
  <si>
    <t xml:space="preserve">Příjmení: </t>
  </si>
  <si>
    <t>Groulík</t>
  </si>
  <si>
    <t>Jindřich</t>
  </si>
  <si>
    <t>/&gt;</t>
  </si>
  <si>
    <t>&lt;VetaR c_radku="109" t_prilohy="Dary přijaté" kod_sekce="2" poradi="1" /&gt;</t>
  </si>
  <si>
    <t>&lt;VetaR c_radku="110" t_prilohy="Členské příspěvky" kod_sekce="2" poradi="1" /&gt;</t>
  </si>
  <si>
    <t xml:space="preserve">&lt;VetaD </t>
  </si>
  <si>
    <t xml:space="preserve">dokument="DP9" </t>
  </si>
  <si>
    <t xml:space="preserve">spoj_zahr="N" </t>
  </si>
  <si>
    <t xml:space="preserve">dapdpp_forma="B" </t>
  </si>
  <si>
    <t xml:space="preserve">k_uladis="DPP" </t>
  </si>
  <si>
    <t xml:space="preserve">dan_por="N" </t>
  </si>
  <si>
    <t xml:space="preserve">audit="N" </t>
  </si>
  <si>
    <t xml:space="preserve">uz_dle_mus="N" </t>
  </si>
  <si>
    <t xml:space="preserve">&lt;VetaP </t>
  </si>
  <si>
    <t xml:space="preserve">&lt;VetaO </t>
  </si>
  <si>
    <t xml:space="preserve">poc_zam="0" </t>
  </si>
  <si>
    <t xml:space="preserve">&lt;VetaS </t>
  </si>
  <si>
    <t xml:space="preserve">&lt;VetaU </t>
  </si>
  <si>
    <t xml:space="preserve">&lt;VetaE </t>
  </si>
  <si>
    <t>Návod na vlastní podání Daňového přiznání najdete na webu SDH Osík.</t>
  </si>
  <si>
    <t>Pokud vám tento „program“ ulehčí práci při vyplňování Daňového přiznání, pak moje snaha nevyšla vniveč :) Náměty na vylepšení mi prosím posílejte na email: hasici.osik@seznam.cz</t>
  </si>
  <si>
    <t>d.m.rok</t>
  </si>
  <si>
    <t>Odvod členských příspěvků</t>
  </si>
  <si>
    <t>Příjem z reklamy na soutěži</t>
  </si>
  <si>
    <t>Vyčištění studny občanu</t>
  </si>
  <si>
    <t>Příjem peněz do pokladny</t>
  </si>
  <si>
    <t>Příjem za zapůjčení (pronájem) čerpadla</t>
  </si>
  <si>
    <t>10.2</t>
  </si>
  <si>
    <r>
      <rPr>
        <sz val="10"/>
        <rFont val="Arial CE"/>
        <charset val="238"/>
      </rPr>
      <t xml:space="preserve">Nejzásadnější změnou je </t>
    </r>
    <r>
      <rPr>
        <b/>
        <sz val="10"/>
        <rFont val="Arial CE"/>
        <charset val="238"/>
      </rPr>
      <t>možnost exportu do XML souboru.</t>
    </r>
  </si>
  <si>
    <t>Verze Daňového přiznání za rok 2022</t>
  </si>
  <si>
    <t>Vyřešena zaokrouhlovací chyba (alespoň doufám :) - případně mi napište.</t>
  </si>
  <si>
    <t>suma</t>
  </si>
  <si>
    <t>zaokrouhleno</t>
  </si>
  <si>
    <t>příjmy</t>
  </si>
  <si>
    <t>Rozdíl</t>
  </si>
  <si>
    <t>Poč.stav</t>
  </si>
  <si>
    <t>Kon.stav</t>
  </si>
  <si>
    <t>Rozdíl zaokrouhlených příjmů a výdajů</t>
  </si>
  <si>
    <t>výdeje</t>
  </si>
  <si>
    <t xml:space="preserve">uv_vyhl="325" </t>
  </si>
  <si>
    <t>Ostatní výdaje</t>
  </si>
  <si>
    <t>B11</t>
  </si>
  <si>
    <t>B12</t>
  </si>
  <si>
    <t>Věta U2</t>
  </si>
  <si>
    <t>Věta U1</t>
  </si>
  <si>
    <t>Věta R</t>
  </si>
  <si>
    <t>10.3</t>
  </si>
  <si>
    <t>Doplněny přílohy (Přehled údajů k přiznání a Přehled o majetku a závazcích) do XML.</t>
  </si>
  <si>
    <t xml:space="preserve">uc_zav="A" </t>
  </si>
  <si>
    <t>Verze Daňového přiznání za rok 2022 + více bankovních účtů</t>
  </si>
  <si>
    <t>Vybráno od členů</t>
  </si>
  <si>
    <t>použitelné pro tisk Pokladního dokladu</t>
  </si>
  <si>
    <t>Detailnější popis</t>
  </si>
  <si>
    <t>účelu platby</t>
  </si>
  <si>
    <t>Přidán sloupec pro Detailnější popis účelu platby, který se použije pro tisk Pokladního deníku.</t>
  </si>
  <si>
    <t>Pojmenování bankovních účtů</t>
  </si>
  <si>
    <t xml:space="preserve">Bankovní účet A: </t>
  </si>
  <si>
    <t xml:space="preserve">Bankovní účet B: </t>
  </si>
  <si>
    <t xml:space="preserve">Bankovní účet C: </t>
  </si>
  <si>
    <t>Přidány další dva bankovní účty (pojmenování bankovních účtů lze v Základních údajích)</t>
  </si>
  <si>
    <t>Bankovní účet A</t>
  </si>
  <si>
    <t>Bankovní účet B</t>
  </si>
  <si>
    <t>Bankovní účet C</t>
  </si>
  <si>
    <t>AC</t>
  </si>
  <si>
    <t>AD</t>
  </si>
  <si>
    <t>AE</t>
  </si>
  <si>
    <t>AF</t>
  </si>
  <si>
    <t>AG</t>
  </si>
  <si>
    <t>AI</t>
  </si>
  <si>
    <t>AH</t>
  </si>
  <si>
    <t>M</t>
  </si>
  <si>
    <t>Typ</t>
  </si>
  <si>
    <t>činnosti</t>
  </si>
  <si>
    <t>g</t>
  </si>
  <si>
    <t>Typ činnosti</t>
  </si>
  <si>
    <t>Hlavní</t>
  </si>
  <si>
    <t>Typ pohybu</t>
  </si>
  <si>
    <t>P Prodej zboží</t>
  </si>
  <si>
    <t>P Prodej výrobků a služeb</t>
  </si>
  <si>
    <t>P Příjmy z veřejných sbírek</t>
  </si>
  <si>
    <t>P Přijaté peněžní dary mimo veřejné sbírky</t>
  </si>
  <si>
    <t>P Přijaté členské příspěvky</t>
  </si>
  <si>
    <t>P Dotace a příspěvky přijaté z veřejných rozpočtů</t>
  </si>
  <si>
    <t>P Ostatní</t>
  </si>
  <si>
    <t>P Průběžné položky</t>
  </si>
  <si>
    <t>V Dlouhodobý nehmotný a hmotný majetek</t>
  </si>
  <si>
    <t>V Materiál</t>
  </si>
  <si>
    <t>V Zboží</t>
  </si>
  <si>
    <t>V Služby</t>
  </si>
  <si>
    <t>V Mzdy</t>
  </si>
  <si>
    <t>V Pojistné za zaměstnance a zaměstnavatele</t>
  </si>
  <si>
    <t>V Ostatní osobní výdaje</t>
  </si>
  <si>
    <t>V Ostatní</t>
  </si>
  <si>
    <t>V Průběžné položky</t>
  </si>
  <si>
    <t>pohybu</t>
  </si>
  <si>
    <t>h</t>
  </si>
  <si>
    <t xml:space="preserve"> IČ:</t>
  </si>
  <si>
    <t>Údaje jsou uvedeny v Kč</t>
  </si>
  <si>
    <t>Příjmy za zdaňovací období (rok)</t>
  </si>
  <si>
    <t>Činnost
celkem</t>
  </si>
  <si>
    <t>Výdaje za zdaňovací období (rok)</t>
  </si>
  <si>
    <t>Rozdíl příjmů a výdajů - zisk</t>
  </si>
  <si>
    <t>Podpis:</t>
  </si>
  <si>
    <t>Prodej zboží</t>
  </si>
  <si>
    <t>Prodej výrobků a služeb</t>
  </si>
  <si>
    <t>Příjmy z veřejných sbírek</t>
  </si>
  <si>
    <t>Přijaté peněžní dary mimo veřejné sbírky</t>
  </si>
  <si>
    <t>Přijaté členské příspěvky</t>
  </si>
  <si>
    <t>Dotace a příspěvky přijaté z veřejných rozpočtů</t>
  </si>
  <si>
    <t>Průběžné položky</t>
  </si>
  <si>
    <t>Kursové rozdíly</t>
  </si>
  <si>
    <t>Dlouhodobý nehmotný a hmotný majetek</t>
  </si>
  <si>
    <t>Materiál</t>
  </si>
  <si>
    <t>Zboží</t>
  </si>
  <si>
    <t>Služby</t>
  </si>
  <si>
    <t>Mzdy</t>
  </si>
  <si>
    <t>Pojistné za zaměstnance a zaměstnavatele</t>
  </si>
  <si>
    <t>Ostatní osobní výdaje</t>
  </si>
  <si>
    <t>Prodej</t>
  </si>
  <si>
    <t>zboží</t>
  </si>
  <si>
    <t>výrobků</t>
  </si>
  <si>
    <t>Veřejné</t>
  </si>
  <si>
    <t>sbírky</t>
  </si>
  <si>
    <t>Dary mimo</t>
  </si>
  <si>
    <t>Členské</t>
  </si>
  <si>
    <t>příspěvky</t>
  </si>
  <si>
    <t>Dotace</t>
  </si>
  <si>
    <t>Průběžné</t>
  </si>
  <si>
    <t>položky</t>
  </si>
  <si>
    <t>Hlavní činnost - Příjmy</t>
  </si>
  <si>
    <t>Hospodářská činnost - Příjmy</t>
  </si>
  <si>
    <t>Hlavní činnost - Výdaje</t>
  </si>
  <si>
    <t>Dlouhodobý</t>
  </si>
  <si>
    <t>majetek</t>
  </si>
  <si>
    <t>Pojistné</t>
  </si>
  <si>
    <t>za zam.</t>
  </si>
  <si>
    <t>Osobní</t>
  </si>
  <si>
    <t>výdaje</t>
  </si>
  <si>
    <t>Hospodářská činnost - Výdaje</t>
  </si>
  <si>
    <t>Členění příjmů a výdajů</t>
  </si>
  <si>
    <t>Pokladna, banky</t>
  </si>
  <si>
    <t>Členění</t>
  </si>
  <si>
    <t>Příjem/Výdej</t>
  </si>
  <si>
    <t>xxx</t>
  </si>
  <si>
    <t>Pozn. - údaje označené xxx se nevyplňují (nepřicházejí v úvahu)</t>
  </si>
  <si>
    <t>Členské příspěvky dle Stanov</t>
  </si>
  <si>
    <t>Vedlejší (hospodářská)</t>
  </si>
  <si>
    <t>příjmy max</t>
  </si>
  <si>
    <t>výdeje max</t>
  </si>
  <si>
    <t>10.4</t>
  </si>
  <si>
    <t>T</t>
  </si>
  <si>
    <t>AJ</t>
  </si>
  <si>
    <t>AK</t>
  </si>
  <si>
    <t>AL</t>
  </si>
  <si>
    <t>AM</t>
  </si>
  <si>
    <t>AN</t>
  </si>
  <si>
    <t>AO</t>
  </si>
  <si>
    <t>AP</t>
  </si>
  <si>
    <t>AQ</t>
  </si>
  <si>
    <t>AR</t>
  </si>
  <si>
    <t>AS</t>
  </si>
  <si>
    <t>AT</t>
  </si>
  <si>
    <t>AU</t>
  </si>
  <si>
    <t>AW</t>
  </si>
  <si>
    <t>AX</t>
  </si>
  <si>
    <t>AY</t>
  </si>
  <si>
    <t>AZ</t>
  </si>
  <si>
    <t>BA</t>
  </si>
  <si>
    <t>BB</t>
  </si>
  <si>
    <t>BC</t>
  </si>
  <si>
    <t>BD</t>
  </si>
  <si>
    <t>BE</t>
  </si>
  <si>
    <t>BF</t>
  </si>
  <si>
    <t>BG</t>
  </si>
  <si>
    <t>BH</t>
  </si>
  <si>
    <t>BI</t>
  </si>
  <si>
    <t>BK</t>
  </si>
  <si>
    <t>BJ</t>
  </si>
  <si>
    <t>BL</t>
  </si>
  <si>
    <t>BM</t>
  </si>
  <si>
    <t>období</t>
  </si>
  <si>
    <t>za str.</t>
  </si>
  <si>
    <t>Pro archivaci je dostačující tisknout pouze strany A+B,</t>
  </si>
  <si>
    <t>Pokud ale nechcete šetřit papírem, vytiskněte vše :)</t>
  </si>
  <si>
    <t>tzn. že v dialogu před tiskem nastavíte tisk stránek 1 až 2.</t>
  </si>
  <si>
    <t>Upraven Tisk deníku, nyní obsahuje každá strana 5 podstránek, tisknout doporučuji jen 2.</t>
  </si>
  <si>
    <t>Rozšířeny Kontroly v Deníku na nové členění.</t>
  </si>
  <si>
    <t>Novější vzorce nahrazeny staršími pro udržení kompatibility se staršími verzemi Excelu.</t>
  </si>
  <si>
    <t>B13</t>
  </si>
  <si>
    <t>B14</t>
  </si>
  <si>
    <t>B15</t>
  </si>
  <si>
    <t>Převod na druhý účet</t>
  </si>
  <si>
    <t>Převod z prvního účtu</t>
  </si>
  <si>
    <t>Ještě detailněji:</t>
  </si>
  <si>
    <r>
      <t>Přidán list "</t>
    </r>
    <r>
      <rPr>
        <b/>
        <sz val="10"/>
        <rFont val="Arial CE"/>
        <charset val="238"/>
      </rPr>
      <t>Přehled o příjmech a výdajích</t>
    </r>
    <r>
      <rPr>
        <sz val="10"/>
        <rFont val="Arial CE"/>
        <charset val="238"/>
      </rPr>
      <t>" ze kterého se exportuje do XML (díky Martinu Rýdlovi)</t>
    </r>
  </si>
  <si>
    <t>Výdaje celkem (řádek 1 až 8)</t>
  </si>
  <si>
    <t>10.5</t>
  </si>
  <si>
    <t>Údaje jsou uvedeny v Kč na dvě destinná místa.</t>
  </si>
  <si>
    <t>( v Kč na dvě desetinná místa )</t>
  </si>
  <si>
    <t>XML řádek a hodnoty - Věta U2</t>
  </si>
  <si>
    <t>Verze Daňového přiznání za rok 2022 snad se vším všudy :o)</t>
  </si>
  <si>
    <r>
      <t xml:space="preserve">Upraven </t>
    </r>
    <r>
      <rPr>
        <b/>
        <sz val="10"/>
        <rFont val="Arial CE"/>
        <charset val="238"/>
      </rPr>
      <t>Přehled o majetku a závazcích</t>
    </r>
    <r>
      <rPr>
        <sz val="10"/>
        <rFont val="Arial CE"/>
        <charset val="238"/>
      </rPr>
      <t xml:space="preserve"> (úprava exportu do XML).</t>
    </r>
  </si>
  <si>
    <r>
      <t xml:space="preserve">Upraven </t>
    </r>
    <r>
      <rPr>
        <b/>
        <sz val="10"/>
        <rFont val="Arial CE"/>
        <charset val="238"/>
      </rPr>
      <t>Přehled údajů k přiznání</t>
    </r>
    <r>
      <rPr>
        <sz val="10"/>
        <rFont val="Arial CE"/>
        <charset val="238"/>
      </rPr>
      <t xml:space="preserve"> (odstraněna kontrola na majetek).</t>
    </r>
  </si>
  <si>
    <r>
      <t xml:space="preserve">Upraven </t>
    </r>
    <r>
      <rPr>
        <b/>
        <sz val="10"/>
        <rFont val="Arial CE"/>
        <charset val="238"/>
      </rPr>
      <t xml:space="preserve">Přehled příjmů a výdajů </t>
    </r>
    <r>
      <rPr>
        <sz val="10"/>
        <rFont val="Arial CE"/>
        <charset val="238"/>
      </rPr>
      <t>(exportu do XML).</t>
    </r>
  </si>
  <si>
    <t>Verze Daňového přiznání za rok 2023</t>
  </si>
  <si>
    <t>Vyřazení - Digitální váha (2.7.2014)</t>
  </si>
  <si>
    <t>25 5404 Mfin 5404-vzor č. 34</t>
  </si>
  <si>
    <t>(platný pro zdaňovací období započatá v roce 2023 a pro části zdaňovacích období započatých v roce 2024,
za které lhůta pro podání daňového přiznání uplyne do 31. prosince 2024)</t>
  </si>
  <si>
    <t>&lt;DPPDP9 verzePis="03.01"&gt;</t>
  </si>
  <si>
    <r>
      <t xml:space="preserve">Umožněno uplatnit </t>
    </r>
    <r>
      <rPr>
        <b/>
        <sz val="10"/>
        <rFont val="Arial CE"/>
        <charset val="238"/>
      </rPr>
      <t xml:space="preserve">Daňovou ztrátu </t>
    </r>
    <r>
      <rPr>
        <sz val="10"/>
        <rFont val="Arial CE"/>
        <charset val="238"/>
      </rPr>
      <t xml:space="preserve">(hodnoty se uvádí na listu </t>
    </r>
    <r>
      <rPr>
        <b/>
        <sz val="10"/>
        <rFont val="Arial CE"/>
        <charset val="238"/>
      </rPr>
      <t>str 5</t>
    </r>
    <r>
      <rPr>
        <sz val="10"/>
        <rFont val="Arial CE"/>
        <charset val="238"/>
      </rPr>
      <t>)</t>
    </r>
  </si>
  <si>
    <r>
      <t>Největším přínosem tohoto "programu" by ale měly být listy „</t>
    </r>
    <r>
      <rPr>
        <b/>
        <sz val="12"/>
        <rFont val="Arial"/>
        <family val="2"/>
        <charset val="238"/>
      </rPr>
      <t>Přehled o příjmech a výdajích</t>
    </r>
    <r>
      <rPr>
        <sz val="12"/>
        <rFont val="Arial"/>
        <family val="2"/>
        <charset val="238"/>
      </rPr>
      <t>“, „</t>
    </r>
    <r>
      <rPr>
        <b/>
        <sz val="12"/>
        <rFont val="Arial"/>
        <family val="2"/>
        <charset val="238"/>
      </rPr>
      <t>Přiznání</t>
    </r>
    <r>
      <rPr>
        <sz val="12"/>
        <rFont val="Arial"/>
        <family val="2"/>
        <charset val="238"/>
      </rPr>
      <t>“ (str.1-8), „</t>
    </r>
    <r>
      <rPr>
        <b/>
        <sz val="12"/>
        <rFont val="Arial"/>
        <family val="2"/>
        <charset val="238"/>
      </rPr>
      <t>xml_export</t>
    </r>
    <r>
      <rPr>
        <sz val="12"/>
        <rFont val="Arial"/>
        <family val="2"/>
        <charset val="238"/>
      </rPr>
      <t>“ pro podání elektronického DAP přes internet a „</t>
    </r>
    <r>
      <rPr>
        <b/>
        <sz val="12"/>
        <rFont val="Arial"/>
        <family val="2"/>
        <charset val="238"/>
      </rPr>
      <t>Přehled o majetku a závazcích</t>
    </r>
    <r>
      <rPr>
        <sz val="12"/>
        <rFont val="Arial"/>
        <family val="2"/>
        <charset val="238"/>
      </rPr>
      <t>“, které se automaticky plní hodnotami z listu „</t>
    </r>
    <r>
      <rPr>
        <b/>
        <sz val="12"/>
        <rFont val="Arial"/>
        <family val="2"/>
        <charset val="238"/>
      </rPr>
      <t>Deník</t>
    </r>
    <r>
      <rPr>
        <sz val="12"/>
        <rFont val="Arial"/>
        <family val="2"/>
        <charset val="238"/>
      </rPr>
      <t>“.
Stačí pouze vyplnit list „</t>
    </r>
    <r>
      <rPr>
        <b/>
        <sz val="12"/>
        <rFont val="Arial"/>
        <family val="2"/>
        <charset val="238"/>
      </rPr>
      <t>Základní údaje</t>
    </r>
    <r>
      <rPr>
        <sz val="12"/>
        <rFont val="Arial"/>
        <family val="2"/>
        <charset val="238"/>
      </rPr>
      <t>“ informacemi o SDH.</t>
    </r>
  </si>
  <si>
    <t>Deník</t>
  </si>
  <si>
    <t>Souběžný záznam</t>
  </si>
  <si>
    <t>Rozdíl Příjmů a výdajů</t>
  </si>
  <si>
    <t>Základní informace</t>
  </si>
  <si>
    <r>
      <t xml:space="preserve">Přidán list </t>
    </r>
    <r>
      <rPr>
        <b/>
        <sz val="10"/>
        <rFont val="Arial CE"/>
        <charset val="238"/>
      </rPr>
      <t xml:space="preserve">Kontroly </t>
    </r>
    <r>
      <rPr>
        <sz val="10"/>
        <rFont val="Arial CE"/>
        <charset val="238"/>
      </rPr>
      <t>pro přehlednější zobrazení, jestli je vše správně vyplněno :o)</t>
    </r>
  </si>
  <si>
    <t>Výsledky kontrol na jiných listech</t>
  </si>
  <si>
    <r>
      <t xml:space="preserve">Přidána kontrola na správný </t>
    </r>
    <r>
      <rPr>
        <b/>
        <sz val="10"/>
        <rFont val="Arial CE"/>
        <charset val="238"/>
      </rPr>
      <t>název Hlavní činnosti</t>
    </r>
    <r>
      <rPr>
        <sz val="10"/>
        <rFont val="Arial CE"/>
        <charset val="238"/>
      </rPr>
      <t xml:space="preserve"> (nutná shoda s číselníkem okec)</t>
    </r>
  </si>
  <si>
    <r>
      <t xml:space="preserve">Opravena chyba v násobení Cenných papírů na listu </t>
    </r>
    <r>
      <rPr>
        <b/>
        <sz val="10"/>
        <rFont val="Arial CE"/>
        <charset val="238"/>
      </rPr>
      <t>Přehled údajů k přiznání</t>
    </r>
  </si>
  <si>
    <r>
      <t xml:space="preserve">Opravena kontrola na </t>
    </r>
    <r>
      <rPr>
        <b/>
        <sz val="10"/>
        <rFont val="Arial CE"/>
        <charset val="238"/>
      </rPr>
      <t>Průběžné položky</t>
    </r>
    <r>
      <rPr>
        <sz val="10"/>
        <rFont val="Arial CE"/>
        <charset val="238"/>
      </rPr>
      <t>, pokud se převádí haléře mezi bankovními účty.</t>
    </r>
  </si>
  <si>
    <r>
      <t xml:space="preserve">Opraveno přenesení Průběžných položek na </t>
    </r>
    <r>
      <rPr>
        <b/>
        <sz val="10"/>
        <rFont val="Arial CE"/>
        <charset val="238"/>
      </rPr>
      <t xml:space="preserve">Přehled o příjmech a výdajích </t>
    </r>
    <r>
      <rPr>
        <sz val="10"/>
        <rFont val="Arial CE"/>
        <charset val="238"/>
      </rPr>
      <t>(chybně se přenášel součet).</t>
    </r>
  </si>
  <si>
    <r>
      <t xml:space="preserve">Jsou zde i některé </t>
    </r>
    <r>
      <rPr>
        <b/>
        <sz val="12"/>
        <rFont val="Arial"/>
        <family val="2"/>
        <charset val="238"/>
      </rPr>
      <t>kontrolní funkce</t>
    </r>
    <r>
      <rPr>
        <sz val="12"/>
        <rFont val="Arial"/>
        <family val="2"/>
        <charset val="238"/>
      </rPr>
      <t xml:space="preserve">:
- do sloupců „Druh činnosti“ a „Členění příjmů a výdajů“ lze zadat pouze hodnoty
  z předem definovaného seznamu (ten je na listu „Povolené hodnoty“)
- nelze zadávat nulové nebo záporné hodnoty
- u Pokladny se navíc kontroluje desetinná část (ta je samozřejmě nepřípustná)
- pokud zapíšete takový výdaj, že by se Pokladna nebo Banka dostala do záporného stavu,
  pak se Zůstatek označí červeně (opravdu to nemůže být záporné :)
- pokud zadáte příjem nebo výdej a chybně vyplníte Druh nebo Členění
  (nebo nevyplníte vůbec), pak je řádek označen jako chybný (list "Kontroly" zčervená :)
</t>
    </r>
    <r>
      <rPr>
        <sz val="12"/>
        <color rgb="FFFF0000"/>
        <rFont val="Arial"/>
        <family val="2"/>
        <charset val="238"/>
      </rPr>
      <t xml:space="preserve">  a řádek je červeně označen</t>
    </r>
  </si>
  <si>
    <r>
      <t>List „Deník“ není primárně určen pro tisk, k tomu slouží list „</t>
    </r>
    <r>
      <rPr>
        <b/>
        <sz val="12"/>
        <rFont val="Arial"/>
        <family val="2"/>
        <charset val="238"/>
      </rPr>
      <t>Tisk deníku</t>
    </r>
    <r>
      <rPr>
        <sz val="12"/>
        <rFont val="Arial"/>
        <family val="2"/>
        <charset val="238"/>
      </rPr>
      <t>“.
Zde lze nastavit jen jediná buňka, číslo strany (buňka B42), kterou se určuje strana k tisku.
Do záhlaví stránky se přebírá název soubor (např. "Peněžní deník SDH Osík 2020").</t>
    </r>
  </si>
  <si>
    <t>Přestože jsou všechny listy uzamčeny proti nechtěným úpravám, není nastaveno žádné heslo.
Pokud tedy nutně potřebujete něco upravit nebo vylepšit, stačí si to jen odemknout :)
Buďte ale obezřetní, někde jsou schované sloupce a/nebo řádky. Když se mi se svou
potřebou změny/úpravy pochlubíte, třeba do další verze zakomponuji a pomůžete ostatním.</t>
  </si>
  <si>
    <r>
      <t>Soubor je rozdělen do sekcí po listech, data se zadávají pouze na listu "</t>
    </r>
    <r>
      <rPr>
        <b/>
        <sz val="12"/>
        <color rgb="FFFF0000"/>
        <rFont val="Arial"/>
        <family val="2"/>
        <charset val="238"/>
      </rPr>
      <t>Deník</t>
    </r>
    <r>
      <rPr>
        <sz val="12"/>
        <rFont val="Arial"/>
        <family val="2"/>
        <charset val="238"/>
      </rPr>
      <t xml:space="preserve">".
Zde se vyplňují sloupce </t>
    </r>
    <r>
      <rPr>
        <b/>
        <sz val="12"/>
        <rFont val="Arial"/>
        <family val="2"/>
        <charset val="238"/>
      </rPr>
      <t>Datum</t>
    </r>
    <r>
      <rPr>
        <sz val="12"/>
        <rFont val="Arial"/>
        <family val="2"/>
        <charset val="238"/>
      </rPr>
      <t xml:space="preserve">, </t>
    </r>
    <r>
      <rPr>
        <b/>
        <sz val="12"/>
        <rFont val="Arial"/>
        <family val="2"/>
        <charset val="238"/>
      </rPr>
      <t>Číslo dokladu</t>
    </r>
    <r>
      <rPr>
        <sz val="12"/>
        <rFont val="Arial"/>
        <family val="2"/>
        <charset val="238"/>
      </rPr>
      <t xml:space="preserve">, </t>
    </r>
    <r>
      <rPr>
        <b/>
        <sz val="12"/>
        <rFont val="Arial"/>
        <family val="2"/>
        <charset val="238"/>
      </rPr>
      <t>Vysvětlující text</t>
    </r>
    <r>
      <rPr>
        <sz val="12"/>
        <rFont val="Arial"/>
        <family val="2"/>
        <charset val="238"/>
      </rPr>
      <t xml:space="preserve">, </t>
    </r>
    <r>
      <rPr>
        <b/>
        <sz val="12"/>
        <rFont val="Arial"/>
        <family val="2"/>
        <charset val="238"/>
      </rPr>
      <t>Klasifikace</t>
    </r>
    <r>
      <rPr>
        <sz val="12"/>
        <rFont val="Arial"/>
        <family val="2"/>
        <charset val="238"/>
      </rPr>
      <t xml:space="preserve">, </t>
    </r>
    <r>
      <rPr>
        <b/>
        <sz val="12"/>
        <rFont val="Arial"/>
        <family val="2"/>
        <charset val="238"/>
      </rPr>
      <t>Označení</t>
    </r>
    <r>
      <rPr>
        <sz val="12"/>
        <rFont val="Arial"/>
        <family val="2"/>
        <charset val="238"/>
      </rPr>
      <t xml:space="preserve">,
</t>
    </r>
    <r>
      <rPr>
        <b/>
        <sz val="12"/>
        <rFont val="Arial"/>
        <family val="2"/>
        <charset val="238"/>
      </rPr>
      <t xml:space="preserve">Typ činnosti, Typ pohybu </t>
    </r>
    <r>
      <rPr>
        <sz val="12"/>
        <rFont val="Arial"/>
        <family val="2"/>
        <charset val="238"/>
      </rPr>
      <t xml:space="preserve">a vlastní </t>
    </r>
    <r>
      <rPr>
        <b/>
        <sz val="12"/>
        <rFont val="Arial"/>
        <family val="2"/>
        <charset val="238"/>
      </rPr>
      <t>částka</t>
    </r>
    <r>
      <rPr>
        <sz val="12"/>
        <rFont val="Arial"/>
        <family val="2"/>
        <charset val="238"/>
      </rPr>
      <t xml:space="preserve"> příjmu nebo výdeje do Pokladny nebo Banky.
Jednotlivé sloupce, kam je možné údaje zadávat jsou označeny světle žlutou barvou.
Dále se zde zadává i počáteční stav Pokladny a Banky.
Všechny ostatní buňky jsou uzamknuté k editaci, aby nedošlo k nechtěnému výmazu.</t>
    </r>
  </si>
  <si>
    <r>
      <t xml:space="preserve">Nejnovější verzi naleznete na stránkách SDH Osík </t>
    </r>
    <r>
      <rPr>
        <b/>
        <sz val="11"/>
        <rFont val="Calibri"/>
        <family val="2"/>
        <charset val="238"/>
      </rPr>
      <t>www.hasici-osik.cz</t>
    </r>
    <r>
      <rPr>
        <sz val="11"/>
        <rFont val="Calibri"/>
        <family val="2"/>
        <charset val="238"/>
      </rPr>
      <t xml:space="preserve"> v sekci Ke stažení.</t>
    </r>
  </si>
  <si>
    <t>daňová</t>
  </si>
  <si>
    <t>nedaňová</t>
  </si>
  <si>
    <t>Hlavní
činnost (A)</t>
  </si>
  <si>
    <t>Hospodářská
činnost (B)</t>
  </si>
  <si>
    <t>Příjmy celkem (řádek 10)</t>
  </si>
  <si>
    <t>Výdaje celkem (řádek 11)</t>
  </si>
  <si>
    <t>Hlavní činnost - Příjmy ovlivňující základ daně</t>
  </si>
  <si>
    <t>Hospodářská činnost - Příjmy ovlivňující základ daně</t>
  </si>
  <si>
    <t>Hlavní činnost - Výdaje ovlivňující základ daně</t>
  </si>
  <si>
    <t>Hospodářská činnost - Výdaje ovlivňující základ daně</t>
  </si>
  <si>
    <t>XML formát souboru</t>
  </si>
  <si>
    <t>Přehled o příjmech a výdajích pro zjištění základu daně</t>
  </si>
  <si>
    <r>
      <t xml:space="preserve">Upraven list </t>
    </r>
    <r>
      <rPr>
        <b/>
        <sz val="10"/>
        <rFont val="Arial CE"/>
        <charset val="238"/>
      </rPr>
      <t>Přehled o příjmech a výdajích</t>
    </r>
    <r>
      <rPr>
        <sz val="10"/>
        <rFont val="Arial CE"/>
        <charset val="238"/>
      </rPr>
      <t>, aby reflektoval daňové a nedaňové rozlišení.</t>
    </r>
  </si>
  <si>
    <t>Valná hromada (občerstvení) (X)</t>
  </si>
  <si>
    <t>Dar členu SDH k jubileu (X)</t>
  </si>
  <si>
    <t>Nákup vyznamenání (X)</t>
  </si>
  <si>
    <t>Hasičský ples - příjem (Y)</t>
  </si>
  <si>
    <t>Hasičský ples - občerstvení (doložitelné) (Y)</t>
  </si>
  <si>
    <t>Hasičský ples - ostatní (nelze doložit) (Y)</t>
  </si>
  <si>
    <t>Příjem za sběr odpadu (Z1)</t>
  </si>
  <si>
    <t>Výdej z bufetu - soutěž (Z4)</t>
  </si>
  <si>
    <t>Startovné na soutěži - příjem (X)</t>
  </si>
  <si>
    <t>Strava pořadatelům a rozhodčím (X)</t>
  </si>
  <si>
    <t>Příspěvek obce na činnosti SDH (X)</t>
  </si>
  <si>
    <t>Nákup sanačního prostředku do studny (Z2)</t>
  </si>
  <si>
    <t>Vyplacení zálohy na volnočasové aktivity (X)</t>
  </si>
  <si>
    <t>Výběr hotovosti z účtu</t>
  </si>
  <si>
    <t>Výdaj na výlet členů SDH (X)</t>
  </si>
  <si>
    <t>Vrácení zálohy na volnočasové aktivity (X)</t>
  </si>
  <si>
    <t>Výdaj za aktivity mládeže (X)</t>
  </si>
  <si>
    <t>Has.zboží - nákup označení na uniformy (Z4)</t>
  </si>
  <si>
    <t>Has.zboží - prodej členům (Z4)</t>
  </si>
  <si>
    <t>Sponzorský dar (X)</t>
  </si>
  <si>
    <t>Kancelářské potřeby (X)</t>
  </si>
  <si>
    <t>Dividendy z akcií (zdaněné)</t>
  </si>
  <si>
    <t>Dotace KÚ na mládež (X)</t>
  </si>
  <si>
    <t>Odvod srážkové daně (15%) (X)</t>
  </si>
  <si>
    <t>Výplata dohody o prov. práce (hrubá 1000) (X)</t>
  </si>
  <si>
    <t>Bankovní poplatky (X)</t>
  </si>
  <si>
    <t>Úroky z banky (po odečtení daně) (X)</t>
  </si>
  <si>
    <t>Příjem z bufetu - soutěž (prodej členům) (Z4)</t>
  </si>
  <si>
    <t>Výdaj za aktivity mládeže - vlastní náklady (X)</t>
  </si>
  <si>
    <t>B16</t>
  </si>
  <si>
    <t>Provize Hasičské vzájemné pojišťovny</t>
  </si>
  <si>
    <r>
      <t xml:space="preserve">Upraveny </t>
    </r>
    <r>
      <rPr>
        <b/>
        <sz val="10"/>
        <rFont val="Arial CE"/>
        <charset val="238"/>
      </rPr>
      <t>vzorové příklady</t>
    </r>
    <r>
      <rPr>
        <sz val="10"/>
        <rFont val="Arial CE"/>
        <charset val="238"/>
      </rPr>
      <t xml:space="preserve"> (Klasifikace, Označení, Typ činnosti i Typ pohybu),
včetně odkazu na Hlavni činnost sdružení dle Stanov.
K některým doplňuji detailnější komentář zde:
</t>
    </r>
    <r>
      <rPr>
        <b/>
        <sz val="10"/>
        <rFont val="Arial CE"/>
        <charset val="238"/>
      </rPr>
      <t>Hasičský ples - příjem (Y)</t>
    </r>
    <r>
      <rPr>
        <sz val="10"/>
        <rFont val="Arial CE"/>
        <charset val="238"/>
      </rPr>
      <t xml:space="preserve">
Hlavní činnost - dle Stanov Čl. 3
Vedlejší (hospodářská) činnost - za účelem dosažení zisku
U nedoložených výdajů se dle povahy účetního případu může jednat o službu, materiál nebo ostatní v Přehledu PaV.
</t>
    </r>
    <r>
      <rPr>
        <b/>
        <sz val="10"/>
        <rFont val="Arial CE"/>
        <charset val="238"/>
      </rPr>
      <t xml:space="preserve">Výdaj za aktivity mládeže (X)
</t>
    </r>
    <r>
      <rPr>
        <sz val="10"/>
        <rFont val="Arial CE"/>
        <charset val="238"/>
      </rPr>
      <t xml:space="preserve">Dle povahy účetního případu se může jednat o službu nebo materiál v Přehledu PaV.
</t>
    </r>
    <r>
      <rPr>
        <b/>
        <sz val="10"/>
        <rFont val="Arial CE"/>
        <charset val="238"/>
      </rPr>
      <t xml:space="preserve">Dividendy z akcií (zdaněné)
</t>
    </r>
    <r>
      <rPr>
        <sz val="10"/>
        <rFont val="Arial CE"/>
        <charset val="238"/>
      </rPr>
      <t xml:space="preserve">Pouhá držba podílů není považována za podnikání. Jestliže by však spolek akciovou společnost nebo společnost s ručením omezeným ovládal a zasahoval do její správy, považovala by se tato činnost spolku za podnikání.
Tuzemské dividendy, které byly zdaněny srážkovou daní vyloučíme ze základu daně na řádku č. 120 - Příjmy nezahrnované do základu daně podle § 23, odst 4, písmeno a) zákona.
</t>
    </r>
    <r>
      <rPr>
        <b/>
        <sz val="10"/>
        <rFont val="Arial CE"/>
        <charset val="238"/>
      </rPr>
      <t xml:space="preserve">Výplata dohody o prov. práce (hrubá 1000) (X)
</t>
    </r>
    <r>
      <rPr>
        <sz val="10"/>
        <rFont val="Arial CE"/>
        <charset val="238"/>
      </rPr>
      <t>U DPP se zdravotní a sociální pojištění platí od odměny 10 001 Kč/měsíc a výše.</t>
    </r>
  </si>
  <si>
    <t>11.3</t>
  </si>
  <si>
    <t>Údaje za minulé účetní období</t>
  </si>
  <si>
    <t>11.4</t>
  </si>
  <si>
    <t>Verze Daňového přiznání za rok 2023 včetně Minulého období Přehledu o příjmech a výdajích</t>
  </si>
  <si>
    <t>XML - Věta U1</t>
  </si>
  <si>
    <t>řádek</t>
  </si>
  <si>
    <t>kc_hlav</t>
  </si>
  <si>
    <t>kc_hosp</t>
  </si>
  <si>
    <t>kc_hlav_min</t>
  </si>
  <si>
    <t>kc_hosp_min</t>
  </si>
  <si>
    <r>
      <t xml:space="preserve">Doplněny údaje pro výkaz hodnot minulého období v </t>
    </r>
    <r>
      <rPr>
        <b/>
        <sz val="10"/>
        <rFont val="Arial CE"/>
        <charset val="238"/>
      </rPr>
      <t>Přehledu o příjmech a výdajích</t>
    </r>
    <r>
      <rPr>
        <sz val="10"/>
        <rFont val="Arial CE"/>
        <charset val="238"/>
      </rPr>
      <t>, nutno vyplni t ručně :(</t>
    </r>
  </si>
  <si>
    <t>B17</t>
  </si>
  <si>
    <t>V Vrácení dotace</t>
  </si>
  <si>
    <r>
      <t xml:space="preserve">Přidán </t>
    </r>
    <r>
      <rPr>
        <b/>
        <sz val="10"/>
        <rFont val="Arial CE"/>
        <charset val="238"/>
      </rPr>
      <t xml:space="preserve">Typ pohybu </t>
    </r>
    <r>
      <rPr>
        <sz val="10"/>
        <rFont val="Arial CE"/>
        <charset val="238"/>
      </rPr>
      <t>"V</t>
    </r>
    <r>
      <rPr>
        <b/>
        <sz val="10"/>
        <rFont val="Arial CE"/>
        <charset val="238"/>
      </rPr>
      <t xml:space="preserve"> </t>
    </r>
    <r>
      <rPr>
        <sz val="10"/>
        <rFont val="Arial CE"/>
        <charset val="238"/>
      </rPr>
      <t>Vrácení dotace", který se odečítá proti přijetí dotace.</t>
    </r>
  </si>
  <si>
    <t>Vrácení dotace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</si>
</sst>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0\ &quot;Kč&quot;;\-#,##0\ &quot;Kč&quot;"/>
    <numFmt numFmtId="44" formatCode="_-* #,##0.00\ &quot;Kč&quot;_-;\-* #,##0.00\ &quot;Kč&quot;_-;_-* &quot;-&quot;??\ &quot;Kč&quot;_-;_-@_-"/>
    <numFmt numFmtId="164" formatCode="d/m/;@"/>
    <numFmt numFmtId="165" formatCode="d/m/yyyy;@"/>
    <numFmt numFmtId="166" formatCode="d\.m\.yyyy;@"/>
    <numFmt numFmtId="167" formatCode="#,##0\ &quot;Kč&quot;"/>
    <numFmt numFmtId="168" formatCode="#,##0.00000000"/>
    <numFmt numFmtId="169" formatCode="#,##0.00\ &quot;Kč&quot;"/>
  </numFmts>
  <fonts count="82" x14ac:knownFonts="1">
    <font>
      <sz val="10"/>
      <name val="Arial CE"/>
      <charset val="238"/>
    </font>
    <font>
      <sz val="11"/>
      <color theme="1"/>
      <name val="Calibri"/>
      <family val="2"/>
      <charset val="238"/>
      <scheme val="minor"/>
    </font>
    <font>
      <b/>
      <sz val="10"/>
      <name val="Arial CE"/>
      <charset val="238"/>
    </font>
    <font>
      <b/>
      <sz val="10"/>
      <name val="Arial CE"/>
    </font>
    <font>
      <b/>
      <sz val="10"/>
      <name val="Calibri"/>
      <family val="2"/>
      <charset val="238"/>
      <scheme val="minor"/>
    </font>
    <font>
      <sz val="10"/>
      <name val="Calibri"/>
      <family val="2"/>
      <charset val="238"/>
      <scheme val="minor"/>
    </font>
    <font>
      <sz val="8"/>
      <name val="Calibri"/>
      <family val="2"/>
      <charset val="238"/>
      <scheme val="minor"/>
    </font>
    <font>
      <b/>
      <i/>
      <sz val="10"/>
      <name val="Calibri"/>
      <family val="2"/>
      <charset val="238"/>
      <scheme val="minor"/>
    </font>
    <font>
      <i/>
      <sz val="10"/>
      <name val="Calibri"/>
      <family val="2"/>
      <charset val="238"/>
      <scheme val="minor"/>
    </font>
    <font>
      <i/>
      <sz val="8"/>
      <name val="Calibri"/>
      <family val="2"/>
      <charset val="238"/>
      <scheme val="minor"/>
    </font>
    <font>
      <b/>
      <sz val="10"/>
      <name val="Arial"/>
      <family val="2"/>
      <charset val="238"/>
    </font>
    <font>
      <sz val="10"/>
      <name val="Arial"/>
      <family val="2"/>
      <charset val="238"/>
    </font>
    <font>
      <sz val="12"/>
      <name val="Arial"/>
      <family val="2"/>
      <charset val="238"/>
    </font>
    <font>
      <sz val="14"/>
      <name val="Arial"/>
      <family val="2"/>
      <charset val="238"/>
    </font>
    <font>
      <b/>
      <sz val="12"/>
      <name val="Arial"/>
      <family val="2"/>
      <charset val="238"/>
    </font>
    <font>
      <sz val="16"/>
      <name val="Arial"/>
      <family val="2"/>
      <charset val="238"/>
    </font>
    <font>
      <b/>
      <sz val="14"/>
      <name val="Arial"/>
      <family val="2"/>
      <charset val="238"/>
    </font>
    <font>
      <sz val="10"/>
      <color theme="0"/>
      <name val="Arial"/>
      <family val="2"/>
      <charset val="238"/>
    </font>
    <font>
      <sz val="11"/>
      <name val="Calibri"/>
      <family val="2"/>
      <charset val="238"/>
    </font>
    <font>
      <sz val="10"/>
      <name val="Arial"/>
      <family val="2"/>
      <charset val="238"/>
    </font>
    <font>
      <sz val="10"/>
      <name val="Arial CE"/>
      <charset val="238"/>
    </font>
    <font>
      <b/>
      <sz val="10"/>
      <name val="Arial CE"/>
      <family val="2"/>
      <charset val="238"/>
    </font>
    <font>
      <i/>
      <sz val="7"/>
      <name val="Arial"/>
      <family val="2"/>
    </font>
    <font>
      <sz val="8"/>
      <name val="Arial CE"/>
      <family val="2"/>
      <charset val="238"/>
    </font>
    <font>
      <i/>
      <sz val="8"/>
      <name val="Arial CE"/>
      <family val="2"/>
      <charset val="238"/>
    </font>
    <font>
      <vertAlign val="superscript"/>
      <sz val="8"/>
      <name val="Arial CE"/>
      <family val="2"/>
      <charset val="238"/>
    </font>
    <font>
      <sz val="8"/>
      <name val="Arial CE"/>
      <charset val="238"/>
    </font>
    <font>
      <sz val="8"/>
      <name val="Arial"/>
      <family val="2"/>
      <charset val="238"/>
    </font>
    <font>
      <vertAlign val="superscript"/>
      <sz val="10"/>
      <name val="Arial CE"/>
      <charset val="238"/>
    </font>
    <font>
      <sz val="8"/>
      <name val="Arial"/>
      <family val="2"/>
    </font>
    <font>
      <vertAlign val="superscript"/>
      <sz val="8"/>
      <name val="Arial CE"/>
      <charset val="238"/>
    </font>
    <font>
      <b/>
      <sz val="10"/>
      <name val="Arial"/>
      <family val="2"/>
    </font>
    <font>
      <b/>
      <sz val="12"/>
      <name val="Arial CE"/>
      <charset val="238"/>
    </font>
    <font>
      <sz val="18"/>
      <name val="Arial"/>
      <family val="2"/>
      <charset val="238"/>
    </font>
    <font>
      <b/>
      <sz val="18"/>
      <name val="Arial CE"/>
      <charset val="238"/>
    </font>
    <font>
      <sz val="10"/>
      <name val="Arial CE"/>
      <family val="2"/>
      <charset val="238"/>
    </font>
    <font>
      <sz val="7"/>
      <name val="Arial CE"/>
      <family val="2"/>
      <charset val="238"/>
    </font>
    <font>
      <b/>
      <sz val="8"/>
      <name val="Arial CE"/>
      <charset val="238"/>
    </font>
    <font>
      <sz val="9"/>
      <name val="Arial CE"/>
      <charset val="238"/>
    </font>
    <font>
      <sz val="9"/>
      <name val="Arial"/>
      <family val="2"/>
      <charset val="238"/>
    </font>
    <font>
      <vertAlign val="superscript"/>
      <sz val="10"/>
      <name val="Arial CE"/>
      <family val="2"/>
      <charset val="238"/>
    </font>
    <font>
      <b/>
      <sz val="9"/>
      <name val="Arial CE"/>
      <family val="2"/>
      <charset val="238"/>
    </font>
    <font>
      <vertAlign val="superscript"/>
      <sz val="9"/>
      <name val="Arial CE"/>
      <family val="2"/>
      <charset val="238"/>
    </font>
    <font>
      <sz val="9"/>
      <name val="Arial CE"/>
      <family val="2"/>
      <charset val="238"/>
    </font>
    <font>
      <b/>
      <sz val="8"/>
      <name val="Arial CE"/>
      <family val="2"/>
      <charset val="238"/>
    </font>
    <font>
      <b/>
      <sz val="9"/>
      <name val="Arial"/>
      <family val="2"/>
    </font>
    <font>
      <b/>
      <vertAlign val="superscript"/>
      <sz val="9"/>
      <name val="Arial CE"/>
      <charset val="238"/>
    </font>
    <font>
      <sz val="7"/>
      <name val="Arial"/>
      <family val="2"/>
      <charset val="238"/>
    </font>
    <font>
      <sz val="7"/>
      <name val="Arial CE"/>
      <charset val="238"/>
    </font>
    <font>
      <b/>
      <sz val="7"/>
      <name val="Arial CE"/>
      <charset val="238"/>
    </font>
    <font>
      <b/>
      <sz val="7"/>
      <name val="Arial CE"/>
      <family val="2"/>
      <charset val="238"/>
    </font>
    <font>
      <b/>
      <sz val="8"/>
      <name val="Arial"/>
      <family val="2"/>
      <charset val="238"/>
    </font>
    <font>
      <b/>
      <sz val="9"/>
      <name val="Arial"/>
      <family val="2"/>
      <charset val="238"/>
    </font>
    <font>
      <strike/>
      <sz val="8"/>
      <name val="Arial CE"/>
      <charset val="238"/>
    </font>
    <font>
      <i/>
      <sz val="12"/>
      <name val="Arial CE"/>
      <charset val="238"/>
    </font>
    <font>
      <sz val="12"/>
      <name val="Arial CE"/>
      <charset val="238"/>
    </font>
    <font>
      <i/>
      <sz val="12"/>
      <name val="Arial"/>
      <family val="2"/>
      <charset val="238"/>
    </font>
    <font>
      <b/>
      <i/>
      <sz val="12"/>
      <name val="Arial"/>
      <family val="2"/>
      <charset val="238"/>
    </font>
    <font>
      <b/>
      <i/>
      <sz val="12"/>
      <name val="Arial CE"/>
      <charset val="238"/>
    </font>
    <font>
      <sz val="6"/>
      <name val="Arial CE"/>
      <family val="2"/>
      <charset val="238"/>
    </font>
    <font>
      <b/>
      <sz val="12"/>
      <name val="Arial CE"/>
      <family val="2"/>
      <charset val="238"/>
    </font>
    <font>
      <b/>
      <sz val="14"/>
      <color rgb="FF000000"/>
      <name val="Arial CE"/>
    </font>
    <font>
      <b/>
      <sz val="12"/>
      <color rgb="FFFF0000"/>
      <name val="Arial"/>
      <family val="2"/>
      <charset val="238"/>
    </font>
    <font>
      <sz val="12"/>
      <color rgb="FFFF0000"/>
      <name val="Arial"/>
      <family val="2"/>
      <charset val="238"/>
    </font>
    <font>
      <sz val="11"/>
      <color rgb="FF9C0006"/>
      <name val="Calibri"/>
      <family val="2"/>
      <charset val="238"/>
      <scheme val="minor"/>
    </font>
    <font>
      <sz val="9"/>
      <color indexed="81"/>
      <name val="Tahoma"/>
      <family val="2"/>
      <charset val="238"/>
    </font>
    <font>
      <b/>
      <sz val="9"/>
      <color indexed="81"/>
      <name val="Tahoma"/>
      <family val="2"/>
      <charset val="238"/>
    </font>
    <font>
      <u/>
      <sz val="8"/>
      <name val="Arial CE"/>
      <charset val="238"/>
    </font>
    <font>
      <b/>
      <u/>
      <sz val="10"/>
      <name val="Arial CE"/>
      <charset val="238"/>
    </font>
    <font>
      <b/>
      <sz val="10"/>
      <name val="Calibri"/>
      <family val="2"/>
      <charset val="238"/>
    </font>
    <font>
      <sz val="10"/>
      <name val="Calibri"/>
      <family val="2"/>
      <charset val="238"/>
    </font>
    <font>
      <sz val="8"/>
      <name val="Calibri"/>
      <family val="2"/>
      <charset val="238"/>
    </font>
    <font>
      <i/>
      <sz val="8"/>
      <name val="Calibri"/>
      <family val="2"/>
      <charset val="238"/>
    </font>
    <font>
      <i/>
      <sz val="10"/>
      <name val="Calibri"/>
      <family val="2"/>
      <charset val="238"/>
    </font>
    <font>
      <b/>
      <i/>
      <sz val="10"/>
      <name val="Calibri"/>
      <family val="2"/>
      <charset val="238"/>
    </font>
    <font>
      <sz val="1"/>
      <color rgb="FFFF0000"/>
      <name val="Arial"/>
      <family val="2"/>
      <charset val="238"/>
    </font>
    <font>
      <b/>
      <sz val="11"/>
      <color theme="1"/>
      <name val="Calibri"/>
      <family val="2"/>
      <charset val="238"/>
      <scheme val="minor"/>
    </font>
    <font>
      <b/>
      <sz val="10"/>
      <color theme="1" tint="4.9989318521683403E-2"/>
      <name val="Arial CE"/>
    </font>
    <font>
      <sz val="10"/>
      <color theme="1"/>
      <name val="Arial CE"/>
      <charset val="238"/>
    </font>
    <font>
      <sz val="14"/>
      <name val="Arial CE"/>
      <charset val="238"/>
    </font>
    <font>
      <b/>
      <sz val="11"/>
      <name val="Calibri"/>
      <family val="2"/>
      <charset val="238"/>
    </font>
    <font>
      <sz val="10"/>
      <color theme="0"/>
      <name val="Arial CE"/>
      <charset val="238"/>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bgColor indexed="32"/>
      </patternFill>
    </fill>
    <fill>
      <patternFill patternType="solid">
        <fgColor rgb="FFFFFFCC"/>
        <bgColor indexed="32"/>
      </patternFill>
    </fill>
    <fill>
      <patternFill patternType="solid">
        <fgColor rgb="FFFFFF00"/>
        <bgColor indexed="64"/>
      </patternFill>
    </fill>
    <fill>
      <patternFill patternType="solid">
        <fgColor rgb="FFFFC7CE"/>
      </patternFill>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14996795556505021"/>
        <bgColor indexed="64"/>
      </patternFill>
    </fill>
  </fills>
  <borders count="1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thin">
        <color auto="1"/>
      </top>
      <bottom style="thin">
        <color auto="1"/>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auto="1"/>
      </left>
      <right/>
      <top style="medium">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style="thin">
        <color auto="1"/>
      </top>
      <bottom style="thin">
        <color auto="1"/>
      </bottom>
      <diagonal/>
    </border>
    <border>
      <left style="hair">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hair">
        <color indexed="64"/>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hair">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bottom style="hair">
        <color auto="1"/>
      </bottom>
      <diagonal/>
    </border>
    <border>
      <left style="medium">
        <color auto="1"/>
      </left>
      <right/>
      <top style="hair">
        <color auto="1"/>
      </top>
      <bottom/>
      <diagonal/>
    </border>
    <border>
      <left style="medium">
        <color auto="1"/>
      </left>
      <right/>
      <top style="thin">
        <color auto="1"/>
      </top>
      <bottom style="thin">
        <color auto="1"/>
      </bottom>
      <diagonal/>
    </border>
    <border>
      <left/>
      <right style="medium">
        <color auto="1"/>
      </right>
      <top/>
      <bottom style="hair">
        <color auto="1"/>
      </bottom>
      <diagonal/>
    </border>
    <border>
      <left style="thin">
        <color auto="1"/>
      </left>
      <right/>
      <top/>
      <bottom style="hair">
        <color auto="1"/>
      </bottom>
      <diagonal/>
    </border>
    <border>
      <left style="medium">
        <color auto="1"/>
      </left>
      <right/>
      <top style="thin">
        <color auto="1"/>
      </top>
      <bottom/>
      <diagonal/>
    </border>
    <border>
      <left/>
      <right style="thin">
        <color auto="1"/>
      </right>
      <top/>
      <bottom style="hair">
        <color auto="1"/>
      </bottom>
      <diagonal/>
    </border>
    <border>
      <left style="thin">
        <color auto="1"/>
      </left>
      <right style="thin">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hair">
        <color auto="1"/>
      </bottom>
      <diagonal/>
    </border>
    <border>
      <left style="hair">
        <color auto="1"/>
      </left>
      <right style="medium">
        <color auto="1"/>
      </right>
      <top style="thin">
        <color auto="1"/>
      </top>
      <bottom/>
      <diagonal/>
    </border>
    <border>
      <left style="hair">
        <color indexed="64"/>
      </left>
      <right style="hair">
        <color indexed="64"/>
      </right>
      <top style="hair">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medium">
        <color auto="1"/>
      </bottom>
      <diagonal/>
    </border>
    <border>
      <left/>
      <right/>
      <top style="hair">
        <color auto="1"/>
      </top>
      <bottom/>
      <diagonal/>
    </border>
    <border>
      <left style="hair">
        <color indexed="64"/>
      </left>
      <right/>
      <top/>
      <bottom/>
      <diagonal/>
    </border>
    <border>
      <left/>
      <right style="hair">
        <color auto="1"/>
      </right>
      <top/>
      <bottom/>
      <diagonal/>
    </border>
    <border>
      <left style="thin">
        <color indexed="64"/>
      </left>
      <right style="medium">
        <color indexed="64"/>
      </right>
      <top/>
      <bottom style="thin">
        <color indexed="64"/>
      </bottom>
      <diagonal/>
    </border>
    <border>
      <left/>
      <right style="medium">
        <color auto="1"/>
      </right>
      <top style="medium">
        <color auto="1"/>
      </top>
      <bottom style="hair">
        <color auto="1"/>
      </bottom>
      <diagonal/>
    </border>
    <border>
      <left style="thin">
        <color auto="1"/>
      </left>
      <right style="thin">
        <color auto="1"/>
      </right>
      <top style="hair">
        <color auto="1"/>
      </top>
      <bottom style="thin">
        <color auto="1"/>
      </bottom>
      <diagonal/>
    </border>
    <border>
      <left style="thin">
        <color indexed="64"/>
      </left>
      <right style="medium">
        <color indexed="64"/>
      </right>
      <top/>
      <bottom style="hair">
        <color auto="1"/>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medium">
        <color indexed="64"/>
      </top>
      <bottom style="medium">
        <color indexed="64"/>
      </bottom>
      <diagonal/>
    </border>
    <border>
      <left style="thin">
        <color theme="6"/>
      </left>
      <right/>
      <top style="hair">
        <color indexed="64"/>
      </top>
      <bottom style="hair">
        <color indexed="64"/>
      </bottom>
      <diagonal/>
    </border>
    <border>
      <left/>
      <right style="thin">
        <color theme="6"/>
      </right>
      <top style="hair">
        <color indexed="64"/>
      </top>
      <bottom style="hair">
        <color indexed="64"/>
      </bottom>
      <diagonal/>
    </border>
    <border>
      <left style="thin">
        <color theme="6"/>
      </left>
      <right/>
      <top style="thin">
        <color auto="1"/>
      </top>
      <bottom/>
      <diagonal/>
    </border>
    <border>
      <left/>
      <right style="thin">
        <color theme="6"/>
      </right>
      <top style="thin">
        <color indexed="64"/>
      </top>
      <bottom/>
      <diagonal/>
    </border>
    <border>
      <left style="thin">
        <color theme="6"/>
      </left>
      <right/>
      <top style="hair">
        <color indexed="64"/>
      </top>
      <bottom/>
      <diagonal/>
    </border>
    <border>
      <left/>
      <right style="thin">
        <color theme="6"/>
      </right>
      <top style="hair">
        <color indexed="64"/>
      </top>
      <bottom/>
      <diagonal/>
    </border>
    <border>
      <left/>
      <right style="thin">
        <color auto="1"/>
      </right>
      <top style="hair">
        <color indexed="64"/>
      </top>
      <bottom style="hair">
        <color indexed="64"/>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s>
  <cellStyleXfs count="6">
    <xf numFmtId="0" fontId="0" fillId="0" borderId="0"/>
    <xf numFmtId="0" fontId="19" fillId="0" borderId="0"/>
    <xf numFmtId="0" fontId="20" fillId="0" borderId="0"/>
    <xf numFmtId="0" fontId="64" fillId="7" borderId="0" applyNumberFormat="0" applyBorder="0" applyAlignment="0" applyProtection="0"/>
    <xf numFmtId="0" fontId="1" fillId="0" borderId="0"/>
    <xf numFmtId="44" fontId="20" fillId="0" borderId="0" applyFont="0" applyFill="0" applyBorder="0" applyAlignment="0" applyProtection="0"/>
  </cellStyleXfs>
  <cellXfs count="1124">
    <xf numFmtId="0" fontId="0" fillId="0" borderId="0" xfId="0"/>
    <xf numFmtId="49" fontId="0" fillId="2" borderId="0" xfId="0" applyNumberFormat="1" applyFill="1"/>
    <xf numFmtId="3" fontId="6" fillId="2" borderId="15" xfId="0" applyNumberFormat="1" applyFont="1" applyFill="1" applyBorder="1" applyAlignment="1">
      <alignment horizontal="center"/>
    </xf>
    <xf numFmtId="0" fontId="5" fillId="2" borderId="0" xfId="0" applyFont="1" applyFill="1"/>
    <xf numFmtId="0" fontId="4" fillId="2" borderId="3" xfId="0" applyFont="1" applyFill="1" applyBorder="1"/>
    <xf numFmtId="0" fontId="4" fillId="2" borderId="4" xfId="0" applyFont="1" applyFill="1" applyBorder="1"/>
    <xf numFmtId="3" fontId="6" fillId="2" borderId="16" xfId="0" applyNumberFormat="1" applyFont="1" applyFill="1" applyBorder="1" applyAlignment="1">
      <alignment horizontal="center"/>
    </xf>
    <xf numFmtId="3" fontId="6" fillId="2" borderId="0" xfId="0" applyNumberFormat="1" applyFont="1" applyFill="1" applyAlignment="1">
      <alignment horizontal="center"/>
    </xf>
    <xf numFmtId="3" fontId="5" fillId="2" borderId="0" xfId="0" applyNumberFormat="1" applyFont="1" applyFill="1"/>
    <xf numFmtId="0" fontId="6" fillId="2" borderId="1" xfId="0" applyFont="1" applyFill="1" applyBorder="1" applyAlignment="1">
      <alignment horizontal="center"/>
    </xf>
    <xf numFmtId="0" fontId="6" fillId="2" borderId="7" xfId="0" applyFont="1" applyFill="1" applyBorder="1" applyAlignment="1">
      <alignment horizontal="center"/>
    </xf>
    <xf numFmtId="3" fontId="6" fillId="2" borderId="8" xfId="0" applyNumberFormat="1" applyFont="1" applyFill="1" applyBorder="1" applyAlignment="1">
      <alignment horizontal="center"/>
    </xf>
    <xf numFmtId="0" fontId="6" fillId="2" borderId="0" xfId="0" applyFont="1" applyFill="1" applyAlignment="1">
      <alignment horizontal="center"/>
    </xf>
    <xf numFmtId="0" fontId="7" fillId="2" borderId="0" xfId="0" applyFont="1" applyFill="1"/>
    <xf numFmtId="0" fontId="5" fillId="2" borderId="1" xfId="0" applyFont="1" applyFill="1" applyBorder="1"/>
    <xf numFmtId="0" fontId="5" fillId="2" borderId="2" xfId="0" applyFont="1" applyFill="1" applyBorder="1"/>
    <xf numFmtId="0" fontId="5" fillId="2" borderId="2" xfId="0" applyFont="1" applyFill="1" applyBorder="1" applyAlignment="1">
      <alignment horizontal="center"/>
    </xf>
    <xf numFmtId="0" fontId="5" fillId="2" borderId="8" xfId="0" applyFont="1" applyFill="1" applyBorder="1"/>
    <xf numFmtId="0" fontId="5" fillId="2" borderId="0" xfId="0" applyFont="1" applyFill="1" applyAlignment="1">
      <alignment horizontal="center"/>
    </xf>
    <xf numFmtId="3" fontId="5" fillId="2" borderId="1" xfId="0" applyNumberFormat="1" applyFont="1" applyFill="1" applyBorder="1"/>
    <xf numFmtId="3" fontId="5" fillId="2" borderId="7" xfId="0" applyNumberFormat="1" applyFont="1" applyFill="1" applyBorder="1"/>
    <xf numFmtId="3" fontId="5" fillId="2" borderId="0" xfId="0" applyNumberFormat="1" applyFont="1" applyFill="1" applyAlignment="1">
      <alignment horizontal="left"/>
    </xf>
    <xf numFmtId="3" fontId="6" fillId="2" borderId="45" xfId="0" applyNumberFormat="1" applyFont="1" applyFill="1" applyBorder="1" applyAlignment="1">
      <alignment horizontal="center"/>
    </xf>
    <xf numFmtId="3" fontId="6" fillId="2" borderId="46" xfId="0" applyNumberFormat="1" applyFont="1" applyFill="1" applyBorder="1" applyAlignment="1">
      <alignment horizontal="center"/>
    </xf>
    <xf numFmtId="3" fontId="6" fillId="2" borderId="47" xfId="0" applyNumberFormat="1" applyFont="1" applyFill="1" applyBorder="1" applyAlignment="1">
      <alignment horizontal="center"/>
    </xf>
    <xf numFmtId="3" fontId="6" fillId="2" borderId="48" xfId="0" applyNumberFormat="1" applyFont="1" applyFill="1" applyBorder="1" applyAlignment="1">
      <alignment horizontal="center"/>
    </xf>
    <xf numFmtId="3" fontId="6" fillId="2" borderId="49" xfId="0" applyNumberFormat="1" applyFont="1" applyFill="1" applyBorder="1" applyAlignment="1">
      <alignment horizontal="center"/>
    </xf>
    <xf numFmtId="3" fontId="6" fillId="2" borderId="50" xfId="0" applyNumberFormat="1" applyFont="1" applyFill="1" applyBorder="1" applyAlignment="1">
      <alignment horizontal="center"/>
    </xf>
    <xf numFmtId="3" fontId="5" fillId="2" borderId="48" xfId="0" applyNumberFormat="1" applyFont="1" applyFill="1" applyBorder="1"/>
    <xf numFmtId="3" fontId="5" fillId="2" borderId="49" xfId="0" applyNumberFormat="1" applyFont="1" applyFill="1" applyBorder="1"/>
    <xf numFmtId="3" fontId="5" fillId="2" borderId="50" xfId="0" applyNumberFormat="1" applyFont="1" applyFill="1" applyBorder="1"/>
    <xf numFmtId="0" fontId="5" fillId="2" borderId="1" xfId="0" applyFont="1" applyFill="1" applyBorder="1" applyAlignment="1">
      <alignment horizontal="center"/>
    </xf>
    <xf numFmtId="0" fontId="7" fillId="2" borderId="52" xfId="0" applyFont="1" applyFill="1" applyBorder="1"/>
    <xf numFmtId="0" fontId="8" fillId="2" borderId="53" xfId="0" applyFont="1" applyFill="1" applyBorder="1" applyAlignment="1">
      <alignment horizontal="center"/>
    </xf>
    <xf numFmtId="0" fontId="8" fillId="2" borderId="54" xfId="0" applyFont="1" applyFill="1" applyBorder="1" applyAlignment="1">
      <alignment horizontal="center"/>
    </xf>
    <xf numFmtId="3" fontId="8" fillId="2" borderId="23" xfId="0" applyNumberFormat="1" applyFont="1" applyFill="1" applyBorder="1" applyAlignment="1">
      <alignment horizontal="center"/>
    </xf>
    <xf numFmtId="3" fontId="8" fillId="2" borderId="24" xfId="0" applyNumberFormat="1" applyFont="1" applyFill="1" applyBorder="1" applyAlignment="1">
      <alignment horizontal="center"/>
    </xf>
    <xf numFmtId="3" fontId="9" fillId="2" borderId="55" xfId="0" applyNumberFormat="1" applyFont="1" applyFill="1" applyBorder="1" applyAlignment="1">
      <alignment horizontal="center"/>
    </xf>
    <xf numFmtId="3" fontId="8" fillId="2" borderId="25" xfId="0" applyNumberFormat="1" applyFont="1" applyFill="1" applyBorder="1" applyAlignment="1">
      <alignment horizontal="center"/>
    </xf>
    <xf numFmtId="3" fontId="5" fillId="2" borderId="26" xfId="0" applyNumberFormat="1" applyFont="1" applyFill="1" applyBorder="1"/>
    <xf numFmtId="3" fontId="5" fillId="2" borderId="27" xfId="0" applyNumberFormat="1" applyFont="1" applyFill="1" applyBorder="1"/>
    <xf numFmtId="3" fontId="5" fillId="2" borderId="28" xfId="0" applyNumberFormat="1" applyFont="1" applyFill="1" applyBorder="1"/>
    <xf numFmtId="3" fontId="6" fillId="2" borderId="60" xfId="0" applyNumberFormat="1" applyFont="1" applyFill="1" applyBorder="1" applyAlignment="1">
      <alignment horizontal="center"/>
    </xf>
    <xf numFmtId="0" fontId="11" fillId="2" borderId="0" xfId="0" applyFont="1" applyFill="1"/>
    <xf numFmtId="0" fontId="12" fillId="2" borderId="65" xfId="0" applyFont="1" applyFill="1" applyBorder="1"/>
    <xf numFmtId="0" fontId="12" fillId="2" borderId="66" xfId="0" applyFont="1" applyFill="1" applyBorder="1" applyAlignment="1">
      <alignment horizontal="right"/>
    </xf>
    <xf numFmtId="0" fontId="14" fillId="2" borderId="66" xfId="0" applyFont="1" applyFill="1" applyBorder="1"/>
    <xf numFmtId="0" fontId="14" fillId="2" borderId="67" xfId="0" applyFont="1" applyFill="1" applyBorder="1"/>
    <xf numFmtId="0" fontId="12" fillId="2" borderId="0" xfId="0" applyFont="1" applyFill="1"/>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99" xfId="0" applyFont="1" applyFill="1" applyBorder="1" applyAlignment="1">
      <alignment horizontal="center" vertical="center"/>
    </xf>
    <xf numFmtId="49" fontId="11" fillId="2" borderId="101" xfId="0" applyNumberFormat="1" applyFont="1" applyFill="1" applyBorder="1" applyAlignment="1">
      <alignment vertical="center"/>
    </xf>
    <xf numFmtId="49" fontId="10" fillId="2" borderId="96" xfId="0" applyNumberFormat="1" applyFont="1" applyFill="1" applyBorder="1" applyAlignment="1">
      <alignment horizontal="center" vertical="center"/>
    </xf>
    <xf numFmtId="3" fontId="10" fillId="2" borderId="30" xfId="0" applyNumberFormat="1" applyFont="1" applyFill="1" applyBorder="1" applyAlignment="1">
      <alignment horizontal="center" vertical="center"/>
    </xf>
    <xf numFmtId="49" fontId="11" fillId="2" borderId="56" xfId="0" applyNumberFormat="1" applyFont="1" applyFill="1" applyBorder="1" applyAlignment="1">
      <alignment vertical="center"/>
    </xf>
    <xf numFmtId="49" fontId="10" fillId="2" borderId="97" xfId="0" applyNumberFormat="1" applyFont="1" applyFill="1" applyBorder="1" applyAlignment="1">
      <alignment horizontal="center" vertical="center"/>
    </xf>
    <xf numFmtId="3" fontId="10" fillId="2" borderId="28" xfId="0" applyNumberFormat="1" applyFont="1" applyFill="1" applyBorder="1" applyAlignment="1">
      <alignment horizontal="center" vertical="center"/>
    </xf>
    <xf numFmtId="49" fontId="11" fillId="2" borderId="102" xfId="0" applyNumberFormat="1" applyFont="1" applyFill="1" applyBorder="1" applyAlignment="1">
      <alignment vertical="center"/>
    </xf>
    <xf numFmtId="49" fontId="10" fillId="2" borderId="98" xfId="0" applyNumberFormat="1" applyFont="1" applyFill="1" applyBorder="1" applyAlignment="1">
      <alignment horizontal="center" vertical="center"/>
    </xf>
    <xf numFmtId="3" fontId="10" fillId="2" borderId="35" xfId="0" applyNumberFormat="1" applyFont="1" applyFill="1" applyBorder="1" applyAlignment="1">
      <alignment horizontal="center" vertical="center"/>
    </xf>
    <xf numFmtId="49" fontId="10" fillId="2" borderId="103" xfId="0" applyNumberFormat="1" applyFont="1" applyFill="1" applyBorder="1" applyAlignment="1">
      <alignment vertical="center"/>
    </xf>
    <xf numFmtId="49" fontId="10" fillId="2" borderId="61" xfId="0" applyNumberFormat="1" applyFont="1" applyFill="1" applyBorder="1" applyAlignment="1">
      <alignment horizontal="center" vertical="center"/>
    </xf>
    <xf numFmtId="3" fontId="10" fillId="2" borderId="37" xfId="0" applyNumberFormat="1" applyFont="1" applyFill="1" applyBorder="1" applyAlignment="1">
      <alignment horizontal="center" vertical="center"/>
    </xf>
    <xf numFmtId="49" fontId="10" fillId="2" borderId="3" xfId="0" applyNumberFormat="1" applyFont="1" applyFill="1" applyBorder="1" applyAlignment="1">
      <alignment vertical="center"/>
    </xf>
    <xf numFmtId="49" fontId="10" fillId="2" borderId="99" xfId="0" applyNumberFormat="1" applyFont="1" applyFill="1" applyBorder="1" applyAlignment="1">
      <alignment horizontal="center" vertical="center"/>
    </xf>
    <xf numFmtId="3" fontId="10" fillId="2" borderId="40" xfId="0" applyNumberFormat="1" applyFont="1" applyFill="1" applyBorder="1" applyAlignment="1">
      <alignment horizontal="center" vertical="center"/>
    </xf>
    <xf numFmtId="0" fontId="16" fillId="2" borderId="66" xfId="0" applyFont="1" applyFill="1" applyBorder="1" applyAlignment="1">
      <alignment horizontal="left"/>
    </xf>
    <xf numFmtId="0" fontId="11" fillId="2" borderId="0" xfId="0" applyFont="1" applyFill="1" applyAlignment="1">
      <alignment horizontal="left"/>
    </xf>
    <xf numFmtId="0" fontId="5" fillId="2" borderId="57" xfId="0" applyFont="1" applyFill="1" applyBorder="1" applyProtection="1">
      <protection locked="0"/>
    </xf>
    <xf numFmtId="0" fontId="5" fillId="2" borderId="58" xfId="0" applyFont="1" applyFill="1" applyBorder="1" applyProtection="1">
      <protection locked="0"/>
    </xf>
    <xf numFmtId="0" fontId="5" fillId="2" borderId="59" xfId="0" applyFont="1" applyFill="1" applyBorder="1" applyAlignment="1" applyProtection="1">
      <alignment horizontal="center"/>
      <protection locked="0"/>
    </xf>
    <xf numFmtId="3" fontId="5" fillId="2" borderId="26" xfId="0" applyNumberFormat="1" applyFont="1" applyFill="1" applyBorder="1" applyProtection="1">
      <protection locked="0"/>
    </xf>
    <xf numFmtId="3" fontId="5" fillId="2" borderId="27" xfId="0" applyNumberFormat="1" applyFont="1" applyFill="1" applyBorder="1" applyProtection="1">
      <protection locked="0"/>
    </xf>
    <xf numFmtId="0" fontId="9" fillId="2" borderId="51" xfId="0" applyFont="1" applyFill="1" applyBorder="1" applyAlignment="1">
      <alignment horizontal="center"/>
    </xf>
    <xf numFmtId="0" fontId="6" fillId="2" borderId="56" xfId="0" applyFont="1" applyFill="1" applyBorder="1" applyAlignment="1">
      <alignment horizontal="center"/>
    </xf>
    <xf numFmtId="0" fontId="6" fillId="2" borderId="49" xfId="0" applyFont="1" applyFill="1" applyBorder="1" applyAlignment="1">
      <alignment horizontal="center"/>
    </xf>
    <xf numFmtId="0" fontId="9" fillId="2" borderId="24" xfId="0" applyFont="1" applyFill="1" applyBorder="1" applyAlignment="1">
      <alignment horizontal="center"/>
    </xf>
    <xf numFmtId="0" fontId="8" fillId="2" borderId="24" xfId="0" applyFont="1" applyFill="1" applyBorder="1" applyAlignment="1">
      <alignment horizontal="center"/>
    </xf>
    <xf numFmtId="164" fontId="6" fillId="2" borderId="27" xfId="0" applyNumberFormat="1" applyFont="1" applyFill="1" applyBorder="1" applyAlignment="1" applyProtection="1">
      <alignment horizontal="center"/>
      <protection locked="0"/>
    </xf>
    <xf numFmtId="0" fontId="5" fillId="2" borderId="27" xfId="0" applyFont="1" applyFill="1" applyBorder="1" applyAlignment="1" applyProtection="1">
      <alignment horizontal="center"/>
      <protection locked="0"/>
    </xf>
    <xf numFmtId="164" fontId="6" fillId="2" borderId="115" xfId="0" applyNumberFormat="1" applyFont="1" applyFill="1" applyBorder="1" applyAlignment="1" applyProtection="1">
      <alignment horizontal="center"/>
      <protection locked="0"/>
    </xf>
    <xf numFmtId="0" fontId="6" fillId="2" borderId="2"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5" fillId="2" borderId="49" xfId="0" applyFont="1" applyFill="1" applyBorder="1"/>
    <xf numFmtId="3" fontId="5" fillId="2" borderId="0" xfId="0" applyNumberFormat="1" applyFont="1" applyFill="1" applyAlignment="1">
      <alignment horizontal="center"/>
    </xf>
    <xf numFmtId="0" fontId="6" fillId="2" borderId="15" xfId="0" applyFont="1" applyFill="1" applyBorder="1" applyAlignment="1">
      <alignment horizontal="center"/>
    </xf>
    <xf numFmtId="3" fontId="5" fillId="2" borderId="20" xfId="0" applyNumberFormat="1" applyFont="1" applyFill="1" applyBorder="1" applyAlignment="1">
      <alignment horizontal="center"/>
    </xf>
    <xf numFmtId="3" fontId="7" fillId="2" borderId="25" xfId="0" applyNumberFormat="1" applyFont="1" applyFill="1" applyBorder="1"/>
    <xf numFmtId="164" fontId="6" fillId="2" borderId="27" xfId="0" applyNumberFormat="1" applyFont="1" applyFill="1" applyBorder="1" applyAlignment="1">
      <alignment horizontal="center"/>
    </xf>
    <xf numFmtId="0" fontId="5" fillId="2" borderId="27" xfId="0" applyFont="1" applyFill="1" applyBorder="1" applyAlignment="1">
      <alignment horizontal="center"/>
    </xf>
    <xf numFmtId="0" fontId="5" fillId="2" borderId="57" xfId="0" applyFont="1" applyFill="1" applyBorder="1"/>
    <xf numFmtId="0" fontId="5" fillId="2" borderId="58" xfId="0" applyFont="1" applyFill="1" applyBorder="1"/>
    <xf numFmtId="0" fontId="5" fillId="2" borderId="59" xfId="0" applyFont="1" applyFill="1" applyBorder="1" applyAlignment="1">
      <alignment horizontal="center"/>
    </xf>
    <xf numFmtId="0" fontId="6" fillId="3" borderId="49" xfId="0" applyFont="1" applyFill="1" applyBorder="1" applyAlignment="1">
      <alignment horizontal="center"/>
    </xf>
    <xf numFmtId="0" fontId="6" fillId="3" borderId="2"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3" fontId="6" fillId="3" borderId="48" xfId="0" applyNumberFormat="1" applyFont="1" applyFill="1" applyBorder="1" applyAlignment="1">
      <alignment horizontal="center"/>
    </xf>
    <xf numFmtId="3" fontId="6" fillId="3" borderId="49" xfId="0" applyNumberFormat="1" applyFont="1" applyFill="1" applyBorder="1" applyAlignment="1">
      <alignment horizontal="center"/>
    </xf>
    <xf numFmtId="3" fontId="7" fillId="3" borderId="25" xfId="0" applyNumberFormat="1" applyFont="1" applyFill="1" applyBorder="1" applyProtection="1">
      <protection locked="0"/>
    </xf>
    <xf numFmtId="4" fontId="5" fillId="2" borderId="26" xfId="0" applyNumberFormat="1" applyFont="1" applyFill="1" applyBorder="1" applyProtection="1">
      <protection locked="0"/>
    </xf>
    <xf numFmtId="4" fontId="5" fillId="2" borderId="27" xfId="0" applyNumberFormat="1" applyFont="1" applyFill="1" applyBorder="1" applyProtection="1">
      <protection locked="0"/>
    </xf>
    <xf numFmtId="4" fontId="5" fillId="2" borderId="28" xfId="0" applyNumberFormat="1" applyFont="1" applyFill="1" applyBorder="1"/>
    <xf numFmtId="4" fontId="5" fillId="2" borderId="48" xfId="0" applyNumberFormat="1" applyFont="1" applyFill="1" applyBorder="1"/>
    <xf numFmtId="4" fontId="5" fillId="2" borderId="49" xfId="0" applyNumberFormat="1" applyFont="1" applyFill="1" applyBorder="1"/>
    <xf numFmtId="4" fontId="5" fillId="2" borderId="50" xfId="0" applyNumberFormat="1" applyFont="1" applyFill="1" applyBorder="1"/>
    <xf numFmtId="4" fontId="5" fillId="2" borderId="7" xfId="0" applyNumberFormat="1" applyFont="1" applyFill="1" applyBorder="1"/>
    <xf numFmtId="0" fontId="0" fillId="2" borderId="0" xfId="0" applyFill="1"/>
    <xf numFmtId="0" fontId="14" fillId="2" borderId="116" xfId="0" applyFont="1" applyFill="1" applyBorder="1" applyAlignment="1">
      <alignment horizontal="center" vertical="center"/>
    </xf>
    <xf numFmtId="0" fontId="14" fillId="2" borderId="117" xfId="0" applyFont="1" applyFill="1" applyBorder="1" applyAlignment="1">
      <alignment horizontal="center" vertical="center"/>
    </xf>
    <xf numFmtId="4" fontId="7" fillId="3" borderId="25" xfId="0" applyNumberFormat="1" applyFont="1" applyFill="1" applyBorder="1" applyProtection="1">
      <protection locked="0"/>
    </xf>
    <xf numFmtId="0" fontId="20" fillId="4" borderId="0" xfId="2" applyFill="1"/>
    <xf numFmtId="0" fontId="20" fillId="4" borderId="16" xfId="2" applyFill="1" applyBorder="1" applyAlignment="1">
      <alignment horizontal="left" vertical="center"/>
    </xf>
    <xf numFmtId="0" fontId="20" fillId="2" borderId="0" xfId="2" applyFill="1"/>
    <xf numFmtId="3" fontId="20" fillId="2" borderId="108" xfId="2" applyNumberFormat="1" applyFill="1" applyBorder="1" applyAlignment="1">
      <alignment horizontal="center" vertical="center"/>
    </xf>
    <xf numFmtId="0" fontId="20" fillId="4" borderId="123" xfId="2" applyFill="1" applyBorder="1" applyAlignment="1">
      <alignment vertical="center"/>
    </xf>
    <xf numFmtId="0" fontId="20" fillId="4" borderId="124" xfId="2" applyFill="1" applyBorder="1" applyAlignment="1">
      <alignment vertical="center"/>
    </xf>
    <xf numFmtId="0" fontId="20" fillId="4" borderId="139" xfId="2" applyFill="1" applyBorder="1" applyAlignment="1">
      <alignment vertical="center"/>
    </xf>
    <xf numFmtId="3" fontId="20" fillId="2" borderId="124" xfId="2" applyNumberFormat="1" applyFill="1" applyBorder="1" applyAlignment="1">
      <alignment horizontal="center" vertical="center"/>
    </xf>
    <xf numFmtId="3" fontId="20" fillId="2" borderId="61" xfId="2" applyNumberFormat="1" applyFill="1" applyBorder="1" applyAlignment="1">
      <alignment horizontal="center" vertical="center"/>
    </xf>
    <xf numFmtId="0" fontId="20" fillId="2" borderId="0" xfId="2" applyFill="1" applyAlignment="1">
      <alignment vertical="center"/>
    </xf>
    <xf numFmtId="0" fontId="17" fillId="2" borderId="0" xfId="0" applyFont="1" applyFill="1"/>
    <xf numFmtId="0" fontId="54" fillId="4" borderId="0" xfId="2" applyFont="1" applyFill="1" applyAlignment="1">
      <alignment horizontal="right" vertical="center"/>
    </xf>
    <xf numFmtId="0" fontId="56" fillId="4" borderId="0" xfId="2" applyFont="1" applyFill="1" applyAlignment="1">
      <alignment horizontal="right" vertical="center"/>
    </xf>
    <xf numFmtId="0" fontId="54" fillId="2" borderId="0" xfId="2" applyFont="1" applyFill="1" applyAlignment="1">
      <alignment vertical="center"/>
    </xf>
    <xf numFmtId="0" fontId="20" fillId="4" borderId="0" xfId="2" applyFill="1" applyAlignment="1">
      <alignment vertical="center"/>
    </xf>
    <xf numFmtId="49" fontId="20" fillId="4" borderId="0" xfId="2" applyNumberFormat="1" applyFill="1" applyAlignment="1">
      <alignment vertical="center"/>
    </xf>
    <xf numFmtId="49" fontId="57" fillId="4" borderId="0" xfId="2" applyNumberFormat="1" applyFont="1" applyFill="1" applyAlignment="1">
      <alignment vertical="center"/>
    </xf>
    <xf numFmtId="0" fontId="57" fillId="4" borderId="0" xfId="2" applyFont="1" applyFill="1" applyAlignment="1">
      <alignment horizontal="left" vertical="center"/>
    </xf>
    <xf numFmtId="0" fontId="58" fillId="4" borderId="0" xfId="2" applyFont="1" applyFill="1" applyAlignment="1">
      <alignment horizontal="left" vertical="center"/>
    </xf>
    <xf numFmtId="0" fontId="38" fillId="2" borderId="108" xfId="2" applyFont="1" applyFill="1" applyBorder="1" applyAlignment="1">
      <alignment horizontal="center" vertical="center"/>
    </xf>
    <xf numFmtId="0" fontId="23" fillId="2" borderId="103" xfId="2" applyFont="1" applyFill="1" applyBorder="1" applyAlignment="1">
      <alignment horizontal="center" vertical="center"/>
    </xf>
    <xf numFmtId="0" fontId="23" fillId="2" borderId="145" xfId="2" applyFont="1" applyFill="1" applyBorder="1" applyAlignment="1">
      <alignment horizontal="center" vertical="center"/>
    </xf>
    <xf numFmtId="3" fontId="20" fillId="2" borderId="130" xfId="2" applyNumberFormat="1" applyFill="1" applyBorder="1" applyAlignment="1">
      <alignment horizontal="center" vertical="center"/>
    </xf>
    <xf numFmtId="3" fontId="20" fillId="2" borderId="120" xfId="2" applyNumberFormat="1" applyFill="1" applyBorder="1" applyAlignment="1">
      <alignment horizontal="center" vertical="center"/>
    </xf>
    <xf numFmtId="3" fontId="20" fillId="2" borderId="131" xfId="2" applyNumberFormat="1" applyFill="1" applyBorder="1" applyAlignment="1">
      <alignment horizontal="center" vertical="center"/>
    </xf>
    <xf numFmtId="0" fontId="26" fillId="2" borderId="103" xfId="2" applyFont="1" applyFill="1" applyBorder="1" applyAlignment="1">
      <alignment horizontal="center" vertical="center"/>
    </xf>
    <xf numFmtId="3" fontId="20" fillId="2" borderId="64" xfId="2" applyNumberFormat="1" applyFill="1" applyBorder="1" applyAlignment="1">
      <alignment horizontal="center" vertical="center"/>
    </xf>
    <xf numFmtId="0" fontId="10" fillId="2" borderId="61" xfId="2" applyFont="1" applyFill="1" applyBorder="1" applyAlignment="1">
      <alignment horizontal="center" vertical="center"/>
    </xf>
    <xf numFmtId="0" fontId="50" fillId="2" borderId="0" xfId="2" applyFont="1" applyFill="1" applyAlignment="1">
      <alignment vertical="center"/>
    </xf>
    <xf numFmtId="0" fontId="26" fillId="2" borderId="0" xfId="2" applyFont="1" applyFill="1" applyAlignment="1">
      <alignment vertical="center"/>
    </xf>
    <xf numFmtId="0" fontId="27" fillId="2" borderId="0" xfId="2" applyFont="1" applyFill="1"/>
    <xf numFmtId="0" fontId="26" fillId="2" borderId="140" xfId="2" applyFont="1" applyFill="1" applyBorder="1" applyAlignment="1">
      <alignment horizontal="center" vertical="center"/>
    </xf>
    <xf numFmtId="0" fontId="26" fillId="2" borderId="124" xfId="2" applyFont="1" applyFill="1" applyBorder="1" applyAlignment="1">
      <alignment horizontal="center" vertical="center"/>
    </xf>
    <xf numFmtId="0" fontId="23" fillId="2" borderId="9" xfId="2" applyFont="1" applyFill="1" applyBorder="1" applyAlignment="1">
      <alignment horizontal="center" vertical="center"/>
    </xf>
    <xf numFmtId="0" fontId="26" fillId="2" borderId="108" xfId="2" applyFont="1" applyFill="1" applyBorder="1" applyAlignment="1">
      <alignment vertical="center" wrapText="1" shrinkToFit="1"/>
    </xf>
    <xf numFmtId="3" fontId="20" fillId="2" borderId="133" xfId="2" applyNumberFormat="1" applyFill="1" applyBorder="1" applyAlignment="1">
      <alignment horizontal="center" vertical="center"/>
    </xf>
    <xf numFmtId="0" fontId="20" fillId="2" borderId="125" xfId="2" applyFill="1" applyBorder="1" applyAlignment="1">
      <alignment vertical="center"/>
    </xf>
    <xf numFmtId="0" fontId="26" fillId="2" borderId="112" xfId="2" applyFont="1" applyFill="1" applyBorder="1" applyAlignment="1">
      <alignment horizontal="center" vertical="center"/>
    </xf>
    <xf numFmtId="0" fontId="26" fillId="2" borderId="108" xfId="2" applyFont="1" applyFill="1" applyBorder="1" applyAlignment="1">
      <alignment vertical="center"/>
    </xf>
    <xf numFmtId="0" fontId="26" fillId="2" borderId="61" xfId="2" applyFont="1" applyFill="1" applyBorder="1" applyAlignment="1">
      <alignment vertical="center" wrapText="1"/>
    </xf>
    <xf numFmtId="0" fontId="26" fillId="2" borderId="108" xfId="2" applyFont="1" applyFill="1" applyBorder="1" applyAlignment="1">
      <alignment vertical="center" wrapText="1"/>
    </xf>
    <xf numFmtId="0" fontId="26" fillId="2" borderId="133" xfId="2" applyFont="1" applyFill="1" applyBorder="1" applyAlignment="1">
      <alignment vertical="center"/>
    </xf>
    <xf numFmtId="0" fontId="20" fillId="2" borderId="10" xfId="2" applyFill="1" applyBorder="1" applyAlignment="1">
      <alignment vertical="center"/>
    </xf>
    <xf numFmtId="0" fontId="23" fillId="2" borderId="21" xfId="2" applyFont="1" applyFill="1" applyBorder="1" applyAlignment="1">
      <alignment horizontal="center" vertical="center"/>
    </xf>
    <xf numFmtId="0" fontId="26" fillId="2" borderId="127" xfId="2" applyFont="1" applyFill="1" applyBorder="1" applyAlignment="1">
      <alignment vertical="center" wrapText="1"/>
    </xf>
    <xf numFmtId="3" fontId="20" fillId="2" borderId="127" xfId="2" applyNumberFormat="1" applyFill="1" applyBorder="1" applyAlignment="1">
      <alignment horizontal="center" vertical="center"/>
    </xf>
    <xf numFmtId="0" fontId="20" fillId="2" borderId="22" xfId="2" applyFill="1" applyBorder="1" applyAlignment="1">
      <alignment vertical="center"/>
    </xf>
    <xf numFmtId="0" fontId="26" fillId="2" borderId="133" xfId="2" applyFont="1" applyFill="1" applyBorder="1" applyAlignment="1">
      <alignment vertical="center" wrapText="1"/>
    </xf>
    <xf numFmtId="9" fontId="20" fillId="2" borderId="127" xfId="2" applyNumberFormat="1" applyFill="1" applyBorder="1" applyAlignment="1">
      <alignment horizontal="center" vertical="center"/>
    </xf>
    <xf numFmtId="0" fontId="23" fillId="2" borderId="95" xfId="2" applyFont="1" applyFill="1" applyBorder="1" applyAlignment="1">
      <alignment vertical="center" wrapText="1"/>
    </xf>
    <xf numFmtId="0" fontId="23" fillId="2" borderId="61" xfId="2" applyFont="1" applyFill="1" applyBorder="1" applyAlignment="1">
      <alignment vertical="center" wrapText="1"/>
    </xf>
    <xf numFmtId="9" fontId="20" fillId="2" borderId="108" xfId="2" applyNumberFormat="1" applyFill="1" applyBorder="1" applyAlignment="1">
      <alignment horizontal="center" vertical="center"/>
    </xf>
    <xf numFmtId="0" fontId="23" fillId="2" borderId="130" xfId="2" applyFont="1" applyFill="1" applyBorder="1" applyAlignment="1">
      <alignment vertical="center" wrapText="1"/>
    </xf>
    <xf numFmtId="0" fontId="26" fillId="2" borderId="9" xfId="2" applyFont="1" applyFill="1" applyBorder="1" applyAlignment="1">
      <alignment horizontal="center" vertical="center"/>
    </xf>
    <xf numFmtId="0" fontId="23" fillId="2" borderId="133" xfId="2" applyFont="1" applyFill="1" applyBorder="1" applyAlignment="1">
      <alignment vertical="center" wrapText="1"/>
    </xf>
    <xf numFmtId="0" fontId="20" fillId="2" borderId="5" xfId="2" applyFill="1" applyBorder="1" applyAlignment="1">
      <alignment vertical="center"/>
    </xf>
    <xf numFmtId="0" fontId="38" fillId="2" borderId="133" xfId="2" applyFont="1" applyFill="1" applyBorder="1" applyAlignment="1">
      <alignment horizontal="center" vertical="center"/>
    </xf>
    <xf numFmtId="0" fontId="38" fillId="2" borderId="125" xfId="2" applyFont="1" applyFill="1" applyBorder="1" applyAlignment="1">
      <alignment horizontal="center" vertical="center"/>
    </xf>
    <xf numFmtId="0" fontId="26" fillId="2" borderId="132" xfId="2" applyFont="1" applyFill="1" applyBorder="1" applyAlignment="1">
      <alignment horizontal="center" vertical="center"/>
    </xf>
    <xf numFmtId="0" fontId="20" fillId="2" borderId="123" xfId="2" applyFill="1" applyBorder="1" applyAlignment="1">
      <alignment vertical="center"/>
    </xf>
    <xf numFmtId="0" fontId="26" fillId="2" borderId="126" xfId="2" applyFont="1" applyFill="1" applyBorder="1" applyAlignment="1">
      <alignment horizontal="center" vertical="center"/>
    </xf>
    <xf numFmtId="0" fontId="20" fillId="2" borderId="124" xfId="2" applyFill="1" applyBorder="1" applyAlignment="1">
      <alignment vertical="center"/>
    </xf>
    <xf numFmtId="0" fontId="26" fillId="2" borderId="112" xfId="2" applyFont="1" applyFill="1" applyBorder="1" applyAlignment="1">
      <alignment horizontal="center" vertical="center" wrapText="1"/>
    </xf>
    <xf numFmtId="0" fontId="20" fillId="2" borderId="130" xfId="2" applyFill="1" applyBorder="1" applyAlignment="1">
      <alignment horizontal="center" vertical="center"/>
    </xf>
    <xf numFmtId="3" fontId="20" fillId="2" borderId="61" xfId="2" applyNumberFormat="1" applyFill="1" applyBorder="1" applyAlignment="1">
      <alignment horizontal="center" vertical="center" wrapText="1"/>
    </xf>
    <xf numFmtId="3" fontId="20" fillId="2" borderId="108" xfId="2" applyNumberFormat="1" applyFill="1" applyBorder="1" applyAlignment="1">
      <alignment horizontal="center" vertical="center" wrapText="1"/>
    </xf>
    <xf numFmtId="0" fontId="26" fillId="2" borderId="61" xfId="2" applyFont="1" applyFill="1" applyBorder="1" applyAlignment="1">
      <alignment horizontal="center" vertical="center"/>
    </xf>
    <xf numFmtId="0" fontId="27" fillId="2" borderId="136" xfId="2" applyFont="1" applyFill="1" applyBorder="1" applyAlignment="1">
      <alignment horizontal="center" vertical="center"/>
    </xf>
    <xf numFmtId="0" fontId="26" fillId="2" borderId="130" xfId="2" applyFont="1" applyFill="1" applyBorder="1" applyAlignment="1">
      <alignment vertical="center" wrapText="1"/>
    </xf>
    <xf numFmtId="3" fontId="20" fillId="2" borderId="99" xfId="2" applyNumberFormat="1" applyFill="1" applyBorder="1" applyAlignment="1">
      <alignment horizontal="center" vertical="center"/>
    </xf>
    <xf numFmtId="0" fontId="2" fillId="2" borderId="0" xfId="2" applyFont="1" applyFill="1" applyAlignment="1">
      <alignment vertical="center"/>
    </xf>
    <xf numFmtId="0" fontId="39" fillId="2" borderId="127" xfId="2" applyFont="1" applyFill="1" applyBorder="1" applyAlignment="1">
      <alignment horizontal="center" vertical="center"/>
    </xf>
    <xf numFmtId="0" fontId="39" fillId="2" borderId="140" xfId="2" applyFont="1" applyFill="1" applyBorder="1" applyAlignment="1">
      <alignment horizontal="center" vertical="center"/>
    </xf>
    <xf numFmtId="0" fontId="26" fillId="2" borderId="84" xfId="2" applyFont="1" applyFill="1" applyBorder="1" applyAlignment="1">
      <alignment vertical="center"/>
    </xf>
    <xf numFmtId="0" fontId="23" fillId="2" borderId="61" xfId="2" applyFont="1" applyFill="1" applyBorder="1" applyAlignment="1">
      <alignment horizontal="center" vertical="center"/>
    </xf>
    <xf numFmtId="0" fontId="23" fillId="2" borderId="3" xfId="2" applyFont="1" applyFill="1" applyBorder="1" applyAlignment="1">
      <alignment horizontal="center" vertical="center"/>
    </xf>
    <xf numFmtId="0" fontId="26" fillId="2" borderId="84" xfId="2" applyFont="1" applyFill="1" applyBorder="1" applyAlignment="1">
      <alignment vertical="center" wrapText="1"/>
    </xf>
    <xf numFmtId="0" fontId="20" fillId="2" borderId="14" xfId="2" applyFill="1" applyBorder="1" applyAlignment="1">
      <alignment vertical="center"/>
    </xf>
    <xf numFmtId="3" fontId="26" fillId="2" borderId="21" xfId="2" applyNumberFormat="1" applyFont="1" applyFill="1" applyBorder="1" applyAlignment="1">
      <alignment horizontal="center" vertical="center"/>
    </xf>
    <xf numFmtId="3" fontId="26" fillId="2" borderId="132" xfId="2" applyNumberFormat="1" applyFont="1" applyFill="1" applyBorder="1" applyAlignment="1">
      <alignment horizontal="center" vertical="center"/>
    </xf>
    <xf numFmtId="0" fontId="26" fillId="2" borderId="21" xfId="2" applyFont="1" applyFill="1" applyBorder="1" applyAlignment="1">
      <alignment horizontal="center" vertical="center"/>
    </xf>
    <xf numFmtId="3" fontId="20" fillId="2" borderId="75" xfId="2" applyNumberFormat="1" applyFill="1" applyBorder="1" applyAlignment="1">
      <alignment horizontal="center" vertical="center"/>
    </xf>
    <xf numFmtId="3" fontId="20" fillId="2" borderId="84" xfId="2" applyNumberFormat="1" applyFill="1" applyBorder="1" applyAlignment="1">
      <alignment horizontal="center" vertical="center"/>
    </xf>
    <xf numFmtId="0" fontId="26" fillId="2" borderId="13" xfId="2" applyFont="1" applyFill="1" applyBorder="1" applyAlignment="1">
      <alignment horizontal="center" vertical="center"/>
    </xf>
    <xf numFmtId="3" fontId="20" fillId="2" borderId="85" xfId="2" applyNumberFormat="1" applyFill="1" applyBorder="1" applyAlignment="1">
      <alignment horizontal="center" vertical="center"/>
    </xf>
    <xf numFmtId="0" fontId="20" fillId="2" borderId="0" xfId="2" applyFill="1" applyAlignment="1">
      <alignment horizontal="center" vertical="center"/>
    </xf>
    <xf numFmtId="0" fontId="26" fillId="2" borderId="84" xfId="2" applyFont="1" applyFill="1" applyBorder="1" applyAlignment="1">
      <alignment horizontal="center" vertical="center" wrapText="1"/>
    </xf>
    <xf numFmtId="0" fontId="26" fillId="2" borderId="124" xfId="2" applyFont="1" applyFill="1" applyBorder="1" applyAlignment="1">
      <alignment horizontal="center" vertical="center" wrapText="1"/>
    </xf>
    <xf numFmtId="0" fontId="26" fillId="2" borderId="84" xfId="2" applyFont="1" applyFill="1" applyBorder="1" applyAlignment="1">
      <alignment horizontal="center" vertical="center"/>
    </xf>
    <xf numFmtId="165" fontId="20" fillId="2" borderId="61" xfId="2" applyNumberFormat="1" applyFill="1" applyBorder="1" applyAlignment="1">
      <alignment horizontal="center" vertical="center"/>
    </xf>
    <xf numFmtId="165" fontId="20" fillId="4" borderId="61" xfId="2" applyNumberFormat="1" applyFill="1" applyBorder="1" applyAlignment="1">
      <alignment horizontal="center" vertical="center"/>
    </xf>
    <xf numFmtId="3" fontId="20" fillId="2" borderId="123" xfId="2" applyNumberFormat="1" applyFill="1" applyBorder="1" applyAlignment="1">
      <alignment horizontal="center" vertical="center"/>
    </xf>
    <xf numFmtId="3" fontId="26" fillId="2" borderId="112" xfId="2" applyNumberFormat="1" applyFont="1" applyFill="1" applyBorder="1" applyAlignment="1">
      <alignment horizontal="center" vertical="center"/>
    </xf>
    <xf numFmtId="3" fontId="20" fillId="2" borderId="125" xfId="2" applyNumberFormat="1" applyFill="1" applyBorder="1" applyAlignment="1">
      <alignment horizontal="center" vertical="center"/>
    </xf>
    <xf numFmtId="3" fontId="20" fillId="2" borderId="125" xfId="2" applyNumberFormat="1" applyFill="1" applyBorder="1" applyAlignment="1">
      <alignment vertical="center"/>
    </xf>
    <xf numFmtId="3" fontId="26" fillId="2" borderId="126" xfId="2" applyNumberFormat="1" applyFont="1" applyFill="1" applyBorder="1" applyAlignment="1">
      <alignment horizontal="center" vertical="center"/>
    </xf>
    <xf numFmtId="3" fontId="20" fillId="2" borderId="124" xfId="2" applyNumberFormat="1" applyFill="1" applyBorder="1" applyAlignment="1">
      <alignment vertical="center"/>
    </xf>
    <xf numFmtId="3" fontId="26" fillId="2" borderId="9" xfId="2" applyNumberFormat="1" applyFont="1" applyFill="1" applyBorder="1" applyAlignment="1">
      <alignment horizontal="center" vertical="center"/>
    </xf>
    <xf numFmtId="3" fontId="20" fillId="4" borderId="61" xfId="2" applyNumberFormat="1" applyFill="1" applyBorder="1" applyAlignment="1">
      <alignment horizontal="center" vertical="center"/>
    </xf>
    <xf numFmtId="3" fontId="20" fillId="4" borderId="124" xfId="2" applyNumberFormat="1" applyFill="1" applyBorder="1" applyAlignment="1">
      <alignment vertical="center"/>
    </xf>
    <xf numFmtId="3" fontId="20" fillId="4" borderId="125" xfId="2" applyNumberFormat="1" applyFill="1" applyBorder="1" applyAlignment="1">
      <alignment vertical="center"/>
    </xf>
    <xf numFmtId="3" fontId="20" fillId="4" borderId="130" xfId="2" applyNumberFormat="1" applyFill="1" applyBorder="1" applyAlignment="1">
      <alignment horizontal="center" vertical="center"/>
    </xf>
    <xf numFmtId="3" fontId="20" fillId="4" borderId="123" xfId="2" applyNumberFormat="1" applyFill="1" applyBorder="1" applyAlignment="1">
      <alignment vertical="center"/>
    </xf>
    <xf numFmtId="3" fontId="20" fillId="2" borderId="22" xfId="2" applyNumberFormat="1" applyFill="1" applyBorder="1" applyAlignment="1">
      <alignment vertical="center"/>
    </xf>
    <xf numFmtId="49" fontId="21" fillId="2" borderId="61" xfId="2" applyNumberFormat="1" applyFont="1" applyFill="1" applyBorder="1" applyAlignment="1">
      <alignment horizontal="center" vertical="center"/>
    </xf>
    <xf numFmtId="0" fontId="21" fillId="2" borderId="61" xfId="2" applyFont="1" applyFill="1" applyBorder="1" applyAlignment="1">
      <alignment horizontal="center" vertical="center"/>
    </xf>
    <xf numFmtId="0" fontId="20" fillId="2" borderId="112" xfId="2" applyFill="1" applyBorder="1" applyAlignment="1">
      <alignment horizontal="center" vertical="center"/>
    </xf>
    <xf numFmtId="0" fontId="20" fillId="2" borderId="132" xfId="2" applyFill="1" applyBorder="1" applyAlignment="1">
      <alignment horizontal="center" vertical="center"/>
    </xf>
    <xf numFmtId="0" fontId="20" fillId="2" borderId="94" xfId="2" applyFill="1" applyBorder="1" applyAlignment="1">
      <alignment horizontal="center" vertical="center"/>
    </xf>
    <xf numFmtId="0" fontId="20" fillId="2" borderId="125" xfId="2" applyFill="1" applyBorder="1" applyAlignment="1">
      <alignment horizontal="center" vertical="center"/>
    </xf>
    <xf numFmtId="0" fontId="20" fillId="2" borderId="21" xfId="2" applyFill="1" applyBorder="1" applyAlignment="1">
      <alignment horizontal="center" vertical="center"/>
    </xf>
    <xf numFmtId="0" fontId="26" fillId="2" borderId="108" xfId="2" applyFont="1" applyFill="1" applyBorder="1" applyAlignment="1">
      <alignment horizontal="center"/>
    </xf>
    <xf numFmtId="0" fontId="26" fillId="2" borderId="125" xfId="2" applyFont="1" applyFill="1" applyBorder="1" applyAlignment="1">
      <alignment horizontal="center"/>
    </xf>
    <xf numFmtId="0" fontId="26" fillId="2" borderId="0" xfId="2" applyFont="1" applyFill="1"/>
    <xf numFmtId="14" fontId="21" fillId="2" borderId="84" xfId="2" applyNumberFormat="1" applyFont="1" applyFill="1" applyBorder="1" applyAlignment="1">
      <alignment horizontal="center"/>
    </xf>
    <xf numFmtId="0" fontId="20" fillId="2" borderId="122" xfId="2" applyFill="1" applyBorder="1"/>
    <xf numFmtId="0" fontId="20" fillId="2" borderId="4" xfId="2" applyFill="1" applyBorder="1"/>
    <xf numFmtId="0" fontId="20" fillId="2" borderId="19" xfId="2" applyFill="1" applyBorder="1"/>
    <xf numFmtId="0" fontId="20" fillId="2" borderId="89" xfId="2" applyFill="1" applyBorder="1"/>
    <xf numFmtId="0" fontId="20" fillId="2" borderId="5" xfId="2" applyFill="1" applyBorder="1"/>
    <xf numFmtId="0" fontId="20" fillId="2" borderId="111" xfId="2" applyFill="1" applyBorder="1"/>
    <xf numFmtId="0" fontId="20" fillId="2" borderId="124" xfId="2" applyFill="1" applyBorder="1"/>
    <xf numFmtId="0" fontId="20" fillId="2" borderId="88" xfId="2" applyFill="1" applyBorder="1"/>
    <xf numFmtId="0" fontId="20" fillId="2" borderId="22" xfId="2" applyFill="1" applyBorder="1"/>
    <xf numFmtId="0" fontId="20" fillId="2" borderId="10" xfId="2" applyFill="1" applyBorder="1"/>
    <xf numFmtId="0" fontId="20" fillId="2" borderId="125" xfId="2" applyFill="1" applyBorder="1"/>
    <xf numFmtId="0" fontId="26" fillId="4" borderId="112" xfId="2" applyFont="1" applyFill="1" applyBorder="1" applyAlignment="1">
      <alignment horizontal="center" vertical="center"/>
    </xf>
    <xf numFmtId="0" fontId="20" fillId="4" borderId="125" xfId="2" applyFill="1" applyBorder="1"/>
    <xf numFmtId="0" fontId="20" fillId="4" borderId="124" xfId="2" applyFill="1" applyBorder="1"/>
    <xf numFmtId="3" fontId="20" fillId="4" borderId="108" xfId="2" applyNumberFormat="1" applyFill="1" applyBorder="1" applyAlignment="1">
      <alignment horizontal="center" vertical="center"/>
    </xf>
    <xf numFmtId="0" fontId="20" fillId="4" borderId="123" xfId="2" applyFill="1" applyBorder="1"/>
    <xf numFmtId="0" fontId="26" fillId="4" borderId="8" xfId="2" applyFont="1" applyFill="1" applyBorder="1" applyAlignment="1">
      <alignment horizontal="center" vertical="center"/>
    </xf>
    <xf numFmtId="0" fontId="20" fillId="4" borderId="0" xfId="2" applyFill="1" applyAlignment="1">
      <alignment horizontal="center" vertical="center"/>
    </xf>
    <xf numFmtId="0" fontId="53" fillId="4" borderId="8" xfId="2" applyFont="1" applyFill="1" applyBorder="1" applyAlignment="1">
      <alignment horizontal="center" vertical="center"/>
    </xf>
    <xf numFmtId="0" fontId="28" fillId="4" borderId="0" xfId="2" applyFont="1" applyFill="1" applyAlignment="1">
      <alignment horizontal="left" vertical="center"/>
    </xf>
    <xf numFmtId="49" fontId="0" fillId="4" borderId="8" xfId="2" applyNumberFormat="1" applyFont="1" applyFill="1" applyBorder="1" applyAlignment="1">
      <alignment horizontal="center" vertical="center"/>
    </xf>
    <xf numFmtId="0" fontId="35" fillId="4" borderId="8" xfId="2" applyFont="1" applyFill="1" applyBorder="1" applyAlignment="1">
      <alignment horizontal="center" vertical="center"/>
    </xf>
    <xf numFmtId="14" fontId="20" fillId="4" borderId="8" xfId="2" applyNumberFormat="1" applyFill="1" applyBorder="1" applyAlignment="1">
      <alignment horizontal="center" vertical="center"/>
    </xf>
    <xf numFmtId="0" fontId="10" fillId="4" borderId="0" xfId="2" applyFont="1" applyFill="1" applyAlignment="1">
      <alignment horizontal="center" vertical="center"/>
    </xf>
    <xf numFmtId="0" fontId="29" fillId="4" borderId="4" xfId="2" applyFont="1" applyFill="1" applyBorder="1" applyAlignment="1">
      <alignment vertical="center"/>
    </xf>
    <xf numFmtId="49" fontId="20" fillId="4" borderId="8" xfId="2" applyNumberFormat="1" applyFill="1" applyBorder="1" applyAlignment="1">
      <alignment horizontal="center" vertical="center"/>
    </xf>
    <xf numFmtId="0" fontId="26" fillId="4" borderId="0" xfId="2" applyFont="1" applyFill="1" applyAlignment="1">
      <alignment vertical="center"/>
    </xf>
    <xf numFmtId="0" fontId="0" fillId="4" borderId="61" xfId="2" applyFont="1" applyFill="1" applyBorder="1" applyAlignment="1">
      <alignment horizontal="center" vertical="center"/>
    </xf>
    <xf numFmtId="0" fontId="20" fillId="4" borderId="61" xfId="2" applyFill="1" applyBorder="1" applyAlignment="1">
      <alignment vertical="center"/>
    </xf>
    <xf numFmtId="49" fontId="55" fillId="5" borderId="0" xfId="2" applyNumberFormat="1" applyFont="1" applyFill="1" applyAlignment="1" applyProtection="1">
      <alignment vertical="center"/>
      <protection locked="0"/>
    </xf>
    <xf numFmtId="49" fontId="52" fillId="2" borderId="76" xfId="0" applyNumberFormat="1" applyFont="1" applyFill="1" applyBorder="1" applyAlignment="1">
      <alignment horizontal="center" vertical="center" wrapText="1"/>
    </xf>
    <xf numFmtId="49" fontId="52" fillId="2" borderId="100" xfId="0" applyNumberFormat="1" applyFont="1" applyFill="1" applyBorder="1" applyAlignment="1">
      <alignment vertical="center"/>
    </xf>
    <xf numFmtId="49" fontId="52" fillId="2" borderId="95" xfId="0" applyNumberFormat="1" applyFont="1" applyFill="1" applyBorder="1" applyAlignment="1">
      <alignment horizontal="center" vertical="center" wrapText="1"/>
    </xf>
    <xf numFmtId="0" fontId="60" fillId="2" borderId="0" xfId="0" applyFont="1" applyFill="1" applyAlignment="1">
      <alignment horizontal="center"/>
    </xf>
    <xf numFmtId="0" fontId="0" fillId="2" borderId="0" xfId="0" applyFill="1" applyAlignment="1">
      <alignment horizontal="center"/>
    </xf>
    <xf numFmtId="49" fontId="0" fillId="2" borderId="61" xfId="0" applyNumberFormat="1" applyFill="1" applyBorder="1" applyAlignment="1">
      <alignment horizontal="center" vertical="center"/>
    </xf>
    <xf numFmtId="0" fontId="0" fillId="2" borderId="63" xfId="0" applyFill="1" applyBorder="1"/>
    <xf numFmtId="0" fontId="0" fillId="2" borderId="64" xfId="0" applyFill="1" applyBorder="1"/>
    <xf numFmtId="0" fontId="0" fillId="2" borderId="65" xfId="0" applyFill="1" applyBorder="1"/>
    <xf numFmtId="0" fontId="0" fillId="2" borderId="66" xfId="0" applyFill="1" applyBorder="1"/>
    <xf numFmtId="0" fontId="0" fillId="2" borderId="67" xfId="0" applyFill="1" applyBorder="1"/>
    <xf numFmtId="0" fontId="2" fillId="2" borderId="140" xfId="0" applyFont="1" applyFill="1" applyBorder="1" applyAlignment="1">
      <alignment horizontal="center" vertical="center" wrapText="1"/>
    </xf>
    <xf numFmtId="0" fontId="23" fillId="2" borderId="62" xfId="0" applyFont="1" applyFill="1" applyBorder="1" applyAlignment="1">
      <alignment horizontal="left" vertical="center" indent="1"/>
    </xf>
    <xf numFmtId="0" fontId="23" fillId="2" borderId="108" xfId="0" applyFont="1" applyFill="1" applyBorder="1" applyAlignment="1">
      <alignment horizontal="left" vertical="center" indent="1"/>
    </xf>
    <xf numFmtId="3" fontId="0" fillId="2" borderId="61" xfId="0" applyNumberFormat="1" applyFill="1" applyBorder="1" applyAlignment="1">
      <alignment horizontal="center" vertical="center"/>
    </xf>
    <xf numFmtId="0" fontId="0" fillId="2" borderId="0" xfId="0" applyFill="1" applyAlignment="1">
      <alignment horizontal="center" vertical="top"/>
    </xf>
    <xf numFmtId="0" fontId="26" fillId="2" borderId="0" xfId="0" applyFont="1" applyFill="1" applyAlignment="1">
      <alignment horizontal="right" vertical="top"/>
    </xf>
    <xf numFmtId="0" fontId="12" fillId="6" borderId="117" xfId="0" applyFont="1" applyFill="1" applyBorder="1" applyAlignment="1">
      <alignment vertical="center" wrapText="1"/>
    </xf>
    <xf numFmtId="0" fontId="12" fillId="2" borderId="117" xfId="0" applyFont="1" applyFill="1" applyBorder="1" applyAlignment="1">
      <alignment horizontal="left" vertical="center" wrapText="1"/>
    </xf>
    <xf numFmtId="0" fontId="14" fillId="6" borderId="117" xfId="0" applyFont="1" applyFill="1" applyBorder="1" applyAlignment="1">
      <alignment horizontal="left" vertical="center" wrapText="1"/>
    </xf>
    <xf numFmtId="0" fontId="12" fillId="2" borderId="117" xfId="0" applyFont="1" applyFill="1" applyBorder="1" applyAlignment="1">
      <alignment vertical="center" wrapText="1"/>
    </xf>
    <xf numFmtId="0" fontId="12" fillId="2" borderId="118" xfId="0" applyFont="1" applyFill="1" applyBorder="1" applyAlignment="1">
      <alignment vertical="center" wrapText="1"/>
    </xf>
    <xf numFmtId="4" fontId="5" fillId="2" borderId="26" xfId="0" applyNumberFormat="1" applyFont="1" applyFill="1" applyBorder="1" applyAlignment="1">
      <alignment shrinkToFit="1"/>
    </xf>
    <xf numFmtId="4" fontId="5" fillId="2" borderId="27" xfId="0" applyNumberFormat="1" applyFont="1" applyFill="1" applyBorder="1" applyAlignment="1">
      <alignment shrinkToFit="1"/>
    </xf>
    <xf numFmtId="4" fontId="5" fillId="2" borderId="28" xfId="0" applyNumberFormat="1" applyFont="1" applyFill="1" applyBorder="1" applyAlignment="1">
      <alignment shrinkToFit="1"/>
    </xf>
    <xf numFmtId="4" fontId="5" fillId="2" borderId="48" xfId="0" applyNumberFormat="1" applyFont="1" applyFill="1" applyBorder="1" applyAlignment="1">
      <alignment shrinkToFit="1"/>
    </xf>
    <xf numFmtId="4" fontId="5" fillId="2" borderId="49" xfId="0" applyNumberFormat="1" applyFont="1" applyFill="1" applyBorder="1" applyAlignment="1">
      <alignment shrinkToFit="1"/>
    </xf>
    <xf numFmtId="4" fontId="5" fillId="2" borderId="50" xfId="0" applyNumberFormat="1" applyFont="1" applyFill="1" applyBorder="1" applyAlignment="1">
      <alignment shrinkToFit="1"/>
    </xf>
    <xf numFmtId="4" fontId="5" fillId="2" borderId="7" xfId="0" applyNumberFormat="1" applyFont="1" applyFill="1" applyBorder="1" applyAlignment="1">
      <alignment shrinkToFit="1"/>
    </xf>
    <xf numFmtId="4" fontId="7" fillId="2" borderId="25" xfId="0" applyNumberFormat="1" applyFont="1" applyFill="1" applyBorder="1" applyAlignment="1">
      <alignment shrinkToFit="1"/>
    </xf>
    <xf numFmtId="0" fontId="7" fillId="2" borderId="0" xfId="0" applyFont="1" applyFill="1" applyAlignment="1">
      <alignment horizontal="center"/>
    </xf>
    <xf numFmtId="49" fontId="0" fillId="0" borderId="0" xfId="0" applyNumberFormat="1"/>
    <xf numFmtId="0" fontId="18" fillId="6" borderId="117" xfId="0" applyFont="1" applyFill="1" applyBorder="1" applyAlignment="1">
      <alignment horizontal="center" vertical="center"/>
    </xf>
    <xf numFmtId="0" fontId="14" fillId="2" borderId="0" xfId="0" applyFont="1" applyFill="1"/>
    <xf numFmtId="49" fontId="32" fillId="2" borderId="61" xfId="0" applyNumberFormat="1" applyFont="1" applyFill="1" applyBorder="1" applyAlignment="1">
      <alignment horizontal="center" vertical="center"/>
    </xf>
    <xf numFmtId="0" fontId="26" fillId="4" borderId="0" xfId="2" applyFont="1" applyFill="1" applyAlignment="1">
      <alignment horizontal="right" vertical="center"/>
    </xf>
    <xf numFmtId="0" fontId="0" fillId="2" borderId="94" xfId="2" applyFont="1" applyFill="1" applyBorder="1" applyAlignment="1">
      <alignment horizontal="left" vertical="center"/>
    </xf>
    <xf numFmtId="3" fontId="0" fillId="2" borderId="130" xfId="2" applyNumberFormat="1" applyFont="1" applyFill="1" applyBorder="1" applyAlignment="1">
      <alignment horizontal="center" vertical="center"/>
    </xf>
    <xf numFmtId="0" fontId="0" fillId="2" borderId="123" xfId="2" applyFont="1" applyFill="1" applyBorder="1" applyAlignment="1">
      <alignment horizontal="center" vertical="center"/>
    </xf>
    <xf numFmtId="0" fontId="0" fillId="2" borderId="136" xfId="2" applyFont="1" applyFill="1" applyBorder="1" applyAlignment="1">
      <alignment horizontal="center" vertical="center"/>
    </xf>
    <xf numFmtId="0" fontId="26" fillId="2" borderId="133" xfId="2" applyFont="1" applyFill="1" applyBorder="1" applyAlignment="1">
      <alignment horizontal="center" vertical="center" wrapText="1"/>
    </xf>
    <xf numFmtId="0" fontId="26" fillId="2" borderId="10" xfId="2" applyFont="1" applyFill="1" applyBorder="1" applyAlignment="1">
      <alignment horizontal="center" vertical="center" wrapText="1"/>
    </xf>
    <xf numFmtId="3" fontId="0" fillId="2" borderId="61" xfId="2" applyNumberFormat="1" applyFont="1" applyFill="1" applyBorder="1" applyAlignment="1">
      <alignment horizontal="center" vertical="center"/>
    </xf>
    <xf numFmtId="3" fontId="0" fillId="2" borderId="124" xfId="2" applyNumberFormat="1" applyFont="1" applyFill="1" applyBorder="1" applyAlignment="1">
      <alignment horizontal="center" vertical="center"/>
    </xf>
    <xf numFmtId="49" fontId="2" fillId="0" borderId="0" xfId="0" applyNumberFormat="1" applyFont="1"/>
    <xf numFmtId="3" fontId="70" fillId="0" borderId="0" xfId="0" applyNumberFormat="1" applyFont="1"/>
    <xf numFmtId="0" fontId="70" fillId="0" borderId="0" xfId="0" applyFont="1"/>
    <xf numFmtId="0" fontId="72" fillId="8" borderId="51" xfId="0" applyFont="1" applyFill="1" applyBorder="1" applyAlignment="1">
      <alignment horizontal="center"/>
    </xf>
    <xf numFmtId="165" fontId="72" fillId="8" borderId="24" xfId="0" applyNumberFormat="1" applyFont="1" applyFill="1" applyBorder="1" applyAlignment="1">
      <alignment horizontal="center"/>
    </xf>
    <xf numFmtId="0" fontId="73" fillId="8" borderId="24" xfId="0" applyFont="1" applyFill="1" applyBorder="1" applyAlignment="1">
      <alignment horizontal="center"/>
    </xf>
    <xf numFmtId="3" fontId="73" fillId="8" borderId="23" xfId="0" applyNumberFormat="1" applyFont="1" applyFill="1" applyBorder="1" applyAlignment="1">
      <alignment horizontal="center"/>
    </xf>
    <xf numFmtId="3" fontId="73" fillId="8" borderId="24" xfId="0" applyNumberFormat="1" applyFont="1" applyFill="1" applyBorder="1" applyAlignment="1">
      <alignment horizontal="center"/>
    </xf>
    <xf numFmtId="0" fontId="71" fillId="9" borderId="56" xfId="0" applyFont="1" applyFill="1" applyBorder="1" applyAlignment="1">
      <alignment horizontal="center"/>
    </xf>
    <xf numFmtId="165" fontId="71" fillId="9" borderId="27" xfId="0" applyNumberFormat="1" applyFont="1" applyFill="1" applyBorder="1" applyAlignment="1" applyProtection="1">
      <alignment horizontal="center"/>
      <protection locked="0"/>
    </xf>
    <xf numFmtId="0" fontId="70" fillId="9" borderId="27" xfId="0" applyFont="1" applyFill="1" applyBorder="1" applyAlignment="1" applyProtection="1">
      <alignment horizontal="left"/>
      <protection locked="0"/>
    </xf>
    <xf numFmtId="0" fontId="70" fillId="9" borderId="57" xfId="0" applyFont="1" applyFill="1" applyBorder="1" applyProtection="1">
      <protection locked="0"/>
    </xf>
    <xf numFmtId="3" fontId="70" fillId="9" borderId="26" xfId="0" applyNumberFormat="1" applyFont="1" applyFill="1" applyBorder="1" applyProtection="1">
      <protection locked="0"/>
    </xf>
    <xf numFmtId="3" fontId="70" fillId="9" borderId="27" xfId="0" applyNumberFormat="1" applyFont="1" applyFill="1" applyBorder="1" applyProtection="1">
      <protection locked="0"/>
    </xf>
    <xf numFmtId="3" fontId="70" fillId="9" borderId="28" xfId="0" applyNumberFormat="1" applyFont="1" applyFill="1" applyBorder="1"/>
    <xf numFmtId="0" fontId="71" fillId="8" borderId="56" xfId="0" applyFont="1" applyFill="1" applyBorder="1" applyAlignment="1">
      <alignment horizontal="center"/>
    </xf>
    <xf numFmtId="165" fontId="71" fillId="8" borderId="27" xfId="0" applyNumberFormat="1" applyFont="1" applyFill="1" applyBorder="1" applyAlignment="1" applyProtection="1">
      <alignment horizontal="center"/>
      <protection locked="0"/>
    </xf>
    <xf numFmtId="0" fontId="70" fillId="8" borderId="27" xfId="0" applyFont="1" applyFill="1" applyBorder="1" applyAlignment="1" applyProtection="1">
      <alignment horizontal="left"/>
      <protection locked="0"/>
    </xf>
    <xf numFmtId="0" fontId="70" fillId="8" borderId="57" xfId="0" applyFont="1" applyFill="1" applyBorder="1" applyProtection="1">
      <protection locked="0"/>
    </xf>
    <xf numFmtId="3" fontId="70" fillId="8" borderId="26" xfId="0" applyNumberFormat="1" applyFont="1" applyFill="1" applyBorder="1" applyProtection="1">
      <protection locked="0"/>
    </xf>
    <xf numFmtId="3" fontId="70" fillId="8" borderId="27" xfId="0" applyNumberFormat="1" applyFont="1" applyFill="1" applyBorder="1" applyProtection="1">
      <protection locked="0"/>
    </xf>
    <xf numFmtId="3" fontId="70" fillId="0" borderId="28" xfId="0" applyNumberFormat="1" applyFont="1" applyBorder="1"/>
    <xf numFmtId="0" fontId="71" fillId="9" borderId="146" xfId="0" applyFont="1" applyFill="1" applyBorder="1" applyAlignment="1">
      <alignment horizontal="center"/>
    </xf>
    <xf numFmtId="165" fontId="71" fillId="9" borderId="115" xfId="0" applyNumberFormat="1" applyFont="1" applyFill="1" applyBorder="1" applyAlignment="1" applyProtection="1">
      <alignment horizontal="center"/>
      <protection locked="0"/>
    </xf>
    <xf numFmtId="0" fontId="70" fillId="9" borderId="115" xfId="0" applyFont="1" applyFill="1" applyBorder="1" applyAlignment="1" applyProtection="1">
      <alignment horizontal="left"/>
      <protection locked="0"/>
    </xf>
    <xf numFmtId="0" fontId="70" fillId="9" borderId="147" xfId="0" applyFont="1" applyFill="1" applyBorder="1" applyProtection="1">
      <protection locked="0"/>
    </xf>
    <xf numFmtId="3" fontId="70" fillId="9" borderId="148" xfId="0" applyNumberFormat="1" applyFont="1" applyFill="1" applyBorder="1" applyProtection="1">
      <protection locked="0"/>
    </xf>
    <xf numFmtId="3" fontId="70" fillId="9" borderId="115" xfId="0" applyNumberFormat="1" applyFont="1" applyFill="1" applyBorder="1" applyProtection="1">
      <protection locked="0"/>
    </xf>
    <xf numFmtId="3" fontId="70" fillId="9" borderId="149" xfId="0" applyNumberFormat="1" applyFont="1" applyFill="1" applyBorder="1"/>
    <xf numFmtId="0" fontId="71" fillId="8" borderId="101" xfId="0" applyFont="1" applyFill="1" applyBorder="1" applyAlignment="1">
      <alignment horizontal="center"/>
    </xf>
    <xf numFmtId="165" fontId="71" fillId="8" borderId="150" xfId="0" applyNumberFormat="1" applyFont="1" applyFill="1" applyBorder="1" applyAlignment="1" applyProtection="1">
      <alignment horizontal="center"/>
      <protection locked="0"/>
    </xf>
    <xf numFmtId="0" fontId="70" fillId="8" borderId="150" xfId="0" applyFont="1" applyFill="1" applyBorder="1" applyAlignment="1" applyProtection="1">
      <alignment horizontal="left"/>
      <protection locked="0"/>
    </xf>
    <xf numFmtId="0" fontId="70" fillId="8" borderId="151" xfId="0" applyFont="1" applyFill="1" applyBorder="1" applyProtection="1">
      <protection locked="0"/>
    </xf>
    <xf numFmtId="3" fontId="70" fillId="8" borderId="29" xfId="0" applyNumberFormat="1" applyFont="1" applyFill="1" applyBorder="1" applyProtection="1">
      <protection locked="0"/>
    </xf>
    <xf numFmtId="3" fontId="70" fillId="8" borderId="150" xfId="0" applyNumberFormat="1" applyFont="1" applyFill="1" applyBorder="1" applyProtection="1">
      <protection locked="0"/>
    </xf>
    <xf numFmtId="3" fontId="70" fillId="0" borderId="30" xfId="0" applyNumberFormat="1" applyFont="1" applyBorder="1"/>
    <xf numFmtId="0" fontId="70" fillId="9" borderId="27" xfId="0" applyFont="1" applyFill="1" applyBorder="1" applyAlignment="1" applyProtection="1">
      <alignment horizontal="right"/>
      <protection locked="0"/>
    </xf>
    <xf numFmtId="0" fontId="70" fillId="9" borderId="115" xfId="0" applyFont="1" applyFill="1" applyBorder="1" applyAlignment="1" applyProtection="1">
      <alignment horizontal="right"/>
      <protection locked="0"/>
    </xf>
    <xf numFmtId="0" fontId="70" fillId="8" borderId="27" xfId="0" applyFont="1" applyFill="1" applyBorder="1" applyAlignment="1" applyProtection="1">
      <alignment horizontal="right"/>
      <protection locked="0"/>
    </xf>
    <xf numFmtId="0" fontId="71" fillId="0" borderId="56" xfId="0" applyFont="1" applyBorder="1" applyAlignment="1">
      <alignment horizontal="center"/>
    </xf>
    <xf numFmtId="165" fontId="71" fillId="0" borderId="27" xfId="0" applyNumberFormat="1" applyFont="1" applyBorder="1" applyAlignment="1" applyProtection="1">
      <alignment horizontal="center"/>
      <protection locked="0"/>
    </xf>
    <xf numFmtId="0" fontId="70" fillId="0" borderId="27" xfId="0" applyFont="1" applyBorder="1" applyAlignment="1" applyProtection="1">
      <alignment horizontal="right"/>
      <protection locked="0"/>
    </xf>
    <xf numFmtId="0" fontId="70" fillId="0" borderId="57" xfId="0" applyFont="1" applyBorder="1" applyProtection="1">
      <protection locked="0"/>
    </xf>
    <xf numFmtId="3" fontId="70" fillId="0" borderId="26" xfId="0" applyNumberFormat="1" applyFont="1" applyBorder="1" applyProtection="1">
      <protection locked="0"/>
    </xf>
    <xf numFmtId="3" fontId="70" fillId="0" borderId="27" xfId="0" applyNumberFormat="1" applyFont="1" applyBorder="1" applyProtection="1">
      <protection locked="0"/>
    </xf>
    <xf numFmtId="0" fontId="70" fillId="8" borderId="1" xfId="0" applyFont="1" applyFill="1" applyBorder="1" applyAlignment="1">
      <alignment horizontal="center"/>
    </xf>
    <xf numFmtId="3" fontId="70" fillId="8" borderId="48" xfId="0" applyNumberFormat="1" applyFont="1" applyFill="1" applyBorder="1"/>
    <xf numFmtId="3" fontId="70" fillId="8" borderId="49" xfId="0" applyNumberFormat="1" applyFont="1" applyFill="1" applyBorder="1"/>
    <xf numFmtId="0" fontId="74" fillId="0" borderId="0" xfId="0" applyFont="1"/>
    <xf numFmtId="3" fontId="71" fillId="8" borderId="152" xfId="0" applyNumberFormat="1" applyFont="1" applyFill="1" applyBorder="1" applyAlignment="1">
      <alignment horizontal="center"/>
    </xf>
    <xf numFmtId="3" fontId="71" fillId="8" borderId="39" xfId="0" applyNumberFormat="1" applyFont="1" applyFill="1" applyBorder="1" applyAlignment="1">
      <alignment horizontal="center" wrapText="1"/>
    </xf>
    <xf numFmtId="3" fontId="71" fillId="8" borderId="40" xfId="0" applyNumberFormat="1" applyFont="1" applyFill="1" applyBorder="1" applyAlignment="1">
      <alignment horizontal="center"/>
    </xf>
    <xf numFmtId="0" fontId="70" fillId="9" borderId="27" xfId="0" applyFont="1" applyFill="1" applyBorder="1" applyAlignment="1" applyProtection="1">
      <alignment horizontal="center"/>
      <protection locked="0"/>
    </xf>
    <xf numFmtId="0" fontId="70" fillId="8" borderId="27" xfId="0" applyFont="1" applyFill="1" applyBorder="1" applyAlignment="1" applyProtection="1">
      <alignment horizontal="center"/>
      <protection locked="0"/>
    </xf>
    <xf numFmtId="3" fontId="74" fillId="3" borderId="25" xfId="0" applyNumberFormat="1" applyFont="1" applyFill="1" applyBorder="1" applyProtection="1">
      <protection locked="0"/>
    </xf>
    <xf numFmtId="3" fontId="69" fillId="3" borderId="50" xfId="0" applyNumberFormat="1" applyFont="1" applyFill="1" applyBorder="1"/>
    <xf numFmtId="165" fontId="70" fillId="0" borderId="0" xfId="0" applyNumberFormat="1" applyFont="1"/>
    <xf numFmtId="0" fontId="75" fillId="2" borderId="0" xfId="0" applyFont="1" applyFill="1"/>
    <xf numFmtId="49" fontId="0" fillId="0" borderId="57" xfId="0" applyNumberFormat="1" applyBorder="1" applyAlignment="1">
      <alignment horizontal="right"/>
    </xf>
    <xf numFmtId="49" fontId="0" fillId="0" borderId="153" xfId="0" applyNumberFormat="1" applyBorder="1" applyAlignment="1">
      <alignment horizontal="right"/>
    </xf>
    <xf numFmtId="49" fontId="0" fillId="0" borderId="151" xfId="0" applyNumberFormat="1" applyBorder="1" applyAlignment="1">
      <alignment horizontal="right"/>
    </xf>
    <xf numFmtId="49" fontId="2" fillId="9" borderId="61" xfId="0" applyNumberFormat="1" applyFont="1" applyFill="1" applyBorder="1"/>
    <xf numFmtId="49" fontId="2" fillId="9" borderId="84" xfId="0" applyNumberFormat="1" applyFont="1" applyFill="1" applyBorder="1"/>
    <xf numFmtId="49" fontId="3" fillId="9" borderId="120" xfId="0" applyNumberFormat="1" applyFont="1" applyFill="1" applyBorder="1"/>
    <xf numFmtId="0" fontId="1" fillId="0" borderId="0" xfId="4"/>
    <xf numFmtId="3" fontId="1" fillId="0" borderId="0" xfId="4" applyNumberFormat="1"/>
    <xf numFmtId="0" fontId="1" fillId="0" borderId="0" xfId="4" applyAlignment="1">
      <alignment horizontal="right"/>
    </xf>
    <xf numFmtId="3" fontId="1" fillId="0" borderId="0" xfId="4" applyNumberFormat="1" applyAlignment="1">
      <alignment horizontal="right"/>
    </xf>
    <xf numFmtId="3" fontId="1" fillId="0" borderId="4" xfId="4" applyNumberFormat="1" applyBorder="1" applyAlignment="1">
      <alignment horizontal="right"/>
    </xf>
    <xf numFmtId="3" fontId="76" fillId="0" borderId="0" xfId="4" applyNumberFormat="1" applyFont="1"/>
    <xf numFmtId="0" fontId="76" fillId="0" borderId="0" xfId="4" applyFont="1" applyAlignment="1">
      <alignment horizontal="right"/>
    </xf>
    <xf numFmtId="3" fontId="1" fillId="0" borderId="0" xfId="4" applyNumberFormat="1" applyAlignment="1" applyProtection="1">
      <alignment horizontal="right"/>
      <protection locked="0"/>
    </xf>
    <xf numFmtId="3" fontId="1" fillId="0" borderId="4" xfId="4" applyNumberFormat="1" applyBorder="1" applyAlignment="1" applyProtection="1">
      <alignment horizontal="right"/>
      <protection locked="0"/>
    </xf>
    <xf numFmtId="14" fontId="1" fillId="0" borderId="0" xfId="4" applyNumberFormat="1" applyAlignment="1" applyProtection="1">
      <alignment horizontal="right" shrinkToFit="1"/>
      <protection locked="0"/>
    </xf>
    <xf numFmtId="0" fontId="55" fillId="2" borderId="0" xfId="0" applyFont="1" applyFill="1" applyAlignment="1">
      <alignment vertical="center"/>
    </xf>
    <xf numFmtId="0" fontId="55" fillId="2" borderId="0" xfId="0" applyFont="1" applyFill="1" applyAlignment="1">
      <alignment horizontal="right" vertical="center"/>
    </xf>
    <xf numFmtId="0" fontId="0" fillId="2" borderId="0" xfId="0" applyFill="1" applyAlignment="1">
      <alignment horizontal="right"/>
    </xf>
    <xf numFmtId="1" fontId="0" fillId="2" borderId="0" xfId="0" applyNumberFormat="1" applyFill="1" applyAlignment="1">
      <alignment horizontal="center"/>
    </xf>
    <xf numFmtId="0" fontId="0" fillId="2" borderId="122" xfId="0" applyFill="1" applyBorder="1" applyAlignment="1">
      <alignment horizontal="center"/>
    </xf>
    <xf numFmtId="0" fontId="0" fillId="2" borderId="119" xfId="0" applyFill="1" applyBorder="1"/>
    <xf numFmtId="0" fontId="0" fillId="2" borderId="122" xfId="0" applyFill="1" applyBorder="1"/>
    <xf numFmtId="0" fontId="0" fillId="2" borderId="0" xfId="0" applyFill="1" applyAlignment="1">
      <alignment horizontal="left"/>
    </xf>
    <xf numFmtId="0" fontId="0" fillId="2" borderId="65" xfId="0" applyFill="1" applyBorder="1" applyAlignment="1">
      <alignment horizontal="center"/>
    </xf>
    <xf numFmtId="0" fontId="55" fillId="2" borderId="0" xfId="0" applyFont="1" applyFill="1" applyAlignment="1" applyProtection="1">
      <alignment horizontal="left" vertical="center"/>
      <protection locked="0"/>
    </xf>
    <xf numFmtId="14" fontId="55" fillId="2" borderId="0" xfId="0" applyNumberFormat="1" applyFont="1" applyFill="1" applyAlignment="1">
      <alignment horizontal="left" vertical="center"/>
    </xf>
    <xf numFmtId="5" fontId="55" fillId="2" borderId="0" xfId="5" applyNumberFormat="1" applyFont="1" applyFill="1" applyAlignment="1" applyProtection="1">
      <alignment horizontal="left" vertical="center"/>
    </xf>
    <xf numFmtId="0" fontId="55" fillId="2" borderId="0" xfId="0" applyFont="1" applyFill="1" applyAlignment="1">
      <alignment horizontal="left" vertical="center"/>
    </xf>
    <xf numFmtId="0" fontId="32" fillId="2" borderId="0" xfId="0" applyFont="1" applyFill="1" applyAlignment="1">
      <alignment horizontal="left" vertical="center"/>
    </xf>
    <xf numFmtId="0" fontId="0" fillId="2" borderId="62" xfId="0" applyFill="1" applyBorder="1" applyAlignment="1">
      <alignment horizontal="left" vertical="center"/>
    </xf>
    <xf numFmtId="0" fontId="55" fillId="2" borderId="63" xfId="0" applyFont="1" applyFill="1" applyBorder="1" applyAlignment="1">
      <alignment vertical="center"/>
    </xf>
    <xf numFmtId="0" fontId="55" fillId="2" borderId="64" xfId="0" applyFont="1" applyFill="1" applyBorder="1" applyAlignment="1">
      <alignment vertical="center"/>
    </xf>
    <xf numFmtId="0" fontId="0" fillId="2" borderId="63" xfId="0" applyFill="1" applyBorder="1" applyAlignment="1">
      <alignment vertical="center"/>
    </xf>
    <xf numFmtId="167" fontId="32" fillId="2" borderId="65" xfId="0" applyNumberFormat="1" applyFont="1" applyFill="1" applyBorder="1" applyAlignment="1">
      <alignment vertical="center"/>
    </xf>
    <xf numFmtId="0" fontId="0" fillId="2" borderId="66" xfId="0" applyFill="1" applyBorder="1" applyAlignment="1">
      <alignment horizontal="right" vertical="center"/>
    </xf>
    <xf numFmtId="0" fontId="0" fillId="2" borderId="84" xfId="0" applyFill="1" applyBorder="1" applyAlignment="1">
      <alignment vertical="center"/>
    </xf>
    <xf numFmtId="14" fontId="55" fillId="2" borderId="120" xfId="0" applyNumberFormat="1" applyFont="1" applyFill="1" applyBorder="1" applyAlignment="1">
      <alignment vertical="center"/>
    </xf>
    <xf numFmtId="0" fontId="55" fillId="2" borderId="122" xfId="0" applyFont="1" applyFill="1" applyBorder="1" applyAlignment="1">
      <alignment vertical="center"/>
    </xf>
    <xf numFmtId="0" fontId="55" fillId="2" borderId="119" xfId="0" applyFont="1" applyFill="1" applyBorder="1" applyAlignment="1">
      <alignment vertical="center"/>
    </xf>
    <xf numFmtId="14" fontId="55" fillId="2" borderId="65" xfId="0" applyNumberFormat="1" applyFont="1" applyFill="1" applyBorder="1" applyAlignment="1">
      <alignment vertical="center"/>
    </xf>
    <xf numFmtId="0" fontId="55" fillId="2" borderId="67" xfId="0" applyFont="1" applyFill="1" applyBorder="1" applyAlignment="1">
      <alignment vertical="center"/>
    </xf>
    <xf numFmtId="0" fontId="55" fillId="2" borderId="0" xfId="0" applyFont="1" applyFill="1" applyAlignment="1" applyProtection="1">
      <alignment vertical="center"/>
      <protection locked="0"/>
    </xf>
    <xf numFmtId="49" fontId="0" fillId="0" borderId="0" xfId="0" applyNumberFormat="1" applyAlignment="1">
      <alignment wrapText="1"/>
    </xf>
    <xf numFmtId="49" fontId="0" fillId="0" borderId="0" xfId="0" applyNumberFormat="1" applyAlignment="1">
      <alignment horizontal="center" vertical="top"/>
    </xf>
    <xf numFmtId="166" fontId="0" fillId="0" borderId="0" xfId="0" applyNumberFormat="1" applyAlignment="1">
      <alignment horizontal="center" vertical="top"/>
    </xf>
    <xf numFmtId="49" fontId="2" fillId="0" borderId="0" xfId="0" applyNumberFormat="1" applyFont="1" applyAlignment="1">
      <alignment horizontal="center" vertical="top"/>
    </xf>
    <xf numFmtId="166" fontId="2" fillId="0" borderId="0" xfId="0" applyNumberFormat="1" applyFont="1" applyAlignment="1">
      <alignment horizontal="center" vertical="top"/>
    </xf>
    <xf numFmtId="0" fontId="2" fillId="0" borderId="0" xfId="0" applyFont="1" applyAlignment="1">
      <alignment horizontal="center" vertical="top"/>
    </xf>
    <xf numFmtId="0" fontId="20" fillId="4" borderId="94" xfId="2" applyFill="1" applyBorder="1" applyAlignment="1">
      <alignment horizontal="left" vertical="center"/>
    </xf>
    <xf numFmtId="0" fontId="48" fillId="4" borderId="0" xfId="2" applyFont="1" applyFill="1" applyAlignment="1">
      <alignment horizontal="right" vertical="center"/>
    </xf>
    <xf numFmtId="49" fontId="3" fillId="9" borderId="120" xfId="0" applyNumberFormat="1" applyFont="1" applyFill="1" applyBorder="1" applyAlignment="1">
      <alignment horizontal="right"/>
    </xf>
    <xf numFmtId="49" fontId="0" fillId="10" borderId="0" xfId="0" applyNumberFormat="1" applyFill="1"/>
    <xf numFmtId="49" fontId="2" fillId="9" borderId="68" xfId="0" applyNumberFormat="1" applyFont="1" applyFill="1" applyBorder="1" applyAlignment="1">
      <alignment horizontal="right"/>
    </xf>
    <xf numFmtId="0" fontId="0" fillId="10" borderId="0" xfId="0" applyFill="1"/>
    <xf numFmtId="49" fontId="0" fillId="6" borderId="0" xfId="0" applyNumberFormat="1" applyFill="1"/>
    <xf numFmtId="49" fontId="0" fillId="2" borderId="0" xfId="0" applyNumberFormat="1" applyFill="1" applyAlignment="1">
      <alignment horizontal="right"/>
    </xf>
    <xf numFmtId="0" fontId="0" fillId="6" borderId="0" xfId="0" applyFill="1"/>
    <xf numFmtId="0" fontId="0" fillId="4" borderId="8" xfId="2" applyFont="1" applyFill="1" applyBorder="1" applyAlignment="1">
      <alignment horizontal="center" vertical="center"/>
    </xf>
    <xf numFmtId="49" fontId="2" fillId="6" borderId="0" xfId="0" applyNumberFormat="1" applyFont="1" applyFill="1"/>
    <xf numFmtId="0" fontId="5" fillId="0" borderId="0" xfId="0" applyFont="1"/>
    <xf numFmtId="0" fontId="5" fillId="0" borderId="0" xfId="0" applyFont="1" applyAlignment="1">
      <alignment horizontal="center"/>
    </xf>
    <xf numFmtId="3" fontId="5" fillId="0" borderId="0" xfId="0" applyNumberFormat="1" applyFont="1"/>
    <xf numFmtId="3" fontId="6" fillId="0" borderId="0" xfId="0" applyNumberFormat="1" applyFont="1" applyAlignment="1">
      <alignment horizontal="center"/>
    </xf>
    <xf numFmtId="3" fontId="6" fillId="0" borderId="0" xfId="0" applyNumberFormat="1" applyFont="1" applyAlignment="1">
      <alignment horizontal="right"/>
    </xf>
    <xf numFmtId="4" fontId="5" fillId="0" borderId="0" xfId="0" applyNumberFormat="1" applyFont="1"/>
    <xf numFmtId="3" fontId="6" fillId="0" borderId="0" xfId="0" applyNumberFormat="1" applyFont="1"/>
    <xf numFmtId="168" fontId="6" fillId="0" borderId="0" xfId="0" applyNumberFormat="1" applyFont="1" applyAlignment="1">
      <alignment horizontal="center"/>
    </xf>
    <xf numFmtId="4" fontId="5" fillId="0" borderId="0" xfId="0" applyNumberFormat="1" applyFont="1" applyAlignment="1">
      <alignment shrinkToFit="1"/>
    </xf>
    <xf numFmtId="3" fontId="5" fillId="0" borderId="0" xfId="0" applyNumberFormat="1" applyFont="1" applyAlignment="1">
      <alignment shrinkToFit="1"/>
    </xf>
    <xf numFmtId="0" fontId="11" fillId="2" borderId="0" xfId="0" applyFont="1" applyFill="1" applyAlignment="1">
      <alignment horizontal="center"/>
    </xf>
    <xf numFmtId="3" fontId="5" fillId="2" borderId="19" xfId="0" applyNumberFormat="1" applyFont="1" applyFill="1" applyBorder="1" applyAlignment="1">
      <alignment horizontal="center"/>
    </xf>
    <xf numFmtId="3" fontId="5" fillId="2" borderId="5" xfId="0" applyNumberFormat="1" applyFont="1" applyFill="1" applyBorder="1" applyAlignment="1">
      <alignment horizontal="center"/>
    </xf>
    <xf numFmtId="3" fontId="6" fillId="2" borderId="5" xfId="0" applyNumberFormat="1" applyFont="1" applyFill="1" applyBorder="1" applyAlignment="1">
      <alignment horizontal="center"/>
    </xf>
    <xf numFmtId="3" fontId="6" fillId="2" borderId="7" xfId="0" applyNumberFormat="1" applyFont="1" applyFill="1" applyBorder="1" applyAlignment="1">
      <alignment horizontal="center"/>
    </xf>
    <xf numFmtId="4" fontId="5" fillId="2" borderId="0" xfId="0" applyNumberFormat="1" applyFont="1" applyFill="1"/>
    <xf numFmtId="3" fontId="6" fillId="3" borderId="7" xfId="0" applyNumberFormat="1" applyFont="1" applyFill="1" applyBorder="1" applyAlignment="1">
      <alignment horizontal="center"/>
    </xf>
    <xf numFmtId="4" fontId="5" fillId="2" borderId="91" xfId="0" applyNumberFormat="1" applyFont="1" applyFill="1" applyBorder="1" applyProtection="1">
      <protection locked="0"/>
    </xf>
    <xf numFmtId="4" fontId="5" fillId="2" borderId="18" xfId="0" applyNumberFormat="1" applyFont="1" applyFill="1" applyBorder="1" applyAlignment="1">
      <alignment shrinkToFit="1"/>
    </xf>
    <xf numFmtId="3" fontId="5" fillId="6" borderId="8" xfId="0" applyNumberFormat="1" applyFont="1" applyFill="1" applyBorder="1" applyAlignment="1" applyProtection="1">
      <alignment horizontal="center"/>
      <protection locked="0"/>
    </xf>
    <xf numFmtId="0" fontId="8" fillId="2" borderId="52" xfId="0" applyFont="1" applyFill="1" applyBorder="1" applyAlignment="1">
      <alignment horizontal="center"/>
    </xf>
    <xf numFmtId="0" fontId="5" fillId="2" borderId="57" xfId="0" applyFont="1" applyFill="1" applyBorder="1" applyAlignment="1" applyProtection="1">
      <alignment horizontal="left"/>
      <protection locked="0"/>
    </xf>
    <xf numFmtId="0" fontId="10" fillId="2" borderId="139" xfId="0" applyFont="1" applyFill="1" applyBorder="1" applyAlignment="1">
      <alignment horizontal="center" vertical="center" wrapText="1"/>
    </xf>
    <xf numFmtId="0" fontId="11" fillId="2" borderId="58" xfId="0" applyFont="1" applyFill="1" applyBorder="1" applyAlignment="1">
      <alignment horizontal="left" vertical="center"/>
    </xf>
    <xf numFmtId="0" fontId="11" fillId="2" borderId="113" xfId="0" applyFont="1" applyFill="1" applyBorder="1" applyAlignment="1">
      <alignment horizontal="left" vertical="center"/>
    </xf>
    <xf numFmtId="0" fontId="10" fillId="2" borderId="156" xfId="0" applyFont="1" applyFill="1" applyBorder="1" applyAlignment="1">
      <alignment horizontal="center" vertical="center" wrapText="1"/>
    </xf>
    <xf numFmtId="0" fontId="11" fillId="2" borderId="160" xfId="0" applyFont="1" applyFill="1" applyBorder="1" applyAlignment="1">
      <alignment horizontal="left" vertical="center"/>
    </xf>
    <xf numFmtId="0" fontId="10" fillId="2" borderId="158" xfId="0" applyFont="1" applyFill="1" applyBorder="1" applyAlignment="1">
      <alignment horizontal="center" vertical="center"/>
    </xf>
    <xf numFmtId="0" fontId="10" fillId="11" borderId="13" xfId="0" applyFont="1" applyFill="1" applyBorder="1" applyAlignment="1">
      <alignment horizontal="left" vertical="center"/>
    </xf>
    <xf numFmtId="0" fontId="10" fillId="11" borderId="99" xfId="0" applyFont="1" applyFill="1" applyBorder="1" applyAlignment="1">
      <alignment horizontal="center" vertical="center"/>
    </xf>
    <xf numFmtId="49" fontId="14" fillId="2" borderId="0" xfId="0" applyNumberFormat="1" applyFont="1" applyFill="1"/>
    <xf numFmtId="49" fontId="52" fillId="2" borderId="61" xfId="0" applyNumberFormat="1" applyFont="1" applyFill="1" applyBorder="1" applyAlignment="1">
      <alignment horizontal="center" vertical="center" wrapText="1"/>
    </xf>
    <xf numFmtId="0" fontId="10" fillId="2" borderId="84" xfId="0" applyFont="1" applyFill="1" applyBorder="1" applyAlignment="1">
      <alignment horizontal="center" vertical="center" wrapText="1"/>
    </xf>
    <xf numFmtId="0" fontId="10" fillId="11" borderId="126" xfId="0" applyFont="1" applyFill="1" applyBorder="1" applyAlignment="1">
      <alignment horizontal="left" vertical="center"/>
    </xf>
    <xf numFmtId="0" fontId="10" fillId="11" borderId="61" xfId="0" applyFont="1" applyFill="1" applyBorder="1" applyAlignment="1">
      <alignment horizontal="center" vertical="center"/>
    </xf>
    <xf numFmtId="3" fontId="8" fillId="2" borderId="0" xfId="0" applyNumberFormat="1" applyFont="1" applyFill="1" applyAlignment="1">
      <alignment horizontal="center"/>
    </xf>
    <xf numFmtId="3" fontId="5" fillId="2" borderId="43" xfId="0" applyNumberFormat="1" applyFont="1" applyFill="1" applyBorder="1"/>
    <xf numFmtId="3" fontId="5" fillId="2" borderId="162" xfId="0" applyNumberFormat="1" applyFont="1" applyFill="1" applyBorder="1"/>
    <xf numFmtId="3" fontId="6" fillId="2" borderId="48" xfId="0" applyNumberFormat="1" applyFont="1" applyFill="1" applyBorder="1" applyAlignment="1">
      <alignment horizontal="left"/>
    </xf>
    <xf numFmtId="3" fontId="6" fillId="2" borderId="162" xfId="0" applyNumberFormat="1" applyFont="1" applyFill="1" applyBorder="1" applyAlignment="1">
      <alignment horizontal="left"/>
    </xf>
    <xf numFmtId="3" fontId="6" fillId="2" borderId="49" xfId="0" applyNumberFormat="1" applyFont="1" applyFill="1" applyBorder="1" applyAlignment="1">
      <alignment horizontal="left"/>
    </xf>
    <xf numFmtId="3" fontId="6" fillId="2" borderId="50" xfId="0" applyNumberFormat="1" applyFont="1" applyFill="1" applyBorder="1" applyAlignment="1">
      <alignment horizontal="left"/>
    </xf>
    <xf numFmtId="0" fontId="5" fillId="2" borderId="6" xfId="0" applyFont="1" applyFill="1" applyBorder="1" applyAlignment="1">
      <alignment horizontal="center" wrapText="1"/>
    </xf>
    <xf numFmtId="0" fontId="5" fillId="2" borderId="5" xfId="0" applyFont="1" applyFill="1" applyBorder="1" applyAlignment="1">
      <alignment horizontal="center" wrapText="1"/>
    </xf>
    <xf numFmtId="3" fontId="6" fillId="2" borderId="45" xfId="0" applyNumberFormat="1" applyFont="1" applyFill="1" applyBorder="1" applyAlignment="1">
      <alignment horizontal="center" wrapText="1"/>
    </xf>
    <xf numFmtId="3" fontId="6" fillId="2" borderId="46" xfId="0" applyNumberFormat="1" applyFont="1" applyFill="1" applyBorder="1" applyAlignment="1">
      <alignment horizontal="center" wrapText="1"/>
    </xf>
    <xf numFmtId="49" fontId="77" fillId="9" borderId="62" xfId="0" applyNumberFormat="1" applyFont="1" applyFill="1" applyBorder="1"/>
    <xf numFmtId="49" fontId="77" fillId="9" borderId="64" xfId="0" applyNumberFormat="1" applyFont="1" applyFill="1" applyBorder="1" applyAlignment="1">
      <alignment horizontal="left"/>
    </xf>
    <xf numFmtId="49" fontId="78" fillId="0" borderId="165" xfId="0" applyNumberFormat="1" applyFont="1" applyBorder="1" applyAlignment="1">
      <alignment horizontal="left"/>
    </xf>
    <xf numFmtId="49" fontId="78" fillId="0" borderId="166" xfId="0" applyNumberFormat="1" applyFont="1" applyBorder="1" applyAlignment="1">
      <alignment horizontal="right"/>
    </xf>
    <xf numFmtId="49" fontId="78" fillId="0" borderId="167" xfId="0" applyNumberFormat="1" applyFont="1" applyBorder="1" applyAlignment="1">
      <alignment horizontal="left"/>
    </xf>
    <xf numFmtId="49" fontId="78" fillId="0" borderId="168" xfId="0" applyNumberFormat="1" applyFont="1" applyBorder="1" applyAlignment="1">
      <alignment horizontal="right"/>
    </xf>
    <xf numFmtId="49" fontId="78" fillId="0" borderId="163" xfId="0" applyNumberFormat="1" applyFont="1" applyBorder="1" applyAlignment="1">
      <alignment horizontal="left"/>
    </xf>
    <xf numFmtId="49" fontId="78" fillId="0" borderId="164" xfId="0" applyNumberFormat="1" applyFont="1" applyBorder="1" applyAlignment="1">
      <alignment horizontal="right"/>
    </xf>
    <xf numFmtId="0" fontId="5" fillId="2" borderId="59" xfId="0" applyFont="1" applyFill="1" applyBorder="1" applyAlignment="1">
      <alignment horizontal="left"/>
    </xf>
    <xf numFmtId="3" fontId="5" fillId="2" borderId="18" xfId="0" applyNumberFormat="1" applyFont="1" applyFill="1" applyBorder="1"/>
    <xf numFmtId="3" fontId="5" fillId="2" borderId="17" xfId="0" applyNumberFormat="1" applyFont="1" applyFill="1" applyBorder="1"/>
    <xf numFmtId="3" fontId="6" fillId="2" borderId="47" xfId="0" applyNumberFormat="1" applyFont="1" applyFill="1" applyBorder="1" applyAlignment="1">
      <alignment horizontal="center" wrapText="1"/>
    </xf>
    <xf numFmtId="3" fontId="6" fillId="2" borderId="38" xfId="0" applyNumberFormat="1" applyFont="1" applyFill="1" applyBorder="1" applyAlignment="1">
      <alignment horizontal="center" wrapText="1"/>
    </xf>
    <xf numFmtId="3" fontId="6" fillId="2" borderId="39" xfId="0" applyNumberFormat="1" applyFont="1" applyFill="1" applyBorder="1" applyAlignment="1">
      <alignment horizontal="center" wrapText="1"/>
    </xf>
    <xf numFmtId="3" fontId="6" fillId="2" borderId="40" xfId="0" applyNumberFormat="1" applyFont="1" applyFill="1" applyBorder="1" applyAlignment="1">
      <alignment horizontal="center" wrapText="1"/>
    </xf>
    <xf numFmtId="3" fontId="6" fillId="2" borderId="8" xfId="0" applyNumberFormat="1" applyFont="1" applyFill="1" applyBorder="1" applyAlignment="1">
      <alignment horizontal="center" shrinkToFit="1"/>
    </xf>
    <xf numFmtId="0" fontId="5" fillId="2" borderId="19" xfId="0" applyFont="1" applyFill="1" applyBorder="1" applyAlignment="1">
      <alignment horizontal="center" shrinkToFit="1"/>
    </xf>
    <xf numFmtId="4" fontId="5" fillId="2" borderId="91" xfId="0" applyNumberFormat="1" applyFont="1" applyFill="1" applyBorder="1" applyAlignment="1">
      <alignment horizontal="left" shrinkToFit="1"/>
    </xf>
    <xf numFmtId="0" fontId="9" fillId="2" borderId="24"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3" fontId="9" fillId="2" borderId="55" xfId="0" applyNumberFormat="1" applyFont="1" applyFill="1" applyBorder="1" applyAlignment="1">
      <alignment horizontal="center" vertical="center"/>
    </xf>
    <xf numFmtId="3" fontId="9" fillId="2" borderId="23" xfId="0" applyNumberFormat="1" applyFont="1" applyFill="1" applyBorder="1" applyAlignment="1">
      <alignment horizontal="center" vertical="center"/>
    </xf>
    <xf numFmtId="3" fontId="9" fillId="2" borderId="24" xfId="0" applyNumberFormat="1" applyFont="1" applyFill="1" applyBorder="1" applyAlignment="1">
      <alignment horizontal="center" vertical="center"/>
    </xf>
    <xf numFmtId="4" fontId="9" fillId="2" borderId="157" xfId="0" applyNumberFormat="1" applyFont="1" applyFill="1" applyBorder="1" applyAlignment="1">
      <alignment horizontal="center" vertical="center" shrinkToFit="1"/>
    </xf>
    <xf numFmtId="3" fontId="9" fillId="2" borderId="25" xfId="0" applyNumberFormat="1" applyFon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44" fontId="0" fillId="2" borderId="61" xfId="5" applyFont="1" applyFill="1" applyBorder="1" applyAlignment="1" applyProtection="1">
      <alignment horizontal="center" vertical="center"/>
      <protection locked="0"/>
    </xf>
    <xf numFmtId="44" fontId="0" fillId="2" borderId="61" xfId="5" applyFont="1" applyFill="1" applyBorder="1" applyAlignment="1">
      <alignment horizontal="center" vertical="center"/>
    </xf>
    <xf numFmtId="44" fontId="2" fillId="2" borderId="61" xfId="5" applyFont="1" applyFill="1" applyBorder="1" applyAlignment="1">
      <alignment horizontal="center" vertical="center"/>
    </xf>
    <xf numFmtId="0" fontId="11" fillId="2" borderId="0" xfId="0" applyFont="1" applyFill="1" applyAlignment="1">
      <alignment vertical="center"/>
    </xf>
    <xf numFmtId="165" fontId="20" fillId="2" borderId="61" xfId="2" applyNumberFormat="1" applyFill="1" applyBorder="1" applyAlignment="1" applyProtection="1">
      <alignment horizontal="center" vertical="center"/>
      <protection locked="0"/>
    </xf>
    <xf numFmtId="165" fontId="20" fillId="4" borderId="61" xfId="2" applyNumberFormat="1" applyFill="1" applyBorder="1" applyAlignment="1" applyProtection="1">
      <alignment horizontal="center" vertical="center"/>
      <protection locked="0"/>
    </xf>
    <xf numFmtId="3" fontId="20" fillId="2" borderId="84" xfId="2" applyNumberFormat="1" applyFill="1" applyBorder="1" applyAlignment="1" applyProtection="1">
      <alignment horizontal="center" vertical="center"/>
      <protection locked="0"/>
    </xf>
    <xf numFmtId="3" fontId="20" fillId="0" borderId="108" xfId="2" applyNumberFormat="1" applyBorder="1" applyAlignment="1">
      <alignment horizontal="center" vertical="center"/>
    </xf>
    <xf numFmtId="0" fontId="0" fillId="0" borderId="0" xfId="0" applyAlignment="1">
      <alignment horizontal="center"/>
    </xf>
    <xf numFmtId="0" fontId="79" fillId="0" borderId="0" xfId="0" applyFont="1" applyAlignment="1">
      <alignment vertical="center"/>
    </xf>
    <xf numFmtId="0" fontId="79" fillId="0" borderId="0" xfId="0" applyFont="1" applyAlignment="1">
      <alignment horizontal="center" vertical="center"/>
    </xf>
    <xf numFmtId="0" fontId="0" fillId="0" borderId="0" xfId="0" applyAlignment="1">
      <alignment vertical="center"/>
    </xf>
    <xf numFmtId="49" fontId="14" fillId="2" borderId="0" xfId="0" applyNumberFormat="1" applyFont="1" applyFill="1" applyAlignment="1">
      <alignment horizontal="left" shrinkToFit="1"/>
    </xf>
    <xf numFmtId="49" fontId="52" fillId="2" borderId="84" xfId="0" applyNumberFormat="1" applyFont="1" applyFill="1" applyBorder="1" applyAlignment="1">
      <alignment horizontal="center" vertical="center" wrapText="1"/>
    </xf>
    <xf numFmtId="0" fontId="10" fillId="2" borderId="65" xfId="0" applyFont="1" applyFill="1" applyBorder="1" applyAlignment="1">
      <alignment horizontal="center" vertical="center" wrapText="1"/>
    </xf>
    <xf numFmtId="0" fontId="10" fillId="9" borderId="61" xfId="0" applyFont="1" applyFill="1" applyBorder="1" applyAlignment="1">
      <alignment horizontal="center" vertical="center"/>
    </xf>
    <xf numFmtId="0" fontId="10" fillId="9" borderId="126" xfId="0" applyFont="1" applyFill="1" applyBorder="1" applyAlignment="1">
      <alignment horizontal="left" vertical="center"/>
    </xf>
    <xf numFmtId="44" fontId="11" fillId="2" borderId="96" xfId="5" applyFont="1" applyFill="1" applyBorder="1" applyAlignment="1">
      <alignment horizontal="right" vertical="center" shrinkToFit="1"/>
    </xf>
    <xf numFmtId="44" fontId="11" fillId="2" borderId="105" xfId="5" applyFont="1" applyFill="1" applyBorder="1" applyAlignment="1">
      <alignment horizontal="right" vertical="center" shrinkToFit="1"/>
    </xf>
    <xf numFmtId="44" fontId="11" fillId="2" borderId="77" xfId="5" applyFont="1" applyFill="1" applyBorder="1" applyAlignment="1">
      <alignment horizontal="right" vertical="center" shrinkToFit="1"/>
    </xf>
    <xf numFmtId="44" fontId="11" fillId="2" borderId="80" xfId="5" applyFont="1" applyFill="1" applyBorder="1" applyAlignment="1">
      <alignment horizontal="center" vertical="center" shrinkToFit="1"/>
    </xf>
    <xf numFmtId="44" fontId="10" fillId="2" borderId="159" xfId="5" applyFont="1" applyFill="1" applyBorder="1" applyAlignment="1">
      <alignment horizontal="right" vertical="center" shrinkToFit="1"/>
    </xf>
    <xf numFmtId="44" fontId="11" fillId="2" borderId="97" xfId="5" applyFont="1" applyFill="1" applyBorder="1" applyAlignment="1">
      <alignment horizontal="right" vertical="center" shrinkToFit="1"/>
    </xf>
    <xf numFmtId="44" fontId="11" fillId="2" borderId="80" xfId="5" applyFont="1" applyFill="1" applyBorder="1" applyAlignment="1">
      <alignment horizontal="right" vertical="center" shrinkToFit="1"/>
    </xf>
    <xf numFmtId="44" fontId="10" fillId="2" borderId="59" xfId="5" applyFont="1" applyFill="1" applyBorder="1" applyAlignment="1">
      <alignment horizontal="right" vertical="center" shrinkToFit="1"/>
    </xf>
    <xf numFmtId="44" fontId="11" fillId="2" borderId="158" xfId="5" applyFont="1" applyFill="1" applyBorder="1" applyAlignment="1">
      <alignment horizontal="right" vertical="center" shrinkToFit="1"/>
    </xf>
    <xf numFmtId="44" fontId="11" fillId="2" borderId="81" xfId="5" applyFont="1" applyFill="1" applyBorder="1" applyAlignment="1">
      <alignment horizontal="right" vertical="center" shrinkToFit="1"/>
    </xf>
    <xf numFmtId="44" fontId="11" fillId="2" borderId="81" xfId="5" applyFont="1" applyFill="1" applyBorder="1" applyAlignment="1">
      <alignment horizontal="center" vertical="center" shrinkToFit="1"/>
    </xf>
    <xf numFmtId="44" fontId="10" fillId="2" borderId="161" xfId="5" applyFont="1" applyFill="1" applyBorder="1" applyAlignment="1">
      <alignment horizontal="right" vertical="center" shrinkToFit="1"/>
    </xf>
    <xf numFmtId="44" fontId="10" fillId="11" borderId="61" xfId="5" applyFont="1" applyFill="1" applyBorder="1" applyAlignment="1">
      <alignment horizontal="right" vertical="center" shrinkToFit="1"/>
    </xf>
    <xf numFmtId="44" fontId="10" fillId="11" borderId="84" xfId="5" applyFont="1" applyFill="1" applyBorder="1" applyAlignment="1">
      <alignment horizontal="right" vertical="center" shrinkToFit="1"/>
    </xf>
    <xf numFmtId="44" fontId="10" fillId="11" borderId="124" xfId="5" applyFont="1" applyFill="1" applyBorder="1" applyAlignment="1">
      <alignment horizontal="right" vertical="center" shrinkToFit="1"/>
    </xf>
    <xf numFmtId="44" fontId="10" fillId="11" borderId="14" xfId="5" applyFont="1" applyFill="1" applyBorder="1" applyAlignment="1">
      <alignment horizontal="right" vertical="center" shrinkToFit="1"/>
    </xf>
    <xf numFmtId="44" fontId="10" fillId="9" borderId="61" xfId="5" applyFont="1" applyFill="1" applyBorder="1" applyAlignment="1">
      <alignment horizontal="right" vertical="center" shrinkToFit="1"/>
    </xf>
    <xf numFmtId="44" fontId="10" fillId="9" borderId="84" xfId="5" applyFont="1" applyFill="1" applyBorder="1" applyAlignment="1">
      <alignment horizontal="center" vertical="center" shrinkToFit="1"/>
    </xf>
    <xf numFmtId="49" fontId="52" fillId="2" borderId="126" xfId="0" applyNumberFormat="1" applyFont="1" applyFill="1" applyBorder="1" applyAlignment="1">
      <alignment horizontal="center" vertical="center" wrapText="1"/>
    </xf>
    <xf numFmtId="44" fontId="11" fillId="2" borderId="56" xfId="5" applyFont="1" applyFill="1" applyBorder="1" applyAlignment="1">
      <alignment horizontal="center" vertical="center" shrinkToFit="1"/>
    </xf>
    <xf numFmtId="44" fontId="10" fillId="9" borderId="126" xfId="5" applyFont="1" applyFill="1" applyBorder="1" applyAlignment="1">
      <alignment horizontal="right" vertical="center" shrinkToFit="1"/>
    </xf>
    <xf numFmtId="44" fontId="10" fillId="11" borderId="126" xfId="5" applyFont="1" applyFill="1" applyBorder="1" applyAlignment="1">
      <alignment horizontal="right" vertical="center" shrinkToFit="1"/>
    </xf>
    <xf numFmtId="44" fontId="11" fillId="2" borderId="160" xfId="5" applyFont="1" applyFill="1" applyBorder="1" applyAlignment="1">
      <alignment horizontal="center" vertical="center" shrinkToFit="1"/>
    </xf>
    <xf numFmtId="44" fontId="11" fillId="2" borderId="158" xfId="5" applyFont="1" applyFill="1" applyBorder="1" applyAlignment="1">
      <alignment horizontal="center" vertical="center" shrinkToFit="1"/>
    </xf>
    <xf numFmtId="44" fontId="11" fillId="3" borderId="113" xfId="5" applyFont="1" applyFill="1" applyBorder="1" applyAlignment="1" applyProtection="1">
      <alignment horizontal="right" vertical="center" shrinkToFit="1"/>
      <protection locked="0"/>
    </xf>
    <xf numFmtId="44" fontId="11" fillId="3" borderId="96" xfId="5" applyFont="1" applyFill="1" applyBorder="1" applyAlignment="1" applyProtection="1">
      <alignment horizontal="right" vertical="center" shrinkToFit="1"/>
      <protection locked="0"/>
    </xf>
    <xf numFmtId="44" fontId="11" fillId="3" borderId="58" xfId="5" applyFont="1" applyFill="1" applyBorder="1" applyAlignment="1" applyProtection="1">
      <alignment horizontal="right" vertical="center" shrinkToFit="1"/>
      <protection locked="0"/>
    </xf>
    <xf numFmtId="44" fontId="11" fillId="3" borderId="97" xfId="5" applyFont="1" applyFill="1" applyBorder="1" applyAlignment="1" applyProtection="1">
      <alignment horizontal="right" vertical="center" shrinkToFit="1"/>
      <protection locked="0"/>
    </xf>
    <xf numFmtId="44" fontId="11" fillId="3" borderId="80" xfId="5" applyFont="1" applyFill="1" applyBorder="1" applyAlignment="1" applyProtection="1">
      <alignment horizontal="right" vertical="center" shrinkToFit="1"/>
      <protection locked="0"/>
    </xf>
    <xf numFmtId="44" fontId="11" fillId="3" borderId="77" xfId="5" applyFont="1" applyFill="1" applyBorder="1" applyAlignment="1" applyProtection="1">
      <alignment horizontal="right" vertical="center" shrinkToFit="1"/>
      <protection locked="0"/>
    </xf>
    <xf numFmtId="44" fontId="11" fillId="3" borderId="105" xfId="5" applyFont="1" applyFill="1" applyBorder="1" applyAlignment="1" applyProtection="1">
      <alignment horizontal="right" vertical="center" shrinkToFit="1"/>
      <protection locked="0"/>
    </xf>
    <xf numFmtId="0" fontId="81" fillId="0" borderId="0" xfId="0" applyFont="1" applyAlignment="1">
      <alignment vertical="center"/>
    </xf>
    <xf numFmtId="49" fontId="0" fillId="0" borderId="105" xfId="0" applyNumberFormat="1" applyBorder="1" applyAlignment="1">
      <alignment horizontal="right"/>
    </xf>
    <xf numFmtId="49" fontId="0" fillId="0" borderId="80" xfId="0" applyNumberFormat="1" applyBorder="1" applyAlignment="1">
      <alignment horizontal="right"/>
    </xf>
    <xf numFmtId="49" fontId="0" fillId="0" borderId="107" xfId="0" applyNumberFormat="1" applyBorder="1"/>
    <xf numFmtId="49" fontId="0" fillId="0" borderId="169" xfId="0" applyNumberFormat="1" applyBorder="1"/>
    <xf numFmtId="49" fontId="0" fillId="0" borderId="81" xfId="0" applyNumberFormat="1" applyBorder="1" applyAlignment="1">
      <alignment horizontal="right"/>
    </xf>
    <xf numFmtId="49" fontId="0" fillId="0" borderId="170" xfId="0" applyNumberFormat="1" applyBorder="1"/>
    <xf numFmtId="49" fontId="0" fillId="0" borderId="96" xfId="0" applyNumberFormat="1" applyBorder="1"/>
    <xf numFmtId="49" fontId="0" fillId="0" borderId="97" xfId="0" applyNumberFormat="1" applyBorder="1"/>
    <xf numFmtId="49" fontId="0" fillId="0" borderId="98" xfId="0" applyNumberFormat="1" applyBorder="1"/>
    <xf numFmtId="49" fontId="0" fillId="0" borderId="158" xfId="0" applyNumberFormat="1" applyBorder="1"/>
    <xf numFmtId="49" fontId="0" fillId="0" borderId="105" xfId="0" applyNumberFormat="1" applyBorder="1" applyAlignment="1">
      <alignment horizontal="left"/>
    </xf>
    <xf numFmtId="49" fontId="0" fillId="0" borderId="80" xfId="0" applyNumberFormat="1" applyBorder="1" applyAlignment="1">
      <alignment horizontal="left"/>
    </xf>
    <xf numFmtId="49" fontId="0" fillId="0" borderId="171" xfId="0" applyNumberFormat="1" applyBorder="1" applyAlignment="1">
      <alignment horizontal="left"/>
    </xf>
    <xf numFmtId="49" fontId="0" fillId="0" borderId="107" xfId="0" applyNumberFormat="1" applyBorder="1" applyAlignment="1">
      <alignment horizontal="right"/>
    </xf>
    <xf numFmtId="49" fontId="0" fillId="0" borderId="169" xfId="0" applyNumberFormat="1" applyBorder="1" applyAlignment="1">
      <alignment horizontal="right"/>
    </xf>
    <xf numFmtId="49" fontId="0" fillId="0" borderId="172" xfId="0" applyNumberFormat="1" applyBorder="1" applyAlignment="1">
      <alignment horizontal="right"/>
    </xf>
    <xf numFmtId="49" fontId="0" fillId="0" borderId="81" xfId="0" applyNumberFormat="1" applyBorder="1" applyAlignment="1">
      <alignment horizontal="left"/>
    </xf>
    <xf numFmtId="49" fontId="0" fillId="0" borderId="170" xfId="0" applyNumberFormat="1" applyBorder="1" applyAlignment="1">
      <alignment horizontal="right"/>
    </xf>
    <xf numFmtId="49" fontId="0" fillId="0" borderId="93" xfId="0" applyNumberFormat="1" applyBorder="1" applyAlignment="1">
      <alignment horizontal="right"/>
    </xf>
    <xf numFmtId="0" fontId="16" fillId="4" borderId="0" xfId="2" applyFont="1" applyFill="1" applyAlignment="1">
      <alignment horizontal="center" vertical="center"/>
    </xf>
    <xf numFmtId="0" fontId="20" fillId="2" borderId="0" xfId="2" applyFill="1" applyAlignment="1">
      <alignment horizontal="center" vertical="center"/>
    </xf>
    <xf numFmtId="0" fontId="79" fillId="0" borderId="0" xfId="0" applyFont="1" applyAlignment="1">
      <alignment horizontal="center" vertical="center"/>
    </xf>
    <xf numFmtId="3" fontId="5" fillId="2" borderId="17" xfId="0" applyNumberFormat="1" applyFont="1" applyFill="1" applyBorder="1" applyAlignment="1">
      <alignment horizontal="center"/>
    </xf>
    <xf numFmtId="3" fontId="5" fillId="2" borderId="18" xfId="0" applyNumberFormat="1" applyFont="1" applyFill="1" applyBorder="1" applyAlignment="1">
      <alignment horizontal="center"/>
    </xf>
    <xf numFmtId="3" fontId="5" fillId="2" borderId="19" xfId="0" applyNumberFormat="1" applyFont="1" applyFill="1" applyBorder="1" applyAlignment="1">
      <alignment horizontal="center"/>
    </xf>
    <xf numFmtId="3" fontId="5" fillId="2" borderId="1" xfId="0" applyNumberFormat="1" applyFont="1" applyFill="1" applyBorder="1" applyAlignment="1">
      <alignment horizontal="center"/>
    </xf>
    <xf numFmtId="3" fontId="5" fillId="2" borderId="2" xfId="0" applyNumberFormat="1" applyFont="1" applyFill="1" applyBorder="1" applyAlignment="1">
      <alignment horizontal="center"/>
    </xf>
    <xf numFmtId="3" fontId="5" fillId="2" borderId="7" xfId="0" applyNumberFormat="1" applyFont="1" applyFill="1" applyBorder="1" applyAlignment="1">
      <alignment horizontal="center"/>
    </xf>
    <xf numFmtId="0" fontId="4" fillId="2" borderId="18" xfId="0" applyFont="1" applyFill="1" applyBorder="1" applyAlignment="1">
      <alignment horizontal="center"/>
    </xf>
    <xf numFmtId="0" fontId="4" fillId="2" borderId="17" xfId="0" applyFont="1" applyFill="1" applyBorder="1" applyAlignment="1">
      <alignment horizontal="center"/>
    </xf>
    <xf numFmtId="0" fontId="4" fillId="2" borderId="19"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3" fontId="6" fillId="2" borderId="45" xfId="0" applyNumberFormat="1" applyFont="1" applyFill="1" applyBorder="1" applyAlignment="1">
      <alignment horizontal="center" wrapText="1"/>
    </xf>
    <xf numFmtId="3" fontId="6" fillId="2" borderId="38" xfId="0" applyNumberFormat="1" applyFont="1" applyFill="1" applyBorder="1" applyAlignment="1">
      <alignment horizontal="center"/>
    </xf>
    <xf numFmtId="3" fontId="6" fillId="2" borderId="46" xfId="0" applyNumberFormat="1" applyFont="1" applyFill="1" applyBorder="1" applyAlignment="1">
      <alignment horizontal="center" wrapText="1"/>
    </xf>
    <xf numFmtId="3" fontId="6" fillId="2" borderId="39" xfId="0" applyNumberFormat="1" applyFont="1" applyFill="1" applyBorder="1" applyAlignment="1">
      <alignment horizontal="center"/>
    </xf>
    <xf numFmtId="3" fontId="5" fillId="2" borderId="6" xfId="0" applyNumberFormat="1" applyFont="1" applyFill="1" applyBorder="1" applyAlignment="1">
      <alignment horizontal="center"/>
    </xf>
    <xf numFmtId="3" fontId="5" fillId="2" borderId="0" xfId="0" applyNumberFormat="1" applyFont="1" applyFill="1" applyAlignment="1">
      <alignment horizontal="center"/>
    </xf>
    <xf numFmtId="3" fontId="5" fillId="2" borderId="5" xfId="0" applyNumberFormat="1" applyFont="1" applyFill="1" applyBorder="1" applyAlignment="1">
      <alignment horizontal="center"/>
    </xf>
    <xf numFmtId="0" fontId="5" fillId="2" borderId="9" xfId="0" applyFont="1" applyFill="1" applyBorder="1" applyAlignment="1">
      <alignment horizontal="center" wrapText="1"/>
    </xf>
    <xf numFmtId="0" fontId="5" fillId="2" borderId="13" xfId="0" applyFont="1" applyFill="1" applyBorder="1" applyAlignment="1">
      <alignment horizontal="center"/>
    </xf>
    <xf numFmtId="0" fontId="5" fillId="2" borderId="10" xfId="0" applyFont="1" applyFill="1" applyBorder="1" applyAlignment="1">
      <alignment horizontal="center" wrapText="1"/>
    </xf>
    <xf numFmtId="0" fontId="5" fillId="2" borderId="14" xfId="0" applyFont="1" applyFill="1" applyBorder="1" applyAlignment="1">
      <alignment horizontal="center"/>
    </xf>
    <xf numFmtId="3" fontId="5" fillId="2" borderId="18" xfId="0" applyNumberFormat="1" applyFont="1" applyFill="1" applyBorder="1" applyAlignment="1">
      <alignment horizontal="center" wrapText="1"/>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7" xfId="0" applyFont="1" applyFill="1" applyBorder="1" applyAlignment="1">
      <alignment horizontal="center"/>
    </xf>
    <xf numFmtId="3" fontId="6" fillId="2" borderId="47" xfId="0" applyNumberFormat="1" applyFont="1" applyFill="1" applyBorder="1" applyAlignment="1">
      <alignment horizontal="center"/>
    </xf>
    <xf numFmtId="3" fontId="6" fillId="2" borderId="40" xfId="0" applyNumberFormat="1" applyFont="1" applyFill="1" applyBorder="1" applyAlignment="1">
      <alignment horizontal="center"/>
    </xf>
    <xf numFmtId="3" fontId="6" fillId="2" borderId="154" xfId="0" applyNumberFormat="1" applyFont="1" applyFill="1" applyBorder="1" applyAlignment="1">
      <alignment horizontal="center" wrapText="1"/>
    </xf>
    <xf numFmtId="3" fontId="6" fillId="2" borderId="155" xfId="0" applyNumberFormat="1" applyFont="1" applyFill="1" applyBorder="1" applyAlignment="1">
      <alignment horizontal="center" wrapText="1"/>
    </xf>
    <xf numFmtId="3" fontId="6" fillId="2" borderId="74" xfId="0" applyNumberFormat="1" applyFont="1" applyFill="1" applyBorder="1" applyAlignment="1">
      <alignment horizontal="center" wrapText="1"/>
    </xf>
    <xf numFmtId="3" fontId="6" fillId="2" borderId="152" xfId="0" applyNumberFormat="1" applyFont="1" applyFill="1" applyBorder="1" applyAlignment="1">
      <alignment horizontal="center" wrapText="1"/>
    </xf>
    <xf numFmtId="3" fontId="5" fillId="2" borderId="1" xfId="0" applyNumberFormat="1" applyFont="1" applyFill="1" applyBorder="1" applyAlignment="1">
      <alignment horizontal="right"/>
    </xf>
    <xf numFmtId="3" fontId="5" fillId="2" borderId="2" xfId="0" applyNumberFormat="1" applyFont="1" applyFill="1" applyBorder="1" applyAlignment="1">
      <alignment horizontal="right"/>
    </xf>
    <xf numFmtId="0" fontId="64" fillId="7" borderId="0" xfId="3" applyAlignment="1">
      <alignment horizontal="center"/>
    </xf>
    <xf numFmtId="0" fontId="55" fillId="2" borderId="66" xfId="0" applyFont="1" applyFill="1" applyBorder="1" applyAlignment="1">
      <alignment horizontal="left" vertical="center" shrinkToFit="1"/>
    </xf>
    <xf numFmtId="0" fontId="55" fillId="2" borderId="67" xfId="0" applyFont="1" applyFill="1" applyBorder="1" applyAlignment="1">
      <alignment horizontal="left" vertical="center" shrinkToFit="1"/>
    </xf>
    <xf numFmtId="0" fontId="55" fillId="2" borderId="65" xfId="0" applyFont="1" applyFill="1" applyBorder="1" applyAlignment="1">
      <alignment horizontal="left" vertical="center"/>
    </xf>
    <xf numFmtId="0" fontId="55" fillId="2" borderId="66" xfId="0" applyFont="1" applyFill="1" applyBorder="1" applyAlignment="1">
      <alignment horizontal="left" vertical="center"/>
    </xf>
    <xf numFmtId="0" fontId="55" fillId="2" borderId="67" xfId="0" applyFont="1" applyFill="1" applyBorder="1" applyAlignment="1">
      <alignment horizontal="left" vertical="center"/>
    </xf>
    <xf numFmtId="0" fontId="32" fillId="2" borderId="122" xfId="0" applyFont="1" applyFill="1" applyBorder="1" applyAlignment="1">
      <alignment horizontal="left" vertical="center" shrinkToFit="1"/>
    </xf>
    <xf numFmtId="0" fontId="32" fillId="2" borderId="0" xfId="0" applyFont="1" applyFill="1" applyAlignment="1">
      <alignment horizontal="left" vertical="center" shrinkToFit="1"/>
    </xf>
    <xf numFmtId="0" fontId="32" fillId="2" borderId="119" xfId="0" applyFont="1" applyFill="1" applyBorder="1" applyAlignment="1">
      <alignment horizontal="left" vertical="center" shrinkToFit="1"/>
    </xf>
    <xf numFmtId="0" fontId="55" fillId="2" borderId="122" xfId="0" applyFont="1" applyFill="1" applyBorder="1" applyAlignment="1">
      <alignment horizontal="left" vertical="center" shrinkToFit="1"/>
    </xf>
    <xf numFmtId="0" fontId="55" fillId="2" borderId="0" xfId="0" applyFont="1" applyFill="1" applyAlignment="1">
      <alignment horizontal="left" vertical="center" shrinkToFit="1"/>
    </xf>
    <xf numFmtId="0" fontId="55" fillId="2" borderId="119" xfId="0" applyFont="1" applyFill="1" applyBorder="1" applyAlignment="1">
      <alignment horizontal="left" vertical="center" shrinkToFit="1"/>
    </xf>
    <xf numFmtId="0" fontId="55" fillId="2" borderId="65" xfId="0" applyFont="1" applyFill="1" applyBorder="1" applyAlignment="1">
      <alignment horizontal="left" vertical="center" shrinkToFit="1"/>
    </xf>
    <xf numFmtId="0" fontId="0" fillId="2" borderId="84" xfId="0" applyFill="1" applyBorder="1" applyAlignment="1">
      <alignment horizontal="center"/>
    </xf>
    <xf numFmtId="0" fontId="0" fillId="2" borderId="120" xfId="0" applyFill="1" applyBorder="1" applyAlignment="1">
      <alignment horizontal="center"/>
    </xf>
    <xf numFmtId="165" fontId="70" fillId="8" borderId="2" xfId="0" applyNumberFormat="1" applyFont="1" applyFill="1" applyBorder="1" applyAlignment="1">
      <alignment horizontal="center"/>
    </xf>
    <xf numFmtId="165" fontId="70" fillId="8" borderId="7" xfId="0" applyNumberFormat="1" applyFont="1" applyFill="1" applyBorder="1" applyAlignment="1">
      <alignment horizontal="center"/>
    </xf>
    <xf numFmtId="3" fontId="71" fillId="8" borderId="17" xfId="0" applyNumberFormat="1" applyFont="1" applyFill="1" applyBorder="1" applyAlignment="1">
      <alignment horizontal="center"/>
    </xf>
    <xf numFmtId="3" fontId="71" fillId="8" borderId="19" xfId="0" applyNumberFormat="1" applyFont="1" applyFill="1" applyBorder="1" applyAlignment="1">
      <alignment horizontal="center"/>
    </xf>
    <xf numFmtId="0" fontId="69" fillId="8" borderId="18" xfId="0" applyFont="1" applyFill="1" applyBorder="1" applyAlignment="1">
      <alignment horizontal="center"/>
    </xf>
    <xf numFmtId="0" fontId="69" fillId="8" borderId="17" xfId="0" applyFont="1" applyFill="1" applyBorder="1" applyAlignment="1">
      <alignment horizontal="center"/>
    </xf>
    <xf numFmtId="165" fontId="71" fillId="8" borderId="17" xfId="0" applyNumberFormat="1" applyFont="1" applyFill="1" applyBorder="1" applyAlignment="1">
      <alignment horizontal="center" wrapText="1"/>
    </xf>
    <xf numFmtId="165" fontId="71" fillId="8" borderId="4" xfId="0" applyNumberFormat="1" applyFont="1" applyFill="1" applyBorder="1" applyAlignment="1">
      <alignment horizontal="center" wrapText="1"/>
    </xf>
    <xf numFmtId="0" fontId="71" fillId="8" borderId="18" xfId="0" applyFont="1" applyFill="1" applyBorder="1" applyAlignment="1">
      <alignment horizontal="center"/>
    </xf>
    <xf numFmtId="0" fontId="71" fillId="8" borderId="3" xfId="0" applyFont="1" applyFill="1" applyBorder="1" applyAlignment="1">
      <alignment horizontal="center"/>
    </xf>
    <xf numFmtId="0" fontId="71" fillId="8" borderId="17" xfId="0" applyFont="1" applyFill="1" applyBorder="1" applyAlignment="1">
      <alignment horizontal="center"/>
    </xf>
    <xf numFmtId="0" fontId="71" fillId="8" borderId="4" xfId="0" applyFont="1" applyFill="1" applyBorder="1" applyAlignment="1">
      <alignment horizontal="center"/>
    </xf>
    <xf numFmtId="3" fontId="10" fillId="2" borderId="71" xfId="0" applyNumberFormat="1" applyFont="1" applyFill="1" applyBorder="1" applyAlignment="1">
      <alignment horizontal="center" vertical="center"/>
    </xf>
    <xf numFmtId="3" fontId="10" fillId="2" borderId="43" xfId="0" applyNumberFormat="1" applyFont="1" applyFill="1" applyBorder="1" applyAlignment="1">
      <alignment horizontal="center" vertical="center"/>
    </xf>
    <xf numFmtId="3" fontId="10" fillId="2" borderId="80" xfId="0" applyNumberFormat="1" applyFont="1" applyFill="1" applyBorder="1" applyAlignment="1">
      <alignment horizontal="center" vertical="center"/>
    </xf>
    <xf numFmtId="0" fontId="17" fillId="2" borderId="66" xfId="0" applyFont="1" applyFill="1" applyBorder="1" applyAlignment="1">
      <alignment horizontal="center"/>
    </xf>
    <xf numFmtId="0" fontId="12" fillId="2" borderId="62" xfId="0" applyFont="1" applyFill="1" applyBorder="1" applyAlignment="1">
      <alignment horizontal="center" wrapText="1"/>
    </xf>
    <xf numFmtId="0" fontId="12" fillId="2" borderId="63" xfId="0" applyFont="1" applyFill="1" applyBorder="1" applyAlignment="1">
      <alignment horizontal="center" wrapText="1"/>
    </xf>
    <xf numFmtId="0" fontId="12" fillId="2" borderId="64" xfId="0" applyFont="1" applyFill="1" applyBorder="1" applyAlignment="1">
      <alignment horizontal="center" wrapText="1"/>
    </xf>
    <xf numFmtId="49" fontId="52" fillId="2" borderId="75" xfId="0" applyNumberFormat="1" applyFont="1" applyFill="1" applyBorder="1" applyAlignment="1">
      <alignment horizontal="center" vertical="center" wrapText="1"/>
    </xf>
    <xf numFmtId="49" fontId="52" fillId="2" borderId="41" xfId="0" applyNumberFormat="1" applyFont="1" applyFill="1" applyBorder="1" applyAlignment="1">
      <alignment horizontal="center" vertical="center" wrapText="1"/>
    </xf>
    <xf numFmtId="49" fontId="52" fillId="2" borderId="69" xfId="0" applyNumberFormat="1"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49" fontId="10" fillId="2" borderId="31" xfId="0" applyNumberFormat="1" applyFont="1" applyFill="1" applyBorder="1" applyAlignment="1">
      <alignment horizontal="left" vertical="center" wrapText="1"/>
    </xf>
    <xf numFmtId="49" fontId="10" fillId="2" borderId="69" xfId="0" applyNumberFormat="1" applyFont="1" applyFill="1" applyBorder="1" applyAlignment="1">
      <alignment horizontal="left" vertical="center" wrapText="1"/>
    </xf>
    <xf numFmtId="3" fontId="10" fillId="2" borderId="77" xfId="0" applyNumberFormat="1" applyFont="1" applyFill="1" applyBorder="1" applyAlignment="1">
      <alignment horizontal="center" vertical="center"/>
    </xf>
    <xf numFmtId="3" fontId="10" fillId="2" borderId="78" xfId="0" applyNumberFormat="1" applyFont="1" applyFill="1" applyBorder="1" applyAlignment="1">
      <alignment horizontal="center" vertical="center"/>
    </xf>
    <xf numFmtId="3" fontId="10" fillId="2" borderId="79" xfId="0" applyNumberFormat="1" applyFont="1" applyFill="1" applyBorder="1" applyAlignment="1">
      <alignment horizontal="center" vertical="center"/>
    </xf>
    <xf numFmtId="3" fontId="10" fillId="2" borderId="57" xfId="0" applyNumberFormat="1" applyFont="1" applyFill="1" applyBorder="1" applyAlignment="1">
      <alignment horizontal="center" vertical="center"/>
    </xf>
    <xf numFmtId="0" fontId="11" fillId="2" borderId="29" xfId="0" applyFont="1" applyFill="1" applyBorder="1" applyAlignment="1">
      <alignment horizontal="left" vertical="center"/>
    </xf>
    <xf numFmtId="0" fontId="11" fillId="2" borderId="70"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71" xfId="0" applyFont="1" applyFill="1" applyBorder="1" applyAlignment="1">
      <alignment horizontal="left" vertical="center"/>
    </xf>
    <xf numFmtId="3" fontId="10" fillId="2" borderId="83" xfId="0" applyNumberFormat="1" applyFont="1" applyFill="1" applyBorder="1" applyAlignment="1">
      <alignment horizontal="center" vertical="center"/>
    </xf>
    <xf numFmtId="3" fontId="10" fillId="2" borderId="82" xfId="0" applyNumberFormat="1" applyFont="1" applyFill="1" applyBorder="1" applyAlignment="1">
      <alignment horizontal="center" vertical="center"/>
    </xf>
    <xf numFmtId="3" fontId="10" fillId="2" borderId="84" xfId="0" applyNumberFormat="1" applyFont="1" applyFill="1" applyBorder="1" applyAlignment="1">
      <alignment horizontal="center" vertical="center"/>
    </xf>
    <xf numFmtId="3" fontId="10" fillId="2" borderId="44" xfId="0" applyNumberFormat="1" applyFont="1" applyFill="1" applyBorder="1" applyAlignment="1">
      <alignment horizontal="center" vertical="center"/>
    </xf>
    <xf numFmtId="3" fontId="10" fillId="2" borderId="73" xfId="0" applyNumberFormat="1" applyFont="1" applyFill="1" applyBorder="1" applyAlignment="1">
      <alignment horizontal="center" vertical="center"/>
    </xf>
    <xf numFmtId="0" fontId="11" fillId="2" borderId="34" xfId="0" applyFont="1" applyFill="1" applyBorder="1" applyAlignment="1">
      <alignment horizontal="left" vertical="center"/>
    </xf>
    <xf numFmtId="0" fontId="11" fillId="2" borderId="72" xfId="0" applyFont="1" applyFill="1" applyBorder="1" applyAlignment="1">
      <alignment horizontal="left" vertical="center"/>
    </xf>
    <xf numFmtId="3" fontId="10" fillId="2" borderId="81" xfId="0" applyNumberFormat="1" applyFont="1" applyFill="1" applyBorder="1" applyAlignment="1" applyProtection="1">
      <alignment horizontal="center" vertical="center"/>
      <protection locked="0"/>
    </xf>
    <xf numFmtId="3" fontId="10" fillId="2" borderId="82" xfId="0" applyNumberFormat="1" applyFont="1" applyFill="1" applyBorder="1" applyAlignment="1" applyProtection="1">
      <alignment horizontal="center" vertical="center"/>
      <protection locked="0"/>
    </xf>
    <xf numFmtId="3" fontId="10" fillId="2" borderId="89" xfId="0" applyNumberFormat="1" applyFont="1" applyFill="1" applyBorder="1" applyAlignment="1">
      <alignment horizontal="center" vertical="center"/>
    </xf>
    <xf numFmtId="3" fontId="10" fillId="2" borderId="90" xfId="0" applyNumberFormat="1" applyFont="1" applyFill="1" applyBorder="1" applyAlignment="1">
      <alignment horizontal="center" vertical="center"/>
    </xf>
    <xf numFmtId="0" fontId="10" fillId="2" borderId="38" xfId="0" applyFont="1" applyFill="1" applyBorder="1" applyAlignment="1">
      <alignment horizontal="left" vertical="center"/>
    </xf>
    <xf numFmtId="0" fontId="10" fillId="2" borderId="74" xfId="0" applyFont="1" applyFill="1" applyBorder="1" applyAlignment="1">
      <alignment horizontal="left" vertical="center"/>
    </xf>
    <xf numFmtId="3" fontId="10" fillId="2" borderId="93" xfId="0" applyNumberFormat="1" applyFont="1" applyFill="1" applyBorder="1" applyAlignment="1">
      <alignment horizontal="center" vertical="center"/>
    </xf>
    <xf numFmtId="0" fontId="10" fillId="2" borderId="36" xfId="0" applyFont="1" applyFill="1" applyBorder="1" applyAlignment="1">
      <alignment horizontal="left" vertical="center"/>
    </xf>
    <xf numFmtId="0" fontId="10" fillId="2" borderId="73" xfId="0" applyFont="1" applyFill="1" applyBorder="1" applyAlignment="1">
      <alignment horizontal="left" vertical="center"/>
    </xf>
    <xf numFmtId="3" fontId="10" fillId="2" borderId="85" xfId="0" applyNumberFormat="1" applyFont="1" applyFill="1" applyBorder="1" applyAlignment="1">
      <alignment horizontal="center" vertical="center"/>
    </xf>
    <xf numFmtId="3" fontId="10" fillId="2" borderId="86" xfId="0" applyNumberFormat="1" applyFont="1" applyFill="1" applyBorder="1" applyAlignment="1">
      <alignment horizontal="center" vertical="center"/>
    </xf>
    <xf numFmtId="3" fontId="10" fillId="2" borderId="87" xfId="0" applyNumberFormat="1" applyFont="1" applyFill="1" applyBorder="1" applyAlignment="1">
      <alignment horizontal="center" vertical="center"/>
    </xf>
    <xf numFmtId="3" fontId="10" fillId="2" borderId="94" xfId="0" applyNumberFormat="1" applyFont="1" applyFill="1" applyBorder="1" applyAlignment="1">
      <alignment horizontal="center" vertical="center"/>
    </xf>
    <xf numFmtId="3" fontId="10" fillId="2" borderId="88" xfId="0" applyNumberFormat="1" applyFont="1" applyFill="1" applyBorder="1" applyAlignment="1">
      <alignment horizontal="center" vertical="center"/>
    </xf>
    <xf numFmtId="3" fontId="10" fillId="2" borderId="91" xfId="0" applyNumberFormat="1" applyFont="1" applyFill="1" applyBorder="1" applyAlignment="1">
      <alignment horizontal="center" vertical="center"/>
    </xf>
    <xf numFmtId="3" fontId="10" fillId="2" borderId="68" xfId="0" applyNumberFormat="1" applyFont="1" applyFill="1" applyBorder="1" applyAlignment="1">
      <alignment horizontal="center" vertical="center"/>
    </xf>
    <xf numFmtId="3" fontId="10" fillId="2" borderId="92" xfId="0" applyNumberFormat="1" applyFont="1" applyFill="1" applyBorder="1" applyAlignment="1">
      <alignment horizontal="center" vertical="center"/>
    </xf>
    <xf numFmtId="0" fontId="14" fillId="2" borderId="0" xfId="0" applyFont="1" applyFill="1" applyAlignment="1">
      <alignment horizontal="left"/>
    </xf>
    <xf numFmtId="49" fontId="14" fillId="2" borderId="0" xfId="0" applyNumberFormat="1" applyFont="1" applyFill="1" applyAlignment="1">
      <alignment horizontal="left" shrinkToFit="1"/>
    </xf>
    <xf numFmtId="49" fontId="11" fillId="2" borderId="112" xfId="0" applyNumberFormat="1" applyFont="1" applyFill="1" applyBorder="1" applyAlignment="1">
      <alignment horizontal="left" vertical="center" wrapText="1"/>
    </xf>
    <xf numFmtId="49" fontId="11" fillId="2" borderId="113" xfId="0" applyNumberFormat="1" applyFont="1" applyFill="1" applyBorder="1" applyAlignment="1">
      <alignment horizontal="left" vertical="center" wrapText="1"/>
    </xf>
    <xf numFmtId="49" fontId="10" fillId="2" borderId="108" xfId="0" applyNumberFormat="1" applyFont="1" applyFill="1" applyBorder="1" applyAlignment="1">
      <alignment horizontal="center" vertical="center"/>
    </xf>
    <xf numFmtId="49" fontId="10" fillId="2" borderId="96" xfId="0" applyNumberFormat="1" applyFont="1" applyFill="1" applyBorder="1" applyAlignment="1">
      <alignment horizontal="center" vertical="center"/>
    </xf>
    <xf numFmtId="3" fontId="10" fillId="2" borderId="62" xfId="0" applyNumberFormat="1" applyFont="1" applyFill="1" applyBorder="1" applyAlignment="1">
      <alignment horizontal="center" vertical="center"/>
    </xf>
    <xf numFmtId="3" fontId="10" fillId="2" borderId="109" xfId="0" applyNumberFormat="1" applyFont="1" applyFill="1" applyBorder="1" applyAlignment="1">
      <alignment horizontal="center" vertical="center"/>
    </xf>
    <xf numFmtId="3" fontId="10" fillId="2" borderId="105" xfId="0" applyNumberFormat="1" applyFont="1" applyFill="1" applyBorder="1" applyAlignment="1">
      <alignment horizontal="center" vertical="center"/>
    </xf>
    <xf numFmtId="3" fontId="10" fillId="2" borderId="42" xfId="0" applyNumberFormat="1" applyFont="1" applyFill="1" applyBorder="1" applyAlignment="1">
      <alignment horizontal="center" vertical="center"/>
    </xf>
    <xf numFmtId="3" fontId="10" fillId="2" borderId="110" xfId="0" applyNumberFormat="1" applyFont="1" applyFill="1" applyBorder="1" applyAlignment="1">
      <alignment horizontal="center" vertical="center"/>
    </xf>
    <xf numFmtId="3" fontId="10" fillId="2" borderId="70" xfId="0" applyNumberFormat="1" applyFont="1" applyFill="1" applyBorder="1" applyAlignment="1">
      <alignment horizontal="center" vertical="center"/>
    </xf>
    <xf numFmtId="3" fontId="10" fillId="2" borderId="114" xfId="0" applyNumberFormat="1" applyFont="1" applyFill="1" applyBorder="1" applyAlignment="1">
      <alignment horizontal="center" vertical="center"/>
    </xf>
    <xf numFmtId="3" fontId="10" fillId="2" borderId="30" xfId="0" applyNumberFormat="1" applyFont="1" applyFill="1" applyBorder="1" applyAlignment="1">
      <alignment horizontal="center" vertical="center"/>
    </xf>
    <xf numFmtId="0" fontId="11" fillId="2" borderId="106" xfId="0" applyFont="1" applyFill="1" applyBorder="1" applyAlignment="1">
      <alignment horizontal="left" vertical="center" wrapText="1"/>
    </xf>
    <xf numFmtId="0" fontId="11" fillId="2" borderId="64" xfId="0" applyFont="1" applyFill="1" applyBorder="1" applyAlignment="1">
      <alignment horizontal="left" vertical="center" wrapText="1"/>
    </xf>
    <xf numFmtId="0" fontId="11" fillId="2" borderId="101" xfId="0" applyFont="1" applyFill="1" applyBorder="1" applyAlignment="1">
      <alignment horizontal="left" vertical="center" wrapText="1"/>
    </xf>
    <xf numFmtId="0" fontId="11" fillId="2" borderId="107" xfId="0" applyFont="1" applyFill="1" applyBorder="1" applyAlignment="1">
      <alignment horizontal="left" vertical="center" wrapText="1"/>
    </xf>
    <xf numFmtId="0" fontId="10" fillId="2" borderId="108" xfId="0" applyFont="1" applyFill="1" applyBorder="1" applyAlignment="1">
      <alignment horizontal="center" vertical="center"/>
    </xf>
    <xf numFmtId="0" fontId="10" fillId="2" borderId="96" xfId="0" applyFont="1" applyFill="1" applyBorder="1" applyAlignment="1">
      <alignment horizontal="center" vertical="center"/>
    </xf>
    <xf numFmtId="3" fontId="10" fillId="2" borderId="111" xfId="0" applyNumberFormat="1" applyFont="1" applyFill="1" applyBorder="1" applyAlignment="1">
      <alignment horizontal="center" vertical="center"/>
    </xf>
    <xf numFmtId="3" fontId="10" fillId="2" borderId="104" xfId="0" applyNumberFormat="1" applyFont="1" applyFill="1" applyBorder="1" applyAlignment="1">
      <alignment horizontal="center" vertical="center"/>
    </xf>
    <xf numFmtId="0" fontId="10" fillId="2" borderId="75" xfId="0" applyFont="1" applyFill="1" applyBorder="1" applyAlignment="1">
      <alignment horizontal="center" vertical="center" wrapText="1"/>
    </xf>
    <xf numFmtId="0" fontId="10" fillId="2" borderId="134" xfId="0" applyFont="1" applyFill="1" applyBorder="1" applyAlignment="1">
      <alignment horizontal="center" vertical="center" wrapText="1"/>
    </xf>
    <xf numFmtId="169" fontId="10" fillId="11" borderId="84" xfId="5" applyNumberFormat="1" applyFont="1" applyFill="1" applyBorder="1" applyAlignment="1">
      <alignment horizontal="center" vertical="center" shrinkToFit="1"/>
    </xf>
    <xf numFmtId="169" fontId="10" fillId="11" borderId="120" xfId="5" applyNumberFormat="1" applyFont="1" applyFill="1" applyBorder="1" applyAlignment="1">
      <alignment horizontal="center" vertical="center" shrinkToFit="1"/>
    </xf>
    <xf numFmtId="169" fontId="10" fillId="11" borderId="85" xfId="5" applyNumberFormat="1" applyFont="1" applyFill="1" applyBorder="1" applyAlignment="1">
      <alignment horizontal="center" vertical="center" shrinkToFit="1"/>
    </xf>
    <xf numFmtId="169" fontId="10" fillId="11" borderId="131" xfId="5" applyNumberFormat="1" applyFont="1" applyFill="1" applyBorder="1" applyAlignment="1">
      <alignment horizontal="center" vertical="center" shrinkToFit="1"/>
    </xf>
    <xf numFmtId="0" fontId="10" fillId="2" borderId="4" xfId="0" applyFont="1" applyFill="1" applyBorder="1" applyAlignment="1">
      <alignment horizontal="center"/>
    </xf>
    <xf numFmtId="49" fontId="52" fillId="2" borderId="100" xfId="0" applyNumberFormat="1" applyFont="1" applyFill="1" applyBorder="1" applyAlignment="1">
      <alignment horizontal="center" vertical="center" wrapText="1"/>
    </xf>
    <xf numFmtId="49" fontId="52" fillId="2" borderId="134" xfId="0" applyNumberFormat="1" applyFont="1" applyFill="1" applyBorder="1" applyAlignment="1">
      <alignment horizontal="center" vertical="center" wrapText="1"/>
    </xf>
    <xf numFmtId="169" fontId="10" fillId="11" borderId="103" xfId="5" applyNumberFormat="1" applyFont="1" applyFill="1" applyBorder="1" applyAlignment="1">
      <alignment horizontal="center" vertical="center" shrinkToFit="1"/>
    </xf>
    <xf numFmtId="169" fontId="10" fillId="11" borderId="145" xfId="5" applyNumberFormat="1" applyFont="1" applyFill="1" applyBorder="1" applyAlignment="1">
      <alignment horizontal="center" vertical="center" shrinkToFit="1"/>
    </xf>
    <xf numFmtId="0" fontId="11" fillId="2" borderId="4" xfId="0" applyFont="1" applyFill="1" applyBorder="1" applyAlignment="1">
      <alignment horizontal="center"/>
    </xf>
    <xf numFmtId="49" fontId="10" fillId="2" borderId="21" xfId="0" applyNumberFormat="1" applyFont="1" applyFill="1" applyBorder="1" applyAlignment="1">
      <alignment horizontal="center" vertical="center" wrapText="1"/>
    </xf>
    <xf numFmtId="49" fontId="10" fillId="2" borderId="136" xfId="0" applyNumberFormat="1" applyFont="1" applyFill="1" applyBorder="1" applyAlignment="1">
      <alignment horizontal="center" vertical="center" wrapText="1"/>
    </xf>
    <xf numFmtId="49" fontId="52" fillId="2" borderId="127" xfId="0" applyNumberFormat="1" applyFont="1" applyFill="1" applyBorder="1" applyAlignment="1">
      <alignment horizontal="center" vertical="center" wrapText="1"/>
    </xf>
    <xf numFmtId="49" fontId="52" fillId="2" borderId="140" xfId="0" applyNumberFormat="1" applyFont="1" applyFill="1" applyBorder="1" applyAlignment="1">
      <alignment horizontal="center" vertical="center" wrapText="1"/>
    </xf>
    <xf numFmtId="0" fontId="11" fillId="2" borderId="0" xfId="0" applyFont="1" applyFill="1" applyAlignment="1">
      <alignment horizontal="left"/>
    </xf>
    <xf numFmtId="0" fontId="15" fillId="2" borderId="62"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6" fillId="2" borderId="65" xfId="0" applyFont="1" applyFill="1" applyBorder="1" applyAlignment="1">
      <alignment horizontal="center"/>
    </xf>
    <xf numFmtId="0" fontId="16" fillId="2" borderId="66" xfId="0" applyFont="1" applyFill="1" applyBorder="1" applyAlignment="1">
      <alignment horizontal="center"/>
    </xf>
    <xf numFmtId="0" fontId="16" fillId="2" borderId="67" xfId="0" applyFont="1" applyFill="1" applyBorder="1" applyAlignment="1">
      <alignment horizontal="center"/>
    </xf>
    <xf numFmtId="44" fontId="2" fillId="2" borderId="61" xfId="5" applyFont="1" applyFill="1" applyBorder="1" applyAlignment="1">
      <alignment horizontal="center" vertical="center"/>
    </xf>
    <xf numFmtId="4" fontId="23" fillId="2" borderId="62" xfId="0" applyNumberFormat="1" applyFont="1" applyFill="1" applyBorder="1" applyAlignment="1">
      <alignment horizontal="left" vertical="center" indent="1"/>
    </xf>
    <xf numFmtId="4" fontId="23" fillId="2" borderId="64" xfId="0" applyNumberFormat="1" applyFont="1" applyFill="1" applyBorder="1" applyAlignment="1">
      <alignment horizontal="left" vertical="center" indent="1"/>
    </xf>
    <xf numFmtId="0" fontId="2" fillId="2" borderId="65" xfId="0" applyFont="1" applyFill="1" applyBorder="1" applyAlignment="1">
      <alignment horizontal="center" vertical="center" wrapText="1"/>
    </xf>
    <xf numFmtId="0" fontId="2" fillId="2" borderId="67" xfId="0" applyFont="1" applyFill="1" applyBorder="1" applyAlignment="1">
      <alignment horizontal="center" vertical="center" wrapText="1"/>
    </xf>
    <xf numFmtId="4" fontId="23" fillId="2" borderId="63" xfId="0" applyNumberFormat="1" applyFont="1" applyFill="1" applyBorder="1" applyAlignment="1">
      <alignment horizontal="left" vertical="center" indent="1"/>
    </xf>
    <xf numFmtId="0" fontId="0" fillId="2" borderId="61" xfId="0" applyFill="1" applyBorder="1" applyAlignment="1">
      <alignment horizontal="left" vertical="center"/>
    </xf>
    <xf numFmtId="44" fontId="0" fillId="2" borderId="61" xfId="5" applyFont="1" applyFill="1" applyBorder="1" applyAlignment="1" applyProtection="1">
      <alignment horizontal="center" vertical="center"/>
      <protection locked="0"/>
    </xf>
    <xf numFmtId="44" fontId="0" fillId="2" borderId="61" xfId="5" applyFont="1" applyFill="1" applyBorder="1" applyAlignment="1">
      <alignment horizontal="center" vertical="center"/>
    </xf>
    <xf numFmtId="0" fontId="23" fillId="2" borderId="61" xfId="0" applyFont="1" applyFill="1" applyBorder="1" applyAlignment="1">
      <alignment horizontal="center" vertical="center" wrapText="1"/>
    </xf>
    <xf numFmtId="0" fontId="0" fillId="2" borderId="61" xfId="0" applyFill="1" applyBorder="1" applyAlignment="1">
      <alignment horizontal="center" vertical="center" wrapText="1"/>
    </xf>
    <xf numFmtId="0" fontId="0" fillId="2" borderId="61" xfId="0" applyFill="1" applyBorder="1" applyAlignment="1">
      <alignment horizontal="center"/>
    </xf>
    <xf numFmtId="0" fontId="38" fillId="2" borderId="61" xfId="0" applyFont="1" applyFill="1" applyBorder="1" applyAlignment="1">
      <alignment horizontal="center" vertical="center" wrapText="1"/>
    </xf>
    <xf numFmtId="3" fontId="0" fillId="2" borderId="61" xfId="0" applyNumberFormat="1" applyFill="1" applyBorder="1" applyAlignment="1">
      <alignment horizontal="center" vertical="center"/>
    </xf>
    <xf numFmtId="0" fontId="32" fillId="2" borderId="61" xfId="0" applyFont="1" applyFill="1" applyBorder="1" applyAlignment="1">
      <alignment horizontal="left"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2" fillId="2" borderId="119" xfId="0" applyFont="1" applyFill="1" applyBorder="1" applyAlignment="1">
      <alignment horizontal="center" vertical="center" wrapText="1"/>
    </xf>
    <xf numFmtId="0" fontId="0" fillId="2" borderId="0" xfId="0" applyFill="1" applyAlignment="1">
      <alignment horizontal="center" wrapText="1"/>
    </xf>
    <xf numFmtId="0" fontId="0" fillId="2" borderId="66" xfId="0" applyFill="1" applyBorder="1" applyAlignment="1">
      <alignment horizontal="center" wrapText="1"/>
    </xf>
    <xf numFmtId="0" fontId="2" fillId="2" borderId="61" xfId="0" applyFont="1" applyFill="1" applyBorder="1" applyAlignment="1">
      <alignment horizontal="left" vertical="center"/>
    </xf>
    <xf numFmtId="0" fontId="59" fillId="2" borderId="0" xfId="0" applyFont="1" applyFill="1" applyAlignment="1">
      <alignment horizontal="center" vertical="center" wrapText="1"/>
    </xf>
    <xf numFmtId="0" fontId="61" fillId="2" borderId="1" xfId="0" applyFont="1" applyFill="1" applyBorder="1" applyAlignment="1">
      <alignment horizontal="center" vertical="center"/>
    </xf>
    <xf numFmtId="0" fontId="61" fillId="2" borderId="2" xfId="0" applyFont="1" applyFill="1" applyBorder="1" applyAlignment="1">
      <alignment horizontal="center" vertical="center"/>
    </xf>
    <xf numFmtId="0" fontId="61" fillId="2" borderId="7" xfId="0" applyFont="1" applyFill="1" applyBorder="1" applyAlignment="1">
      <alignment horizontal="center" vertical="center"/>
    </xf>
    <xf numFmtId="0" fontId="59" fillId="2" borderId="0" xfId="0" applyFont="1" applyFill="1" applyAlignment="1">
      <alignment horizontal="center" wrapText="1"/>
    </xf>
    <xf numFmtId="0" fontId="59" fillId="2" borderId="66" xfId="0" applyFont="1" applyFill="1" applyBorder="1" applyAlignment="1">
      <alignment horizontal="center" wrapText="1"/>
    </xf>
    <xf numFmtId="0" fontId="5" fillId="6" borderId="0" xfId="0" applyFont="1" applyFill="1" applyAlignment="1">
      <alignment horizontal="center"/>
    </xf>
    <xf numFmtId="4" fontId="5" fillId="2" borderId="2" xfId="0" applyNumberFormat="1" applyFont="1" applyFill="1" applyBorder="1" applyAlignment="1">
      <alignment horizontal="right" shrinkToFit="1"/>
    </xf>
    <xf numFmtId="4" fontId="5" fillId="2" borderId="7" xfId="0" applyNumberFormat="1" applyFont="1" applyFill="1" applyBorder="1" applyAlignment="1">
      <alignment horizontal="right" shrinkToFit="1"/>
    </xf>
    <xf numFmtId="0" fontId="5" fillId="2" borderId="1" xfId="0" applyFont="1" applyFill="1" applyBorder="1" applyAlignment="1">
      <alignment horizontal="left"/>
    </xf>
    <xf numFmtId="0" fontId="5" fillId="2" borderId="2" xfId="0" applyFont="1" applyFill="1" applyBorder="1" applyAlignment="1">
      <alignment horizontal="left"/>
    </xf>
    <xf numFmtId="0" fontId="20" fillId="4" borderId="0" xfId="2" applyFill="1" applyAlignment="1">
      <alignment vertical="center"/>
    </xf>
    <xf numFmtId="0" fontId="20" fillId="2" borderId="0" xfId="2" applyFill="1" applyAlignment="1">
      <alignment vertical="center"/>
    </xf>
    <xf numFmtId="0" fontId="26" fillId="4" borderId="0" xfId="2" applyFont="1" applyFill="1" applyAlignment="1">
      <alignment vertical="center"/>
    </xf>
    <xf numFmtId="0" fontId="27" fillId="4" borderId="0" xfId="2" applyFont="1" applyFill="1" applyAlignment="1">
      <alignment vertical="center"/>
    </xf>
    <xf numFmtId="0" fontId="27" fillId="2" borderId="0" xfId="2" applyFont="1" applyFill="1" applyAlignment="1">
      <alignment vertical="center"/>
    </xf>
    <xf numFmtId="0" fontId="27" fillId="2" borderId="119" xfId="2" applyFont="1" applyFill="1" applyBorder="1" applyAlignment="1">
      <alignment vertical="center"/>
    </xf>
    <xf numFmtId="0" fontId="26" fillId="4" borderId="84" xfId="2" applyFont="1" applyFill="1" applyBorder="1" applyAlignment="1">
      <alignment horizontal="center" vertical="center"/>
    </xf>
    <xf numFmtId="0" fontId="20" fillId="2" borderId="120" xfId="2" applyFill="1" applyBorder="1" applyAlignment="1">
      <alignment horizontal="center" vertical="center"/>
    </xf>
    <xf numFmtId="0" fontId="26" fillId="4" borderId="0" xfId="2" applyFont="1" applyFill="1" applyAlignment="1">
      <alignment horizontal="left" vertical="center"/>
    </xf>
    <xf numFmtId="0" fontId="26" fillId="4" borderId="0" xfId="2" applyFont="1" applyFill="1" applyAlignment="1">
      <alignment horizontal="left" vertical="top" wrapText="1"/>
    </xf>
    <xf numFmtId="0" fontId="26" fillId="4" borderId="0" xfId="2" applyFont="1" applyFill="1" applyAlignment="1">
      <alignment horizontal="left" vertical="center" wrapText="1"/>
    </xf>
    <xf numFmtId="0" fontId="20" fillId="4" borderId="1" xfId="2" applyFill="1" applyBorder="1" applyAlignment="1">
      <alignment horizontal="left" vertical="center"/>
    </xf>
    <xf numFmtId="0" fontId="20" fillId="2" borderId="2" xfId="2" applyFill="1" applyBorder="1" applyAlignment="1">
      <alignment vertical="center"/>
    </xf>
    <xf numFmtId="0" fontId="20" fillId="2" borderId="7" xfId="2" applyFill="1" applyBorder="1" applyAlignment="1">
      <alignment vertical="center"/>
    </xf>
    <xf numFmtId="0" fontId="0" fillId="4" borderId="1" xfId="2" applyFont="1" applyFill="1" applyBorder="1" applyAlignment="1">
      <alignment horizontal="left" vertical="center"/>
    </xf>
    <xf numFmtId="3" fontId="20" fillId="4" borderId="1" xfId="2" applyNumberFormat="1" applyFill="1" applyBorder="1" applyAlignment="1">
      <alignment horizontal="center" vertical="center"/>
    </xf>
    <xf numFmtId="0" fontId="20" fillId="2" borderId="2" xfId="2" applyFill="1" applyBorder="1" applyAlignment="1">
      <alignment horizontal="center" vertical="center"/>
    </xf>
    <xf numFmtId="0" fontId="20" fillId="2" borderId="7" xfId="2" applyFill="1" applyBorder="1" applyAlignment="1">
      <alignment horizontal="center" vertical="center"/>
    </xf>
    <xf numFmtId="3" fontId="20" fillId="4" borderId="0" xfId="2" applyNumberFormat="1" applyFill="1" applyAlignment="1">
      <alignment horizontal="center" vertical="center"/>
    </xf>
    <xf numFmtId="0" fontId="26" fillId="4" borderId="0" xfId="2" applyFont="1" applyFill="1" applyAlignment="1">
      <alignment horizontal="center" vertical="center"/>
    </xf>
    <xf numFmtId="0" fontId="24" fillId="4" borderId="0" xfId="2" applyFont="1" applyFill="1" applyAlignment="1">
      <alignment horizontal="right" vertical="center"/>
    </xf>
    <xf numFmtId="0" fontId="20" fillId="4" borderId="1" xfId="2" applyFill="1" applyBorder="1" applyAlignment="1">
      <alignment vertical="center"/>
    </xf>
    <xf numFmtId="0" fontId="20" fillId="4" borderId="2" xfId="2" applyFill="1" applyBorder="1" applyAlignment="1">
      <alignment vertical="center"/>
    </xf>
    <xf numFmtId="0" fontId="20" fillId="4" borderId="7" xfId="2" applyFill="1" applyBorder="1" applyAlignment="1">
      <alignment vertical="center"/>
    </xf>
    <xf numFmtId="0" fontId="2" fillId="4" borderId="1" xfId="2" applyFont="1" applyFill="1" applyBorder="1" applyAlignment="1">
      <alignment vertical="center"/>
    </xf>
    <xf numFmtId="0" fontId="2" fillId="4" borderId="2" xfId="2" applyFont="1" applyFill="1" applyBorder="1" applyAlignment="1">
      <alignment vertical="center"/>
    </xf>
    <xf numFmtId="0" fontId="2" fillId="4" borderId="7" xfId="2" applyFont="1" applyFill="1" applyBorder="1" applyAlignment="1">
      <alignment vertical="center"/>
    </xf>
    <xf numFmtId="0" fontId="26" fillId="4" borderId="4" xfId="2" applyFont="1" applyFill="1" applyBorder="1" applyAlignment="1">
      <alignment vertical="center"/>
    </xf>
    <xf numFmtId="0" fontId="27" fillId="2" borderId="4" xfId="2" applyFont="1" applyFill="1" applyBorder="1" applyAlignment="1">
      <alignment vertical="center"/>
    </xf>
    <xf numFmtId="0" fontId="23" fillId="4" borderId="0" xfId="2" applyFont="1" applyFill="1" applyAlignment="1">
      <alignment horizontal="right" vertical="center"/>
    </xf>
    <xf numFmtId="0" fontId="23" fillId="4" borderId="0" xfId="2" applyFont="1" applyFill="1" applyAlignment="1">
      <alignment horizontal="left" vertical="center"/>
    </xf>
    <xf numFmtId="0" fontId="22" fillId="4" borderId="0" xfId="2" applyFont="1" applyFill="1" applyAlignment="1">
      <alignment horizontal="right" vertical="center" wrapText="1" indent="1"/>
    </xf>
    <xf numFmtId="0" fontId="26" fillId="4" borderId="17" xfId="2" applyFont="1" applyFill="1" applyBorder="1" applyAlignment="1">
      <alignment horizontal="left" vertical="center"/>
    </xf>
    <xf numFmtId="0" fontId="20" fillId="2" borderId="17" xfId="2" applyFill="1" applyBorder="1" applyAlignment="1">
      <alignment vertical="center"/>
    </xf>
    <xf numFmtId="0" fontId="26" fillId="4" borderId="17" xfId="2" applyFont="1" applyFill="1" applyBorder="1" applyAlignment="1">
      <alignment vertical="center"/>
    </xf>
    <xf numFmtId="0" fontId="26" fillId="4" borderId="4" xfId="2" applyFont="1" applyFill="1" applyBorder="1" applyAlignment="1">
      <alignment vertical="center" shrinkToFit="1"/>
    </xf>
    <xf numFmtId="0" fontId="20" fillId="2" borderId="4" xfId="2" applyFill="1" applyBorder="1" applyAlignment="1">
      <alignment vertical="center" shrinkToFit="1"/>
    </xf>
    <xf numFmtId="0" fontId="20" fillId="2" borderId="4" xfId="2" applyFill="1" applyBorder="1" applyAlignment="1">
      <alignment vertical="center"/>
    </xf>
    <xf numFmtId="0" fontId="20" fillId="4" borderId="2" xfId="2" applyFill="1" applyBorder="1" applyAlignment="1">
      <alignment horizontal="left" vertical="center"/>
    </xf>
    <xf numFmtId="0" fontId="20" fillId="2" borderId="19" xfId="2" applyFill="1" applyBorder="1" applyAlignment="1">
      <alignment vertical="center"/>
    </xf>
    <xf numFmtId="0" fontId="11" fillId="2" borderId="1" xfId="2" applyFont="1" applyFill="1" applyBorder="1" applyAlignment="1">
      <alignment horizontal="center" vertical="center"/>
    </xf>
    <xf numFmtId="0" fontId="26" fillId="4" borderId="5" xfId="2" applyFont="1" applyFill="1" applyBorder="1" applyAlignment="1">
      <alignment vertical="center"/>
    </xf>
    <xf numFmtId="0" fontId="20" fillId="2" borderId="0" xfId="2" applyFill="1" applyAlignment="1">
      <alignment horizontal="right" vertical="center"/>
    </xf>
    <xf numFmtId="0" fontId="20" fillId="2" borderId="5" xfId="2" applyFill="1" applyBorder="1" applyAlignment="1">
      <alignment horizontal="right" vertical="center"/>
    </xf>
    <xf numFmtId="0" fontId="29" fillId="4" borderId="6" xfId="2" applyFont="1" applyFill="1" applyBorder="1" applyAlignment="1">
      <alignment vertical="center"/>
    </xf>
    <xf numFmtId="0" fontId="34" fillId="4" borderId="0" xfId="2" applyFont="1" applyFill="1" applyAlignment="1">
      <alignment horizontal="center" vertical="center"/>
    </xf>
    <xf numFmtId="0" fontId="33" fillId="4" borderId="0" xfId="2" applyFont="1" applyFill="1" applyAlignment="1">
      <alignment horizontal="center" vertical="center"/>
    </xf>
    <xf numFmtId="0" fontId="32" fillId="4" borderId="0" xfId="2" applyFont="1" applyFill="1" applyAlignment="1">
      <alignment horizontal="center" vertical="center"/>
    </xf>
    <xf numFmtId="0" fontId="14" fillId="4" borderId="0" xfId="2" applyFont="1" applyFill="1" applyAlignment="1">
      <alignment horizontal="center" vertical="center"/>
    </xf>
    <xf numFmtId="0" fontId="31" fillId="4" borderId="0" xfId="2" applyFont="1" applyFill="1" applyAlignment="1">
      <alignment horizontal="center" vertical="center"/>
    </xf>
    <xf numFmtId="0" fontId="10" fillId="4" borderId="0" xfId="2" applyFont="1" applyFill="1" applyAlignment="1">
      <alignment horizontal="center" vertical="center"/>
    </xf>
    <xf numFmtId="0" fontId="20" fillId="4" borderId="0" xfId="2" applyFill="1" applyAlignment="1">
      <alignment horizontal="center" vertical="center"/>
    </xf>
    <xf numFmtId="0" fontId="10" fillId="4" borderId="0" xfId="2" applyFont="1" applyFill="1" applyAlignment="1">
      <alignment horizontal="right" vertical="center"/>
    </xf>
    <xf numFmtId="0" fontId="20" fillId="2" borderId="5" xfId="2" applyFill="1" applyBorder="1" applyAlignment="1">
      <alignment vertical="center"/>
    </xf>
    <xf numFmtId="0" fontId="10" fillId="4" borderId="2" xfId="2" applyFont="1" applyFill="1" applyBorder="1" applyAlignment="1">
      <alignment vertical="center"/>
    </xf>
    <xf numFmtId="0" fontId="10" fillId="4" borderId="7" xfId="2" applyFont="1" applyFill="1" applyBorder="1" applyAlignment="1">
      <alignment vertical="center"/>
    </xf>
    <xf numFmtId="0" fontId="20" fillId="4" borderId="6" xfId="2" applyFill="1" applyBorder="1" applyAlignment="1">
      <alignment vertical="center"/>
    </xf>
    <xf numFmtId="0" fontId="10" fillId="4" borderId="6" xfId="2" applyFont="1" applyFill="1" applyBorder="1" applyAlignment="1">
      <alignment horizontal="center" vertical="center"/>
    </xf>
    <xf numFmtId="0" fontId="2" fillId="2" borderId="0" xfId="2" applyFont="1" applyFill="1" applyAlignment="1">
      <alignment vertical="center"/>
    </xf>
    <xf numFmtId="0" fontId="2" fillId="4" borderId="1" xfId="2" applyFont="1" applyFill="1" applyBorder="1" applyAlignment="1">
      <alignment horizontal="left" vertical="center"/>
    </xf>
    <xf numFmtId="0" fontId="10" fillId="4" borderId="2" xfId="2" applyFont="1" applyFill="1" applyBorder="1" applyAlignment="1">
      <alignment horizontal="left" vertical="center"/>
    </xf>
    <xf numFmtId="0" fontId="10" fillId="4" borderId="7" xfId="2" applyFont="1" applyFill="1" applyBorder="1" applyAlignment="1">
      <alignment horizontal="left" vertical="center"/>
    </xf>
    <xf numFmtId="0" fontId="26" fillId="2" borderId="0" xfId="2" applyFont="1" applyFill="1" applyAlignment="1">
      <alignment vertical="center" wrapText="1"/>
    </xf>
    <xf numFmtId="0" fontId="20" fillId="2" borderId="0" xfId="2" applyFill="1" applyAlignment="1">
      <alignment vertical="center" wrapText="1"/>
    </xf>
    <xf numFmtId="0" fontId="20" fillId="2" borderId="5" xfId="2" applyFill="1" applyBorder="1" applyAlignment="1">
      <alignment vertical="center" wrapText="1"/>
    </xf>
    <xf numFmtId="0" fontId="20" fillId="2" borderId="18" xfId="2" applyFill="1" applyBorder="1" applyAlignment="1">
      <alignment horizontal="center" vertical="center" wrapText="1"/>
    </xf>
    <xf numFmtId="0" fontId="11" fillId="2" borderId="19"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121" xfId="2" applyFont="1" applyFill="1" applyBorder="1" applyAlignment="1">
      <alignment horizontal="center" vertical="center" wrapText="1"/>
    </xf>
    <xf numFmtId="0" fontId="20" fillId="2" borderId="6" xfId="2" applyFill="1" applyBorder="1" applyAlignment="1">
      <alignment vertical="center"/>
    </xf>
    <xf numFmtId="0" fontId="26" fillId="4" borderId="0" xfId="2" applyFont="1" applyFill="1" applyAlignment="1">
      <alignment vertical="center" wrapText="1"/>
    </xf>
    <xf numFmtId="0" fontId="20" fillId="2" borderId="15" xfId="2" applyFill="1" applyBorder="1" applyAlignment="1">
      <alignment horizontal="center" vertical="center"/>
    </xf>
    <xf numFmtId="0" fontId="11" fillId="4" borderId="20" xfId="2" applyFont="1" applyFill="1" applyBorder="1" applyAlignment="1">
      <alignment horizontal="center" vertical="center"/>
    </xf>
    <xf numFmtId="0" fontId="21" fillId="4" borderId="0" xfId="2" applyFont="1" applyFill="1" applyAlignment="1">
      <alignment horizontal="center" vertical="center"/>
    </xf>
    <xf numFmtId="0" fontId="20" fillId="2" borderId="0" xfId="2" applyFill="1"/>
    <xf numFmtId="0" fontId="26" fillId="4" borderId="62" xfId="2" applyFont="1" applyFill="1" applyBorder="1" applyAlignment="1">
      <alignment horizontal="center"/>
    </xf>
    <xf numFmtId="0" fontId="20" fillId="2" borderId="63" xfId="2" applyFill="1" applyBorder="1" applyAlignment="1">
      <alignment horizontal="center"/>
    </xf>
    <xf numFmtId="0" fontId="20" fillId="2" borderId="64" xfId="2" applyFill="1" applyBorder="1" applyAlignment="1">
      <alignment horizontal="center"/>
    </xf>
    <xf numFmtId="0" fontId="20" fillId="2" borderId="122" xfId="2" applyFill="1" applyBorder="1" applyAlignment="1">
      <alignment horizontal="center"/>
    </xf>
    <xf numFmtId="0" fontId="20" fillId="2" borderId="0" xfId="2" applyFill="1" applyAlignment="1">
      <alignment horizontal="center"/>
    </xf>
    <xf numFmtId="0" fontId="20" fillId="2" borderId="119" xfId="2" applyFill="1" applyBorder="1" applyAlignment="1">
      <alignment horizontal="center"/>
    </xf>
    <xf numFmtId="0" fontId="20" fillId="2" borderId="65" xfId="2" applyFill="1" applyBorder="1" applyAlignment="1">
      <alignment horizontal="center"/>
    </xf>
    <xf numFmtId="0" fontId="20" fillId="2" borderId="66" xfId="2" applyFill="1" applyBorder="1" applyAlignment="1">
      <alignment horizontal="center"/>
    </xf>
    <xf numFmtId="0" fontId="20" fillId="2" borderId="67" xfId="2" applyFill="1" applyBorder="1" applyAlignment="1">
      <alignment horizontal="center"/>
    </xf>
    <xf numFmtId="0" fontId="26" fillId="4" borderId="2" xfId="2" applyFont="1" applyFill="1" applyBorder="1" applyAlignment="1">
      <alignment vertical="center"/>
    </xf>
    <xf numFmtId="0" fontId="20" fillId="4" borderId="7" xfId="2" applyFill="1" applyBorder="1" applyAlignment="1">
      <alignment horizontal="left" vertical="center"/>
    </xf>
    <xf numFmtId="0" fontId="20" fillId="2" borderId="63" xfId="2" applyFill="1" applyBorder="1" applyAlignment="1">
      <alignment vertical="center"/>
    </xf>
    <xf numFmtId="0" fontId="26" fillId="2" borderId="17" xfId="2" applyFont="1" applyFill="1" applyBorder="1" applyAlignment="1">
      <alignment horizontal="center"/>
    </xf>
    <xf numFmtId="0" fontId="27" fillId="4" borderId="17" xfId="2" applyFont="1" applyFill="1" applyBorder="1" applyAlignment="1">
      <alignment horizontal="center"/>
    </xf>
    <xf numFmtId="0" fontId="26" fillId="2" borderId="62" xfId="2" applyFont="1" applyFill="1" applyBorder="1" applyAlignment="1">
      <alignment vertical="center" wrapText="1"/>
    </xf>
    <xf numFmtId="0" fontId="20" fillId="2" borderId="63" xfId="2" applyFill="1" applyBorder="1" applyAlignment="1">
      <alignment vertical="center" wrapText="1"/>
    </xf>
    <xf numFmtId="0" fontId="20" fillId="2" borderId="64" xfId="2" applyFill="1" applyBorder="1" applyAlignment="1">
      <alignment vertical="center" wrapText="1"/>
    </xf>
    <xf numFmtId="0" fontId="26" fillId="2" borderId="84" xfId="2" applyFont="1" applyFill="1" applyBorder="1" applyAlignment="1">
      <alignment vertical="center" wrapText="1"/>
    </xf>
    <xf numFmtId="0" fontId="20" fillId="2" borderId="68" xfId="2" applyFill="1" applyBorder="1" applyAlignment="1">
      <alignment vertical="center" wrapText="1"/>
    </xf>
    <xf numFmtId="0" fontId="20" fillId="2" borderId="120" xfId="2" applyFill="1" applyBorder="1" applyAlignment="1">
      <alignment vertical="center" wrapText="1"/>
    </xf>
    <xf numFmtId="0" fontId="26" fillId="2" borderId="84" xfId="2" applyFont="1" applyFill="1" applyBorder="1" applyAlignment="1">
      <alignment vertical="center"/>
    </xf>
    <xf numFmtId="0" fontId="20" fillId="2" borderId="68" xfId="2" applyFill="1" applyBorder="1" applyAlignment="1">
      <alignment vertical="center"/>
    </xf>
    <xf numFmtId="0" fontId="20" fillId="2" borderId="120" xfId="2" applyFill="1" applyBorder="1" applyAlignment="1">
      <alignment vertical="center"/>
    </xf>
    <xf numFmtId="0" fontId="26" fillId="4" borderId="84" xfId="2" applyFont="1" applyFill="1" applyBorder="1" applyAlignment="1">
      <alignment vertical="center" wrapText="1"/>
    </xf>
    <xf numFmtId="0" fontId="20" fillId="4" borderId="68" xfId="2" applyFill="1" applyBorder="1" applyAlignment="1">
      <alignment vertical="center" wrapText="1"/>
    </xf>
    <xf numFmtId="0" fontId="20" fillId="4" borderId="120" xfId="2" applyFill="1" applyBorder="1" applyAlignment="1">
      <alignment vertical="center" wrapText="1"/>
    </xf>
    <xf numFmtId="0" fontId="27" fillId="4" borderId="63" xfId="2" applyFont="1" applyFill="1" applyBorder="1" applyAlignment="1">
      <alignment vertical="center"/>
    </xf>
    <xf numFmtId="0" fontId="27" fillId="4" borderId="64" xfId="2" applyFont="1" applyFill="1" applyBorder="1" applyAlignment="1">
      <alignment vertical="center"/>
    </xf>
    <xf numFmtId="0" fontId="26" fillId="4" borderId="62" xfId="2" applyFont="1" applyFill="1" applyBorder="1" applyAlignment="1">
      <alignment vertical="center" wrapText="1"/>
    </xf>
    <xf numFmtId="0" fontId="20" fillId="4" borderId="63" xfId="2" applyFill="1" applyBorder="1" applyAlignment="1">
      <alignment vertical="center"/>
    </xf>
    <xf numFmtId="0" fontId="20" fillId="4" borderId="64" xfId="2" applyFill="1" applyBorder="1" applyAlignment="1">
      <alignment vertical="center"/>
    </xf>
    <xf numFmtId="0" fontId="20" fillId="2" borderId="2" xfId="2" applyFill="1" applyBorder="1"/>
    <xf numFmtId="0" fontId="26" fillId="2" borderId="75" xfId="2" applyFont="1" applyFill="1" applyBorder="1" applyAlignment="1">
      <alignment vertical="center" wrapText="1"/>
    </xf>
    <xf numFmtId="0" fontId="20" fillId="2" borderId="135" xfId="2" applyFill="1" applyBorder="1" applyAlignment="1">
      <alignment vertical="center" wrapText="1"/>
    </xf>
    <xf numFmtId="0" fontId="20" fillId="2" borderId="134" xfId="2" applyFill="1" applyBorder="1" applyAlignment="1">
      <alignment vertical="center" wrapText="1"/>
    </xf>
    <xf numFmtId="0" fontId="2" fillId="2" borderId="0" xfId="2" applyFont="1" applyFill="1" applyAlignment="1">
      <alignment vertical="top"/>
    </xf>
    <xf numFmtId="0" fontId="20" fillId="2" borderId="0" xfId="2" applyFill="1" applyAlignment="1">
      <alignment vertical="top"/>
    </xf>
    <xf numFmtId="0" fontId="20" fillId="2" borderId="4" xfId="2" applyFill="1" applyBorder="1" applyAlignment="1">
      <alignment vertical="top"/>
    </xf>
    <xf numFmtId="0" fontId="26" fillId="2" borderId="21" xfId="2" applyFont="1" applyFill="1" applyBorder="1" applyAlignment="1">
      <alignment horizontal="center" vertical="center"/>
    </xf>
    <xf numFmtId="0" fontId="27" fillId="4" borderId="136" xfId="2" applyFont="1" applyFill="1" applyBorder="1" applyAlignment="1">
      <alignment vertical="center"/>
    </xf>
    <xf numFmtId="0" fontId="26" fillId="2" borderId="129" xfId="2" applyFont="1" applyFill="1" applyBorder="1" applyAlignment="1">
      <alignment horizontal="left" vertical="center"/>
    </xf>
    <xf numFmtId="0" fontId="27" fillId="2" borderId="17" xfId="2" applyFont="1" applyFill="1" applyBorder="1" applyAlignment="1">
      <alignment horizontal="left" vertical="center"/>
    </xf>
    <xf numFmtId="0" fontId="27" fillId="2" borderId="128" xfId="2" applyFont="1" applyFill="1" applyBorder="1" applyAlignment="1">
      <alignment horizontal="left" vertical="center"/>
    </xf>
    <xf numFmtId="0" fontId="27" fillId="2" borderId="65" xfId="2" applyFont="1" applyFill="1" applyBorder="1" applyAlignment="1">
      <alignment horizontal="left" vertical="center"/>
    </xf>
    <xf numFmtId="0" fontId="27" fillId="2" borderId="66" xfId="2" applyFont="1" applyFill="1" applyBorder="1" applyAlignment="1">
      <alignment horizontal="left" vertical="center"/>
    </xf>
    <xf numFmtId="0" fontId="27" fillId="2" borderId="67" xfId="2" applyFont="1" applyFill="1" applyBorder="1" applyAlignment="1">
      <alignment horizontal="left" vertical="center"/>
    </xf>
    <xf numFmtId="0" fontId="26" fillId="2" borderId="75" xfId="2" applyFont="1" applyFill="1" applyBorder="1" applyAlignment="1">
      <alignment horizontal="center"/>
    </xf>
    <xf numFmtId="0" fontId="27" fillId="4" borderId="76" xfId="2" applyFont="1" applyFill="1" applyBorder="1" applyAlignment="1">
      <alignment horizontal="center"/>
    </xf>
    <xf numFmtId="0" fontId="23" fillId="2" borderId="112" xfId="2" applyFont="1" applyFill="1" applyBorder="1" applyAlignment="1">
      <alignment horizontal="center" vertical="center"/>
    </xf>
    <xf numFmtId="0" fontId="20" fillId="4" borderId="9" xfId="2" applyFill="1" applyBorder="1" applyAlignment="1">
      <alignment vertical="center"/>
    </xf>
    <xf numFmtId="0" fontId="20" fillId="4" borderId="13" xfId="2" applyFill="1" applyBorder="1" applyAlignment="1">
      <alignment vertical="center"/>
    </xf>
    <xf numFmtId="0" fontId="26" fillId="2" borderId="62" xfId="2" applyFont="1" applyFill="1" applyBorder="1"/>
    <xf numFmtId="0" fontId="20" fillId="2" borderId="63" xfId="2" applyFill="1" applyBorder="1"/>
    <xf numFmtId="0" fontId="20" fillId="2" borderId="64" xfId="2" applyFill="1" applyBorder="1"/>
    <xf numFmtId="3" fontId="20" fillId="2" borderId="108" xfId="2" applyNumberFormat="1" applyFill="1" applyBorder="1" applyAlignment="1">
      <alignment horizontal="center" vertical="center"/>
    </xf>
    <xf numFmtId="3" fontId="20" fillId="4" borderId="133" xfId="2" applyNumberFormat="1" applyFill="1" applyBorder="1" applyAlignment="1">
      <alignment vertical="center"/>
    </xf>
    <xf numFmtId="3" fontId="20" fillId="4" borderId="99" xfId="2" applyNumberFormat="1" applyFill="1" applyBorder="1" applyAlignment="1">
      <alignment vertical="center"/>
    </xf>
    <xf numFmtId="0" fontId="20" fillId="2" borderId="125" xfId="2" applyFill="1" applyBorder="1"/>
    <xf numFmtId="0" fontId="20" fillId="2" borderId="10" xfId="2" applyFill="1" applyBorder="1"/>
    <xf numFmtId="0" fontId="20" fillId="2" borderId="14" xfId="2" applyFill="1" applyBorder="1"/>
    <xf numFmtId="0" fontId="20" fillId="2" borderId="62" xfId="2" applyFill="1" applyBorder="1" applyAlignment="1">
      <alignment vertical="center"/>
    </xf>
    <xf numFmtId="0" fontId="11" fillId="4" borderId="63" xfId="2" applyFont="1" applyFill="1" applyBorder="1" applyAlignment="1">
      <alignment vertical="center"/>
    </xf>
    <xf numFmtId="0" fontId="11" fillId="4" borderId="64" xfId="2" applyFont="1" applyFill="1" applyBorder="1" applyAlignment="1">
      <alignment vertical="center"/>
    </xf>
    <xf numFmtId="0" fontId="20" fillId="4" borderId="62" xfId="2" applyFill="1" applyBorder="1" applyAlignment="1">
      <alignment vertical="center"/>
    </xf>
    <xf numFmtId="0" fontId="26" fillId="2" borderId="85" xfId="2" applyFont="1" applyFill="1" applyBorder="1" applyAlignment="1">
      <alignment vertical="center"/>
    </xf>
    <xf numFmtId="0" fontId="20" fillId="4" borderId="94" xfId="2" applyFill="1" applyBorder="1" applyAlignment="1">
      <alignment vertical="center"/>
    </xf>
    <xf numFmtId="0" fontId="20" fillId="4" borderId="131" xfId="2" applyFill="1" applyBorder="1" applyAlignment="1">
      <alignment vertical="center"/>
    </xf>
    <xf numFmtId="0" fontId="26" fillId="2" borderId="2" xfId="2" applyFont="1" applyFill="1" applyBorder="1" applyAlignment="1">
      <alignment vertical="center"/>
    </xf>
    <xf numFmtId="0" fontId="26" fillId="2" borderId="129" xfId="2" applyFont="1" applyFill="1" applyBorder="1" applyAlignment="1">
      <alignment vertical="center" wrapText="1"/>
    </xf>
    <xf numFmtId="0" fontId="20" fillId="2" borderId="17" xfId="2" applyFill="1" applyBorder="1" applyAlignment="1">
      <alignment vertical="center" wrapText="1"/>
    </xf>
    <xf numFmtId="0" fontId="20" fillId="2" borderId="128" xfId="2" applyFill="1" applyBorder="1" applyAlignment="1">
      <alignment vertical="center" wrapText="1"/>
    </xf>
    <xf numFmtId="0" fontId="26" fillId="2" borderId="17" xfId="2" applyFont="1" applyFill="1" applyBorder="1" applyAlignment="1">
      <alignment horizontal="center" vertical="center"/>
    </xf>
    <xf numFmtId="0" fontId="27" fillId="4" borderId="17" xfId="2" applyFont="1" applyFill="1" applyBorder="1" applyAlignment="1">
      <alignment vertical="center"/>
    </xf>
    <xf numFmtId="0" fontId="26" fillId="2" borderId="120" xfId="2" applyFont="1" applyFill="1" applyBorder="1" applyAlignment="1">
      <alignment vertical="center" wrapText="1"/>
    </xf>
    <xf numFmtId="0" fontId="26" fillId="2" borderId="120" xfId="2" applyFont="1" applyFill="1" applyBorder="1" applyAlignment="1">
      <alignment vertical="center"/>
    </xf>
    <xf numFmtId="2" fontId="26" fillId="2" borderId="84" xfId="2" applyNumberFormat="1" applyFont="1" applyFill="1" applyBorder="1" applyAlignment="1">
      <alignment vertical="center" wrapText="1"/>
    </xf>
    <xf numFmtId="2" fontId="26" fillId="2" borderId="120" xfId="2" applyNumberFormat="1" applyFont="1" applyFill="1" applyBorder="1" applyAlignment="1">
      <alignment vertical="center" wrapText="1"/>
    </xf>
    <xf numFmtId="0" fontId="20" fillId="2" borderId="131" xfId="2" applyFill="1" applyBorder="1" applyAlignment="1">
      <alignment vertical="center"/>
    </xf>
    <xf numFmtId="0" fontId="37" fillId="2" borderId="17" xfId="2" applyFont="1" applyFill="1" applyBorder="1" applyAlignment="1">
      <alignment vertical="center" wrapText="1"/>
    </xf>
    <xf numFmtId="0" fontId="20" fillId="4" borderId="17" xfId="2" applyFill="1" applyBorder="1" applyAlignment="1">
      <alignment vertical="center" wrapText="1"/>
    </xf>
    <xf numFmtId="0" fontId="20" fillId="4" borderId="4" xfId="2" applyFill="1" applyBorder="1" applyAlignment="1">
      <alignment vertical="center" wrapText="1"/>
    </xf>
    <xf numFmtId="0" fontId="26" fillId="2" borderId="138" xfId="2" applyFont="1" applyFill="1" applyBorder="1" applyAlignment="1">
      <alignment horizontal="left" vertical="center" wrapText="1"/>
    </xf>
    <xf numFmtId="0" fontId="20" fillId="2" borderId="137" xfId="2" applyFill="1" applyBorder="1" applyAlignment="1">
      <alignment horizontal="left" vertical="center" wrapText="1"/>
    </xf>
    <xf numFmtId="0" fontId="20" fillId="2" borderId="84" xfId="2" applyFill="1" applyBorder="1" applyAlignment="1">
      <alignment horizontal="left" vertical="center"/>
    </xf>
    <xf numFmtId="0" fontId="20" fillId="2" borderId="120" xfId="2" applyFill="1" applyBorder="1" applyAlignment="1">
      <alignment horizontal="left" vertical="center"/>
    </xf>
    <xf numFmtId="0" fontId="2" fillId="2" borderId="17" xfId="2" applyFont="1" applyFill="1" applyBorder="1" applyAlignment="1">
      <alignment vertical="center"/>
    </xf>
    <xf numFmtId="0" fontId="37" fillId="2" borderId="0" xfId="2" applyFont="1" applyFill="1" applyAlignment="1">
      <alignment vertical="center" wrapText="1"/>
    </xf>
    <xf numFmtId="0" fontId="20" fillId="4" borderId="0" xfId="2" applyFill="1" applyAlignment="1">
      <alignment vertical="center" wrapText="1"/>
    </xf>
    <xf numFmtId="0" fontId="38" fillId="2" borderId="21" xfId="2" applyFont="1" applyFill="1" applyBorder="1" applyAlignment="1">
      <alignment horizontal="center" vertical="center"/>
    </xf>
    <xf numFmtId="0" fontId="39" fillId="2" borderId="136" xfId="2" applyFont="1" applyFill="1" applyBorder="1" applyAlignment="1">
      <alignment vertical="center"/>
    </xf>
    <xf numFmtId="0" fontId="38" fillId="2" borderId="129" xfId="2" applyFont="1" applyFill="1" applyBorder="1" applyAlignment="1">
      <alignment horizontal="left" vertical="center"/>
    </xf>
    <xf numFmtId="0" fontId="39" fillId="4" borderId="128" xfId="2" applyFont="1" applyFill="1" applyBorder="1" applyAlignment="1">
      <alignment horizontal="left" vertical="center"/>
    </xf>
    <xf numFmtId="0" fontId="39" fillId="2" borderId="65" xfId="2" applyFont="1" applyFill="1" applyBorder="1" applyAlignment="1">
      <alignment horizontal="left" vertical="center"/>
    </xf>
    <xf numFmtId="0" fontId="39" fillId="2" borderId="67" xfId="2" applyFont="1" applyFill="1" applyBorder="1" applyAlignment="1">
      <alignment horizontal="left" vertical="center"/>
    </xf>
    <xf numFmtId="0" fontId="38" fillId="2" borderId="75" xfId="2" applyFont="1" applyFill="1" applyBorder="1" applyAlignment="1">
      <alignment horizontal="center" vertical="center"/>
    </xf>
    <xf numFmtId="0" fontId="39" fillId="4" borderId="76" xfId="2" applyFont="1" applyFill="1" applyBorder="1" applyAlignment="1">
      <alignment horizontal="center" vertical="center"/>
    </xf>
    <xf numFmtId="0" fontId="0" fillId="2" borderId="84" xfId="2" applyFont="1" applyFill="1" applyBorder="1" applyAlignment="1">
      <alignment horizontal="left" vertical="center"/>
    </xf>
    <xf numFmtId="0" fontId="32" fillId="2" borderId="0" xfId="2" applyFont="1" applyFill="1" applyAlignment="1">
      <alignment horizontal="right" vertical="center"/>
    </xf>
    <xf numFmtId="0" fontId="23" fillId="2" borderId="0" xfId="2" applyFont="1" applyFill="1" applyAlignment="1">
      <alignment horizontal="left" vertical="center" wrapText="1"/>
    </xf>
    <xf numFmtId="0" fontId="20" fillId="2" borderId="122" xfId="2" applyFill="1" applyBorder="1" applyAlignment="1">
      <alignment vertical="center"/>
    </xf>
    <xf numFmtId="0" fontId="2" fillId="2" borderId="0" xfId="2" applyFont="1" applyFill="1" applyAlignment="1">
      <alignment vertical="center" wrapText="1"/>
    </xf>
    <xf numFmtId="3" fontId="26" fillId="2" borderId="129" xfId="2" applyNumberFormat="1" applyFont="1" applyFill="1" applyBorder="1" applyAlignment="1">
      <alignment vertical="center" wrapText="1" shrinkToFit="1"/>
    </xf>
    <xf numFmtId="3" fontId="20" fillId="2" borderId="17" xfId="2" applyNumberFormat="1" applyFill="1" applyBorder="1" applyAlignment="1">
      <alignment vertical="center" wrapText="1" shrinkToFit="1"/>
    </xf>
    <xf numFmtId="3" fontId="20" fillId="2" borderId="128" xfId="2" applyNumberFormat="1" applyFill="1" applyBorder="1" applyAlignment="1">
      <alignment vertical="center" wrapText="1" shrinkToFit="1"/>
    </xf>
    <xf numFmtId="3" fontId="37" fillId="2" borderId="2" xfId="2" applyNumberFormat="1" applyFont="1" applyFill="1" applyBorder="1" applyAlignment="1">
      <alignment vertical="center"/>
    </xf>
    <xf numFmtId="3" fontId="20" fillId="2" borderId="2" xfId="2" applyNumberFormat="1" applyFill="1" applyBorder="1" applyAlignment="1">
      <alignment vertical="center"/>
    </xf>
    <xf numFmtId="3" fontId="26" fillId="2" borderId="62" xfId="2" applyNumberFormat="1" applyFont="1" applyFill="1" applyBorder="1" applyAlignment="1">
      <alignment vertical="center" wrapText="1"/>
    </xf>
    <xf numFmtId="3" fontId="20" fillId="2" borderId="63" xfId="2" applyNumberFormat="1" applyFill="1" applyBorder="1" applyAlignment="1">
      <alignment vertical="center" wrapText="1"/>
    </xf>
    <xf numFmtId="3" fontId="20" fillId="2" borderId="64" xfId="2" applyNumberFormat="1" applyFill="1" applyBorder="1" applyAlignment="1">
      <alignment vertical="center" wrapText="1"/>
    </xf>
    <xf numFmtId="3" fontId="26" fillId="2" borderId="84" xfId="2" applyNumberFormat="1" applyFont="1" applyFill="1" applyBorder="1" applyAlignment="1">
      <alignment vertical="center" wrapText="1" shrinkToFit="1"/>
    </xf>
    <xf numFmtId="3" fontId="20" fillId="2" borderId="68" xfId="2" applyNumberFormat="1" applyFill="1" applyBorder="1" applyAlignment="1">
      <alignment vertical="center" wrapText="1" shrinkToFit="1"/>
    </xf>
    <xf numFmtId="3" fontId="20" fillId="2" borderId="120" xfId="2" applyNumberFormat="1" applyFill="1" applyBorder="1" applyAlignment="1">
      <alignment vertical="center" wrapText="1" shrinkToFit="1"/>
    </xf>
    <xf numFmtId="3" fontId="26" fillId="2" borderId="85" xfId="2" applyNumberFormat="1" applyFont="1" applyFill="1" applyBorder="1" applyAlignment="1">
      <alignment vertical="center" wrapText="1"/>
    </xf>
    <xf numFmtId="3" fontId="20" fillId="2" borderId="94" xfId="2" applyNumberFormat="1" applyFill="1" applyBorder="1" applyAlignment="1">
      <alignment vertical="center" wrapText="1"/>
    </xf>
    <xf numFmtId="3" fontId="20" fillId="2" borderId="131" xfId="2" applyNumberFormat="1" applyFill="1" applyBorder="1" applyAlignment="1">
      <alignment vertical="center" wrapText="1"/>
    </xf>
    <xf numFmtId="3" fontId="26" fillId="2" borderId="84" xfId="2" applyNumberFormat="1" applyFont="1" applyFill="1" applyBorder="1" applyAlignment="1">
      <alignment vertical="center" wrapText="1"/>
    </xf>
    <xf numFmtId="3" fontId="20" fillId="2" borderId="68" xfId="2" applyNumberFormat="1" applyFill="1" applyBorder="1" applyAlignment="1">
      <alignment vertical="center" wrapText="1"/>
    </xf>
    <xf numFmtId="3" fontId="20" fillId="2" borderId="120" xfId="2" applyNumberFormat="1" applyFill="1" applyBorder="1" applyAlignment="1">
      <alignment vertical="center" wrapText="1"/>
    </xf>
    <xf numFmtId="3" fontId="26" fillId="2" borderId="62" xfId="2" applyNumberFormat="1" applyFont="1" applyFill="1" applyBorder="1" applyAlignment="1">
      <alignment vertical="center" wrapText="1" shrinkToFit="1"/>
    </xf>
    <xf numFmtId="3" fontId="20" fillId="2" borderId="63" xfId="2" applyNumberFormat="1" applyFill="1" applyBorder="1" applyAlignment="1">
      <alignment vertical="center" wrapText="1" shrinkToFit="1"/>
    </xf>
    <xf numFmtId="3" fontId="20" fillId="2" borderId="64" xfId="2" applyNumberFormat="1" applyFill="1" applyBorder="1" applyAlignment="1">
      <alignment vertical="center" wrapText="1" shrinkToFit="1"/>
    </xf>
    <xf numFmtId="3" fontId="27" fillId="4" borderId="61" xfId="2" applyNumberFormat="1" applyFont="1" applyFill="1" applyBorder="1" applyAlignment="1">
      <alignment vertical="center" wrapText="1"/>
    </xf>
    <xf numFmtId="3" fontId="27" fillId="4" borderId="130" xfId="2" applyNumberFormat="1" applyFont="1" applyFill="1" applyBorder="1" applyAlignment="1">
      <alignment vertical="center" wrapText="1"/>
    </xf>
    <xf numFmtId="3" fontId="26" fillId="2" borderId="129" xfId="2" applyNumberFormat="1" applyFont="1" applyFill="1" applyBorder="1" applyAlignment="1">
      <alignment vertical="center" wrapText="1"/>
    </xf>
    <xf numFmtId="3" fontId="20" fillId="2" borderId="17" xfId="2" applyNumberFormat="1" applyFill="1" applyBorder="1" applyAlignment="1">
      <alignment vertical="center" wrapText="1"/>
    </xf>
    <xf numFmtId="3" fontId="20" fillId="2" borderId="128" xfId="2" applyNumberFormat="1" applyFill="1" applyBorder="1" applyAlignment="1">
      <alignment vertical="center" wrapText="1"/>
    </xf>
    <xf numFmtId="3" fontId="26" fillId="2" borderId="68" xfId="2" applyNumberFormat="1" applyFont="1" applyFill="1" applyBorder="1" applyAlignment="1">
      <alignment vertical="center" wrapText="1"/>
    </xf>
    <xf numFmtId="3" fontId="26" fillId="2" borderId="120" xfId="2" applyNumberFormat="1" applyFont="1" applyFill="1" applyBorder="1" applyAlignment="1">
      <alignment vertical="center" wrapText="1"/>
    </xf>
    <xf numFmtId="0" fontId="37" fillId="2" borderId="4" xfId="2" applyFont="1" applyFill="1" applyBorder="1" applyAlignment="1">
      <alignment vertical="center" wrapText="1"/>
    </xf>
    <xf numFmtId="0" fontId="20" fillId="2" borderId="4" xfId="2" applyFill="1" applyBorder="1" applyAlignment="1">
      <alignment vertical="center" wrapText="1"/>
    </xf>
    <xf numFmtId="0" fontId="39" fillId="4" borderId="136" xfId="2" applyFont="1" applyFill="1" applyBorder="1" applyAlignment="1">
      <alignment vertical="center"/>
    </xf>
    <xf numFmtId="0" fontId="39" fillId="4" borderId="17" xfId="2" applyFont="1" applyFill="1" applyBorder="1" applyAlignment="1">
      <alignment horizontal="left" vertical="center"/>
    </xf>
    <xf numFmtId="0" fontId="39" fillId="4" borderId="65" xfId="2" applyFont="1" applyFill="1" applyBorder="1" applyAlignment="1">
      <alignment horizontal="left" vertical="center"/>
    </xf>
    <xf numFmtId="0" fontId="39" fillId="4" borderId="66" xfId="2" applyFont="1" applyFill="1" applyBorder="1" applyAlignment="1">
      <alignment horizontal="left" vertical="center"/>
    </xf>
    <xf numFmtId="0" fontId="39" fillId="4" borderId="67" xfId="2" applyFont="1" applyFill="1" applyBorder="1" applyAlignment="1">
      <alignment horizontal="left" vertical="center"/>
    </xf>
    <xf numFmtId="0" fontId="20" fillId="2" borderId="76" xfId="2" applyFill="1" applyBorder="1" applyAlignment="1">
      <alignment horizontal="center" vertical="center"/>
    </xf>
    <xf numFmtId="3" fontId="20" fillId="2" borderId="84" xfId="2" applyNumberFormat="1" applyFill="1" applyBorder="1" applyAlignment="1" applyProtection="1">
      <alignment horizontal="center" vertical="center"/>
      <protection locked="0"/>
    </xf>
    <xf numFmtId="3" fontId="20" fillId="2" borderId="120" xfId="2" applyNumberFormat="1" applyFill="1" applyBorder="1" applyAlignment="1" applyProtection="1">
      <alignment horizontal="center" vertical="center"/>
      <protection locked="0"/>
    </xf>
    <xf numFmtId="0" fontId="26" fillId="2" borderId="84" xfId="2" applyFont="1" applyFill="1" applyBorder="1" applyAlignment="1">
      <alignment horizontal="center" vertical="center"/>
    </xf>
    <xf numFmtId="0" fontId="26" fillId="2" borderId="120" xfId="2" applyFont="1" applyFill="1" applyBorder="1" applyAlignment="1">
      <alignment horizontal="center" vertical="center"/>
    </xf>
    <xf numFmtId="165" fontId="20" fillId="4" borderId="85" xfId="2" applyNumberFormat="1" applyFill="1" applyBorder="1" applyAlignment="1">
      <alignment horizontal="left" vertical="center"/>
    </xf>
    <xf numFmtId="165" fontId="20" fillId="4" borderId="94" xfId="2" applyNumberFormat="1" applyFill="1" applyBorder="1" applyAlignment="1">
      <alignment horizontal="left" vertical="center"/>
    </xf>
    <xf numFmtId="165" fontId="20" fillId="4" borderId="131" xfId="2" applyNumberFormat="1" applyFill="1" applyBorder="1" applyAlignment="1">
      <alignment horizontal="left" vertical="center"/>
    </xf>
    <xf numFmtId="0" fontId="20" fillId="2" borderId="85" xfId="2" applyFill="1" applyBorder="1" applyAlignment="1">
      <alignment horizontal="left" vertical="center"/>
    </xf>
    <xf numFmtId="0" fontId="20" fillId="2" borderId="94" xfId="2" applyFill="1" applyBorder="1" applyAlignment="1">
      <alignment horizontal="left" vertical="center"/>
    </xf>
    <xf numFmtId="0" fontId="20" fillId="2" borderId="131" xfId="2" applyFill="1" applyBorder="1" applyAlignment="1">
      <alignment horizontal="left" vertical="center"/>
    </xf>
    <xf numFmtId="3" fontId="26" fillId="2" borderId="75" xfId="2" applyNumberFormat="1" applyFont="1" applyFill="1" applyBorder="1" applyAlignment="1">
      <alignment horizontal="left" vertical="center" wrapText="1"/>
    </xf>
    <xf numFmtId="3" fontId="26" fillId="2" borderId="135" xfId="2" applyNumberFormat="1" applyFont="1" applyFill="1" applyBorder="1" applyAlignment="1">
      <alignment horizontal="left" vertical="center" wrapText="1"/>
    </xf>
    <xf numFmtId="3" fontId="26" fillId="2" borderId="134" xfId="2" applyNumberFormat="1" applyFont="1" applyFill="1" applyBorder="1" applyAlignment="1">
      <alignment horizontal="left" vertical="center" wrapText="1"/>
    </xf>
    <xf numFmtId="3" fontId="26" fillId="2" borderId="85" xfId="2" applyNumberFormat="1" applyFont="1" applyFill="1" applyBorder="1" applyAlignment="1">
      <alignment horizontal="left" vertical="center" wrapText="1"/>
    </xf>
    <xf numFmtId="3" fontId="26" fillId="2" borderId="94" xfId="2" applyNumberFormat="1" applyFont="1" applyFill="1" applyBorder="1" applyAlignment="1">
      <alignment horizontal="left" vertical="center" wrapText="1"/>
    </xf>
    <xf numFmtId="3" fontId="26" fillId="2" borderId="131" xfId="2" applyNumberFormat="1" applyFont="1" applyFill="1" applyBorder="1" applyAlignment="1">
      <alignment horizontal="left" vertical="center" wrapText="1"/>
    </xf>
    <xf numFmtId="0" fontId="26" fillId="2" borderId="75" xfId="2" applyFont="1" applyFill="1" applyBorder="1" applyAlignment="1">
      <alignment horizontal="left" vertical="center" wrapText="1"/>
    </xf>
    <xf numFmtId="0" fontId="26" fillId="2" borderId="135" xfId="2" applyFont="1" applyFill="1" applyBorder="1" applyAlignment="1">
      <alignment horizontal="left" vertical="center" wrapText="1"/>
    </xf>
    <xf numFmtId="0" fontId="26" fillId="2" borderId="134" xfId="2" applyFont="1" applyFill="1" applyBorder="1" applyAlignment="1">
      <alignment horizontal="left" vertical="center" wrapText="1"/>
    </xf>
    <xf numFmtId="0" fontId="26" fillId="2" borderId="84" xfId="2" applyFont="1" applyFill="1" applyBorder="1" applyAlignment="1">
      <alignment horizontal="left" vertical="center" wrapText="1"/>
    </xf>
    <xf numFmtId="0" fontId="26" fillId="2" borderId="68" xfId="2" applyFont="1" applyFill="1" applyBorder="1" applyAlignment="1">
      <alignment horizontal="left" vertical="center" wrapText="1"/>
    </xf>
    <xf numFmtId="0" fontId="26" fillId="2" borderId="120" xfId="2" applyFont="1" applyFill="1" applyBorder="1" applyAlignment="1">
      <alignment horizontal="left" vertical="center" wrapText="1"/>
    </xf>
    <xf numFmtId="0" fontId="26" fillId="2" borderId="85" xfId="2" applyFont="1" applyFill="1" applyBorder="1" applyAlignment="1">
      <alignment horizontal="left" vertical="center" wrapText="1"/>
    </xf>
    <xf numFmtId="0" fontId="26" fillId="2" borderId="94" xfId="2" applyFont="1" applyFill="1" applyBorder="1" applyAlignment="1">
      <alignment horizontal="left" vertical="center" wrapText="1"/>
    </xf>
    <xf numFmtId="0" fontId="26" fillId="2" borderId="131" xfId="2" applyFont="1" applyFill="1" applyBorder="1" applyAlignment="1">
      <alignment horizontal="left" vertical="center" wrapText="1"/>
    </xf>
    <xf numFmtId="0" fontId="26" fillId="2" borderId="84" xfId="2" applyFont="1" applyFill="1" applyBorder="1" applyAlignment="1">
      <alignment horizontal="center" vertical="center" wrapText="1"/>
    </xf>
    <xf numFmtId="0" fontId="26" fillId="2" borderId="120" xfId="2" applyFont="1" applyFill="1" applyBorder="1" applyAlignment="1">
      <alignment horizontal="center" vertical="center" wrapText="1"/>
    </xf>
    <xf numFmtId="3" fontId="20" fillId="2" borderId="84" xfId="2" applyNumberFormat="1" applyFill="1" applyBorder="1" applyAlignment="1">
      <alignment horizontal="center" vertical="center"/>
    </xf>
    <xf numFmtId="3" fontId="20" fillId="2" borderId="120" xfId="2" applyNumberFormat="1" applyFill="1" applyBorder="1" applyAlignment="1">
      <alignment horizontal="center" vertical="center"/>
    </xf>
    <xf numFmtId="3" fontId="20" fillId="2" borderId="85" xfId="2" applyNumberFormat="1" applyFill="1" applyBorder="1" applyAlignment="1">
      <alignment horizontal="center" vertical="center"/>
    </xf>
    <xf numFmtId="3" fontId="20" fillId="2" borderId="131" xfId="2" applyNumberFormat="1" applyFill="1" applyBorder="1" applyAlignment="1">
      <alignment horizontal="center" vertical="center"/>
    </xf>
    <xf numFmtId="0" fontId="26" fillId="2" borderId="75" xfId="2" applyFont="1" applyFill="1" applyBorder="1" applyAlignment="1">
      <alignment horizontal="center" vertical="center" wrapText="1"/>
    </xf>
    <xf numFmtId="0" fontId="26" fillId="2" borderId="135" xfId="2" applyFont="1" applyFill="1" applyBorder="1" applyAlignment="1">
      <alignment horizontal="center" vertical="center" wrapText="1"/>
    </xf>
    <xf numFmtId="0" fontId="26" fillId="2" borderId="76" xfId="2" applyFont="1" applyFill="1" applyBorder="1" applyAlignment="1">
      <alignment horizontal="center" vertical="center" wrapText="1"/>
    </xf>
    <xf numFmtId="0" fontId="20" fillId="4" borderId="120" xfId="2" applyFill="1" applyBorder="1" applyAlignment="1">
      <alignment horizontal="center" vertical="center"/>
    </xf>
    <xf numFmtId="0" fontId="20" fillId="4" borderId="94" xfId="2" applyFill="1" applyBorder="1" applyAlignment="1">
      <alignment horizontal="left" vertical="center"/>
    </xf>
    <xf numFmtId="0" fontId="37" fillId="2" borderId="4" xfId="2" applyFont="1" applyFill="1" applyBorder="1" applyAlignment="1">
      <alignment vertical="center"/>
    </xf>
    <xf numFmtId="0" fontId="27" fillId="2" borderId="9" xfId="2" applyFont="1" applyFill="1" applyBorder="1" applyAlignment="1">
      <alignment vertical="center"/>
    </xf>
    <xf numFmtId="0" fontId="26" fillId="2" borderId="129" xfId="2" applyFont="1" applyFill="1" applyBorder="1" applyAlignment="1">
      <alignment horizontal="center" vertical="center" wrapText="1"/>
    </xf>
    <xf numFmtId="0" fontId="20" fillId="2" borderId="128" xfId="2" applyFill="1" applyBorder="1" applyAlignment="1">
      <alignment horizontal="center" vertical="center" wrapText="1"/>
    </xf>
    <xf numFmtId="0" fontId="20" fillId="2" borderId="122" xfId="2" applyFill="1" applyBorder="1" applyAlignment="1">
      <alignment horizontal="center" vertical="center" wrapText="1"/>
    </xf>
    <xf numFmtId="0" fontId="20" fillId="2" borderId="119" xfId="2" applyFill="1" applyBorder="1" applyAlignment="1">
      <alignment horizontal="center" vertical="center" wrapText="1"/>
    </xf>
    <xf numFmtId="0" fontId="26" fillId="2" borderId="128" xfId="2" applyFont="1" applyFill="1" applyBorder="1" applyAlignment="1">
      <alignment horizontal="center" vertical="center" wrapText="1"/>
    </xf>
    <xf numFmtId="0" fontId="26" fillId="2" borderId="65" xfId="2" applyFont="1" applyFill="1" applyBorder="1" applyAlignment="1">
      <alignment horizontal="center" vertical="center" wrapText="1"/>
    </xf>
    <xf numFmtId="0" fontId="26" fillId="2" borderId="67" xfId="2" applyFont="1" applyFill="1" applyBorder="1" applyAlignment="1">
      <alignment horizontal="center" vertical="center" wrapText="1"/>
    </xf>
    <xf numFmtId="0" fontId="10" fillId="2" borderId="17" xfId="2" applyFont="1" applyFill="1" applyBorder="1" applyAlignment="1">
      <alignment vertical="center"/>
    </xf>
    <xf numFmtId="0" fontId="37" fillId="2" borderId="0" xfId="2" applyFont="1" applyFill="1" applyAlignment="1">
      <alignment vertical="center"/>
    </xf>
    <xf numFmtId="0" fontId="10" fillId="2" borderId="0" xfId="2" applyFont="1" applyFill="1" applyAlignment="1">
      <alignment vertical="center"/>
    </xf>
    <xf numFmtId="3" fontId="37" fillId="2" borderId="4" xfId="2" applyNumberFormat="1" applyFont="1" applyFill="1" applyBorder="1" applyAlignment="1">
      <alignment vertical="center"/>
    </xf>
    <xf numFmtId="0" fontId="37" fillId="2" borderId="2" xfId="2" applyFont="1" applyFill="1" applyBorder="1" applyAlignment="1">
      <alignment vertical="center"/>
    </xf>
    <xf numFmtId="0" fontId="21" fillId="2" borderId="17" xfId="2" applyFont="1" applyFill="1" applyBorder="1" applyAlignment="1">
      <alignment vertical="center" wrapText="1"/>
    </xf>
    <xf numFmtId="0" fontId="26" fillId="2" borderId="22" xfId="2" applyFont="1" applyFill="1" applyBorder="1" applyAlignment="1">
      <alignment horizontal="center" vertical="center" wrapText="1"/>
    </xf>
    <xf numFmtId="0" fontId="26" fillId="2" borderId="156" xfId="2" applyFont="1" applyFill="1" applyBorder="1" applyAlignment="1">
      <alignment horizontal="center" vertical="center" wrapText="1"/>
    </xf>
    <xf numFmtId="0" fontId="39" fillId="2" borderId="136" xfId="2" applyFont="1" applyFill="1" applyBorder="1" applyAlignment="1">
      <alignment horizontal="center" vertical="center"/>
    </xf>
    <xf numFmtId="0" fontId="38" fillId="2" borderId="129" xfId="2" applyFont="1" applyFill="1" applyBorder="1" applyAlignment="1">
      <alignment horizontal="center" vertical="center"/>
    </xf>
    <xf numFmtId="0" fontId="39" fillId="2" borderId="65" xfId="2" applyFont="1" applyFill="1" applyBorder="1" applyAlignment="1">
      <alignment horizontal="center" vertical="center"/>
    </xf>
    <xf numFmtId="0" fontId="39" fillId="2" borderId="76" xfId="2" applyFont="1" applyFill="1" applyBorder="1" applyAlignment="1">
      <alignment horizontal="center" vertical="center"/>
    </xf>
    <xf numFmtId="0" fontId="41" fillId="2" borderId="2" xfId="2" applyFont="1" applyFill="1" applyBorder="1" applyAlignment="1">
      <alignment vertical="center"/>
    </xf>
    <xf numFmtId="0" fontId="39" fillId="2" borderId="2" xfId="2" applyFont="1" applyFill="1" applyBorder="1" applyAlignment="1">
      <alignment vertical="center"/>
    </xf>
    <xf numFmtId="0" fontId="39" fillId="2" borderId="128" xfId="2" applyFont="1" applyFill="1" applyBorder="1" applyAlignment="1">
      <alignment horizontal="left" vertical="center"/>
    </xf>
    <xf numFmtId="0" fontId="26" fillId="2" borderId="85" xfId="2" applyFont="1" applyFill="1" applyBorder="1" applyAlignment="1">
      <alignment vertical="center" wrapText="1"/>
    </xf>
    <xf numFmtId="0" fontId="27" fillId="4" borderId="131" xfId="2" applyFont="1" applyFill="1" applyBorder="1" applyAlignment="1">
      <alignment vertical="center" wrapText="1"/>
    </xf>
    <xf numFmtId="0" fontId="41" fillId="2" borderId="4" xfId="2" applyFont="1" applyFill="1" applyBorder="1" applyAlignment="1">
      <alignment vertical="center" wrapText="1"/>
    </xf>
    <xf numFmtId="0" fontId="39" fillId="2" borderId="4" xfId="2" applyFont="1" applyFill="1" applyBorder="1" applyAlignment="1">
      <alignment vertical="center" wrapText="1"/>
    </xf>
    <xf numFmtId="0" fontId="20" fillId="2" borderId="64" xfId="2" applyFill="1" applyBorder="1" applyAlignment="1">
      <alignment vertical="center"/>
    </xf>
    <xf numFmtId="0" fontId="41" fillId="2" borderId="4" xfId="2" applyFont="1" applyFill="1" applyBorder="1" applyAlignment="1">
      <alignment vertical="center"/>
    </xf>
    <xf numFmtId="0" fontId="45" fillId="4" borderId="4" xfId="2" applyFont="1" applyFill="1" applyBorder="1" applyAlignment="1">
      <alignment horizontal="right" vertical="center"/>
    </xf>
    <xf numFmtId="0" fontId="20" fillId="4" borderId="4" xfId="2" applyFill="1" applyBorder="1" applyAlignment="1">
      <alignment vertical="center"/>
    </xf>
    <xf numFmtId="0" fontId="20" fillId="2" borderId="22" xfId="2" applyFill="1" applyBorder="1" applyAlignment="1">
      <alignment vertical="center"/>
    </xf>
    <xf numFmtId="0" fontId="20" fillId="2" borderId="14" xfId="2" applyFill="1" applyBorder="1" applyAlignment="1">
      <alignment vertical="center"/>
    </xf>
    <xf numFmtId="0" fontId="27" fillId="4" borderId="17" xfId="2" applyFont="1" applyFill="1" applyBorder="1" applyAlignment="1">
      <alignment horizontal="center" vertical="center"/>
    </xf>
    <xf numFmtId="0" fontId="23" fillId="2" borderId="21" xfId="2" applyFont="1" applyFill="1" applyBorder="1" applyAlignment="1">
      <alignment horizontal="center" vertical="center"/>
    </xf>
    <xf numFmtId="0" fontId="20" fillId="4" borderId="136" xfId="2" applyFill="1" applyBorder="1" applyAlignment="1">
      <alignment horizontal="center" vertical="center"/>
    </xf>
    <xf numFmtId="0" fontId="23" fillId="2" borderId="127" xfId="2" applyFont="1" applyFill="1" applyBorder="1" applyAlignment="1">
      <alignment vertical="center"/>
    </xf>
    <xf numFmtId="0" fontId="20" fillId="4" borderId="140" xfId="2" applyFill="1" applyBorder="1" applyAlignment="1">
      <alignment vertical="center"/>
    </xf>
    <xf numFmtId="3" fontId="20" fillId="2" borderId="127" xfId="2" applyNumberFormat="1" applyFill="1" applyBorder="1" applyAlignment="1">
      <alignment horizontal="center" vertical="center"/>
    </xf>
    <xf numFmtId="3" fontId="20" fillId="4" borderId="140" xfId="2" applyNumberFormat="1" applyFill="1" applyBorder="1" applyAlignment="1">
      <alignment vertical="center"/>
    </xf>
    <xf numFmtId="0" fontId="20" fillId="2" borderId="21" xfId="2" applyFill="1" applyBorder="1" applyAlignment="1">
      <alignment horizontal="center" vertical="center"/>
    </xf>
    <xf numFmtId="0" fontId="11" fillId="2" borderId="136" xfId="2" applyFont="1" applyFill="1" applyBorder="1" applyAlignment="1">
      <alignment horizontal="center" vertical="center"/>
    </xf>
    <xf numFmtId="0" fontId="26" fillId="2" borderId="127" xfId="2" applyFont="1" applyFill="1" applyBorder="1" applyAlignment="1">
      <alignment horizontal="center" vertical="center"/>
    </xf>
    <xf numFmtId="0" fontId="27" fillId="2" borderId="140" xfId="2" applyFont="1" applyFill="1" applyBorder="1" applyAlignment="1">
      <alignment vertical="center"/>
    </xf>
    <xf numFmtId="0" fontId="26" fillId="2" borderId="75" xfId="2" applyFont="1" applyFill="1" applyBorder="1" applyAlignment="1">
      <alignment horizontal="center" vertical="center"/>
    </xf>
    <xf numFmtId="0" fontId="27" fillId="2" borderId="76" xfId="2" applyFont="1" applyFill="1" applyBorder="1" applyAlignment="1">
      <alignment horizontal="center" vertical="center"/>
    </xf>
    <xf numFmtId="0" fontId="27" fillId="2" borderId="17" xfId="2" applyFont="1" applyFill="1" applyBorder="1" applyAlignment="1">
      <alignment vertical="center"/>
    </xf>
    <xf numFmtId="0" fontId="48" fillId="2" borderId="0" xfId="2" applyFont="1" applyFill="1" applyAlignment="1">
      <alignment vertical="center"/>
    </xf>
    <xf numFmtId="0" fontId="48" fillId="4" borderId="0" xfId="2" applyFont="1" applyFill="1" applyAlignment="1">
      <alignment vertical="center"/>
    </xf>
    <xf numFmtId="0" fontId="36" fillId="2" borderId="0" xfId="2" applyFont="1" applyFill="1" applyAlignment="1">
      <alignment vertical="center"/>
    </xf>
    <xf numFmtId="0" fontId="48" fillId="2" borderId="0" xfId="2" applyFont="1" applyFill="1" applyAlignment="1">
      <alignment vertical="center" wrapText="1"/>
    </xf>
    <xf numFmtId="0" fontId="47" fillId="4" borderId="0" xfId="2" applyFont="1" applyFill="1" applyAlignment="1">
      <alignment vertical="center" wrapText="1"/>
    </xf>
    <xf numFmtId="0" fontId="26" fillId="2" borderId="0" xfId="2" applyFont="1" applyFill="1" applyAlignment="1">
      <alignment horizontal="center" vertical="center"/>
    </xf>
    <xf numFmtId="0" fontId="36" fillId="2" borderId="0" xfId="2" applyFont="1" applyFill="1" applyAlignment="1">
      <alignment vertical="center" wrapText="1"/>
    </xf>
    <xf numFmtId="0" fontId="49" fillId="2" borderId="0" xfId="2" applyFont="1" applyFill="1" applyAlignment="1">
      <alignment vertical="center" wrapText="1"/>
    </xf>
    <xf numFmtId="0" fontId="51" fillId="2" borderId="6" xfId="2" applyFont="1" applyFill="1" applyBorder="1" applyAlignment="1">
      <alignment vertical="center"/>
    </xf>
    <xf numFmtId="0" fontId="20" fillId="4" borderId="5" xfId="2" applyFill="1" applyBorder="1" applyAlignment="1">
      <alignment vertical="center"/>
    </xf>
    <xf numFmtId="0" fontId="20" fillId="2" borderId="103" xfId="2" applyFill="1" applyBorder="1" applyAlignment="1">
      <alignment horizontal="left" vertical="center"/>
    </xf>
    <xf numFmtId="0" fontId="20" fillId="2" borderId="68" xfId="2" applyFill="1" applyBorder="1" applyAlignment="1">
      <alignment horizontal="left" vertical="center"/>
    </xf>
    <xf numFmtId="0" fontId="20" fillId="2" borderId="89" xfId="2" applyFill="1" applyBorder="1" applyAlignment="1">
      <alignment vertical="center"/>
    </xf>
    <xf numFmtId="0" fontId="27" fillId="2" borderId="3" xfId="2" applyFont="1" applyFill="1" applyBorder="1" applyAlignment="1">
      <alignment vertical="center"/>
    </xf>
    <xf numFmtId="0" fontId="20" fillId="4" borderId="121" xfId="2" applyFill="1" applyBorder="1" applyAlignment="1">
      <alignment vertical="center"/>
    </xf>
    <xf numFmtId="0" fontId="51" fillId="2" borderId="18" xfId="2" applyFont="1" applyFill="1" applyBorder="1" applyAlignment="1">
      <alignment vertical="center"/>
    </xf>
    <xf numFmtId="0" fontId="51" fillId="2" borderId="17" xfId="2" applyFont="1" applyFill="1" applyBorder="1" applyAlignment="1">
      <alignment vertical="center"/>
    </xf>
    <xf numFmtId="0" fontId="10" fillId="4" borderId="19" xfId="2" applyFont="1" applyFill="1" applyBorder="1" applyAlignment="1">
      <alignment vertical="center"/>
    </xf>
    <xf numFmtId="0" fontId="27" fillId="2" borderId="142" xfId="2" applyFont="1" applyFill="1" applyBorder="1"/>
    <xf numFmtId="0" fontId="27" fillId="2" borderId="66" xfId="2" applyFont="1" applyFill="1" applyBorder="1"/>
    <xf numFmtId="0" fontId="27" fillId="2" borderId="0" xfId="2" applyFont="1" applyFill="1" applyAlignment="1">
      <alignment horizontal="center" vertical="center"/>
    </xf>
    <xf numFmtId="0" fontId="27" fillId="2" borderId="66" xfId="2" applyFont="1" applyFill="1" applyBorder="1" applyAlignment="1">
      <alignment horizontal="center" wrapText="1"/>
    </xf>
    <xf numFmtId="0" fontId="20" fillId="4" borderId="141" xfId="2" applyFill="1" applyBorder="1" applyAlignment="1">
      <alignment horizontal="center" wrapText="1"/>
    </xf>
    <xf numFmtId="49" fontId="20" fillId="2" borderId="103" xfId="2" applyNumberFormat="1" applyFill="1" applyBorder="1" applyAlignment="1">
      <alignment horizontal="center" vertical="center"/>
    </xf>
    <xf numFmtId="0" fontId="27" fillId="2" borderId="142" xfId="2" applyFont="1" applyFill="1" applyBorder="1" applyAlignment="1">
      <alignment vertical="center"/>
    </xf>
    <xf numFmtId="0" fontId="27" fillId="2" borderId="66" xfId="2" applyFont="1" applyFill="1" applyBorder="1" applyAlignment="1">
      <alignment vertical="center"/>
    </xf>
    <xf numFmtId="0" fontId="20" fillId="4" borderId="141" xfId="2" applyFill="1" applyBorder="1" applyAlignment="1">
      <alignment vertical="center"/>
    </xf>
    <xf numFmtId="0" fontId="27" fillId="2" borderId="62" xfId="2" applyFont="1" applyFill="1" applyBorder="1" applyAlignment="1">
      <alignment horizontal="center"/>
    </xf>
    <xf numFmtId="0" fontId="20" fillId="4" borderId="111" xfId="2" applyFill="1" applyBorder="1" applyAlignment="1">
      <alignment horizontal="center"/>
    </xf>
    <xf numFmtId="0" fontId="20" fillId="4" borderId="141" xfId="2" applyFill="1" applyBorder="1" applyAlignment="1">
      <alignment horizontal="center"/>
    </xf>
    <xf numFmtId="0" fontId="27" fillId="2" borderId="106" xfId="2" applyFont="1" applyFill="1" applyBorder="1"/>
    <xf numFmtId="0" fontId="27" fillId="2" borderId="63" xfId="2" applyFont="1" applyFill="1" applyBorder="1"/>
    <xf numFmtId="0" fontId="20" fillId="2" borderId="3" xfId="2" applyFill="1" applyBorder="1" applyAlignment="1">
      <alignment vertical="center"/>
    </xf>
    <xf numFmtId="0" fontId="36" fillId="2" borderId="0" xfId="2" applyFont="1" applyFill="1" applyAlignment="1">
      <alignment horizontal="right" vertical="center"/>
    </xf>
    <xf numFmtId="0" fontId="48" fillId="4" borderId="0" xfId="2" applyFont="1" applyFill="1" applyAlignment="1">
      <alignment horizontal="right" vertical="center"/>
    </xf>
    <xf numFmtId="0" fontId="20" fillId="4" borderId="89" xfId="2" applyFill="1" applyBorder="1" applyAlignment="1">
      <alignment horizontal="center" vertical="center"/>
    </xf>
    <xf numFmtId="0" fontId="51" fillId="2" borderId="106" xfId="2" applyFont="1" applyFill="1" applyBorder="1" applyAlignment="1">
      <alignment vertical="center"/>
    </xf>
    <xf numFmtId="0" fontId="27" fillId="2" borderId="63" xfId="2" applyFont="1" applyFill="1" applyBorder="1" applyAlignment="1">
      <alignment vertical="center"/>
    </xf>
    <xf numFmtId="0" fontId="20" fillId="4" borderId="111" xfId="2" applyFill="1" applyBorder="1" applyAlignment="1">
      <alignment vertical="center"/>
    </xf>
    <xf numFmtId="0" fontId="26" fillId="2" borderId="112" xfId="2" applyFont="1" applyFill="1" applyBorder="1" applyAlignment="1">
      <alignment horizontal="center" vertical="center"/>
    </xf>
    <xf numFmtId="0" fontId="27" fillId="4" borderId="13" xfId="2" applyFont="1" applyFill="1" applyBorder="1" applyAlignment="1">
      <alignment horizontal="center" vertical="center"/>
    </xf>
    <xf numFmtId="0" fontId="26" fillId="2" borderId="62" xfId="2" applyFont="1" applyFill="1" applyBorder="1" applyAlignment="1">
      <alignment vertical="center"/>
    </xf>
    <xf numFmtId="3" fontId="20" fillId="4" borderId="99" xfId="2" applyNumberFormat="1" applyFill="1" applyBorder="1" applyAlignment="1">
      <alignment horizontal="center" vertical="center"/>
    </xf>
    <xf numFmtId="3" fontId="20" fillId="2" borderId="62" xfId="2" applyNumberFormat="1" applyFill="1" applyBorder="1" applyAlignment="1">
      <alignment horizontal="center" vertical="center"/>
    </xf>
    <xf numFmtId="0" fontId="20" fillId="4" borderId="143" xfId="2" applyFill="1" applyBorder="1" applyAlignment="1">
      <alignment vertical="center"/>
    </xf>
    <xf numFmtId="0" fontId="26" fillId="2" borderId="143" xfId="2" applyFont="1" applyFill="1" applyBorder="1" applyAlignment="1">
      <alignment vertical="center"/>
    </xf>
    <xf numFmtId="0" fontId="20" fillId="2" borderId="144" xfId="2" applyFill="1" applyBorder="1" applyAlignment="1">
      <alignment vertical="center"/>
    </xf>
    <xf numFmtId="0" fontId="2" fillId="2" borderId="17" xfId="2" applyFont="1" applyFill="1" applyBorder="1" applyAlignment="1">
      <alignment horizontal="center" vertical="center" wrapText="1"/>
    </xf>
    <xf numFmtId="0" fontId="20" fillId="4" borderId="17" xfId="2" applyFill="1" applyBorder="1" applyAlignment="1">
      <alignment horizontal="center" vertical="center" wrapText="1"/>
    </xf>
    <xf numFmtId="0" fontId="52" fillId="2" borderId="18" xfId="2" applyFont="1" applyFill="1" applyBorder="1" applyAlignment="1">
      <alignment vertical="center"/>
    </xf>
    <xf numFmtId="0" fontId="20" fillId="4" borderId="17" xfId="2" applyFill="1" applyBorder="1" applyAlignment="1">
      <alignment vertical="center"/>
    </xf>
    <xf numFmtId="0" fontId="27" fillId="4" borderId="19" xfId="2" applyFont="1" applyFill="1" applyBorder="1" applyAlignment="1">
      <alignment vertical="center"/>
    </xf>
    <xf numFmtId="0" fontId="52" fillId="2" borderId="6" xfId="2" applyFont="1" applyFill="1" applyBorder="1" applyAlignment="1">
      <alignment vertical="center"/>
    </xf>
    <xf numFmtId="0" fontId="20" fillId="4" borderId="119" xfId="2" applyFill="1" applyBorder="1" applyAlignment="1">
      <alignment vertical="center"/>
    </xf>
    <xf numFmtId="0" fontId="20" fillId="2" borderId="122" xfId="2" applyFill="1" applyBorder="1" applyAlignment="1">
      <alignment horizontal="center" vertical="center"/>
    </xf>
    <xf numFmtId="0" fontId="27" fillId="2" borderId="6" xfId="2" applyFont="1" applyFill="1" applyBorder="1" applyAlignment="1">
      <alignment vertical="center"/>
    </xf>
    <xf numFmtId="0" fontId="20" fillId="4" borderId="89" xfId="2" applyFill="1" applyBorder="1" applyAlignment="1">
      <alignment vertical="center"/>
    </xf>
    <xf numFmtId="0" fontId="27" fillId="2" borderId="103" xfId="2" applyFont="1" applyFill="1" applyBorder="1" applyAlignment="1">
      <alignment vertical="center"/>
    </xf>
    <xf numFmtId="0" fontId="27" fillId="2" borderId="68" xfId="2" applyFont="1" applyFill="1" applyBorder="1" applyAlignment="1">
      <alignment vertical="center"/>
    </xf>
    <xf numFmtId="49" fontId="20" fillId="2" borderId="103" xfId="2" applyNumberFormat="1" applyFill="1" applyBorder="1" applyAlignment="1">
      <alignment horizontal="left" vertical="center"/>
    </xf>
    <xf numFmtId="49" fontId="20" fillId="2" borderId="68" xfId="2" applyNumberFormat="1" applyFill="1" applyBorder="1" applyAlignment="1">
      <alignment horizontal="left" vertical="center"/>
    </xf>
    <xf numFmtId="49" fontId="20" fillId="4" borderId="89" xfId="2" applyNumberFormat="1" applyFill="1" applyBorder="1" applyAlignment="1">
      <alignment vertical="center"/>
    </xf>
    <xf numFmtId="0" fontId="20" fillId="4" borderId="68" xfId="2" applyFill="1" applyBorder="1" applyAlignment="1">
      <alignment vertical="center"/>
    </xf>
    <xf numFmtId="0" fontId="20" fillId="4" borderId="120" xfId="2" applyFill="1" applyBorder="1" applyAlignment="1">
      <alignment vertical="center"/>
    </xf>
    <xf numFmtId="0" fontId="20" fillId="2" borderId="94" xfId="2" applyFill="1" applyBorder="1" applyAlignment="1">
      <alignment vertical="center"/>
    </xf>
    <xf numFmtId="0" fontId="2" fillId="2" borderId="2" xfId="2" applyFont="1" applyFill="1" applyBorder="1" applyAlignment="1">
      <alignment vertical="center"/>
    </xf>
    <xf numFmtId="0" fontId="38" fillId="2" borderId="129" xfId="2" applyFont="1" applyFill="1" applyBorder="1" applyAlignment="1">
      <alignment vertical="center"/>
    </xf>
    <xf numFmtId="0" fontId="39" fillId="2" borderId="17" xfId="2" applyFont="1" applyFill="1" applyBorder="1" applyAlignment="1">
      <alignment vertical="center"/>
    </xf>
    <xf numFmtId="0" fontId="39" fillId="2" borderId="128" xfId="2" applyFont="1" applyFill="1" applyBorder="1" applyAlignment="1">
      <alignment vertical="center"/>
    </xf>
    <xf numFmtId="0" fontId="39" fillId="2" borderId="65" xfId="2" applyFont="1" applyFill="1" applyBorder="1" applyAlignment="1">
      <alignment vertical="center"/>
    </xf>
    <xf numFmtId="0" fontId="39" fillId="2" borderId="66" xfId="2" applyFont="1" applyFill="1" applyBorder="1" applyAlignment="1">
      <alignment vertical="center"/>
    </xf>
    <xf numFmtId="0" fontId="39" fillId="2" borderId="67" xfId="2" applyFont="1" applyFill="1" applyBorder="1" applyAlignment="1">
      <alignment vertical="center"/>
    </xf>
    <xf numFmtId="0" fontId="38" fillId="2" borderId="135" xfId="2" applyFont="1" applyFill="1" applyBorder="1" applyAlignment="1">
      <alignment horizontal="center" vertical="center"/>
    </xf>
    <xf numFmtId="0" fontId="38" fillId="2" borderId="84" xfId="2" applyFont="1" applyFill="1" applyBorder="1" applyAlignment="1">
      <alignment horizontal="center" vertical="center"/>
    </xf>
    <xf numFmtId="0" fontId="20" fillId="2" borderId="89" xfId="2" applyFill="1" applyBorder="1" applyAlignment="1">
      <alignment horizontal="center" vertical="center"/>
    </xf>
    <xf numFmtId="0" fontId="2" fillId="2" borderId="4" xfId="2" applyFont="1" applyFill="1" applyBorder="1" applyAlignment="1">
      <alignment vertical="center"/>
    </xf>
  </cellXfs>
  <cellStyles count="6">
    <cellStyle name="Měna" xfId="5" builtinId="4"/>
    <cellStyle name="Normální" xfId="0" builtinId="0"/>
    <cellStyle name="Normální 2" xfId="1" xr:uid="{00000000-0005-0000-0000-000001000000}"/>
    <cellStyle name="Normální 2 2" xfId="2" xr:uid="{00000000-0005-0000-0000-000002000000}"/>
    <cellStyle name="Normální 3" xfId="4" xr:uid="{08C89A35-4563-48B5-A2B9-8ABDBEC952A2}"/>
    <cellStyle name="Špatně" xfId="3" builtinId="27"/>
  </cellStyles>
  <dxfs count="23">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
      <font>
        <color theme="0"/>
      </font>
    </dxf>
    <dxf>
      <font>
        <color theme="0"/>
      </font>
    </dxf>
    <dxf>
      <font>
        <color theme="0"/>
      </font>
      <fill>
        <patternFill>
          <bgColor rgb="FFFF0000"/>
        </patternFill>
      </fill>
    </dxf>
    <dxf>
      <font>
        <color theme="1"/>
      </font>
      <fill>
        <patternFill>
          <bgColor rgb="FF92D050"/>
        </patternFill>
      </fill>
    </dxf>
    <dxf>
      <font>
        <color theme="0"/>
      </font>
      <fill>
        <patternFill>
          <bgColor rgb="FFFF0000"/>
        </patternFill>
      </fill>
    </dxf>
    <dxf>
      <fill>
        <patternFill>
          <bgColor rgb="FFFF0000"/>
        </patternFill>
      </fill>
    </dxf>
    <dxf>
      <font>
        <color theme="0"/>
      </font>
      <fill>
        <patternFill patternType="solid">
          <bgColor theme="0"/>
        </patternFill>
      </fill>
    </dxf>
    <dxf>
      <fill>
        <patternFill>
          <bgColor theme="9" tint="0.39994506668294322"/>
        </patternFill>
      </fill>
    </dxf>
    <dxf>
      <font>
        <color theme="0"/>
      </font>
      <fill>
        <patternFill>
          <bgColor rgb="FFFF0000"/>
        </patternFill>
      </fill>
    </dxf>
    <dxf>
      <font>
        <b/>
        <i val="0"/>
        <color theme="0"/>
      </font>
      <fill>
        <patternFill>
          <bgColor rgb="FFFF0000"/>
        </patternFill>
      </fill>
    </dxf>
    <dxf>
      <fill>
        <patternFill>
          <bgColor rgb="FFFF0000"/>
        </patternFill>
      </fill>
    </dxf>
    <dxf>
      <fill>
        <patternFill>
          <bgColor rgb="FF92D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7" tint="0.79998168889431442"/>
  </sheetPr>
  <dimension ref="B1:B13"/>
  <sheetViews>
    <sheetView tabSelected="1" workbookViewId="0"/>
  </sheetViews>
  <sheetFormatPr defaultRowHeight="12.75" x14ac:dyDescent="0.2"/>
  <cols>
    <col min="1" max="1" width="1.42578125" style="111" customWidth="1"/>
    <col min="2" max="2" width="92.85546875" style="111" customWidth="1"/>
    <col min="3" max="16384" width="9.140625" style="111"/>
  </cols>
  <sheetData>
    <row r="1" spans="2:2" ht="7.5" customHeight="1" thickBot="1" x14ac:dyDescent="0.25"/>
    <row r="2" spans="2:2" ht="7.5" customHeight="1" thickTop="1" x14ac:dyDescent="0.2">
      <c r="B2" s="112"/>
    </row>
    <row r="3" spans="2:2" ht="15.75" x14ac:dyDescent="0.2">
      <c r="B3" s="113" t="s">
        <v>135</v>
      </c>
    </row>
    <row r="4" spans="2:2" ht="15" x14ac:dyDescent="0.2">
      <c r="B4" s="292" t="s">
        <v>3458</v>
      </c>
    </row>
    <row r="5" spans="2:2" ht="97.5" customHeight="1" x14ac:dyDescent="0.2">
      <c r="B5" s="278" t="s">
        <v>3457</v>
      </c>
    </row>
    <row r="6" spans="2:2" ht="18.75" customHeight="1" x14ac:dyDescent="0.2">
      <c r="B6" s="279" t="s">
        <v>387</v>
      </c>
    </row>
    <row r="7" spans="2:2" ht="157.5" customHeight="1" x14ac:dyDescent="0.2">
      <c r="B7" s="278" t="s">
        <v>3454</v>
      </c>
    </row>
    <row r="8" spans="2:2" ht="52.5" customHeight="1" x14ac:dyDescent="0.2">
      <c r="B8" s="278" t="s">
        <v>3455</v>
      </c>
    </row>
    <row r="9" spans="2:2" ht="78.75" x14ac:dyDescent="0.2">
      <c r="B9" s="277" t="s">
        <v>3443</v>
      </c>
    </row>
    <row r="10" spans="2:2" ht="75" x14ac:dyDescent="0.2">
      <c r="B10" s="280" t="s">
        <v>3456</v>
      </c>
    </row>
    <row r="11" spans="2:2" ht="37.5" customHeight="1" x14ac:dyDescent="0.2">
      <c r="B11" s="280" t="s">
        <v>3253</v>
      </c>
    </row>
    <row r="12" spans="2:2" ht="46.5" thickBot="1" x14ac:dyDescent="0.25">
      <c r="B12" s="281" t="s">
        <v>423</v>
      </c>
    </row>
    <row r="13" spans="2:2" ht="13.5" thickTop="1" x14ac:dyDescent="0.2">
      <c r="B13" s="276" t="str">
        <f>"Peněžní deník verze "&amp;'Historie verzí'!$A$2&amp;", poslední revize "&amp;TEXT('Historie verzí'!$B$2,"d.m.rrrr")</f>
        <v>Peněžní deník verze 11.4, poslední revize 15.3.2024</v>
      </c>
    </row>
  </sheetData>
  <sheetProtection sheet="1" objects="1" scenarios="1"/>
  <printOptions horizontalCentered="1" verticalCentered="1"/>
  <pageMargins left="0.70866141732283472" right="0.70866141732283472"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351A0-7DCF-4DCC-A1D1-D5B4F17787A5}">
  <sheetPr>
    <tabColor theme="1"/>
    <pageSetUpPr fitToPage="1"/>
  </sheetPr>
  <dimension ref="A1:T43"/>
  <sheetViews>
    <sheetView workbookViewId="0">
      <selection activeCell="J13" sqref="J13"/>
    </sheetView>
  </sheetViews>
  <sheetFormatPr defaultRowHeight="12.75" x14ac:dyDescent="0.2"/>
  <cols>
    <col min="1" max="1" width="2.85546875" style="43" customWidth="1"/>
    <col min="2" max="2" width="40.85546875" style="43" bestFit="1" customWidth="1"/>
    <col min="3" max="3" width="5.42578125" style="43" customWidth="1"/>
    <col min="4" max="8" width="14.28515625" style="43" customWidth="1"/>
    <col min="9" max="9" width="2.85546875" style="43" customWidth="1"/>
    <col min="10" max="14" width="14.28515625" style="43" customWidth="1"/>
    <col min="15" max="15" width="2.85546875" style="43" customWidth="1"/>
    <col min="16" max="16" width="9.28515625" style="432" customWidth="1"/>
    <col min="17" max="18" width="9.28515625" style="43" customWidth="1"/>
    <col min="19" max="19" width="11.140625" style="43" bestFit="1" customWidth="1"/>
    <col min="20" max="20" width="12" style="43" bestFit="1" customWidth="1"/>
    <col min="21" max="16384" width="9.140625" style="43"/>
  </cols>
  <sheetData>
    <row r="1" spans="1:20" x14ac:dyDescent="0.2">
      <c r="A1" s="361"/>
      <c r="B1" s="631"/>
      <c r="C1" s="631"/>
      <c r="D1" s="631"/>
      <c r="E1" s="631"/>
      <c r="F1" s="631"/>
      <c r="G1" s="631"/>
      <c r="H1" s="631"/>
      <c r="I1" s="125"/>
      <c r="O1" s="125"/>
    </row>
    <row r="2" spans="1:20" ht="37.5" customHeight="1" x14ac:dyDescent="0.2">
      <c r="B2" s="714" t="s">
        <v>3470</v>
      </c>
      <c r="C2" s="715"/>
      <c r="D2" s="715"/>
      <c r="E2" s="715"/>
      <c r="F2" s="715"/>
      <c r="G2" s="715"/>
      <c r="H2" s="716"/>
    </row>
    <row r="3" spans="1:20" ht="15.75" customHeight="1" x14ac:dyDescent="0.25">
      <c r="B3" s="717" t="str">
        <f>"k 31.12."&amp;YEAR(Deník!B6)</f>
        <v>k 31.12.2023</v>
      </c>
      <c r="C3" s="718"/>
      <c r="D3" s="718"/>
      <c r="E3" s="718"/>
      <c r="F3" s="718"/>
      <c r="G3" s="718"/>
      <c r="H3" s="719"/>
    </row>
    <row r="4" spans="1:20" ht="7.5" customHeight="1" x14ac:dyDescent="0.2"/>
    <row r="5" spans="1:20" x14ac:dyDescent="0.2">
      <c r="B5" s="43" t="s">
        <v>101</v>
      </c>
      <c r="H5" s="70" t="s">
        <v>3329</v>
      </c>
    </row>
    <row r="6" spans="1:20" ht="15.75" x14ac:dyDescent="0.25">
      <c r="B6" s="676" t="str">
        <f>'Základní údaje'!B10</f>
        <v>SH ČMS - Sbor dobrovolných hasičů Osík</v>
      </c>
      <c r="C6" s="676"/>
      <c r="D6" s="676"/>
      <c r="E6" s="676"/>
      <c r="F6" s="676"/>
      <c r="G6" s="508"/>
      <c r="H6" s="452">
        <f>'Základní údaje'!B9</f>
        <v>64211045</v>
      </c>
    </row>
    <row r="7" spans="1:20" x14ac:dyDescent="0.2">
      <c r="B7" s="713" t="str">
        <f>" Spisová značka: "&amp;'Základní údaje'!B12&amp;" vedená u "&amp;'Základní údaje'!B11</f>
        <v xml:space="preserve"> Spisová značka: L 2096 vedená u Městského soudu v Praze</v>
      </c>
      <c r="C7" s="713"/>
      <c r="D7" s="713"/>
      <c r="E7" s="713"/>
      <c r="F7" s="713"/>
      <c r="G7" s="70"/>
    </row>
    <row r="8" spans="1:20" x14ac:dyDescent="0.2">
      <c r="B8" s="713" t="str">
        <f>" Sídlo: "&amp;'Základní údaje'!B17&amp;" "&amp;'Základní údaje'!B16&amp;", "&amp;'Základní údaje'!B14&amp;" "&amp;'Základní údaje'!B15</f>
        <v xml:space="preserve"> Sídlo: 56967 Osík, Osík 240</v>
      </c>
      <c r="C8" s="713"/>
      <c r="D8" s="713"/>
      <c r="E8" s="713"/>
      <c r="F8" s="713"/>
      <c r="G8" s="70"/>
    </row>
    <row r="9" spans="1:20" ht="7.5" customHeight="1" x14ac:dyDescent="0.2"/>
    <row r="10" spans="1:20" ht="15.75" thickBot="1" x14ac:dyDescent="0.25">
      <c r="B10" s="48"/>
      <c r="D10" s="708" t="s">
        <v>3430</v>
      </c>
      <c r="E10" s="708"/>
      <c r="F10" s="708"/>
      <c r="G10" s="708"/>
      <c r="H10" s="708"/>
      <c r="J10" s="703" t="s">
        <v>3505</v>
      </c>
      <c r="K10" s="703"/>
      <c r="L10" s="703"/>
      <c r="M10" s="703"/>
      <c r="N10" s="703"/>
      <c r="P10" s="70" t="s">
        <v>3508</v>
      </c>
    </row>
    <row r="11" spans="1:20" ht="27" customHeight="1" x14ac:dyDescent="0.2">
      <c r="B11" s="709" t="s">
        <v>3331</v>
      </c>
      <c r="C11" s="711" t="s">
        <v>84</v>
      </c>
      <c r="D11" s="635" t="s">
        <v>3461</v>
      </c>
      <c r="E11" s="705"/>
      <c r="F11" s="697" t="s">
        <v>3462</v>
      </c>
      <c r="G11" s="698"/>
      <c r="H11" s="444" t="s">
        <v>3332</v>
      </c>
      <c r="J11" s="704" t="s">
        <v>3461</v>
      </c>
      <c r="K11" s="705"/>
      <c r="L11" s="697" t="s">
        <v>3462</v>
      </c>
      <c r="M11" s="698"/>
      <c r="N11" s="444" t="s">
        <v>3332</v>
      </c>
      <c r="P11" s="432" t="s">
        <v>3509</v>
      </c>
      <c r="Q11" s="43" t="s">
        <v>3510</v>
      </c>
      <c r="R11" s="43" t="s">
        <v>3511</v>
      </c>
      <c r="S11" s="43" t="s">
        <v>3512</v>
      </c>
      <c r="T11" s="43" t="s">
        <v>3513</v>
      </c>
    </row>
    <row r="12" spans="1:20" ht="15" customHeight="1" x14ac:dyDescent="0.2">
      <c r="B12" s="710"/>
      <c r="C12" s="712"/>
      <c r="D12" s="453" t="s">
        <v>3459</v>
      </c>
      <c r="E12" s="509" t="s">
        <v>3460</v>
      </c>
      <c r="F12" s="454" t="s">
        <v>3459</v>
      </c>
      <c r="G12" s="510" t="s">
        <v>3460</v>
      </c>
      <c r="H12" s="447" t="s">
        <v>111</v>
      </c>
      <c r="J12" s="531" t="s">
        <v>3459</v>
      </c>
      <c r="K12" s="453" t="s">
        <v>3460</v>
      </c>
      <c r="L12" s="454" t="s">
        <v>3459</v>
      </c>
      <c r="M12" s="510" t="s">
        <v>3460</v>
      </c>
      <c r="N12" s="447" t="s">
        <v>111</v>
      </c>
      <c r="P12" s="432">
        <v>1</v>
      </c>
      <c r="Q12" s="43">
        <f>Q23</f>
        <v>42</v>
      </c>
      <c r="R12" s="43">
        <f>R23</f>
        <v>6</v>
      </c>
      <c r="S12" s="43">
        <f>S23</f>
        <v>39</v>
      </c>
      <c r="T12" s="43">
        <f>T23</f>
        <v>11</v>
      </c>
    </row>
    <row r="13" spans="1:20" ht="15" customHeight="1" x14ac:dyDescent="0.2">
      <c r="B13" s="446" t="s">
        <v>3336</v>
      </c>
      <c r="C13" s="49">
        <v>1</v>
      </c>
      <c r="D13" s="513">
        <f>Deník!BV606</f>
        <v>1525</v>
      </c>
      <c r="E13" s="514">
        <f>Deník!AL606-D13</f>
        <v>0</v>
      </c>
      <c r="F13" s="515">
        <f>Deník!CC606</f>
        <v>0</v>
      </c>
      <c r="G13" s="516" t="s">
        <v>3376</v>
      </c>
      <c r="H13" s="517">
        <f t="shared" ref="H13:H20" si="0">SUM(D13:F13)</f>
        <v>1525</v>
      </c>
      <c r="J13" s="537">
        <v>1234</v>
      </c>
      <c r="K13" s="538"/>
      <c r="L13" s="542"/>
      <c r="M13" s="516" t="s">
        <v>3376</v>
      </c>
      <c r="N13" s="517">
        <f t="shared" ref="N13:N20" si="1">SUM(J13:L13)</f>
        <v>1234</v>
      </c>
      <c r="P13" s="432">
        <v>2</v>
      </c>
      <c r="Q13" s="43">
        <f t="shared" ref="Q13:Q20" si="2">IF(SUM(D13:E13)=0,"",ROUND(SUM(D13:E13)/1000,0))</f>
        <v>2</v>
      </c>
      <c r="R13" s="43" t="str">
        <f>IF(F13=0,"",ROUND(F13/1000,0))</f>
        <v/>
      </c>
      <c r="S13" s="43">
        <f t="shared" ref="S13:S20" si="3">IF(SUM(J13:K13)=0,"",ROUND(SUM(J13:K13)/1000,0))</f>
        <v>1</v>
      </c>
      <c r="T13" s="43" t="str">
        <f>IF(L13=0,"",ROUND(L13/1000,0))</f>
        <v/>
      </c>
    </row>
    <row r="14" spans="1:20" ht="15" customHeight="1" x14ac:dyDescent="0.2">
      <c r="B14" s="445" t="s">
        <v>3337</v>
      </c>
      <c r="C14" s="50">
        <v>2</v>
      </c>
      <c r="D14" s="518">
        <f>Deník!BW606</f>
        <v>22000</v>
      </c>
      <c r="E14" s="519">
        <f>Deník!AM606-D14</f>
        <v>500</v>
      </c>
      <c r="F14" s="519">
        <f>Deník!CD606</f>
        <v>4500</v>
      </c>
      <c r="G14" s="516" t="s">
        <v>3376</v>
      </c>
      <c r="H14" s="520">
        <f t="shared" si="0"/>
        <v>27000</v>
      </c>
      <c r="J14" s="539">
        <v>12345</v>
      </c>
      <c r="K14" s="540">
        <v>678</v>
      </c>
      <c r="L14" s="541">
        <v>7654</v>
      </c>
      <c r="M14" s="516" t="s">
        <v>3376</v>
      </c>
      <c r="N14" s="520">
        <f t="shared" si="1"/>
        <v>20677</v>
      </c>
      <c r="P14" s="432">
        <v>3</v>
      </c>
      <c r="Q14" s="43">
        <f t="shared" si="2"/>
        <v>23</v>
      </c>
      <c r="R14" s="43">
        <f>IF(F14=0,"",ROUND(F14/1000,0))</f>
        <v>5</v>
      </c>
      <c r="S14" s="43">
        <f t="shared" si="3"/>
        <v>13</v>
      </c>
      <c r="T14" s="43">
        <f>IF(L14=0,"",ROUND(L14/1000,0))</f>
        <v>8</v>
      </c>
    </row>
    <row r="15" spans="1:20" ht="15" customHeight="1" x14ac:dyDescent="0.2">
      <c r="B15" s="445" t="s">
        <v>3338</v>
      </c>
      <c r="C15" s="50">
        <v>3</v>
      </c>
      <c r="D15" s="518">
        <f>Deník!BX606</f>
        <v>0</v>
      </c>
      <c r="E15" s="519">
        <f>Deník!AN606-D15</f>
        <v>0</v>
      </c>
      <c r="F15" s="516" t="s">
        <v>3376</v>
      </c>
      <c r="G15" s="516" t="s">
        <v>3376</v>
      </c>
      <c r="H15" s="520">
        <f t="shared" si="0"/>
        <v>0</v>
      </c>
      <c r="J15" s="539"/>
      <c r="K15" s="540">
        <v>15000</v>
      </c>
      <c r="L15" s="516" t="s">
        <v>3376</v>
      </c>
      <c r="M15" s="516" t="s">
        <v>3376</v>
      </c>
      <c r="N15" s="520">
        <f t="shared" si="1"/>
        <v>15000</v>
      </c>
      <c r="P15" s="432">
        <v>4</v>
      </c>
      <c r="Q15" s="43" t="str">
        <f t="shared" si="2"/>
        <v/>
      </c>
      <c r="S15" s="43">
        <f t="shared" si="3"/>
        <v>15</v>
      </c>
    </row>
    <row r="16" spans="1:20" ht="15" customHeight="1" x14ac:dyDescent="0.2">
      <c r="B16" s="445" t="s">
        <v>3339</v>
      </c>
      <c r="C16" s="50">
        <v>4</v>
      </c>
      <c r="D16" s="518">
        <f>Deník!BY606</f>
        <v>0</v>
      </c>
      <c r="E16" s="519">
        <f>Deník!AO606-D16</f>
        <v>3000.5</v>
      </c>
      <c r="F16" s="516" t="s">
        <v>3376</v>
      </c>
      <c r="G16" s="516" t="s">
        <v>3376</v>
      </c>
      <c r="H16" s="520">
        <f t="shared" si="0"/>
        <v>3000.5</v>
      </c>
      <c r="J16" s="539"/>
      <c r="K16" s="540">
        <v>1050.5</v>
      </c>
      <c r="L16" s="516" t="s">
        <v>3376</v>
      </c>
      <c r="M16" s="516" t="s">
        <v>3376</v>
      </c>
      <c r="N16" s="520">
        <f t="shared" si="1"/>
        <v>1050.5</v>
      </c>
      <c r="P16" s="432">
        <v>5</v>
      </c>
      <c r="Q16" s="43">
        <f t="shared" si="2"/>
        <v>3</v>
      </c>
      <c r="S16" s="43">
        <f t="shared" si="3"/>
        <v>1</v>
      </c>
    </row>
    <row r="17" spans="2:20" ht="15" customHeight="1" x14ac:dyDescent="0.2">
      <c r="B17" s="445" t="s">
        <v>3340</v>
      </c>
      <c r="C17" s="50">
        <v>5</v>
      </c>
      <c r="D17" s="518">
        <f>Deník!BZ606</f>
        <v>0</v>
      </c>
      <c r="E17" s="519">
        <f>Deník!AP606-D17</f>
        <v>2000</v>
      </c>
      <c r="F17" s="516" t="s">
        <v>3376</v>
      </c>
      <c r="G17" s="516" t="s">
        <v>3376</v>
      </c>
      <c r="H17" s="520">
        <f t="shared" si="0"/>
        <v>2000</v>
      </c>
      <c r="J17" s="539"/>
      <c r="K17" s="540">
        <v>2100</v>
      </c>
      <c r="L17" s="516" t="s">
        <v>3376</v>
      </c>
      <c r="M17" s="516" t="s">
        <v>3376</v>
      </c>
      <c r="N17" s="520">
        <f t="shared" si="1"/>
        <v>2100</v>
      </c>
      <c r="P17" s="432">
        <v>6</v>
      </c>
      <c r="Q17" s="43">
        <f t="shared" si="2"/>
        <v>2</v>
      </c>
      <c r="S17" s="43">
        <f t="shared" si="3"/>
        <v>2</v>
      </c>
    </row>
    <row r="18" spans="2:20" ht="15" customHeight="1" x14ac:dyDescent="0.2">
      <c r="B18" s="445" t="s">
        <v>3341</v>
      </c>
      <c r="C18" s="50">
        <v>6</v>
      </c>
      <c r="D18" s="518">
        <f>Deník!CA606</f>
        <v>0</v>
      </c>
      <c r="E18" s="519">
        <f>Deník!AQ606-D18</f>
        <v>6501</v>
      </c>
      <c r="F18" s="516" t="s">
        <v>3376</v>
      </c>
      <c r="G18" s="516" t="s">
        <v>3376</v>
      </c>
      <c r="H18" s="520">
        <f t="shared" si="0"/>
        <v>6501</v>
      </c>
      <c r="J18" s="539"/>
      <c r="K18" s="540">
        <v>3200</v>
      </c>
      <c r="L18" s="516" t="s">
        <v>3376</v>
      </c>
      <c r="M18" s="516" t="s">
        <v>3376</v>
      </c>
      <c r="N18" s="520">
        <f t="shared" si="1"/>
        <v>3200</v>
      </c>
      <c r="P18" s="432">
        <v>7</v>
      </c>
      <c r="Q18" s="43">
        <f t="shared" si="2"/>
        <v>7</v>
      </c>
      <c r="S18" s="43">
        <f t="shared" si="3"/>
        <v>3</v>
      </c>
    </row>
    <row r="19" spans="2:20" ht="15" customHeight="1" x14ac:dyDescent="0.2">
      <c r="B19" s="445" t="s">
        <v>2</v>
      </c>
      <c r="C19" s="50">
        <v>7</v>
      </c>
      <c r="D19" s="518">
        <f>Deník!CB606</f>
        <v>0</v>
      </c>
      <c r="E19" s="519">
        <f>Deník!AR606-D19</f>
        <v>5098.83</v>
      </c>
      <c r="F19" s="519">
        <f>Deník!CE606</f>
        <v>1234.56</v>
      </c>
      <c r="G19" s="516" t="s">
        <v>3376</v>
      </c>
      <c r="H19" s="520">
        <f t="shared" si="0"/>
        <v>6333.3899999999994</v>
      </c>
      <c r="J19" s="539"/>
      <c r="K19" s="540">
        <v>4300</v>
      </c>
      <c r="L19" s="541">
        <v>3210</v>
      </c>
      <c r="M19" s="516" t="s">
        <v>3376</v>
      </c>
      <c r="N19" s="520">
        <f t="shared" si="1"/>
        <v>7510</v>
      </c>
      <c r="P19" s="432">
        <v>8</v>
      </c>
      <c r="Q19" s="43">
        <f t="shared" si="2"/>
        <v>5</v>
      </c>
      <c r="R19" s="43">
        <f>IF(F19=0,"",ROUND(F19/1000,0))</f>
        <v>1</v>
      </c>
      <c r="S19" s="43">
        <f t="shared" si="3"/>
        <v>4</v>
      </c>
      <c r="T19" s="43">
        <f>IF(L19=0,"",ROUND(L19/1000,0))</f>
        <v>3</v>
      </c>
    </row>
    <row r="20" spans="2:20" ht="15" customHeight="1" x14ac:dyDescent="0.2">
      <c r="B20" s="445" t="s">
        <v>3342</v>
      </c>
      <c r="C20" s="50">
        <v>8</v>
      </c>
      <c r="D20" s="516" t="s">
        <v>3376</v>
      </c>
      <c r="E20" s="519">
        <f>IF(Deník!AS606&gt;Deník!BE606,Deník!AS606-Deník!BE606,0)</f>
        <v>0</v>
      </c>
      <c r="F20" s="516" t="s">
        <v>3376</v>
      </c>
      <c r="G20" s="516" t="s">
        <v>3376</v>
      </c>
      <c r="H20" s="520">
        <f t="shared" si="0"/>
        <v>0</v>
      </c>
      <c r="J20" s="532" t="s">
        <v>3376</v>
      </c>
      <c r="K20" s="540"/>
      <c r="L20" s="516" t="s">
        <v>3376</v>
      </c>
      <c r="M20" s="516" t="s">
        <v>3376</v>
      </c>
      <c r="N20" s="520">
        <f t="shared" si="1"/>
        <v>0</v>
      </c>
      <c r="P20" s="432">
        <v>9</v>
      </c>
      <c r="Q20" s="43" t="str">
        <f t="shared" si="2"/>
        <v/>
      </c>
      <c r="S20" s="43" t="str">
        <f t="shared" si="3"/>
        <v/>
      </c>
    </row>
    <row r="21" spans="2:20" ht="15" customHeight="1" x14ac:dyDescent="0.2">
      <c r="B21" s="448" t="s">
        <v>3343</v>
      </c>
      <c r="C21" s="449">
        <v>9</v>
      </c>
      <c r="D21" s="521">
        <v>0</v>
      </c>
      <c r="E21" s="522"/>
      <c r="F21" s="522">
        <v>0</v>
      </c>
      <c r="G21" s="523" t="s">
        <v>3376</v>
      </c>
      <c r="H21" s="524">
        <v>0</v>
      </c>
      <c r="J21" s="535" t="s">
        <v>3376</v>
      </c>
      <c r="K21" s="536" t="s">
        <v>3376</v>
      </c>
      <c r="L21" s="523" t="s">
        <v>3376</v>
      </c>
      <c r="M21" s="523" t="s">
        <v>3376</v>
      </c>
      <c r="N21" s="524">
        <v>0</v>
      </c>
      <c r="P21" s="432" t="s">
        <v>1</v>
      </c>
    </row>
    <row r="22" spans="2:20" ht="15" customHeight="1" x14ac:dyDescent="0.2">
      <c r="B22" s="512" t="s">
        <v>55</v>
      </c>
      <c r="C22" s="511">
        <v>10</v>
      </c>
      <c r="D22" s="529">
        <f>SUM(D13:D21)</f>
        <v>23525</v>
      </c>
      <c r="E22" s="529">
        <f>SUM(E13:E21)</f>
        <v>17100.330000000002</v>
      </c>
      <c r="F22" s="529">
        <f>SUM(F13:F21)</f>
        <v>5734.5599999999995</v>
      </c>
      <c r="G22" s="530" t="s">
        <v>3376</v>
      </c>
      <c r="H22" s="527">
        <f>SUM(H13:H21)</f>
        <v>46359.89</v>
      </c>
      <c r="J22" s="533">
        <f>SUM(J13:J21)</f>
        <v>13579</v>
      </c>
      <c r="K22" s="529">
        <f>SUM(K13:K21)</f>
        <v>26328.5</v>
      </c>
      <c r="L22" s="529">
        <f>SUM(L13:L21)</f>
        <v>10864</v>
      </c>
      <c r="M22" s="530" t="s">
        <v>3376</v>
      </c>
      <c r="N22" s="527">
        <f>SUM(N13:N21)</f>
        <v>50771.5</v>
      </c>
    </row>
    <row r="23" spans="2:20" ht="15" customHeight="1" thickBot="1" x14ac:dyDescent="0.25">
      <c r="B23" s="450" t="s">
        <v>3463</v>
      </c>
      <c r="C23" s="451">
        <v>11</v>
      </c>
      <c r="D23" s="701">
        <f>SUM(D22:E22)</f>
        <v>40625.33</v>
      </c>
      <c r="E23" s="702"/>
      <c r="F23" s="701">
        <f>F22</f>
        <v>5734.5599999999995</v>
      </c>
      <c r="G23" s="702"/>
      <c r="H23" s="528">
        <f>H22</f>
        <v>46359.89</v>
      </c>
      <c r="J23" s="707">
        <f>SUM(J22:K22)</f>
        <v>39907.5</v>
      </c>
      <c r="K23" s="702"/>
      <c r="L23" s="701">
        <f>L22</f>
        <v>10864</v>
      </c>
      <c r="M23" s="702"/>
      <c r="N23" s="528">
        <f>N22</f>
        <v>50771.5</v>
      </c>
      <c r="P23" s="432">
        <v>11</v>
      </c>
      <c r="Q23" s="43">
        <f>SUM(Q13:Q20)</f>
        <v>42</v>
      </c>
      <c r="R23" s="43">
        <f>SUM(R13:R19)</f>
        <v>6</v>
      </c>
      <c r="S23" s="43">
        <f>SUM(S13:S20)</f>
        <v>39</v>
      </c>
      <c r="T23" s="43">
        <f>SUM(T13:T19)</f>
        <v>11</v>
      </c>
    </row>
    <row r="24" spans="2:20" ht="7.5" customHeight="1" x14ac:dyDescent="0.2"/>
    <row r="25" spans="2:20" ht="15.75" thickBot="1" x14ac:dyDescent="0.25">
      <c r="B25" s="48"/>
      <c r="D25" s="708" t="s">
        <v>3330</v>
      </c>
      <c r="E25" s="708"/>
      <c r="F25" s="708"/>
      <c r="G25" s="708"/>
      <c r="H25" s="708"/>
      <c r="J25" s="708" t="s">
        <v>3330</v>
      </c>
      <c r="K25" s="708"/>
      <c r="L25" s="708"/>
      <c r="M25" s="708"/>
      <c r="N25" s="708"/>
    </row>
    <row r="26" spans="2:20" ht="27" customHeight="1" x14ac:dyDescent="0.2">
      <c r="B26" s="709" t="s">
        <v>3333</v>
      </c>
      <c r="C26" s="711" t="s">
        <v>84</v>
      </c>
      <c r="D26" s="635" t="s">
        <v>3461</v>
      </c>
      <c r="E26" s="705"/>
      <c r="F26" s="697" t="s">
        <v>3462</v>
      </c>
      <c r="G26" s="698"/>
      <c r="H26" s="444" t="s">
        <v>3332</v>
      </c>
      <c r="J26" s="704" t="s">
        <v>3461</v>
      </c>
      <c r="K26" s="705"/>
      <c r="L26" s="697" t="s">
        <v>3462</v>
      </c>
      <c r="M26" s="698"/>
      <c r="N26" s="444" t="s">
        <v>3332</v>
      </c>
    </row>
    <row r="27" spans="2:20" ht="15" customHeight="1" x14ac:dyDescent="0.2">
      <c r="B27" s="710"/>
      <c r="C27" s="712"/>
      <c r="D27" s="453" t="s">
        <v>3459</v>
      </c>
      <c r="E27" s="509" t="s">
        <v>3460</v>
      </c>
      <c r="F27" s="454" t="s">
        <v>3459</v>
      </c>
      <c r="G27" s="510" t="s">
        <v>3460</v>
      </c>
      <c r="H27" s="447" t="s">
        <v>111</v>
      </c>
      <c r="J27" s="531" t="s">
        <v>3459</v>
      </c>
      <c r="K27" s="453" t="s">
        <v>3460</v>
      </c>
      <c r="L27" s="454" t="s">
        <v>3459</v>
      </c>
      <c r="M27" s="510" t="s">
        <v>3460</v>
      </c>
      <c r="N27" s="447" t="s">
        <v>111</v>
      </c>
      <c r="P27" s="432">
        <v>12</v>
      </c>
      <c r="Q27" s="43">
        <f>Q38</f>
        <v>40</v>
      </c>
      <c r="R27" s="43">
        <f>R38</f>
        <v>0</v>
      </c>
      <c r="S27" s="43">
        <f>S38</f>
        <v>38</v>
      </c>
      <c r="T27" s="43">
        <f>T38</f>
        <v>1</v>
      </c>
    </row>
    <row r="28" spans="2:20" ht="15" customHeight="1" x14ac:dyDescent="0.2">
      <c r="B28" s="446" t="s">
        <v>3344</v>
      </c>
      <c r="C28" s="49">
        <v>1</v>
      </c>
      <c r="D28" s="513">
        <f>Deník!CF606</f>
        <v>0</v>
      </c>
      <c r="E28" s="514">
        <f>Deník!AW606-D28</f>
        <v>456.5</v>
      </c>
      <c r="F28" s="515">
        <f>Deník!CN606</f>
        <v>0</v>
      </c>
      <c r="G28" s="514">
        <f>Deník!BF606-F28</f>
        <v>0</v>
      </c>
      <c r="H28" s="517">
        <f>SUM(D28:G28)</f>
        <v>456.5</v>
      </c>
      <c r="J28" s="537"/>
      <c r="K28" s="538">
        <v>987</v>
      </c>
      <c r="L28" s="542"/>
      <c r="M28" s="543"/>
      <c r="N28" s="517">
        <f>SUM(J28:M28)</f>
        <v>987</v>
      </c>
      <c r="P28" s="432">
        <v>13</v>
      </c>
      <c r="Q28" s="43">
        <f>IF(SUM(D28:E28)=0,"",ROUND(SUM(D28:E28)/1000,0))</f>
        <v>0</v>
      </c>
      <c r="R28" s="43" t="str">
        <f>IF(SUM(F28:G28)=0,"",ROUND(SUM(F28:G28)/1000,0))</f>
        <v/>
      </c>
      <c r="S28" s="43">
        <f>IF(SUM(J28:K28)=0,"",ROUND(SUM(J28:K28)/1000,0))</f>
        <v>1</v>
      </c>
      <c r="T28" s="43" t="str">
        <f>IF(SUM(L28:M28)=0,"",ROUND(SUM(L28:M28)/1000,0))</f>
        <v/>
      </c>
    </row>
    <row r="29" spans="2:20" ht="15" customHeight="1" x14ac:dyDescent="0.2">
      <c r="B29" s="445" t="s">
        <v>3345</v>
      </c>
      <c r="C29" s="50">
        <v>2</v>
      </c>
      <c r="D29" s="518">
        <f>Deník!CG606</f>
        <v>5000</v>
      </c>
      <c r="E29" s="519">
        <f>Deník!AX606-D29</f>
        <v>1550</v>
      </c>
      <c r="F29" s="519">
        <f>Deník!CO606</f>
        <v>100</v>
      </c>
      <c r="G29" s="519">
        <f>Deník!BG606-F29</f>
        <v>0</v>
      </c>
      <c r="H29" s="520">
        <f t="shared" ref="H29:H35" si="4">SUM(D29:G29)</f>
        <v>6650</v>
      </c>
      <c r="J29" s="539">
        <v>5555</v>
      </c>
      <c r="K29" s="540">
        <v>1010</v>
      </c>
      <c r="L29" s="541">
        <v>777</v>
      </c>
      <c r="M29" s="541"/>
      <c r="N29" s="520">
        <f t="shared" ref="N29:N35" si="5">SUM(J29:M29)</f>
        <v>7342</v>
      </c>
      <c r="P29" s="432">
        <v>14</v>
      </c>
      <c r="Q29" s="43">
        <f t="shared" ref="Q29:Q36" si="6">IF(SUM(D29:E29)=0,"",ROUND(SUM(D29:E29)/1000,0))</f>
        <v>7</v>
      </c>
      <c r="R29" s="43">
        <f t="shared" ref="R29:R35" si="7">IF(SUM(F29:G29)=0,"",ROUND(SUM(F29:G29)/1000,0))</f>
        <v>0</v>
      </c>
      <c r="S29" s="43">
        <f t="shared" ref="S29:S36" si="8">IF(SUM(J29:K29)=0,"",ROUND(SUM(J29:K29)/1000,0))</f>
        <v>7</v>
      </c>
      <c r="T29" s="43">
        <f t="shared" ref="T29:T35" si="9">IF(SUM(L29:M29)=0,"",ROUND(SUM(L29:M29)/1000,0))</f>
        <v>1</v>
      </c>
    </row>
    <row r="30" spans="2:20" ht="15" customHeight="1" x14ac:dyDescent="0.2">
      <c r="B30" s="445" t="s">
        <v>3346</v>
      </c>
      <c r="C30" s="50">
        <v>3</v>
      </c>
      <c r="D30" s="518">
        <f>Deník!CH606</f>
        <v>1300.5</v>
      </c>
      <c r="E30" s="519">
        <f>Deník!AY606-D30</f>
        <v>0</v>
      </c>
      <c r="F30" s="519">
        <f>Deník!CP606</f>
        <v>0</v>
      </c>
      <c r="G30" s="519">
        <f>Deník!BH606-F30</f>
        <v>0</v>
      </c>
      <c r="H30" s="520">
        <f t="shared" si="4"/>
        <v>1300.5</v>
      </c>
      <c r="J30" s="539">
        <v>2345</v>
      </c>
      <c r="K30" s="540"/>
      <c r="L30" s="541"/>
      <c r="M30" s="541"/>
      <c r="N30" s="520">
        <f t="shared" si="5"/>
        <v>2345</v>
      </c>
      <c r="P30" s="432">
        <v>15</v>
      </c>
      <c r="Q30" s="43">
        <f t="shared" si="6"/>
        <v>1</v>
      </c>
      <c r="R30" s="43" t="str">
        <f t="shared" si="7"/>
        <v/>
      </c>
      <c r="S30" s="43">
        <f t="shared" si="8"/>
        <v>2</v>
      </c>
      <c r="T30" s="43" t="str">
        <f t="shared" si="9"/>
        <v/>
      </c>
    </row>
    <row r="31" spans="2:20" ht="15" customHeight="1" x14ac:dyDescent="0.2">
      <c r="B31" s="445" t="s">
        <v>3347</v>
      </c>
      <c r="C31" s="50">
        <v>4</v>
      </c>
      <c r="D31" s="518">
        <f>Deník!CI606</f>
        <v>0</v>
      </c>
      <c r="E31" s="519">
        <f>Deník!AZ606-D31</f>
        <v>24600</v>
      </c>
      <c r="F31" s="519">
        <f>Deník!CQ606</f>
        <v>0</v>
      </c>
      <c r="G31" s="519">
        <f>Deník!BI606-F31</f>
        <v>0</v>
      </c>
      <c r="H31" s="520">
        <f t="shared" si="4"/>
        <v>24600</v>
      </c>
      <c r="J31" s="539"/>
      <c r="K31" s="540">
        <v>23456</v>
      </c>
      <c r="L31" s="541"/>
      <c r="M31" s="541"/>
      <c r="N31" s="520">
        <f t="shared" si="5"/>
        <v>23456</v>
      </c>
      <c r="P31" s="432">
        <v>16</v>
      </c>
      <c r="Q31" s="43">
        <f t="shared" si="6"/>
        <v>25</v>
      </c>
      <c r="R31" s="43" t="str">
        <f t="shared" si="7"/>
        <v/>
      </c>
      <c r="S31" s="43">
        <f t="shared" si="8"/>
        <v>23</v>
      </c>
      <c r="T31" s="43" t="str">
        <f t="shared" si="9"/>
        <v/>
      </c>
    </row>
    <row r="32" spans="2:20" ht="15" customHeight="1" x14ac:dyDescent="0.2">
      <c r="B32" s="445" t="s">
        <v>3348</v>
      </c>
      <c r="C32" s="50">
        <v>5</v>
      </c>
      <c r="D32" s="518">
        <f>Deník!CJ606</f>
        <v>0</v>
      </c>
      <c r="E32" s="519">
        <f>Deník!BA606-D32</f>
        <v>0</v>
      </c>
      <c r="F32" s="519">
        <f>Deník!CR606</f>
        <v>0</v>
      </c>
      <c r="G32" s="519">
        <f>Deník!BJ606-F32</f>
        <v>0</v>
      </c>
      <c r="H32" s="520">
        <f t="shared" si="4"/>
        <v>0</v>
      </c>
      <c r="J32" s="539"/>
      <c r="K32" s="540"/>
      <c r="L32" s="541"/>
      <c r="M32" s="541"/>
      <c r="N32" s="520">
        <f t="shared" si="5"/>
        <v>0</v>
      </c>
      <c r="P32" s="432">
        <v>17</v>
      </c>
      <c r="Q32" s="43" t="str">
        <f t="shared" si="6"/>
        <v/>
      </c>
      <c r="R32" s="43" t="str">
        <f t="shared" si="7"/>
        <v/>
      </c>
      <c r="S32" s="43" t="str">
        <f t="shared" si="8"/>
        <v/>
      </c>
      <c r="T32" s="43" t="str">
        <f t="shared" si="9"/>
        <v/>
      </c>
    </row>
    <row r="33" spans="2:20" ht="15" customHeight="1" x14ac:dyDescent="0.2">
      <c r="B33" s="445" t="s">
        <v>3349</v>
      </c>
      <c r="C33" s="50">
        <v>6</v>
      </c>
      <c r="D33" s="518">
        <f>Deník!CK606</f>
        <v>0</v>
      </c>
      <c r="E33" s="519">
        <f>Deník!BB606-D33</f>
        <v>0</v>
      </c>
      <c r="F33" s="519">
        <f>Deník!CS606</f>
        <v>0</v>
      </c>
      <c r="G33" s="519">
        <f>Deník!BK606-F33</f>
        <v>0</v>
      </c>
      <c r="H33" s="520">
        <f t="shared" si="4"/>
        <v>0</v>
      </c>
      <c r="J33" s="539"/>
      <c r="K33" s="540"/>
      <c r="L33" s="541"/>
      <c r="M33" s="541"/>
      <c r="N33" s="520">
        <f t="shared" si="5"/>
        <v>0</v>
      </c>
      <c r="P33" s="432">
        <v>18</v>
      </c>
      <c r="Q33" s="43" t="str">
        <f t="shared" si="6"/>
        <v/>
      </c>
      <c r="R33" s="43" t="str">
        <f t="shared" si="7"/>
        <v/>
      </c>
      <c r="S33" s="43" t="str">
        <f t="shared" si="8"/>
        <v/>
      </c>
      <c r="T33" s="43" t="str">
        <f t="shared" si="9"/>
        <v/>
      </c>
    </row>
    <row r="34" spans="2:20" ht="15" customHeight="1" x14ac:dyDescent="0.2">
      <c r="B34" s="445" t="s">
        <v>3350</v>
      </c>
      <c r="C34" s="50">
        <v>7</v>
      </c>
      <c r="D34" s="518">
        <f>Deník!CL606</f>
        <v>0</v>
      </c>
      <c r="E34" s="519">
        <f>Deník!BC606-D34</f>
        <v>1000.5</v>
      </c>
      <c r="F34" s="519">
        <f>Deník!CT606</f>
        <v>0</v>
      </c>
      <c r="G34" s="519">
        <f>Deník!BL606-F34</f>
        <v>0</v>
      </c>
      <c r="H34" s="520">
        <f t="shared" si="4"/>
        <v>1000.5</v>
      </c>
      <c r="J34" s="539"/>
      <c r="K34" s="540">
        <v>2000</v>
      </c>
      <c r="L34" s="541"/>
      <c r="M34" s="541"/>
      <c r="N34" s="520">
        <f t="shared" si="5"/>
        <v>2000</v>
      </c>
      <c r="P34" s="432">
        <v>19</v>
      </c>
      <c r="Q34" s="43">
        <f t="shared" si="6"/>
        <v>1</v>
      </c>
      <c r="R34" s="43" t="str">
        <f t="shared" si="7"/>
        <v/>
      </c>
      <c r="S34" s="43">
        <f t="shared" si="8"/>
        <v>2</v>
      </c>
      <c r="T34" s="43" t="str">
        <f t="shared" si="9"/>
        <v/>
      </c>
    </row>
    <row r="35" spans="2:20" ht="15" customHeight="1" x14ac:dyDescent="0.2">
      <c r="B35" s="445" t="s">
        <v>2</v>
      </c>
      <c r="C35" s="50">
        <v>8</v>
      </c>
      <c r="D35" s="518">
        <f>Deník!CM606</f>
        <v>0</v>
      </c>
      <c r="E35" s="519">
        <f>Deník!BD606-D35</f>
        <v>6144.5</v>
      </c>
      <c r="F35" s="519">
        <f>Deník!CU606</f>
        <v>0</v>
      </c>
      <c r="G35" s="519">
        <f>Deník!BM606-F35</f>
        <v>0</v>
      </c>
      <c r="H35" s="520">
        <f t="shared" si="4"/>
        <v>6144.5</v>
      </c>
      <c r="J35" s="539"/>
      <c r="K35" s="540">
        <v>3000</v>
      </c>
      <c r="L35" s="541"/>
      <c r="M35" s="541"/>
      <c r="N35" s="520">
        <f t="shared" si="5"/>
        <v>3000</v>
      </c>
      <c r="P35" s="432">
        <v>20</v>
      </c>
      <c r="Q35" s="43">
        <f t="shared" si="6"/>
        <v>6</v>
      </c>
      <c r="R35" s="43" t="str">
        <f t="shared" si="7"/>
        <v/>
      </c>
      <c r="S35" s="43">
        <f t="shared" si="8"/>
        <v>3</v>
      </c>
      <c r="T35" s="43" t="str">
        <f t="shared" si="9"/>
        <v/>
      </c>
    </row>
    <row r="36" spans="2:20" ht="15" customHeight="1" x14ac:dyDescent="0.2">
      <c r="B36" s="445" t="s">
        <v>3342</v>
      </c>
      <c r="C36" s="50">
        <v>9</v>
      </c>
      <c r="D36" s="516" t="s">
        <v>3376</v>
      </c>
      <c r="E36" s="519">
        <f>IF(Deník!BE606&gt;Deník!AS606,Deník!BE606-Deník!AS606,0)</f>
        <v>0</v>
      </c>
      <c r="F36" s="516" t="s">
        <v>3376</v>
      </c>
      <c r="G36" s="516" t="s">
        <v>3376</v>
      </c>
      <c r="H36" s="520">
        <f>E36</f>
        <v>0</v>
      </c>
      <c r="J36" s="532" t="s">
        <v>3376</v>
      </c>
      <c r="K36" s="540"/>
      <c r="L36" s="516" t="s">
        <v>3376</v>
      </c>
      <c r="M36" s="516" t="s">
        <v>3376</v>
      </c>
      <c r="N36" s="520">
        <f>K36</f>
        <v>0</v>
      </c>
      <c r="P36" s="432">
        <v>21</v>
      </c>
      <c r="Q36" s="43" t="str">
        <f t="shared" si="6"/>
        <v/>
      </c>
      <c r="S36" s="43" t="str">
        <f t="shared" si="8"/>
        <v/>
      </c>
    </row>
    <row r="37" spans="2:20" ht="15" customHeight="1" x14ac:dyDescent="0.2">
      <c r="B37" s="448" t="s">
        <v>3343</v>
      </c>
      <c r="C37" s="449">
        <v>10</v>
      </c>
      <c r="D37" s="521">
        <v>0</v>
      </c>
      <c r="E37" s="522">
        <v>0</v>
      </c>
      <c r="F37" s="522">
        <v>0</v>
      </c>
      <c r="G37" s="522">
        <v>0</v>
      </c>
      <c r="H37" s="524">
        <v>0</v>
      </c>
      <c r="J37" s="535" t="s">
        <v>3376</v>
      </c>
      <c r="K37" s="536" t="s">
        <v>3376</v>
      </c>
      <c r="L37" s="523" t="s">
        <v>3376</v>
      </c>
      <c r="M37" s="523" t="s">
        <v>3376</v>
      </c>
      <c r="N37" s="524">
        <v>0</v>
      </c>
      <c r="P37" s="432" t="s">
        <v>1</v>
      </c>
    </row>
    <row r="38" spans="2:20" ht="15" customHeight="1" x14ac:dyDescent="0.2">
      <c r="B38" s="455" t="s">
        <v>3428</v>
      </c>
      <c r="C38" s="456">
        <v>11</v>
      </c>
      <c r="D38" s="525">
        <f>SUM(D28:D37)</f>
        <v>6300.5</v>
      </c>
      <c r="E38" s="525">
        <f>SUM(E28:E37)</f>
        <v>33751.5</v>
      </c>
      <c r="F38" s="526">
        <f>SUM(F28:F37)</f>
        <v>100</v>
      </c>
      <c r="G38" s="526">
        <f>SUM(G28:G37)</f>
        <v>0</v>
      </c>
      <c r="H38" s="527">
        <f>SUM(H28:H37)</f>
        <v>40152</v>
      </c>
      <c r="J38" s="534">
        <f>SUM(J28:J37)</f>
        <v>7900</v>
      </c>
      <c r="K38" s="525">
        <f>SUM(K28:K37)</f>
        <v>30453</v>
      </c>
      <c r="L38" s="526">
        <f>SUM(L28:L37)</f>
        <v>777</v>
      </c>
      <c r="M38" s="526">
        <f>SUM(M28:M37)</f>
        <v>0</v>
      </c>
      <c r="N38" s="527">
        <f>SUM(N28:N37)</f>
        <v>39130</v>
      </c>
      <c r="P38" s="432">
        <v>23</v>
      </c>
      <c r="Q38" s="43">
        <f>SUM(Q28:Q36)</f>
        <v>40</v>
      </c>
      <c r="R38" s="43">
        <f>SUM(R28:R35)</f>
        <v>0</v>
      </c>
      <c r="S38" s="43">
        <f>SUM(S28:S36)</f>
        <v>38</v>
      </c>
      <c r="T38" s="43">
        <f>SUM(T28:T35)</f>
        <v>1</v>
      </c>
    </row>
    <row r="39" spans="2:20" ht="15" customHeight="1" x14ac:dyDescent="0.2">
      <c r="B39" s="455" t="s">
        <v>3464</v>
      </c>
      <c r="C39" s="456">
        <v>12</v>
      </c>
      <c r="D39" s="699">
        <f>SUM(D38:E38)</f>
        <v>40052</v>
      </c>
      <c r="E39" s="700"/>
      <c r="F39" s="699">
        <f>SUM(F38:G38)</f>
        <v>100</v>
      </c>
      <c r="G39" s="700"/>
      <c r="H39" s="527"/>
      <c r="J39" s="706">
        <f>SUM(J38:K38)</f>
        <v>38353</v>
      </c>
      <c r="K39" s="700"/>
      <c r="L39" s="699">
        <f>SUM(L38:M38)</f>
        <v>777</v>
      </c>
      <c r="M39" s="700"/>
      <c r="N39" s="527"/>
    </row>
    <row r="40" spans="2:20" ht="15" customHeight="1" thickBot="1" x14ac:dyDescent="0.25">
      <c r="B40" s="450" t="s">
        <v>3334</v>
      </c>
      <c r="C40" s="451">
        <v>99</v>
      </c>
      <c r="D40" s="701">
        <f>D23-D39</f>
        <v>573.33000000000175</v>
      </c>
      <c r="E40" s="702"/>
      <c r="F40" s="701">
        <f>F23-F39</f>
        <v>5634.5599999999995</v>
      </c>
      <c r="G40" s="702"/>
      <c r="H40" s="528">
        <f>H23-H38</f>
        <v>6207.8899999999994</v>
      </c>
      <c r="J40" s="707">
        <f>J23-J39</f>
        <v>1554.5</v>
      </c>
      <c r="K40" s="702"/>
      <c r="L40" s="701">
        <f>L23-L39</f>
        <v>10087</v>
      </c>
      <c r="M40" s="702"/>
      <c r="N40" s="528">
        <f>N23-N38</f>
        <v>11641.5</v>
      </c>
      <c r="P40" s="432">
        <v>24</v>
      </c>
      <c r="Q40" s="43">
        <f>Q23-Q38</f>
        <v>2</v>
      </c>
      <c r="R40" s="43">
        <f>R23-R38</f>
        <v>6</v>
      </c>
      <c r="S40" s="43">
        <f>S23-S38</f>
        <v>1</v>
      </c>
      <c r="T40" s="43">
        <f>T23-T38</f>
        <v>10</v>
      </c>
    </row>
    <row r="41" spans="2:20" ht="15" customHeight="1" x14ac:dyDescent="0.2">
      <c r="B41" s="43" t="s">
        <v>3377</v>
      </c>
    </row>
    <row r="42" spans="2:20" ht="7.5" customHeight="1" x14ac:dyDescent="0.2"/>
    <row r="43" spans="2:20" x14ac:dyDescent="0.2">
      <c r="B43" s="43" t="str">
        <f>"Datum: "&amp;'Základní údaje'!B24</f>
        <v>Datum: d.m.rok</v>
      </c>
      <c r="D43" s="43" t="s">
        <v>3335</v>
      </c>
    </row>
  </sheetData>
  <sheetProtection sheet="1" objects="1" scenarios="1"/>
  <mergeCells count="34">
    <mergeCell ref="B8:F8"/>
    <mergeCell ref="B1:H1"/>
    <mergeCell ref="B2:H2"/>
    <mergeCell ref="B3:H3"/>
    <mergeCell ref="B6:F6"/>
    <mergeCell ref="B7:F7"/>
    <mergeCell ref="D10:H10"/>
    <mergeCell ref="B11:B12"/>
    <mergeCell ref="C11:C12"/>
    <mergeCell ref="D25:H25"/>
    <mergeCell ref="B26:B27"/>
    <mergeCell ref="C26:C27"/>
    <mergeCell ref="F11:G11"/>
    <mergeCell ref="D11:E11"/>
    <mergeCell ref="F23:G23"/>
    <mergeCell ref="D23:E23"/>
    <mergeCell ref="D39:E39"/>
    <mergeCell ref="D40:E40"/>
    <mergeCell ref="F40:G40"/>
    <mergeCell ref="F39:G39"/>
    <mergeCell ref="D26:E26"/>
    <mergeCell ref="F26:G26"/>
    <mergeCell ref="L26:M26"/>
    <mergeCell ref="L39:M39"/>
    <mergeCell ref="L40:M40"/>
    <mergeCell ref="J10:N10"/>
    <mergeCell ref="L11:M11"/>
    <mergeCell ref="J26:K26"/>
    <mergeCell ref="J39:K39"/>
    <mergeCell ref="J40:K40"/>
    <mergeCell ref="J11:K11"/>
    <mergeCell ref="J23:K23"/>
    <mergeCell ref="L23:M23"/>
    <mergeCell ref="J25:N25"/>
  </mergeCells>
  <printOptions horizontalCentered="1"/>
  <pageMargins left="0.25" right="0.25" top="0.75" bottom="0.75" header="0.3" footer="0.3"/>
  <pageSetup paperSize="9" scale="85"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7030A0"/>
  </sheetPr>
  <dimension ref="A1:L33"/>
  <sheetViews>
    <sheetView workbookViewId="0">
      <selection sqref="A1:A3"/>
    </sheetView>
  </sheetViews>
  <sheetFormatPr defaultRowHeight="12.75" x14ac:dyDescent="0.2"/>
  <cols>
    <col min="1" max="1" width="13.85546875" style="111" customWidth="1"/>
    <col min="2" max="2" width="17.85546875" style="111" customWidth="1"/>
    <col min="3" max="3" width="12" style="111" customWidth="1"/>
    <col min="4" max="4" width="4.42578125" style="111" customWidth="1"/>
    <col min="5" max="5" width="12" style="111" customWidth="1"/>
    <col min="6" max="6" width="3.5703125" style="111" customWidth="1"/>
    <col min="7" max="7" width="6.140625" style="111" customWidth="1"/>
    <col min="8" max="8" width="21.85546875" style="111" customWidth="1"/>
    <col min="9" max="9" width="4.85546875" style="111" customWidth="1"/>
    <col min="10" max="10" width="9.28515625" style="264" customWidth="1"/>
    <col min="11" max="12" width="9.28515625" style="111" customWidth="1"/>
    <col min="13" max="16384" width="9.140625" style="111"/>
  </cols>
  <sheetData>
    <row r="1" spans="1:12" ht="19.5" customHeight="1" x14ac:dyDescent="0.25">
      <c r="A1" s="742" t="s">
        <v>379</v>
      </c>
      <c r="D1" s="263" t="s">
        <v>344</v>
      </c>
    </row>
    <row r="2" spans="1:12" ht="15" customHeight="1" x14ac:dyDescent="0.25">
      <c r="A2" s="742"/>
      <c r="D2" s="263" t="str">
        <f>"k 31.12."&amp;YEAR(Deník!B6)</f>
        <v>k 31.12.2023</v>
      </c>
      <c r="G2" s="739" t="s">
        <v>345</v>
      </c>
      <c r="H2" s="739"/>
    </row>
    <row r="3" spans="1:12" ht="16.5" customHeight="1" x14ac:dyDescent="0.2">
      <c r="A3" s="742"/>
      <c r="D3" s="275" t="s">
        <v>3431</v>
      </c>
      <c r="G3" s="740"/>
      <c r="H3" s="740"/>
    </row>
    <row r="4" spans="1:12" ht="9.75" customHeight="1" thickBot="1" x14ac:dyDescent="0.25">
      <c r="A4" s="746" t="str">
        <f>"Registrace u "&amp;'Základní údaje'!B11&amp;", vložka"</f>
        <v>Registrace u Městského soudu v Praze, vložka</v>
      </c>
      <c r="D4" s="264"/>
      <c r="G4" s="735" t="str">
        <f>'Základní údaje'!B10&amp;IF('Základní údaje'!B10="SH ČMS - Sbor dobrovolných hasičů"," "&amp;'Základní údaje'!B16,"")</f>
        <v>SH ČMS - Sbor dobrovolných hasičů Osík</v>
      </c>
      <c r="H4" s="736"/>
    </row>
    <row r="5" spans="1:12" ht="18.75" customHeight="1" thickBot="1" x14ac:dyDescent="0.25">
      <c r="A5" s="747"/>
      <c r="C5" s="743" t="s">
        <v>378</v>
      </c>
      <c r="D5" s="744"/>
      <c r="E5" s="745"/>
      <c r="G5" s="737"/>
      <c r="H5" s="738"/>
    </row>
    <row r="6" spans="1:12" ht="23.25" customHeight="1" thickBot="1" x14ac:dyDescent="0.25">
      <c r="A6" s="294" t="str">
        <f>'Základní údaje'!B12</f>
        <v>L 2096</v>
      </c>
      <c r="C6" s="743">
        <f>'Základní údaje'!B9</f>
        <v>64211045</v>
      </c>
      <c r="D6" s="744"/>
      <c r="E6" s="745"/>
      <c r="G6" s="723"/>
      <c r="H6" s="724"/>
    </row>
    <row r="7" spans="1:12" ht="21" customHeight="1" x14ac:dyDescent="0.2"/>
    <row r="8" spans="1:12" ht="12.95" customHeight="1" x14ac:dyDescent="0.2">
      <c r="A8" s="734" t="s">
        <v>346</v>
      </c>
      <c r="B8" s="734"/>
      <c r="C8" s="734"/>
      <c r="D8" s="729" t="s">
        <v>347</v>
      </c>
      <c r="E8" s="731" t="s">
        <v>348</v>
      </c>
      <c r="F8" s="731"/>
      <c r="G8" s="731"/>
      <c r="H8" s="731"/>
    </row>
    <row r="9" spans="1:12" ht="12.95" customHeight="1" x14ac:dyDescent="0.2">
      <c r="A9" s="734"/>
      <c r="B9" s="734"/>
      <c r="C9" s="734"/>
      <c r="D9" s="730"/>
      <c r="E9" s="732" t="s">
        <v>380</v>
      </c>
      <c r="F9" s="732"/>
      <c r="G9" s="732"/>
      <c r="H9" s="732" t="s">
        <v>381</v>
      </c>
      <c r="J9" s="70" t="s">
        <v>3432</v>
      </c>
    </row>
    <row r="10" spans="1:12" ht="12.95" customHeight="1" x14ac:dyDescent="0.2">
      <c r="A10" s="734"/>
      <c r="B10" s="734"/>
      <c r="C10" s="734"/>
      <c r="D10" s="730"/>
      <c r="E10" s="732"/>
      <c r="F10" s="732"/>
      <c r="G10" s="732"/>
      <c r="H10" s="732"/>
      <c r="J10" s="494">
        <v>1</v>
      </c>
      <c r="K10" s="495">
        <f>K20</f>
        <v>8</v>
      </c>
      <c r="L10" s="495">
        <f>L20</f>
        <v>15</v>
      </c>
    </row>
    <row r="11" spans="1:12" ht="24" customHeight="1" x14ac:dyDescent="0.2">
      <c r="A11" s="726" t="s">
        <v>349</v>
      </c>
      <c r="B11" s="726"/>
      <c r="C11" s="726"/>
      <c r="D11" s="265" t="s">
        <v>350</v>
      </c>
      <c r="E11" s="727"/>
      <c r="F11" s="727"/>
      <c r="G11" s="727"/>
      <c r="H11" s="496"/>
      <c r="J11" s="494">
        <v>2</v>
      </c>
      <c r="K11" s="499" t="str">
        <f>IF(E11=0,"",ROUND(E11/1000,0))</f>
        <v/>
      </c>
      <c r="L11" s="499" t="str">
        <f>IF(H11=0,"",ROUND(H11/1000,0))</f>
        <v/>
      </c>
    </row>
    <row r="12" spans="1:12" ht="24" customHeight="1" x14ac:dyDescent="0.2">
      <c r="A12" s="726" t="s">
        <v>351</v>
      </c>
      <c r="B12" s="726"/>
      <c r="C12" s="726"/>
      <c r="D12" s="265" t="s">
        <v>352</v>
      </c>
      <c r="E12" s="727"/>
      <c r="F12" s="727"/>
      <c r="G12" s="727"/>
      <c r="H12" s="496"/>
      <c r="J12" s="494">
        <v>3</v>
      </c>
      <c r="K12" s="499" t="str">
        <f t="shared" ref="K12:K19" si="0">IF(E12=0,"",ROUND(E12/1000,0))</f>
        <v/>
      </c>
      <c r="L12" s="499" t="str">
        <f t="shared" ref="L12:L19" si="1">IF(H12=0,"",ROUND(H12/1000,0))</f>
        <v/>
      </c>
    </row>
    <row r="13" spans="1:12" ht="24" customHeight="1" x14ac:dyDescent="0.2">
      <c r="A13" s="726" t="s">
        <v>353</v>
      </c>
      <c r="B13" s="726"/>
      <c r="C13" s="726"/>
      <c r="D13" s="265" t="s">
        <v>354</v>
      </c>
      <c r="E13" s="727"/>
      <c r="F13" s="727"/>
      <c r="G13" s="727"/>
      <c r="H13" s="496"/>
      <c r="J13" s="494">
        <v>4</v>
      </c>
      <c r="K13" s="499" t="str">
        <f t="shared" si="0"/>
        <v/>
      </c>
      <c r="L13" s="499" t="str">
        <f t="shared" si="1"/>
        <v/>
      </c>
    </row>
    <row r="14" spans="1:12" ht="24" customHeight="1" x14ac:dyDescent="0.2">
      <c r="A14" s="726" t="s">
        <v>355</v>
      </c>
      <c r="B14" s="726"/>
      <c r="C14" s="726"/>
      <c r="D14" s="265" t="s">
        <v>356</v>
      </c>
      <c r="E14" s="728">
        <f>Deník!K5</f>
        <v>2000</v>
      </c>
      <c r="F14" s="728"/>
      <c r="G14" s="728"/>
      <c r="H14" s="497">
        <f>Deník!K607</f>
        <v>3625</v>
      </c>
      <c r="J14" s="494">
        <v>5</v>
      </c>
      <c r="K14" s="499">
        <f t="shared" si="0"/>
        <v>2</v>
      </c>
      <c r="L14" s="499">
        <f t="shared" si="1"/>
        <v>4</v>
      </c>
    </row>
    <row r="15" spans="1:12" ht="24" customHeight="1" x14ac:dyDescent="0.2">
      <c r="A15" s="726" t="s">
        <v>357</v>
      </c>
      <c r="B15" s="726"/>
      <c r="C15" s="726"/>
      <c r="D15" s="265" t="s">
        <v>358</v>
      </c>
      <c r="E15" s="728">
        <f>SUM(Deník!N5,Deník!Q5,Deník!T5)</f>
        <v>6000</v>
      </c>
      <c r="F15" s="728"/>
      <c r="G15" s="728"/>
      <c r="H15" s="497">
        <f>SUM(Deník!N607,Deník!Q607,Deník!T607)</f>
        <v>10582.889999999998</v>
      </c>
      <c r="J15" s="494">
        <v>6</v>
      </c>
      <c r="K15" s="499">
        <f t="shared" si="0"/>
        <v>6</v>
      </c>
      <c r="L15" s="499">
        <f t="shared" si="1"/>
        <v>11</v>
      </c>
    </row>
    <row r="16" spans="1:12" ht="24" customHeight="1" x14ac:dyDescent="0.2">
      <c r="A16" s="726" t="s">
        <v>88</v>
      </c>
      <c r="B16" s="726"/>
      <c r="C16" s="726"/>
      <c r="D16" s="265" t="s">
        <v>359</v>
      </c>
      <c r="E16" s="727"/>
      <c r="F16" s="727"/>
      <c r="G16" s="727"/>
      <c r="H16" s="496"/>
      <c r="J16" s="494">
        <v>7</v>
      </c>
      <c r="K16" s="499" t="str">
        <f t="shared" si="0"/>
        <v/>
      </c>
      <c r="L16" s="499" t="str">
        <f t="shared" si="1"/>
        <v/>
      </c>
    </row>
    <row r="17" spans="1:12" ht="24" customHeight="1" x14ac:dyDescent="0.2">
      <c r="A17" s="726" t="s">
        <v>89</v>
      </c>
      <c r="B17" s="726"/>
      <c r="C17" s="726"/>
      <c r="D17" s="265" t="s">
        <v>360</v>
      </c>
      <c r="E17" s="727"/>
      <c r="F17" s="727"/>
      <c r="G17" s="727"/>
      <c r="H17" s="496"/>
      <c r="J17" s="494">
        <v>8</v>
      </c>
      <c r="K17" s="499" t="str">
        <f t="shared" si="0"/>
        <v/>
      </c>
      <c r="L17" s="499" t="str">
        <f t="shared" si="1"/>
        <v/>
      </c>
    </row>
    <row r="18" spans="1:12" ht="24" customHeight="1" x14ac:dyDescent="0.2">
      <c r="A18" s="726" t="s">
        <v>361</v>
      </c>
      <c r="B18" s="726"/>
      <c r="C18" s="726"/>
      <c r="D18" s="265" t="s">
        <v>362</v>
      </c>
      <c r="E18" s="727"/>
      <c r="F18" s="727"/>
      <c r="G18" s="727"/>
      <c r="H18" s="496"/>
      <c r="J18" s="494">
        <v>9</v>
      </c>
      <c r="K18" s="499" t="str">
        <f t="shared" si="0"/>
        <v/>
      </c>
      <c r="L18" s="499" t="str">
        <f t="shared" si="1"/>
        <v/>
      </c>
    </row>
    <row r="19" spans="1:12" ht="24" customHeight="1" x14ac:dyDescent="0.2">
      <c r="A19" s="726" t="s">
        <v>363</v>
      </c>
      <c r="B19" s="726"/>
      <c r="C19" s="726"/>
      <c r="D19" s="265" t="s">
        <v>364</v>
      </c>
      <c r="E19" s="727"/>
      <c r="F19" s="727"/>
      <c r="G19" s="727"/>
      <c r="H19" s="496"/>
      <c r="J19" s="494">
        <v>10</v>
      </c>
      <c r="K19" s="499" t="str">
        <f t="shared" si="0"/>
        <v/>
      </c>
      <c r="L19" s="499" t="str">
        <f t="shared" si="1"/>
        <v/>
      </c>
    </row>
    <row r="20" spans="1:12" ht="24" customHeight="1" x14ac:dyDescent="0.2">
      <c r="A20" s="741" t="s">
        <v>365</v>
      </c>
      <c r="B20" s="741"/>
      <c r="C20" s="741"/>
      <c r="D20" s="265" t="s">
        <v>382</v>
      </c>
      <c r="E20" s="720">
        <f>SUM(E11:G19)</f>
        <v>8000</v>
      </c>
      <c r="F20" s="720"/>
      <c r="G20" s="720"/>
      <c r="H20" s="498">
        <f>SUM(H11:H19)</f>
        <v>14207.889999999998</v>
      </c>
      <c r="J20" s="494">
        <v>11</v>
      </c>
      <c r="K20" s="499">
        <f>SUM(K11:K19)</f>
        <v>8</v>
      </c>
      <c r="L20" s="499">
        <f>SUM(L11:L19)</f>
        <v>15</v>
      </c>
    </row>
    <row r="21" spans="1:12" ht="12.95" customHeight="1" x14ac:dyDescent="0.2">
      <c r="A21" s="734" t="s">
        <v>366</v>
      </c>
      <c r="B21" s="734"/>
      <c r="C21" s="734"/>
      <c r="D21" s="729" t="s">
        <v>347</v>
      </c>
      <c r="E21" s="731" t="s">
        <v>348</v>
      </c>
      <c r="F21" s="731"/>
      <c r="G21" s="731"/>
      <c r="H21" s="731"/>
      <c r="J21" s="494"/>
      <c r="K21" s="495"/>
      <c r="L21" s="495"/>
    </row>
    <row r="22" spans="1:12" ht="12.95" customHeight="1" x14ac:dyDescent="0.2">
      <c r="A22" s="734"/>
      <c r="B22" s="734"/>
      <c r="C22" s="734"/>
      <c r="D22" s="730"/>
      <c r="E22" s="732" t="s">
        <v>380</v>
      </c>
      <c r="F22" s="732"/>
      <c r="G22" s="732"/>
      <c r="H22" s="732" t="s">
        <v>381</v>
      </c>
      <c r="J22" s="494"/>
      <c r="K22" s="495"/>
      <c r="L22" s="495"/>
    </row>
    <row r="23" spans="1:12" ht="12.95" customHeight="1" x14ac:dyDescent="0.2">
      <c r="A23" s="734"/>
      <c r="B23" s="734"/>
      <c r="C23" s="734"/>
      <c r="D23" s="730"/>
      <c r="E23" s="732"/>
      <c r="F23" s="732"/>
      <c r="G23" s="732"/>
      <c r="H23" s="732"/>
      <c r="J23" s="494">
        <v>12</v>
      </c>
      <c r="K23" s="495">
        <f>K26</f>
        <v>0</v>
      </c>
      <c r="L23" s="495">
        <f>L26</f>
        <v>0</v>
      </c>
    </row>
    <row r="24" spans="1:12" ht="24" customHeight="1" x14ac:dyDescent="0.2">
      <c r="A24" s="726" t="s">
        <v>91</v>
      </c>
      <c r="B24" s="726"/>
      <c r="C24" s="726"/>
      <c r="D24" s="265" t="s">
        <v>367</v>
      </c>
      <c r="E24" s="727"/>
      <c r="F24" s="727"/>
      <c r="G24" s="727"/>
      <c r="H24" s="496"/>
      <c r="J24" s="494">
        <v>13</v>
      </c>
      <c r="K24" s="499" t="str">
        <f t="shared" ref="K24:K25" si="2">IF(E24=0,"",ROUND(E24/1000,0))</f>
        <v/>
      </c>
      <c r="L24" s="499" t="str">
        <f t="shared" ref="L24:L25" si="3">IF(H24=0,"",ROUND(H24/1000,0))</f>
        <v/>
      </c>
    </row>
    <row r="25" spans="1:12" ht="24" customHeight="1" x14ac:dyDescent="0.2">
      <c r="A25" s="726" t="s">
        <v>368</v>
      </c>
      <c r="B25" s="726"/>
      <c r="C25" s="726"/>
      <c r="D25" s="265" t="s">
        <v>369</v>
      </c>
      <c r="E25" s="727"/>
      <c r="F25" s="727"/>
      <c r="G25" s="727"/>
      <c r="H25" s="496"/>
      <c r="J25" s="494">
        <v>14</v>
      </c>
      <c r="K25" s="499" t="str">
        <f t="shared" si="2"/>
        <v/>
      </c>
      <c r="L25" s="499" t="str">
        <f t="shared" si="3"/>
        <v/>
      </c>
    </row>
    <row r="26" spans="1:12" ht="24" customHeight="1" x14ac:dyDescent="0.2">
      <c r="A26" s="726" t="s">
        <v>370</v>
      </c>
      <c r="B26" s="726"/>
      <c r="C26" s="726"/>
      <c r="D26" s="265" t="s">
        <v>371</v>
      </c>
      <c r="E26" s="720">
        <f>SUM(E24:G25)</f>
        <v>0</v>
      </c>
      <c r="F26" s="720"/>
      <c r="G26" s="720"/>
      <c r="H26" s="498">
        <f>SUM(H24:H25)</f>
        <v>0</v>
      </c>
      <c r="J26" s="494">
        <v>15</v>
      </c>
      <c r="K26" s="499">
        <f>ROUND(E26/1000,0)</f>
        <v>0</v>
      </c>
      <c r="L26" s="499">
        <f>ROUND(H26/1000,0)</f>
        <v>0</v>
      </c>
    </row>
    <row r="27" spans="1:12" ht="24" customHeight="1" x14ac:dyDescent="0.2">
      <c r="A27" s="726"/>
      <c r="B27" s="726"/>
      <c r="C27" s="726"/>
      <c r="D27" s="265"/>
      <c r="E27" s="733"/>
      <c r="F27" s="733"/>
      <c r="G27" s="733"/>
      <c r="H27" s="274"/>
      <c r="J27" s="494"/>
      <c r="K27" s="495"/>
      <c r="L27" s="495"/>
    </row>
    <row r="28" spans="1:12" ht="24" customHeight="1" x14ac:dyDescent="0.2">
      <c r="A28" s="726" t="s">
        <v>372</v>
      </c>
      <c r="B28" s="726"/>
      <c r="C28" s="726"/>
      <c r="D28" s="265" t="s">
        <v>373</v>
      </c>
      <c r="E28" s="720">
        <f>E20-E26</f>
        <v>8000</v>
      </c>
      <c r="F28" s="720"/>
      <c r="G28" s="720"/>
      <c r="H28" s="498">
        <f>H20-H26</f>
        <v>14207.889999999998</v>
      </c>
      <c r="J28" s="494">
        <v>16</v>
      </c>
      <c r="K28" s="499">
        <f>K20-K26</f>
        <v>8</v>
      </c>
      <c r="L28" s="499">
        <f>L20-L26</f>
        <v>15</v>
      </c>
    </row>
    <row r="29" spans="1:12" ht="37.5" customHeight="1" x14ac:dyDescent="0.2"/>
    <row r="30" spans="1:12" ht="21.75" customHeight="1" x14ac:dyDescent="0.2">
      <c r="A30" s="272" t="s">
        <v>374</v>
      </c>
      <c r="B30" s="266"/>
      <c r="C30" s="267"/>
      <c r="D30" s="721" t="s">
        <v>385</v>
      </c>
      <c r="E30" s="725"/>
      <c r="F30" s="725"/>
      <c r="G30" s="725"/>
      <c r="H30" s="722"/>
    </row>
    <row r="31" spans="1:12" ht="53.25" customHeight="1" x14ac:dyDescent="0.2">
      <c r="A31" s="268"/>
      <c r="B31" s="269"/>
      <c r="C31" s="270"/>
      <c r="D31" s="268"/>
      <c r="E31" s="269"/>
      <c r="F31" s="269"/>
      <c r="G31" s="269"/>
      <c r="H31" s="270"/>
    </row>
    <row r="32" spans="1:12" ht="18.75" customHeight="1" x14ac:dyDescent="0.2">
      <c r="A32" s="273" t="s">
        <v>375</v>
      </c>
      <c r="B32" s="721" t="s">
        <v>383</v>
      </c>
      <c r="C32" s="722"/>
      <c r="D32" s="721" t="s">
        <v>386</v>
      </c>
      <c r="E32" s="725"/>
      <c r="F32" s="725"/>
      <c r="G32" s="725"/>
      <c r="H32" s="722"/>
    </row>
    <row r="33" spans="1:8" ht="47.25" customHeight="1" x14ac:dyDescent="0.2">
      <c r="A33" s="271" t="s">
        <v>384</v>
      </c>
      <c r="B33" s="723" t="s">
        <v>376</v>
      </c>
      <c r="C33" s="724"/>
      <c r="D33" s="268"/>
      <c r="E33" s="269"/>
      <c r="F33" s="269"/>
      <c r="G33" s="269"/>
      <c r="H33" s="270"/>
    </row>
  </sheetData>
  <sheetProtection sheet="1" objects="1" scenarios="1"/>
  <mergeCells count="50">
    <mergeCell ref="A19:C19"/>
    <mergeCell ref="A20:C20"/>
    <mergeCell ref="A1:A3"/>
    <mergeCell ref="C5:E5"/>
    <mergeCell ref="C6:E6"/>
    <mergeCell ref="A4:A5"/>
    <mergeCell ref="A14:C14"/>
    <mergeCell ref="A15:C15"/>
    <mergeCell ref="A16:C16"/>
    <mergeCell ref="A17:C17"/>
    <mergeCell ref="A18:C18"/>
    <mergeCell ref="D8:D10"/>
    <mergeCell ref="A8:C10"/>
    <mergeCell ref="A11:C11"/>
    <mergeCell ref="A12:C12"/>
    <mergeCell ref="A13:C13"/>
    <mergeCell ref="G4:H6"/>
    <mergeCell ref="G2:H3"/>
    <mergeCell ref="E8:H8"/>
    <mergeCell ref="E9:G10"/>
    <mergeCell ref="H9:H10"/>
    <mergeCell ref="D21:D23"/>
    <mergeCell ref="E21:H21"/>
    <mergeCell ref="E22:G23"/>
    <mergeCell ref="H22:H23"/>
    <mergeCell ref="A27:C27"/>
    <mergeCell ref="E24:G24"/>
    <mergeCell ref="E25:G25"/>
    <mergeCell ref="E26:G26"/>
    <mergeCell ref="E27:G27"/>
    <mergeCell ref="A24:C24"/>
    <mergeCell ref="A25:C25"/>
    <mergeCell ref="A26:C26"/>
    <mergeCell ref="A21:C23"/>
    <mergeCell ref="E11:G11"/>
    <mergeCell ref="E12:G12"/>
    <mergeCell ref="E13:G13"/>
    <mergeCell ref="E14:G14"/>
    <mergeCell ref="E15:G15"/>
    <mergeCell ref="E16:G16"/>
    <mergeCell ref="E17:G17"/>
    <mergeCell ref="E18:G18"/>
    <mergeCell ref="E19:G19"/>
    <mergeCell ref="E20:G20"/>
    <mergeCell ref="E28:G28"/>
    <mergeCell ref="B32:C32"/>
    <mergeCell ref="B33:C33"/>
    <mergeCell ref="D32:H32"/>
    <mergeCell ref="D30:H30"/>
    <mergeCell ref="A28:C28"/>
  </mergeCells>
  <printOptions horizontalCentered="1" verticalCentered="1"/>
  <pageMargins left="0.39370078740157483" right="0.39370078740157483" top="0.39370078740157483" bottom="0.39370078740157483" header="0" footer="0"/>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
    <tabColor rgb="FFFFC000"/>
    <pageSetUpPr fitToPage="1"/>
  </sheetPr>
  <dimension ref="A1:BQ44"/>
  <sheetViews>
    <sheetView topLeftCell="B2" workbookViewId="0">
      <selection activeCell="C42" sqref="C42"/>
    </sheetView>
  </sheetViews>
  <sheetFormatPr defaultRowHeight="12.75" x14ac:dyDescent="0.2"/>
  <cols>
    <col min="1" max="1" width="0" style="3" hidden="1" customWidth="1"/>
    <col min="2" max="2" width="3.42578125" style="3" customWidth="1"/>
    <col min="3" max="3" width="5.28515625" style="3" customWidth="1"/>
    <col min="4" max="4" width="6.140625" style="3" customWidth="1"/>
    <col min="5" max="5" width="38.85546875" style="3" customWidth="1"/>
    <col min="6" max="6" width="16" style="3" customWidth="1"/>
    <col min="7" max="7" width="9" style="18" customWidth="1"/>
    <col min="8" max="8" width="19.28515625" style="18" bestFit="1" customWidth="1"/>
    <col min="9" max="9" width="35" style="18" bestFit="1" customWidth="1"/>
    <col min="10" max="10" width="5.5703125" style="7" customWidth="1"/>
    <col min="11" max="22" width="9.140625" style="8"/>
    <col min="23" max="23" width="14.85546875" style="8" bestFit="1" customWidth="1"/>
    <col min="24" max="24" width="5.5703125" style="7" customWidth="1"/>
    <col min="25" max="25" width="10.42578125" style="8" customWidth="1"/>
    <col min="26" max="26" width="9.7109375" style="8" customWidth="1"/>
    <col min="27" max="27" width="10.42578125" style="8" customWidth="1"/>
    <col min="28" max="28" width="9.7109375" style="8" customWidth="1"/>
    <col min="29" max="31" width="8.5703125" style="8" customWidth="1"/>
    <col min="32" max="33" width="7.140625" style="8" customWidth="1"/>
    <col min="34" max="35" width="8.5703125" style="8" customWidth="1"/>
    <col min="36" max="36" width="8.85546875" style="8" customWidth="1"/>
    <col min="37" max="37" width="9.140625" style="8"/>
    <col min="38" max="38" width="11.140625" style="8" customWidth="1"/>
    <col min="39" max="39" width="9.140625" style="8"/>
    <col min="40" max="40" width="5.5703125" style="7" customWidth="1"/>
    <col min="41" max="41" width="10.42578125" style="8" customWidth="1"/>
    <col min="42" max="42" width="9.7109375" style="8" customWidth="1"/>
    <col min="43" max="43" width="10.42578125" style="8" customWidth="1"/>
    <col min="44" max="44" width="9.7109375" style="8" customWidth="1"/>
    <col min="45" max="47" width="8.5703125" style="8" customWidth="1"/>
    <col min="48" max="49" width="7.140625" style="8" customWidth="1"/>
    <col min="50" max="51" width="8.5703125" style="8" customWidth="1"/>
    <col min="52" max="52" width="5.5703125" style="7" customWidth="1"/>
    <col min="53" max="56" width="8.140625" style="8" customWidth="1"/>
    <col min="57" max="69" width="8.140625" style="3" customWidth="1"/>
    <col min="70" max="16384" width="9.140625" style="3"/>
  </cols>
  <sheetData>
    <row r="1" spans="1:69" s="18" customFormat="1" ht="14.25" hidden="1" customHeight="1" thickBot="1" x14ac:dyDescent="0.25">
      <c r="C1" s="18" t="s">
        <v>110</v>
      </c>
      <c r="D1" s="18" t="s">
        <v>111</v>
      </c>
      <c r="E1" s="18" t="s">
        <v>112</v>
      </c>
      <c r="F1" s="18" t="s">
        <v>113</v>
      </c>
      <c r="G1" s="18" t="s">
        <v>114</v>
      </c>
      <c r="H1" s="18" t="s">
        <v>115</v>
      </c>
      <c r="I1" s="18" t="s">
        <v>116</v>
      </c>
      <c r="J1" s="7"/>
      <c r="K1" s="88" t="s">
        <v>117</v>
      </c>
      <c r="L1" s="88" t="s">
        <v>118</v>
      </c>
      <c r="M1" s="88" t="s">
        <v>119</v>
      </c>
      <c r="N1" s="88" t="s">
        <v>120</v>
      </c>
      <c r="O1" s="88" t="s">
        <v>3303</v>
      </c>
      <c r="P1" s="88" t="s">
        <v>121</v>
      </c>
      <c r="Q1" s="88" t="s">
        <v>122</v>
      </c>
      <c r="R1" s="88" t="s">
        <v>123</v>
      </c>
      <c r="S1" s="88" t="s">
        <v>124</v>
      </c>
      <c r="T1" s="88" t="s">
        <v>125</v>
      </c>
      <c r="U1" s="88" t="s">
        <v>126</v>
      </c>
      <c r="V1" s="88" t="s">
        <v>3383</v>
      </c>
      <c r="W1" s="88" t="s">
        <v>127</v>
      </c>
      <c r="X1" s="7"/>
      <c r="Y1" s="88" t="s">
        <v>128</v>
      </c>
      <c r="Z1" s="88" t="s">
        <v>129</v>
      </c>
      <c r="AA1" s="88" t="s">
        <v>130</v>
      </c>
      <c r="AB1" s="88" t="s">
        <v>131</v>
      </c>
      <c r="AC1" s="88" t="s">
        <v>132</v>
      </c>
      <c r="AD1" s="88" t="s">
        <v>646</v>
      </c>
      <c r="AE1" s="88" t="s">
        <v>3296</v>
      </c>
      <c r="AF1" s="88" t="s">
        <v>3297</v>
      </c>
      <c r="AG1" s="88" t="s">
        <v>3298</v>
      </c>
      <c r="AH1" s="88" t="s">
        <v>3299</v>
      </c>
      <c r="AI1" s="88" t="s">
        <v>3300</v>
      </c>
      <c r="AJ1" s="88" t="s">
        <v>3302</v>
      </c>
      <c r="AK1" s="88" t="s">
        <v>3301</v>
      </c>
      <c r="AL1" s="88" t="s">
        <v>3384</v>
      </c>
      <c r="AM1" s="88" t="s">
        <v>3385</v>
      </c>
      <c r="AN1" s="7"/>
      <c r="AO1" s="88" t="s">
        <v>3386</v>
      </c>
      <c r="AP1" s="88" t="s">
        <v>3387</v>
      </c>
      <c r="AQ1" s="88" t="s">
        <v>3388</v>
      </c>
      <c r="AR1" s="88" t="s">
        <v>3389</v>
      </c>
      <c r="AS1" s="88" t="s">
        <v>3390</v>
      </c>
      <c r="AT1" s="88" t="s">
        <v>3391</v>
      </c>
      <c r="AU1" s="88" t="s">
        <v>3392</v>
      </c>
      <c r="AV1" s="88" t="s">
        <v>3393</v>
      </c>
      <c r="AW1" s="88" t="s">
        <v>3394</v>
      </c>
      <c r="AX1" s="88" t="s">
        <v>3395</v>
      </c>
      <c r="AY1" s="88" t="s">
        <v>3296</v>
      </c>
      <c r="AZ1" s="7"/>
      <c r="BA1" s="88" t="s">
        <v>3396</v>
      </c>
      <c r="BB1" s="88" t="s">
        <v>3397</v>
      </c>
      <c r="BC1" s="88" t="s">
        <v>3398</v>
      </c>
      <c r="BD1" s="88" t="s">
        <v>3399</v>
      </c>
      <c r="BE1" s="18" t="s">
        <v>3400</v>
      </c>
      <c r="BF1" s="18" t="s">
        <v>3401</v>
      </c>
      <c r="BG1" s="18" t="s">
        <v>3402</v>
      </c>
      <c r="BH1" s="18" t="s">
        <v>3403</v>
      </c>
      <c r="BI1" s="18" t="s">
        <v>3404</v>
      </c>
      <c r="BJ1" s="18" t="s">
        <v>3405</v>
      </c>
      <c r="BK1" s="18" t="s">
        <v>3406</v>
      </c>
      <c r="BL1" s="18" t="s">
        <v>3407</v>
      </c>
      <c r="BM1" s="18" t="s">
        <v>3408</v>
      </c>
      <c r="BN1" s="18" t="s">
        <v>3410</v>
      </c>
      <c r="BO1" s="18" t="s">
        <v>3409</v>
      </c>
      <c r="BP1" s="18" t="s">
        <v>3411</v>
      </c>
      <c r="BQ1" s="18" t="s">
        <v>3412</v>
      </c>
    </row>
    <row r="2" spans="1:69" x14ac:dyDescent="0.2">
      <c r="B2" s="573" t="s">
        <v>15</v>
      </c>
      <c r="C2" s="574"/>
      <c r="D2" s="574"/>
      <c r="E2" s="575"/>
      <c r="F2" s="576" t="s">
        <v>13</v>
      </c>
      <c r="G2" s="577"/>
      <c r="H2" s="590" t="s">
        <v>3372</v>
      </c>
      <c r="I2" s="591"/>
      <c r="J2" s="2"/>
      <c r="K2" s="568" t="s">
        <v>0</v>
      </c>
      <c r="L2" s="567"/>
      <c r="M2" s="567"/>
      <c r="N2" s="567"/>
      <c r="O2" s="567"/>
      <c r="P2" s="567"/>
      <c r="Q2" s="567"/>
      <c r="R2" s="567"/>
      <c r="S2" s="567"/>
      <c r="T2" s="567"/>
      <c r="U2" s="567"/>
      <c r="V2" s="569"/>
      <c r="W2" s="433" t="s">
        <v>3285</v>
      </c>
      <c r="X2" s="2"/>
      <c r="Y2" s="589" t="s">
        <v>77</v>
      </c>
      <c r="Z2" s="569"/>
      <c r="AA2" s="589" t="s">
        <v>76</v>
      </c>
      <c r="AB2" s="569"/>
      <c r="AC2" s="568" t="s">
        <v>19</v>
      </c>
      <c r="AD2" s="567"/>
      <c r="AE2" s="567"/>
      <c r="AF2" s="567"/>
      <c r="AG2" s="567"/>
      <c r="AH2" s="567"/>
      <c r="AI2" s="569"/>
      <c r="AJ2" s="568" t="s">
        <v>74</v>
      </c>
      <c r="AK2" s="567"/>
      <c r="AL2" s="567"/>
      <c r="AM2" s="569"/>
      <c r="AN2" s="2"/>
      <c r="AO2" s="568" t="s">
        <v>3362</v>
      </c>
      <c r="AP2" s="567"/>
      <c r="AQ2" s="567"/>
      <c r="AR2" s="567"/>
      <c r="AS2" s="567"/>
      <c r="AT2" s="567"/>
      <c r="AU2" s="567"/>
      <c r="AV2" s="569"/>
      <c r="AW2" s="568" t="s">
        <v>3363</v>
      </c>
      <c r="AX2" s="567"/>
      <c r="AY2" s="569"/>
      <c r="AZ2" s="2"/>
      <c r="BA2" s="568" t="s">
        <v>3364</v>
      </c>
      <c r="BB2" s="567"/>
      <c r="BC2" s="567"/>
      <c r="BD2" s="567"/>
      <c r="BE2" s="567"/>
      <c r="BF2" s="567"/>
      <c r="BG2" s="567"/>
      <c r="BH2" s="567"/>
      <c r="BI2" s="569"/>
      <c r="BJ2" s="568" t="s">
        <v>3371</v>
      </c>
      <c r="BK2" s="567"/>
      <c r="BL2" s="567"/>
      <c r="BM2" s="567"/>
      <c r="BN2" s="567"/>
      <c r="BO2" s="567"/>
      <c r="BP2" s="567"/>
      <c r="BQ2" s="569"/>
    </row>
    <row r="3" spans="1:69" ht="13.5" customHeight="1" thickBot="1" x14ac:dyDescent="0.25">
      <c r="B3" s="4" t="str">
        <f>Deník!A2</f>
        <v>Rok: 2023</v>
      </c>
      <c r="C3" s="5"/>
      <c r="D3" s="5"/>
      <c r="E3" s="5" t="s">
        <v>37</v>
      </c>
      <c r="F3" s="585" t="s">
        <v>78</v>
      </c>
      <c r="G3" s="587" t="s">
        <v>79</v>
      </c>
      <c r="H3" s="464" t="s">
        <v>3304</v>
      </c>
      <c r="I3" s="465" t="s">
        <v>3304</v>
      </c>
      <c r="J3" s="6"/>
      <c r="K3" s="582" t="s">
        <v>16</v>
      </c>
      <c r="L3" s="583"/>
      <c r="M3" s="584"/>
      <c r="N3" s="582" t="str">
        <f>'Základní údaje'!B26</f>
        <v>Bankovní účet A</v>
      </c>
      <c r="O3" s="583"/>
      <c r="P3" s="584"/>
      <c r="Q3" s="582" t="str">
        <f>'Základní údaje'!B27</f>
        <v>Bankovní účet B</v>
      </c>
      <c r="R3" s="583"/>
      <c r="S3" s="584"/>
      <c r="T3" s="582" t="str">
        <f>'Základní údaje'!B28</f>
        <v>Bankovní účet C</v>
      </c>
      <c r="U3" s="583"/>
      <c r="V3" s="584"/>
      <c r="W3" s="434" t="s">
        <v>3286</v>
      </c>
      <c r="X3" s="6"/>
      <c r="Y3" s="582"/>
      <c r="Z3" s="584"/>
      <c r="AA3" s="582"/>
      <c r="AB3" s="584"/>
      <c r="AC3" s="578" t="s">
        <v>68</v>
      </c>
      <c r="AD3" s="580" t="s">
        <v>69</v>
      </c>
      <c r="AE3" s="580" t="s">
        <v>75</v>
      </c>
      <c r="AF3" s="595" t="s">
        <v>71</v>
      </c>
      <c r="AG3" s="596"/>
      <c r="AH3" s="580" t="s">
        <v>70</v>
      </c>
      <c r="AI3" s="593" t="s">
        <v>2</v>
      </c>
      <c r="AJ3" s="578" t="s">
        <v>68</v>
      </c>
      <c r="AK3" s="580" t="s">
        <v>72</v>
      </c>
      <c r="AL3" s="580" t="s">
        <v>73</v>
      </c>
      <c r="AM3" s="593" t="s">
        <v>2</v>
      </c>
      <c r="AN3" s="6"/>
      <c r="AO3" s="466" t="s">
        <v>3351</v>
      </c>
      <c r="AP3" s="467" t="s">
        <v>3351</v>
      </c>
      <c r="AQ3" s="467" t="s">
        <v>3354</v>
      </c>
      <c r="AR3" s="467" t="s">
        <v>3356</v>
      </c>
      <c r="AS3" s="467" t="s">
        <v>3357</v>
      </c>
      <c r="AT3" s="467"/>
      <c r="AU3" s="467"/>
      <c r="AV3" s="479" t="s">
        <v>3360</v>
      </c>
      <c r="AW3" s="466" t="s">
        <v>3351</v>
      </c>
      <c r="AX3" s="467" t="s">
        <v>3351</v>
      </c>
      <c r="AY3" s="479"/>
      <c r="AZ3" s="6"/>
      <c r="BA3" s="466" t="s">
        <v>3365</v>
      </c>
      <c r="BB3" s="467"/>
      <c r="BC3" s="467"/>
      <c r="BD3" s="467"/>
      <c r="BE3" s="467"/>
      <c r="BF3" s="467" t="s">
        <v>3367</v>
      </c>
      <c r="BG3" s="467" t="s">
        <v>3369</v>
      </c>
      <c r="BH3" s="467"/>
      <c r="BI3" s="479" t="s">
        <v>3360</v>
      </c>
      <c r="BJ3" s="466" t="s">
        <v>3365</v>
      </c>
      <c r="BK3" s="467"/>
      <c r="BL3" s="467"/>
      <c r="BM3" s="467"/>
      <c r="BN3" s="467"/>
      <c r="BO3" s="467" t="s">
        <v>3367</v>
      </c>
      <c r="BP3" s="467" t="s">
        <v>3369</v>
      </c>
      <c r="BQ3" s="479"/>
    </row>
    <row r="4" spans="1:69" ht="13.5" thickBot="1" x14ac:dyDescent="0.25">
      <c r="B4" s="9" t="s">
        <v>134</v>
      </c>
      <c r="C4" s="78" t="s">
        <v>3</v>
      </c>
      <c r="D4" s="78" t="s">
        <v>4</v>
      </c>
      <c r="E4" s="10" t="s">
        <v>5</v>
      </c>
      <c r="F4" s="586"/>
      <c r="G4" s="588"/>
      <c r="H4" s="18" t="s">
        <v>3305</v>
      </c>
      <c r="I4" s="18" t="s">
        <v>3327</v>
      </c>
      <c r="J4" s="6" t="s">
        <v>134</v>
      </c>
      <c r="K4" s="22" t="s">
        <v>6</v>
      </c>
      <c r="L4" s="23" t="s">
        <v>7</v>
      </c>
      <c r="M4" s="24" t="s">
        <v>8</v>
      </c>
      <c r="N4" s="22" t="s">
        <v>6</v>
      </c>
      <c r="O4" s="23" t="s">
        <v>7</v>
      </c>
      <c r="P4" s="24" t="s">
        <v>8</v>
      </c>
      <c r="Q4" s="22" t="s">
        <v>6</v>
      </c>
      <c r="R4" s="23" t="s">
        <v>7</v>
      </c>
      <c r="S4" s="24" t="s">
        <v>8</v>
      </c>
      <c r="T4" s="22" t="s">
        <v>6</v>
      </c>
      <c r="U4" s="23" t="s">
        <v>7</v>
      </c>
      <c r="V4" s="24" t="s">
        <v>8</v>
      </c>
      <c r="W4" s="435"/>
      <c r="X4" s="6" t="s">
        <v>134</v>
      </c>
      <c r="Y4" s="22" t="s">
        <v>17</v>
      </c>
      <c r="Z4" s="24" t="s">
        <v>2</v>
      </c>
      <c r="AA4" s="22" t="s">
        <v>17</v>
      </c>
      <c r="AB4" s="24" t="s">
        <v>2</v>
      </c>
      <c r="AC4" s="579"/>
      <c r="AD4" s="581"/>
      <c r="AE4" s="581"/>
      <c r="AF4" s="597"/>
      <c r="AG4" s="598"/>
      <c r="AH4" s="581"/>
      <c r="AI4" s="594"/>
      <c r="AJ4" s="579"/>
      <c r="AK4" s="581"/>
      <c r="AL4" s="581"/>
      <c r="AM4" s="594"/>
      <c r="AN4" s="6" t="s">
        <v>134</v>
      </c>
      <c r="AO4" s="480" t="s">
        <v>3352</v>
      </c>
      <c r="AP4" s="481" t="s">
        <v>3353</v>
      </c>
      <c r="AQ4" s="481" t="s">
        <v>3355</v>
      </c>
      <c r="AR4" s="481" t="s">
        <v>3355</v>
      </c>
      <c r="AS4" s="481" t="s">
        <v>3358</v>
      </c>
      <c r="AT4" s="481" t="s">
        <v>3359</v>
      </c>
      <c r="AU4" s="481" t="s">
        <v>2</v>
      </c>
      <c r="AV4" s="482" t="s">
        <v>3361</v>
      </c>
      <c r="AW4" s="480" t="s">
        <v>3352</v>
      </c>
      <c r="AX4" s="481" t="s">
        <v>3353</v>
      </c>
      <c r="AY4" s="482" t="s">
        <v>2</v>
      </c>
      <c r="AZ4" s="6" t="s">
        <v>134</v>
      </c>
      <c r="BA4" s="480" t="s">
        <v>3366</v>
      </c>
      <c r="BB4" s="481" t="s">
        <v>3345</v>
      </c>
      <c r="BC4" s="481" t="s">
        <v>3346</v>
      </c>
      <c r="BD4" s="481" t="s">
        <v>3347</v>
      </c>
      <c r="BE4" s="481" t="s">
        <v>3348</v>
      </c>
      <c r="BF4" s="481" t="s">
        <v>3368</v>
      </c>
      <c r="BG4" s="481" t="s">
        <v>3370</v>
      </c>
      <c r="BH4" s="481" t="s">
        <v>2</v>
      </c>
      <c r="BI4" s="482" t="s">
        <v>3361</v>
      </c>
      <c r="BJ4" s="480" t="s">
        <v>3366</v>
      </c>
      <c r="BK4" s="481" t="s">
        <v>3345</v>
      </c>
      <c r="BL4" s="481" t="s">
        <v>3346</v>
      </c>
      <c r="BM4" s="481" t="s">
        <v>3347</v>
      </c>
      <c r="BN4" s="481" t="s">
        <v>3348</v>
      </c>
      <c r="BO4" s="481" t="s">
        <v>3368</v>
      </c>
      <c r="BP4" s="481" t="s">
        <v>3370</v>
      </c>
      <c r="BQ4" s="482" t="s">
        <v>2</v>
      </c>
    </row>
    <row r="5" spans="1:69" s="12" customFormat="1" ht="12" thickBot="1" x14ac:dyDescent="0.25">
      <c r="B5" s="9" t="s">
        <v>9</v>
      </c>
      <c r="C5" s="78" t="s">
        <v>10</v>
      </c>
      <c r="D5" s="78" t="s">
        <v>11</v>
      </c>
      <c r="E5" s="84" t="s">
        <v>12</v>
      </c>
      <c r="F5" s="85" t="s">
        <v>35</v>
      </c>
      <c r="G5" s="86" t="s">
        <v>36</v>
      </c>
      <c r="H5" s="84" t="s">
        <v>3306</v>
      </c>
      <c r="I5" s="84" t="s">
        <v>3328</v>
      </c>
      <c r="J5" s="11" t="s">
        <v>9</v>
      </c>
      <c r="K5" s="25">
        <v>1</v>
      </c>
      <c r="L5" s="26">
        <v>2</v>
      </c>
      <c r="M5" s="27">
        <v>3</v>
      </c>
      <c r="N5" s="25">
        <v>4</v>
      </c>
      <c r="O5" s="26">
        <v>5</v>
      </c>
      <c r="P5" s="27">
        <v>6</v>
      </c>
      <c r="Q5" s="25">
        <v>1</v>
      </c>
      <c r="R5" s="26">
        <v>2</v>
      </c>
      <c r="S5" s="27">
        <v>3</v>
      </c>
      <c r="T5" s="25">
        <v>4</v>
      </c>
      <c r="U5" s="26">
        <v>5</v>
      </c>
      <c r="V5" s="27">
        <v>6</v>
      </c>
      <c r="W5" s="436"/>
      <c r="X5" s="11" t="s">
        <v>9</v>
      </c>
      <c r="Y5" s="25" t="s">
        <v>22</v>
      </c>
      <c r="Z5" s="27" t="s">
        <v>21</v>
      </c>
      <c r="AA5" s="25" t="s">
        <v>23</v>
      </c>
      <c r="AB5" s="27" t="s">
        <v>25</v>
      </c>
      <c r="AC5" s="25" t="s">
        <v>26</v>
      </c>
      <c r="AD5" s="26" t="s">
        <v>18</v>
      </c>
      <c r="AE5" s="26" t="s">
        <v>27</v>
      </c>
      <c r="AF5" s="26" t="s">
        <v>645</v>
      </c>
      <c r="AG5" s="26" t="s">
        <v>28</v>
      </c>
      <c r="AH5" s="26" t="s">
        <v>29</v>
      </c>
      <c r="AI5" s="27" t="s">
        <v>30</v>
      </c>
      <c r="AJ5" s="25" t="s">
        <v>24</v>
      </c>
      <c r="AK5" s="26" t="s">
        <v>31</v>
      </c>
      <c r="AL5" s="26" t="s">
        <v>32</v>
      </c>
      <c r="AM5" s="27" t="s">
        <v>33</v>
      </c>
      <c r="AN5" s="11" t="s">
        <v>9</v>
      </c>
      <c r="AO5" s="460"/>
      <c r="AP5" s="461"/>
      <c r="AQ5" s="461"/>
      <c r="AR5" s="461"/>
      <c r="AS5" s="461"/>
      <c r="AT5" s="462"/>
      <c r="AU5" s="462"/>
      <c r="AV5" s="463"/>
      <c r="AW5" s="460"/>
      <c r="AX5" s="461"/>
      <c r="AY5" s="27"/>
      <c r="AZ5" s="11" t="s">
        <v>9</v>
      </c>
      <c r="BA5" s="460"/>
      <c r="BB5" s="461"/>
      <c r="BC5" s="461"/>
      <c r="BD5" s="461"/>
      <c r="BE5" s="461"/>
      <c r="BF5" s="462"/>
      <c r="BG5" s="462"/>
      <c r="BH5" s="462"/>
      <c r="BI5" s="463"/>
      <c r="BJ5" s="460"/>
      <c r="BK5" s="461"/>
      <c r="BL5" s="461"/>
      <c r="BM5" s="461"/>
      <c r="BN5" s="461"/>
      <c r="BO5" s="462"/>
      <c r="BP5" s="462"/>
      <c r="BQ5" s="463"/>
    </row>
    <row r="6" spans="1:69" s="13" customFormat="1" x14ac:dyDescent="0.2">
      <c r="B6" s="76"/>
      <c r="C6" s="79" t="s">
        <v>1</v>
      </c>
      <c r="D6" s="486" t="s">
        <v>1</v>
      </c>
      <c r="E6" s="32" t="str">
        <f>IF(C42=1,Deník!D5,"Převod z předchozí stránky")</f>
        <v>Stav k 1.1.2023</v>
      </c>
      <c r="F6" s="487" t="s">
        <v>1</v>
      </c>
      <c r="G6" s="488" t="s">
        <v>1</v>
      </c>
      <c r="H6" s="487" t="s">
        <v>1</v>
      </c>
      <c r="I6" s="488" t="s">
        <v>1</v>
      </c>
      <c r="J6" s="489" t="s">
        <v>1</v>
      </c>
      <c r="K6" s="490" t="s">
        <v>1</v>
      </c>
      <c r="L6" s="491" t="s">
        <v>1</v>
      </c>
      <c r="M6" s="91">
        <f ca="1">INDIRECT("Deník!"&amp;M$1&amp;$C$42*30+$B6-25)</f>
        <v>2000</v>
      </c>
      <c r="N6" s="490" t="s">
        <v>1</v>
      </c>
      <c r="O6" s="491" t="s">
        <v>1</v>
      </c>
      <c r="P6" s="289">
        <f ca="1">INDIRECT("Deník!"&amp;P$1&amp;$C$42*30+$B6-25)</f>
        <v>6000</v>
      </c>
      <c r="Q6" s="490" t="s">
        <v>1</v>
      </c>
      <c r="R6" s="491" t="s">
        <v>1</v>
      </c>
      <c r="S6" s="289">
        <f ca="1">INDIRECT("Deník!"&amp;S$1&amp;$C$42*30+$B6-25)</f>
        <v>0</v>
      </c>
      <c r="T6" s="490" t="s">
        <v>1</v>
      </c>
      <c r="U6" s="491" t="s">
        <v>1</v>
      </c>
      <c r="V6" s="289">
        <f ca="1">INDIRECT("Deník!"&amp;V$1&amp;$C$42*30+$B6-25)</f>
        <v>0</v>
      </c>
      <c r="W6" s="492" t="s">
        <v>1</v>
      </c>
      <c r="X6" s="489" t="s">
        <v>1</v>
      </c>
      <c r="Y6" s="490" t="s">
        <v>1</v>
      </c>
      <c r="Z6" s="493" t="s">
        <v>1</v>
      </c>
      <c r="AA6" s="490" t="s">
        <v>1</v>
      </c>
      <c r="AB6" s="493" t="s">
        <v>1</v>
      </c>
      <c r="AC6" s="490" t="s">
        <v>1</v>
      </c>
      <c r="AD6" s="491" t="s">
        <v>1</v>
      </c>
      <c r="AE6" s="491" t="s">
        <v>1</v>
      </c>
      <c r="AF6" s="491" t="s">
        <v>1</v>
      </c>
      <c r="AG6" s="491" t="s">
        <v>1</v>
      </c>
      <c r="AH6" s="491" t="s">
        <v>1</v>
      </c>
      <c r="AI6" s="493" t="s">
        <v>1</v>
      </c>
      <c r="AJ6" s="490" t="s">
        <v>1</v>
      </c>
      <c r="AK6" s="491" t="s">
        <v>1</v>
      </c>
      <c r="AL6" s="491" t="s">
        <v>1</v>
      </c>
      <c r="AM6" s="493" t="s">
        <v>1</v>
      </c>
      <c r="AN6" s="489" t="s">
        <v>1</v>
      </c>
      <c r="AO6" s="490" t="s">
        <v>1</v>
      </c>
      <c r="AP6" s="491" t="s">
        <v>1</v>
      </c>
      <c r="AQ6" s="491" t="s">
        <v>1</v>
      </c>
      <c r="AR6" s="491" t="s">
        <v>1</v>
      </c>
      <c r="AS6" s="491" t="s">
        <v>1</v>
      </c>
      <c r="AT6" s="491" t="s">
        <v>1</v>
      </c>
      <c r="AU6" s="491" t="s">
        <v>1</v>
      </c>
      <c r="AV6" s="493" t="s">
        <v>1</v>
      </c>
      <c r="AW6" s="491" t="s">
        <v>1</v>
      </c>
      <c r="AX6" s="491" t="s">
        <v>1</v>
      </c>
      <c r="AY6" s="493" t="s">
        <v>1</v>
      </c>
      <c r="AZ6" s="489" t="s">
        <v>1</v>
      </c>
      <c r="BA6" s="490" t="s">
        <v>1</v>
      </c>
      <c r="BB6" s="491" t="s">
        <v>1</v>
      </c>
      <c r="BC6" s="491" t="s">
        <v>1</v>
      </c>
      <c r="BD6" s="491" t="s">
        <v>1</v>
      </c>
      <c r="BE6" s="491" t="s">
        <v>1</v>
      </c>
      <c r="BF6" s="491" t="s">
        <v>1</v>
      </c>
      <c r="BG6" s="491" t="s">
        <v>1</v>
      </c>
      <c r="BH6" s="491" t="s">
        <v>1</v>
      </c>
      <c r="BI6" s="493" t="s">
        <v>1</v>
      </c>
      <c r="BJ6" s="491" t="s">
        <v>1</v>
      </c>
      <c r="BK6" s="491" t="s">
        <v>1</v>
      </c>
      <c r="BL6" s="491" t="s">
        <v>1</v>
      </c>
      <c r="BM6" s="491" t="s">
        <v>1</v>
      </c>
      <c r="BN6" s="491" t="s">
        <v>1</v>
      </c>
      <c r="BO6" s="491" t="s">
        <v>1</v>
      </c>
      <c r="BP6" s="491" t="s">
        <v>1</v>
      </c>
      <c r="BQ6" s="493" t="s">
        <v>1</v>
      </c>
    </row>
    <row r="7" spans="1:69" x14ac:dyDescent="0.2">
      <c r="A7" s="18">
        <f>$B7+5</f>
        <v>6</v>
      </c>
      <c r="B7" s="77">
        <f>1+($C$42-1)*30</f>
        <v>1</v>
      </c>
      <c r="C7" s="92">
        <f ca="1">INDIRECT("Deník!"&amp;C$1&amp;$A7)</f>
        <v>44941</v>
      </c>
      <c r="D7" s="93" t="str">
        <f t="shared" ref="D7:I22" ca="1" si="0">INDIRECT("Deník!"&amp;D$1&amp;$A7)</f>
        <v>P1</v>
      </c>
      <c r="E7" s="94" t="str">
        <f t="shared" ca="1" si="0"/>
        <v>Členské příspěvky dle Stanov</v>
      </c>
      <c r="F7" s="95" t="str">
        <f t="shared" ca="1" si="0"/>
        <v>Osvobozený příjem</v>
      </c>
      <c r="G7" s="96">
        <f t="shared" ca="1" si="0"/>
        <v>3</v>
      </c>
      <c r="H7" s="95" t="str">
        <f t="shared" ca="1" si="0"/>
        <v>Hlavní</v>
      </c>
      <c r="I7" s="476" t="str">
        <f t="shared" ca="1" si="0"/>
        <v>P Přijaté členské příspěvky</v>
      </c>
      <c r="J7" s="42">
        <f>B7</f>
        <v>1</v>
      </c>
      <c r="K7" s="39">
        <f t="shared" ref="K7:W22" ca="1" si="1">INDIRECT("Deník!"&amp;K$1&amp;$A7)</f>
        <v>2000</v>
      </c>
      <c r="L7" s="40">
        <f t="shared" ca="1" si="1"/>
        <v>0</v>
      </c>
      <c r="M7" s="41">
        <f t="shared" ca="1" si="1"/>
        <v>4000</v>
      </c>
      <c r="N7" s="282">
        <f t="shared" ca="1" si="1"/>
        <v>0</v>
      </c>
      <c r="O7" s="283">
        <f t="shared" ca="1" si="1"/>
        <v>0</v>
      </c>
      <c r="P7" s="284">
        <f t="shared" ca="1" si="1"/>
        <v>6000</v>
      </c>
      <c r="Q7" s="282">
        <f t="shared" ca="1" si="1"/>
        <v>0</v>
      </c>
      <c r="R7" s="283">
        <f t="shared" ca="1" si="1"/>
        <v>0</v>
      </c>
      <c r="S7" s="284">
        <f t="shared" ca="1" si="1"/>
        <v>0</v>
      </c>
      <c r="T7" s="282">
        <f t="shared" ca="1" si="1"/>
        <v>0</v>
      </c>
      <c r="U7" s="283">
        <f t="shared" ca="1" si="1"/>
        <v>0</v>
      </c>
      <c r="V7" s="284">
        <f t="shared" ca="1" si="1"/>
        <v>0</v>
      </c>
      <c r="W7" s="485" t="str">
        <f t="shared" ca="1" si="1"/>
        <v>Vybráno od členů</v>
      </c>
      <c r="X7" s="42">
        <f>B7</f>
        <v>1</v>
      </c>
      <c r="Y7" s="282" t="str">
        <f t="shared" ref="Y7:AM22" ca="1" si="2">INDIRECT("Deník!"&amp;Y$1&amp;$A7)</f>
        <v/>
      </c>
      <c r="Z7" s="41" t="str">
        <f t="shared" ca="1" si="2"/>
        <v/>
      </c>
      <c r="AA7" s="39" t="str">
        <f t="shared" ca="1" si="2"/>
        <v/>
      </c>
      <c r="AB7" s="41" t="str">
        <f t="shared" ca="1" si="2"/>
        <v/>
      </c>
      <c r="AC7" s="39" t="str">
        <f t="shared" ca="1" si="2"/>
        <v/>
      </c>
      <c r="AD7" s="40">
        <f t="shared" ca="1" si="2"/>
        <v>2000</v>
      </c>
      <c r="AE7" s="40" t="str">
        <f t="shared" ca="1" si="2"/>
        <v/>
      </c>
      <c r="AF7" s="40" t="str">
        <f t="shared" ca="1" si="2"/>
        <v/>
      </c>
      <c r="AG7" s="40" t="str">
        <f t="shared" ca="1" si="2"/>
        <v/>
      </c>
      <c r="AH7" s="40" t="str">
        <f t="shared" ca="1" si="2"/>
        <v/>
      </c>
      <c r="AI7" s="41" t="str">
        <f t="shared" ca="1" si="2"/>
        <v/>
      </c>
      <c r="AJ7" s="39" t="str">
        <f t="shared" ca="1" si="2"/>
        <v/>
      </c>
      <c r="AK7" s="40" t="str">
        <f t="shared" ca="1" si="2"/>
        <v/>
      </c>
      <c r="AL7" s="40" t="str">
        <f t="shared" ca="1" si="2"/>
        <v/>
      </c>
      <c r="AM7" s="41" t="str">
        <f t="shared" ca="1" si="2"/>
        <v/>
      </c>
      <c r="AN7" s="42">
        <f>B7</f>
        <v>1</v>
      </c>
      <c r="AO7" s="282" t="str">
        <f t="shared" ref="AO7:AY22" ca="1" si="3">INDIRECT("Deník!"&amp;AO$1&amp;$A7)</f>
        <v/>
      </c>
      <c r="AP7" s="40" t="str">
        <f t="shared" ca="1" si="3"/>
        <v/>
      </c>
      <c r="AQ7" s="40" t="str">
        <f t="shared" ca="1" si="3"/>
        <v/>
      </c>
      <c r="AR7" s="40" t="str">
        <f t="shared" ca="1" si="3"/>
        <v/>
      </c>
      <c r="AS7" s="40">
        <f t="shared" ca="1" si="3"/>
        <v>2000</v>
      </c>
      <c r="AT7" s="40" t="str">
        <f t="shared" ca="1" si="3"/>
        <v/>
      </c>
      <c r="AU7" s="40" t="str">
        <f t="shared" ca="1" si="3"/>
        <v/>
      </c>
      <c r="AV7" s="41" t="str">
        <f t="shared" ca="1" si="3"/>
        <v/>
      </c>
      <c r="AW7" s="40" t="str">
        <f t="shared" ca="1" si="3"/>
        <v/>
      </c>
      <c r="AX7" s="40" t="str">
        <f t="shared" ca="1" si="3"/>
        <v/>
      </c>
      <c r="AY7" s="41" t="str">
        <f t="shared" ca="1" si="3"/>
        <v/>
      </c>
      <c r="AZ7" s="42">
        <f>B7</f>
        <v>1</v>
      </c>
      <c r="BA7" s="39" t="str">
        <f t="shared" ref="BA7:BP22" ca="1" si="4">INDIRECT("Deník!"&amp;BA$1&amp;$A7)</f>
        <v/>
      </c>
      <c r="BB7" s="40" t="str">
        <f t="shared" ca="1" si="4"/>
        <v/>
      </c>
      <c r="BC7" s="40" t="str">
        <f t="shared" ca="1" si="4"/>
        <v/>
      </c>
      <c r="BD7" s="40" t="str">
        <f t="shared" ca="1" si="4"/>
        <v/>
      </c>
      <c r="BE7" s="40" t="str">
        <f t="shared" ca="1" si="4"/>
        <v/>
      </c>
      <c r="BF7" s="40" t="str">
        <f t="shared" ca="1" si="4"/>
        <v/>
      </c>
      <c r="BG7" s="40" t="str">
        <f t="shared" ca="1" si="4"/>
        <v/>
      </c>
      <c r="BH7" s="40" t="str">
        <f t="shared" ca="1" si="4"/>
        <v/>
      </c>
      <c r="BI7" s="41" t="str">
        <f t="shared" ca="1" si="4"/>
        <v/>
      </c>
      <c r="BJ7" s="40" t="str">
        <f t="shared" ca="1" si="4"/>
        <v/>
      </c>
      <c r="BK7" s="40" t="str">
        <f t="shared" ca="1" si="4"/>
        <v/>
      </c>
      <c r="BL7" s="40" t="str">
        <f t="shared" ca="1" si="4"/>
        <v/>
      </c>
      <c r="BM7" s="40" t="str">
        <f t="shared" ca="1" si="4"/>
        <v/>
      </c>
      <c r="BN7" s="40" t="str">
        <f t="shared" ca="1" si="4"/>
        <v/>
      </c>
      <c r="BO7" s="40" t="str">
        <f t="shared" ca="1" si="4"/>
        <v/>
      </c>
      <c r="BP7" s="40" t="str">
        <f t="shared" ca="1" si="4"/>
        <v/>
      </c>
      <c r="BQ7" s="41" t="str">
        <f t="shared" ref="BQ7:BQ36" ca="1" si="5">INDIRECT("Deník!"&amp;BQ$1&amp;$A7)</f>
        <v/>
      </c>
    </row>
    <row r="8" spans="1:69" x14ac:dyDescent="0.2">
      <c r="A8" s="18">
        <f t="shared" ref="A8:A36" si="6">$B8+5</f>
        <v>7</v>
      </c>
      <c r="B8" s="77">
        <f>B7+1</f>
        <v>2</v>
      </c>
      <c r="C8" s="92">
        <f t="shared" ref="C8:I23" ca="1" si="7">INDIRECT("Deník!"&amp;C$1&amp;$A8)</f>
        <v>44941</v>
      </c>
      <c r="D8" s="93" t="str">
        <f t="shared" ca="1" si="0"/>
        <v>P2</v>
      </c>
      <c r="E8" s="94" t="str">
        <f t="shared" ca="1" si="0"/>
        <v>Valná hromada (občerstvení) (X)</v>
      </c>
      <c r="F8" s="95" t="str">
        <f t="shared" ca="1" si="0"/>
        <v>Nedaňový</v>
      </c>
      <c r="G8" s="96">
        <f t="shared" ca="1" si="0"/>
        <v>10</v>
      </c>
      <c r="H8" s="95" t="str">
        <f t="shared" ca="1" si="0"/>
        <v>Hlavní</v>
      </c>
      <c r="I8" s="476" t="str">
        <f t="shared" ca="1" si="0"/>
        <v>V Materiál</v>
      </c>
      <c r="J8" s="42">
        <f t="shared" ref="J8:J36" si="8">B8</f>
        <v>2</v>
      </c>
      <c r="K8" s="39">
        <f t="shared" ca="1" si="1"/>
        <v>0</v>
      </c>
      <c r="L8" s="40">
        <f t="shared" ca="1" si="1"/>
        <v>400</v>
      </c>
      <c r="M8" s="41">
        <f t="shared" ca="1" si="1"/>
        <v>3600</v>
      </c>
      <c r="N8" s="282">
        <f t="shared" ca="1" si="1"/>
        <v>0</v>
      </c>
      <c r="O8" s="283">
        <f t="shared" ca="1" si="1"/>
        <v>0</v>
      </c>
      <c r="P8" s="284">
        <f t="shared" ca="1" si="1"/>
        <v>6000</v>
      </c>
      <c r="Q8" s="282">
        <f t="shared" ca="1" si="1"/>
        <v>0</v>
      </c>
      <c r="R8" s="283">
        <f t="shared" ca="1" si="1"/>
        <v>0</v>
      </c>
      <c r="S8" s="284">
        <f t="shared" ca="1" si="1"/>
        <v>0</v>
      </c>
      <c r="T8" s="282">
        <f t="shared" ca="1" si="1"/>
        <v>0</v>
      </c>
      <c r="U8" s="283">
        <f t="shared" ca="1" si="1"/>
        <v>0</v>
      </c>
      <c r="V8" s="284">
        <f t="shared" ca="1" si="1"/>
        <v>0</v>
      </c>
      <c r="W8" s="485">
        <f t="shared" ca="1" si="1"/>
        <v>0</v>
      </c>
      <c r="X8" s="42">
        <f t="shared" ref="X8:X36" si="9">B8</f>
        <v>2</v>
      </c>
      <c r="Y8" s="39" t="str">
        <f t="shared" ca="1" si="2"/>
        <v/>
      </c>
      <c r="Z8" s="41" t="str">
        <f t="shared" ca="1" si="2"/>
        <v/>
      </c>
      <c r="AA8" s="39" t="str">
        <f t="shared" ca="1" si="2"/>
        <v/>
      </c>
      <c r="AB8" s="41" t="str">
        <f t="shared" ca="1" si="2"/>
        <v/>
      </c>
      <c r="AC8" s="39" t="str">
        <f t="shared" ca="1" si="2"/>
        <v/>
      </c>
      <c r="AD8" s="40" t="str">
        <f t="shared" ca="1" si="2"/>
        <v/>
      </c>
      <c r="AE8" s="40" t="str">
        <f t="shared" ca="1" si="2"/>
        <v/>
      </c>
      <c r="AF8" s="40" t="str">
        <f t="shared" ca="1" si="2"/>
        <v/>
      </c>
      <c r="AG8" s="40" t="str">
        <f t="shared" ca="1" si="2"/>
        <v/>
      </c>
      <c r="AH8" s="40" t="str">
        <f t="shared" ca="1" si="2"/>
        <v/>
      </c>
      <c r="AI8" s="41" t="str">
        <f t="shared" ca="1" si="2"/>
        <v/>
      </c>
      <c r="AJ8" s="39">
        <f t="shared" ca="1" si="2"/>
        <v>400</v>
      </c>
      <c r="AK8" s="40" t="str">
        <f t="shared" ca="1" si="2"/>
        <v/>
      </c>
      <c r="AL8" s="40" t="str">
        <f t="shared" ca="1" si="2"/>
        <v/>
      </c>
      <c r="AM8" s="41" t="str">
        <f t="shared" ca="1" si="2"/>
        <v/>
      </c>
      <c r="AN8" s="42">
        <f t="shared" ref="AN8:AN36" si="10">B8</f>
        <v>2</v>
      </c>
      <c r="AO8" s="39" t="str">
        <f t="shared" ca="1" si="3"/>
        <v/>
      </c>
      <c r="AP8" s="40" t="str">
        <f t="shared" ca="1" si="3"/>
        <v/>
      </c>
      <c r="AQ8" s="40" t="str">
        <f t="shared" ca="1" si="3"/>
        <v/>
      </c>
      <c r="AR8" s="40" t="str">
        <f t="shared" ca="1" si="3"/>
        <v/>
      </c>
      <c r="AS8" s="40" t="str">
        <f t="shared" ca="1" si="3"/>
        <v/>
      </c>
      <c r="AT8" s="40" t="str">
        <f t="shared" ca="1" si="3"/>
        <v/>
      </c>
      <c r="AU8" s="40" t="str">
        <f t="shared" ca="1" si="3"/>
        <v/>
      </c>
      <c r="AV8" s="41" t="str">
        <f t="shared" ca="1" si="3"/>
        <v/>
      </c>
      <c r="AW8" s="40" t="str">
        <f t="shared" ca="1" si="3"/>
        <v/>
      </c>
      <c r="AX8" s="40" t="str">
        <f t="shared" ca="1" si="3"/>
        <v/>
      </c>
      <c r="AY8" s="41" t="str">
        <f t="shared" ca="1" si="3"/>
        <v/>
      </c>
      <c r="AZ8" s="42">
        <f t="shared" ref="AZ8:AZ36" si="11">B8</f>
        <v>2</v>
      </c>
      <c r="BA8" s="39" t="str">
        <f t="shared" ca="1" si="4"/>
        <v/>
      </c>
      <c r="BB8" s="40">
        <f t="shared" ca="1" si="4"/>
        <v>400</v>
      </c>
      <c r="BC8" s="40" t="str">
        <f t="shared" ca="1" si="4"/>
        <v/>
      </c>
      <c r="BD8" s="40" t="str">
        <f t="shared" ca="1" si="4"/>
        <v/>
      </c>
      <c r="BE8" s="40" t="str">
        <f t="shared" ca="1" si="4"/>
        <v/>
      </c>
      <c r="BF8" s="40" t="str">
        <f t="shared" ca="1" si="4"/>
        <v/>
      </c>
      <c r="BG8" s="40" t="str">
        <f t="shared" ca="1" si="4"/>
        <v/>
      </c>
      <c r="BH8" s="40" t="str">
        <f t="shared" ca="1" si="4"/>
        <v/>
      </c>
      <c r="BI8" s="41" t="str">
        <f t="shared" ca="1" si="4"/>
        <v/>
      </c>
      <c r="BJ8" s="40" t="str">
        <f t="shared" ca="1" si="4"/>
        <v/>
      </c>
      <c r="BK8" s="40" t="str">
        <f t="shared" ca="1" si="4"/>
        <v/>
      </c>
      <c r="BL8" s="40" t="str">
        <f t="shared" ca="1" si="4"/>
        <v/>
      </c>
      <c r="BM8" s="40" t="str">
        <f t="shared" ca="1" si="4"/>
        <v/>
      </c>
      <c r="BN8" s="40" t="str">
        <f t="shared" ca="1" si="4"/>
        <v/>
      </c>
      <c r="BO8" s="40" t="str">
        <f t="shared" ca="1" si="4"/>
        <v/>
      </c>
      <c r="BP8" s="40" t="str">
        <f t="shared" ca="1" si="4"/>
        <v/>
      </c>
      <c r="BQ8" s="41" t="str">
        <f t="shared" ca="1" si="5"/>
        <v/>
      </c>
    </row>
    <row r="9" spans="1:69" x14ac:dyDescent="0.2">
      <c r="A9" s="18">
        <f t="shared" si="6"/>
        <v>8</v>
      </c>
      <c r="B9" s="77">
        <f t="shared" ref="B9:B36" si="12">B8+1</f>
        <v>3</v>
      </c>
      <c r="C9" s="92">
        <f t="shared" ca="1" si="7"/>
        <v>44941</v>
      </c>
      <c r="D9" s="93" t="str">
        <f t="shared" ca="1" si="0"/>
        <v>P3</v>
      </c>
      <c r="E9" s="94" t="str">
        <f t="shared" ca="1" si="0"/>
        <v>Dar členu SDH k jubileu (X)</v>
      </c>
      <c r="F9" s="95" t="str">
        <f t="shared" ca="1" si="0"/>
        <v>Nedaňový</v>
      </c>
      <c r="G9" s="96">
        <f t="shared" ca="1" si="0"/>
        <v>10</v>
      </c>
      <c r="H9" s="95" t="str">
        <f t="shared" ca="1" si="0"/>
        <v>Hlavní</v>
      </c>
      <c r="I9" s="476" t="str">
        <f t="shared" ca="1" si="0"/>
        <v>V Materiál</v>
      </c>
      <c r="J9" s="42">
        <f t="shared" si="8"/>
        <v>3</v>
      </c>
      <c r="K9" s="39">
        <f t="shared" ca="1" si="1"/>
        <v>0</v>
      </c>
      <c r="L9" s="40">
        <f t="shared" ca="1" si="1"/>
        <v>100</v>
      </c>
      <c r="M9" s="41">
        <f t="shared" ca="1" si="1"/>
        <v>3500</v>
      </c>
      <c r="N9" s="282">
        <f t="shared" ca="1" si="1"/>
        <v>0</v>
      </c>
      <c r="O9" s="283">
        <f t="shared" ca="1" si="1"/>
        <v>0</v>
      </c>
      <c r="P9" s="284">
        <f t="shared" ca="1" si="1"/>
        <v>6000</v>
      </c>
      <c r="Q9" s="282">
        <f t="shared" ca="1" si="1"/>
        <v>0</v>
      </c>
      <c r="R9" s="283">
        <f t="shared" ca="1" si="1"/>
        <v>0</v>
      </c>
      <c r="S9" s="284">
        <f t="shared" ca="1" si="1"/>
        <v>0</v>
      </c>
      <c r="T9" s="282">
        <f t="shared" ca="1" si="1"/>
        <v>0</v>
      </c>
      <c r="U9" s="283">
        <f t="shared" ca="1" si="1"/>
        <v>0</v>
      </c>
      <c r="V9" s="284">
        <f t="shared" ca="1" si="1"/>
        <v>0</v>
      </c>
      <c r="W9" s="485">
        <f t="shared" ca="1" si="1"/>
        <v>0</v>
      </c>
      <c r="X9" s="42">
        <f t="shared" si="9"/>
        <v>3</v>
      </c>
      <c r="Y9" s="39" t="str">
        <f t="shared" ca="1" si="2"/>
        <v/>
      </c>
      <c r="Z9" s="41" t="str">
        <f t="shared" ca="1" si="2"/>
        <v/>
      </c>
      <c r="AA9" s="39" t="str">
        <f t="shared" ca="1" si="2"/>
        <v/>
      </c>
      <c r="AB9" s="41" t="str">
        <f t="shared" ca="1" si="2"/>
        <v/>
      </c>
      <c r="AC9" s="39" t="str">
        <f t="shared" ca="1" si="2"/>
        <v/>
      </c>
      <c r="AD9" s="40" t="str">
        <f t="shared" ca="1" si="2"/>
        <v/>
      </c>
      <c r="AE9" s="40" t="str">
        <f t="shared" ca="1" si="2"/>
        <v/>
      </c>
      <c r="AF9" s="40" t="str">
        <f t="shared" ca="1" si="2"/>
        <v/>
      </c>
      <c r="AG9" s="40" t="str">
        <f t="shared" ca="1" si="2"/>
        <v/>
      </c>
      <c r="AH9" s="40" t="str">
        <f t="shared" ca="1" si="2"/>
        <v/>
      </c>
      <c r="AI9" s="41" t="str">
        <f t="shared" ca="1" si="2"/>
        <v/>
      </c>
      <c r="AJ9" s="39">
        <f t="shared" ca="1" si="2"/>
        <v>100</v>
      </c>
      <c r="AK9" s="40" t="str">
        <f t="shared" ca="1" si="2"/>
        <v/>
      </c>
      <c r="AL9" s="40" t="str">
        <f t="shared" ca="1" si="2"/>
        <v/>
      </c>
      <c r="AM9" s="41" t="str">
        <f t="shared" ca="1" si="2"/>
        <v/>
      </c>
      <c r="AN9" s="42">
        <f t="shared" si="10"/>
        <v>3</v>
      </c>
      <c r="AO9" s="39" t="str">
        <f t="shared" ca="1" si="3"/>
        <v/>
      </c>
      <c r="AP9" s="40" t="str">
        <f t="shared" ca="1" si="3"/>
        <v/>
      </c>
      <c r="AQ9" s="40" t="str">
        <f t="shared" ca="1" si="3"/>
        <v/>
      </c>
      <c r="AR9" s="40" t="str">
        <f t="shared" ca="1" si="3"/>
        <v/>
      </c>
      <c r="AS9" s="40" t="str">
        <f t="shared" ca="1" si="3"/>
        <v/>
      </c>
      <c r="AT9" s="40" t="str">
        <f t="shared" ca="1" si="3"/>
        <v/>
      </c>
      <c r="AU9" s="40" t="str">
        <f t="shared" ca="1" si="3"/>
        <v/>
      </c>
      <c r="AV9" s="41" t="str">
        <f t="shared" ca="1" si="3"/>
        <v/>
      </c>
      <c r="AW9" s="40" t="str">
        <f t="shared" ca="1" si="3"/>
        <v/>
      </c>
      <c r="AX9" s="40" t="str">
        <f t="shared" ca="1" si="3"/>
        <v/>
      </c>
      <c r="AY9" s="41" t="str">
        <f t="shared" ca="1" si="3"/>
        <v/>
      </c>
      <c r="AZ9" s="42">
        <f t="shared" si="11"/>
        <v>3</v>
      </c>
      <c r="BA9" s="39" t="str">
        <f t="shared" ca="1" si="4"/>
        <v/>
      </c>
      <c r="BB9" s="40">
        <f t="shared" ca="1" si="4"/>
        <v>100</v>
      </c>
      <c r="BC9" s="40" t="str">
        <f t="shared" ca="1" si="4"/>
        <v/>
      </c>
      <c r="BD9" s="40" t="str">
        <f t="shared" ca="1" si="4"/>
        <v/>
      </c>
      <c r="BE9" s="40" t="str">
        <f t="shared" ca="1" si="4"/>
        <v/>
      </c>
      <c r="BF9" s="40" t="str">
        <f t="shared" ca="1" si="4"/>
        <v/>
      </c>
      <c r="BG9" s="40" t="str">
        <f t="shared" ca="1" si="4"/>
        <v/>
      </c>
      <c r="BH9" s="40" t="str">
        <f t="shared" ca="1" si="4"/>
        <v/>
      </c>
      <c r="BI9" s="41" t="str">
        <f t="shared" ca="1" si="4"/>
        <v/>
      </c>
      <c r="BJ9" s="40" t="str">
        <f t="shared" ca="1" si="4"/>
        <v/>
      </c>
      <c r="BK9" s="40" t="str">
        <f t="shared" ca="1" si="4"/>
        <v/>
      </c>
      <c r="BL9" s="40" t="str">
        <f t="shared" ca="1" si="4"/>
        <v/>
      </c>
      <c r="BM9" s="40" t="str">
        <f t="shared" ca="1" si="4"/>
        <v/>
      </c>
      <c r="BN9" s="40" t="str">
        <f t="shared" ca="1" si="4"/>
        <v/>
      </c>
      <c r="BO9" s="40" t="str">
        <f t="shared" ca="1" si="4"/>
        <v/>
      </c>
      <c r="BP9" s="40" t="str">
        <f t="shared" ca="1" si="4"/>
        <v/>
      </c>
      <c r="BQ9" s="41" t="str">
        <f t="shared" ca="1" si="5"/>
        <v/>
      </c>
    </row>
    <row r="10" spans="1:69" x14ac:dyDescent="0.2">
      <c r="A10" s="18">
        <f t="shared" si="6"/>
        <v>9</v>
      </c>
      <c r="B10" s="77">
        <f t="shared" si="12"/>
        <v>4</v>
      </c>
      <c r="C10" s="92">
        <f t="shared" ca="1" si="7"/>
        <v>44941</v>
      </c>
      <c r="D10" s="93" t="str">
        <f t="shared" ca="1" si="0"/>
        <v>P4</v>
      </c>
      <c r="E10" s="94" t="str">
        <f t="shared" ca="1" si="0"/>
        <v>Nákup vyznamenání (X)</v>
      </c>
      <c r="F10" s="95" t="str">
        <f t="shared" ca="1" si="0"/>
        <v>Nedaňový</v>
      </c>
      <c r="G10" s="96">
        <f t="shared" ca="1" si="0"/>
        <v>10</v>
      </c>
      <c r="H10" s="95" t="str">
        <f t="shared" ca="1" si="0"/>
        <v>Hlavní</v>
      </c>
      <c r="I10" s="476" t="str">
        <f t="shared" ca="1" si="0"/>
        <v>V Materiál</v>
      </c>
      <c r="J10" s="42">
        <f t="shared" si="8"/>
        <v>4</v>
      </c>
      <c r="K10" s="39">
        <f t="shared" ca="1" si="1"/>
        <v>0</v>
      </c>
      <c r="L10" s="40">
        <f t="shared" ca="1" si="1"/>
        <v>300</v>
      </c>
      <c r="M10" s="41">
        <f t="shared" ca="1" si="1"/>
        <v>3200</v>
      </c>
      <c r="N10" s="282">
        <f t="shared" ca="1" si="1"/>
        <v>0</v>
      </c>
      <c r="O10" s="283">
        <f t="shared" ca="1" si="1"/>
        <v>0</v>
      </c>
      <c r="P10" s="284">
        <f t="shared" ca="1" si="1"/>
        <v>6000</v>
      </c>
      <c r="Q10" s="282">
        <f t="shared" ca="1" si="1"/>
        <v>0</v>
      </c>
      <c r="R10" s="283">
        <f t="shared" ca="1" si="1"/>
        <v>0</v>
      </c>
      <c r="S10" s="284">
        <f t="shared" ca="1" si="1"/>
        <v>0</v>
      </c>
      <c r="T10" s="282">
        <f t="shared" ca="1" si="1"/>
        <v>0</v>
      </c>
      <c r="U10" s="283">
        <f t="shared" ca="1" si="1"/>
        <v>0</v>
      </c>
      <c r="V10" s="284">
        <f t="shared" ca="1" si="1"/>
        <v>0</v>
      </c>
      <c r="W10" s="485">
        <f t="shared" ca="1" si="1"/>
        <v>0</v>
      </c>
      <c r="X10" s="42">
        <f t="shared" si="9"/>
        <v>4</v>
      </c>
      <c r="Y10" s="39" t="str">
        <f t="shared" ca="1" si="2"/>
        <v/>
      </c>
      <c r="Z10" s="41" t="str">
        <f t="shared" ca="1" si="2"/>
        <v/>
      </c>
      <c r="AA10" s="39" t="str">
        <f t="shared" ca="1" si="2"/>
        <v/>
      </c>
      <c r="AB10" s="41" t="str">
        <f t="shared" ca="1" si="2"/>
        <v/>
      </c>
      <c r="AC10" s="39" t="str">
        <f t="shared" ca="1" si="2"/>
        <v/>
      </c>
      <c r="AD10" s="40" t="str">
        <f t="shared" ca="1" si="2"/>
        <v/>
      </c>
      <c r="AE10" s="40" t="str">
        <f t="shared" ca="1" si="2"/>
        <v/>
      </c>
      <c r="AF10" s="40" t="str">
        <f t="shared" ca="1" si="2"/>
        <v/>
      </c>
      <c r="AG10" s="40" t="str">
        <f t="shared" ca="1" si="2"/>
        <v/>
      </c>
      <c r="AH10" s="40" t="str">
        <f t="shared" ca="1" si="2"/>
        <v/>
      </c>
      <c r="AI10" s="41" t="str">
        <f t="shared" ca="1" si="2"/>
        <v/>
      </c>
      <c r="AJ10" s="39">
        <f t="shared" ca="1" si="2"/>
        <v>300</v>
      </c>
      <c r="AK10" s="40" t="str">
        <f t="shared" ca="1" si="2"/>
        <v/>
      </c>
      <c r="AL10" s="40" t="str">
        <f t="shared" ca="1" si="2"/>
        <v/>
      </c>
      <c r="AM10" s="41" t="str">
        <f t="shared" ca="1" si="2"/>
        <v/>
      </c>
      <c r="AN10" s="42">
        <f t="shared" si="10"/>
        <v>4</v>
      </c>
      <c r="AO10" s="39" t="str">
        <f t="shared" ca="1" si="3"/>
        <v/>
      </c>
      <c r="AP10" s="40" t="str">
        <f t="shared" ca="1" si="3"/>
        <v/>
      </c>
      <c r="AQ10" s="40" t="str">
        <f t="shared" ca="1" si="3"/>
        <v/>
      </c>
      <c r="AR10" s="40" t="str">
        <f t="shared" ca="1" si="3"/>
        <v/>
      </c>
      <c r="AS10" s="40" t="str">
        <f t="shared" ca="1" si="3"/>
        <v/>
      </c>
      <c r="AT10" s="40" t="str">
        <f t="shared" ca="1" si="3"/>
        <v/>
      </c>
      <c r="AU10" s="40" t="str">
        <f t="shared" ca="1" si="3"/>
        <v/>
      </c>
      <c r="AV10" s="41" t="str">
        <f t="shared" ca="1" si="3"/>
        <v/>
      </c>
      <c r="AW10" s="40" t="str">
        <f t="shared" ca="1" si="3"/>
        <v/>
      </c>
      <c r="AX10" s="40" t="str">
        <f t="shared" ca="1" si="3"/>
        <v/>
      </c>
      <c r="AY10" s="41" t="str">
        <f t="shared" ca="1" si="3"/>
        <v/>
      </c>
      <c r="AZ10" s="42">
        <f t="shared" si="11"/>
        <v>4</v>
      </c>
      <c r="BA10" s="39" t="str">
        <f t="shared" ca="1" si="4"/>
        <v/>
      </c>
      <c r="BB10" s="40">
        <f t="shared" ca="1" si="4"/>
        <v>300</v>
      </c>
      <c r="BC10" s="40" t="str">
        <f t="shared" ca="1" si="4"/>
        <v/>
      </c>
      <c r="BD10" s="40" t="str">
        <f t="shared" ca="1" si="4"/>
        <v/>
      </c>
      <c r="BE10" s="40" t="str">
        <f t="shared" ca="1" si="4"/>
        <v/>
      </c>
      <c r="BF10" s="40" t="str">
        <f t="shared" ca="1" si="4"/>
        <v/>
      </c>
      <c r="BG10" s="40" t="str">
        <f t="shared" ca="1" si="4"/>
        <v/>
      </c>
      <c r="BH10" s="40" t="str">
        <f t="shared" ca="1" si="4"/>
        <v/>
      </c>
      <c r="BI10" s="41" t="str">
        <f t="shared" ca="1" si="4"/>
        <v/>
      </c>
      <c r="BJ10" s="40" t="str">
        <f t="shared" ca="1" si="4"/>
        <v/>
      </c>
      <c r="BK10" s="40" t="str">
        <f t="shared" ca="1" si="4"/>
        <v/>
      </c>
      <c r="BL10" s="40" t="str">
        <f t="shared" ca="1" si="4"/>
        <v/>
      </c>
      <c r="BM10" s="40" t="str">
        <f t="shared" ca="1" si="4"/>
        <v/>
      </c>
      <c r="BN10" s="40" t="str">
        <f t="shared" ca="1" si="4"/>
        <v/>
      </c>
      <c r="BO10" s="40" t="str">
        <f t="shared" ca="1" si="4"/>
        <v/>
      </c>
      <c r="BP10" s="40" t="str">
        <f t="shared" ca="1" si="4"/>
        <v/>
      </c>
      <c r="BQ10" s="41" t="str">
        <f t="shared" ca="1" si="5"/>
        <v/>
      </c>
    </row>
    <row r="11" spans="1:69" x14ac:dyDescent="0.2">
      <c r="A11" s="18">
        <f t="shared" si="6"/>
        <v>10</v>
      </c>
      <c r="B11" s="77">
        <f t="shared" si="12"/>
        <v>5</v>
      </c>
      <c r="C11" s="92">
        <f t="shared" ca="1" si="7"/>
        <v>44955</v>
      </c>
      <c r="D11" s="93" t="str">
        <f t="shared" ca="1" si="0"/>
        <v>B1</v>
      </c>
      <c r="E11" s="94" t="str">
        <f t="shared" ca="1" si="0"/>
        <v>Odvod členských příspěvků</v>
      </c>
      <c r="F11" s="95" t="str">
        <f t="shared" ca="1" si="0"/>
        <v>Nedaňový</v>
      </c>
      <c r="G11" s="96">
        <f t="shared" ca="1" si="0"/>
        <v>10</v>
      </c>
      <c r="H11" s="95" t="str">
        <f t="shared" ca="1" si="0"/>
        <v>Hlavní</v>
      </c>
      <c r="I11" s="476" t="str">
        <f t="shared" ca="1" si="0"/>
        <v>V Ostatní</v>
      </c>
      <c r="J11" s="42">
        <f t="shared" si="8"/>
        <v>5</v>
      </c>
      <c r="K11" s="39">
        <f t="shared" ca="1" si="1"/>
        <v>0</v>
      </c>
      <c r="L11" s="40">
        <f t="shared" ca="1" si="1"/>
        <v>0</v>
      </c>
      <c r="M11" s="41">
        <f t="shared" ca="1" si="1"/>
        <v>3200</v>
      </c>
      <c r="N11" s="282">
        <f t="shared" ca="1" si="1"/>
        <v>0</v>
      </c>
      <c r="O11" s="283">
        <f t="shared" ca="1" si="1"/>
        <v>1000.5</v>
      </c>
      <c r="P11" s="284">
        <f t="shared" ca="1" si="1"/>
        <v>4999.5</v>
      </c>
      <c r="Q11" s="282">
        <f t="shared" ca="1" si="1"/>
        <v>0</v>
      </c>
      <c r="R11" s="283">
        <f t="shared" ca="1" si="1"/>
        <v>0</v>
      </c>
      <c r="S11" s="284">
        <f t="shared" ca="1" si="1"/>
        <v>0</v>
      </c>
      <c r="T11" s="282">
        <f t="shared" ca="1" si="1"/>
        <v>0</v>
      </c>
      <c r="U11" s="283">
        <f t="shared" ca="1" si="1"/>
        <v>0</v>
      </c>
      <c r="V11" s="284">
        <f t="shared" ca="1" si="1"/>
        <v>0</v>
      </c>
      <c r="W11" s="485">
        <f t="shared" ca="1" si="1"/>
        <v>0</v>
      </c>
      <c r="X11" s="42">
        <f t="shared" si="9"/>
        <v>5</v>
      </c>
      <c r="Y11" s="39" t="str">
        <f t="shared" ca="1" si="2"/>
        <v/>
      </c>
      <c r="Z11" s="41" t="str">
        <f t="shared" ca="1" si="2"/>
        <v/>
      </c>
      <c r="AA11" s="39" t="str">
        <f t="shared" ca="1" si="2"/>
        <v/>
      </c>
      <c r="AB11" s="41" t="str">
        <f t="shared" ca="1" si="2"/>
        <v/>
      </c>
      <c r="AC11" s="39" t="str">
        <f t="shared" ca="1" si="2"/>
        <v/>
      </c>
      <c r="AD11" s="40" t="str">
        <f t="shared" ca="1" si="2"/>
        <v/>
      </c>
      <c r="AE11" s="40" t="str">
        <f t="shared" ca="1" si="2"/>
        <v/>
      </c>
      <c r="AF11" s="40" t="str">
        <f t="shared" ca="1" si="2"/>
        <v/>
      </c>
      <c r="AG11" s="40" t="str">
        <f t="shared" ca="1" si="2"/>
        <v/>
      </c>
      <c r="AH11" s="40" t="str">
        <f t="shared" ca="1" si="2"/>
        <v/>
      </c>
      <c r="AI11" s="41" t="str">
        <f t="shared" ca="1" si="2"/>
        <v/>
      </c>
      <c r="AJ11" s="39">
        <f t="shared" ca="1" si="2"/>
        <v>1000.5</v>
      </c>
      <c r="AK11" s="40" t="str">
        <f t="shared" ca="1" si="2"/>
        <v/>
      </c>
      <c r="AL11" s="40" t="str">
        <f t="shared" ca="1" si="2"/>
        <v/>
      </c>
      <c r="AM11" s="41" t="str">
        <f t="shared" ca="1" si="2"/>
        <v/>
      </c>
      <c r="AN11" s="42">
        <f t="shared" si="10"/>
        <v>5</v>
      </c>
      <c r="AO11" s="39" t="str">
        <f t="shared" ca="1" si="3"/>
        <v/>
      </c>
      <c r="AP11" s="40" t="str">
        <f t="shared" ca="1" si="3"/>
        <v/>
      </c>
      <c r="AQ11" s="40" t="str">
        <f t="shared" ca="1" si="3"/>
        <v/>
      </c>
      <c r="AR11" s="40" t="str">
        <f t="shared" ca="1" si="3"/>
        <v/>
      </c>
      <c r="AS11" s="40" t="str">
        <f t="shared" ca="1" si="3"/>
        <v/>
      </c>
      <c r="AT11" s="40" t="str">
        <f t="shared" ca="1" si="3"/>
        <v/>
      </c>
      <c r="AU11" s="40" t="str">
        <f t="shared" ca="1" si="3"/>
        <v/>
      </c>
      <c r="AV11" s="41" t="str">
        <f t="shared" ca="1" si="3"/>
        <v/>
      </c>
      <c r="AW11" s="40" t="str">
        <f t="shared" ca="1" si="3"/>
        <v/>
      </c>
      <c r="AX11" s="40" t="str">
        <f t="shared" ca="1" si="3"/>
        <v/>
      </c>
      <c r="AY11" s="41" t="str">
        <f t="shared" ca="1" si="3"/>
        <v/>
      </c>
      <c r="AZ11" s="42">
        <f t="shared" si="11"/>
        <v>5</v>
      </c>
      <c r="BA11" s="39" t="str">
        <f t="shared" ca="1" si="4"/>
        <v/>
      </c>
      <c r="BB11" s="40" t="str">
        <f t="shared" ca="1" si="4"/>
        <v/>
      </c>
      <c r="BC11" s="40" t="str">
        <f t="shared" ca="1" si="4"/>
        <v/>
      </c>
      <c r="BD11" s="40" t="str">
        <f t="shared" ca="1" si="4"/>
        <v/>
      </c>
      <c r="BE11" s="40" t="str">
        <f t="shared" ca="1" si="4"/>
        <v/>
      </c>
      <c r="BF11" s="40" t="str">
        <f t="shared" ca="1" si="4"/>
        <v/>
      </c>
      <c r="BG11" s="40" t="str">
        <f t="shared" ca="1" si="4"/>
        <v/>
      </c>
      <c r="BH11" s="40">
        <f t="shared" ca="1" si="4"/>
        <v>1000.5</v>
      </c>
      <c r="BI11" s="41" t="str">
        <f t="shared" ca="1" si="4"/>
        <v/>
      </c>
      <c r="BJ11" s="40" t="str">
        <f t="shared" ca="1" si="4"/>
        <v/>
      </c>
      <c r="BK11" s="40" t="str">
        <f t="shared" ca="1" si="4"/>
        <v/>
      </c>
      <c r="BL11" s="40" t="str">
        <f t="shared" ca="1" si="4"/>
        <v/>
      </c>
      <c r="BM11" s="40" t="str">
        <f t="shared" ca="1" si="4"/>
        <v/>
      </c>
      <c r="BN11" s="40" t="str">
        <f t="shared" ca="1" si="4"/>
        <v/>
      </c>
      <c r="BO11" s="40" t="str">
        <f t="shared" ca="1" si="4"/>
        <v/>
      </c>
      <c r="BP11" s="40" t="str">
        <f t="shared" ca="1" si="4"/>
        <v/>
      </c>
      <c r="BQ11" s="41" t="str">
        <f t="shared" ca="1" si="5"/>
        <v/>
      </c>
    </row>
    <row r="12" spans="1:69" x14ac:dyDescent="0.2">
      <c r="A12" s="18">
        <f t="shared" si="6"/>
        <v>11</v>
      </c>
      <c r="B12" s="77">
        <f t="shared" si="12"/>
        <v>6</v>
      </c>
      <c r="C12" s="92">
        <f t="shared" ca="1" si="7"/>
        <v>44972</v>
      </c>
      <c r="D12" s="93" t="str">
        <f t="shared" ca="1" si="0"/>
        <v>P5</v>
      </c>
      <c r="E12" s="94" t="str">
        <f t="shared" ca="1" si="0"/>
        <v>Hasičský ples - příjem (Y)</v>
      </c>
      <c r="F12" s="95" t="str">
        <f t="shared" ca="1" si="0"/>
        <v>Daňový</v>
      </c>
      <c r="G12" s="96">
        <f t="shared" ca="1" si="0"/>
        <v>2</v>
      </c>
      <c r="H12" s="95" t="str">
        <f t="shared" ca="1" si="0"/>
        <v>Hlavní</v>
      </c>
      <c r="I12" s="476" t="str">
        <f t="shared" ca="1" si="0"/>
        <v>P Prodej výrobků a služeb</v>
      </c>
      <c r="J12" s="42">
        <f t="shared" si="8"/>
        <v>6</v>
      </c>
      <c r="K12" s="39">
        <f t="shared" ca="1" si="1"/>
        <v>22000</v>
      </c>
      <c r="L12" s="40">
        <f t="shared" ca="1" si="1"/>
        <v>0</v>
      </c>
      <c r="M12" s="41">
        <f t="shared" ca="1" si="1"/>
        <v>25200</v>
      </c>
      <c r="N12" s="282">
        <f t="shared" ca="1" si="1"/>
        <v>0</v>
      </c>
      <c r="O12" s="283">
        <f t="shared" ca="1" si="1"/>
        <v>0</v>
      </c>
      <c r="P12" s="284">
        <f t="shared" ca="1" si="1"/>
        <v>4999.5</v>
      </c>
      <c r="Q12" s="282">
        <f t="shared" ca="1" si="1"/>
        <v>0</v>
      </c>
      <c r="R12" s="283">
        <f t="shared" ca="1" si="1"/>
        <v>0</v>
      </c>
      <c r="S12" s="284">
        <f t="shared" ca="1" si="1"/>
        <v>0</v>
      </c>
      <c r="T12" s="282">
        <f t="shared" ca="1" si="1"/>
        <v>0</v>
      </c>
      <c r="U12" s="283">
        <f t="shared" ca="1" si="1"/>
        <v>0</v>
      </c>
      <c r="V12" s="284">
        <f t="shared" ca="1" si="1"/>
        <v>0</v>
      </c>
      <c r="W12" s="485">
        <f t="shared" ca="1" si="1"/>
        <v>0</v>
      </c>
      <c r="X12" s="42">
        <f t="shared" si="9"/>
        <v>6</v>
      </c>
      <c r="Y12" s="39">
        <f t="shared" ca="1" si="2"/>
        <v>22000</v>
      </c>
      <c r="Z12" s="41" t="str">
        <f t="shared" ca="1" si="2"/>
        <v/>
      </c>
      <c r="AA12" s="39" t="str">
        <f t="shared" ca="1" si="2"/>
        <v/>
      </c>
      <c r="AB12" s="41" t="str">
        <f t="shared" ca="1" si="2"/>
        <v/>
      </c>
      <c r="AC12" s="39" t="str">
        <f t="shared" ca="1" si="2"/>
        <v/>
      </c>
      <c r="AD12" s="40" t="str">
        <f t="shared" ca="1" si="2"/>
        <v/>
      </c>
      <c r="AE12" s="40" t="str">
        <f t="shared" ca="1" si="2"/>
        <v/>
      </c>
      <c r="AF12" s="40" t="str">
        <f t="shared" ca="1" si="2"/>
        <v/>
      </c>
      <c r="AG12" s="40" t="str">
        <f t="shared" ca="1" si="2"/>
        <v/>
      </c>
      <c r="AH12" s="40" t="str">
        <f t="shared" ca="1" si="2"/>
        <v/>
      </c>
      <c r="AI12" s="41" t="str">
        <f t="shared" ca="1" si="2"/>
        <v/>
      </c>
      <c r="AJ12" s="39" t="str">
        <f t="shared" ca="1" si="2"/>
        <v/>
      </c>
      <c r="AK12" s="40" t="str">
        <f t="shared" ca="1" si="2"/>
        <v/>
      </c>
      <c r="AL12" s="40" t="str">
        <f t="shared" ca="1" si="2"/>
        <v/>
      </c>
      <c r="AM12" s="41" t="str">
        <f t="shared" ca="1" si="2"/>
        <v/>
      </c>
      <c r="AN12" s="42">
        <f t="shared" si="10"/>
        <v>6</v>
      </c>
      <c r="AO12" s="39" t="str">
        <f t="shared" ca="1" si="3"/>
        <v/>
      </c>
      <c r="AP12" s="40">
        <f t="shared" ca="1" si="3"/>
        <v>22000</v>
      </c>
      <c r="AQ12" s="40" t="str">
        <f t="shared" ca="1" si="3"/>
        <v/>
      </c>
      <c r="AR12" s="40" t="str">
        <f t="shared" ca="1" si="3"/>
        <v/>
      </c>
      <c r="AS12" s="40" t="str">
        <f t="shared" ca="1" si="3"/>
        <v/>
      </c>
      <c r="AT12" s="40" t="str">
        <f t="shared" ca="1" si="3"/>
        <v/>
      </c>
      <c r="AU12" s="40" t="str">
        <f t="shared" ca="1" si="3"/>
        <v/>
      </c>
      <c r="AV12" s="41" t="str">
        <f t="shared" ca="1" si="3"/>
        <v/>
      </c>
      <c r="AW12" s="40" t="str">
        <f t="shared" ca="1" si="3"/>
        <v/>
      </c>
      <c r="AX12" s="40" t="str">
        <f t="shared" ca="1" si="3"/>
        <v/>
      </c>
      <c r="AY12" s="41" t="str">
        <f t="shared" ca="1" si="3"/>
        <v/>
      </c>
      <c r="AZ12" s="42">
        <f t="shared" si="11"/>
        <v>6</v>
      </c>
      <c r="BA12" s="39" t="str">
        <f t="shared" ca="1" si="4"/>
        <v/>
      </c>
      <c r="BB12" s="40" t="str">
        <f t="shared" ca="1" si="4"/>
        <v/>
      </c>
      <c r="BC12" s="40" t="str">
        <f t="shared" ca="1" si="4"/>
        <v/>
      </c>
      <c r="BD12" s="40" t="str">
        <f t="shared" ca="1" si="4"/>
        <v/>
      </c>
      <c r="BE12" s="40" t="str">
        <f t="shared" ca="1" si="4"/>
        <v/>
      </c>
      <c r="BF12" s="40" t="str">
        <f t="shared" ca="1" si="4"/>
        <v/>
      </c>
      <c r="BG12" s="40" t="str">
        <f t="shared" ca="1" si="4"/>
        <v/>
      </c>
      <c r="BH12" s="40" t="str">
        <f t="shared" ca="1" si="4"/>
        <v/>
      </c>
      <c r="BI12" s="41" t="str">
        <f t="shared" ca="1" si="4"/>
        <v/>
      </c>
      <c r="BJ12" s="40" t="str">
        <f t="shared" ca="1" si="4"/>
        <v/>
      </c>
      <c r="BK12" s="40" t="str">
        <f t="shared" ca="1" si="4"/>
        <v/>
      </c>
      <c r="BL12" s="40" t="str">
        <f t="shared" ca="1" si="4"/>
        <v/>
      </c>
      <c r="BM12" s="40" t="str">
        <f t="shared" ca="1" si="4"/>
        <v/>
      </c>
      <c r="BN12" s="40" t="str">
        <f t="shared" ca="1" si="4"/>
        <v/>
      </c>
      <c r="BO12" s="40" t="str">
        <f t="shared" ca="1" si="4"/>
        <v/>
      </c>
      <c r="BP12" s="40" t="str">
        <f t="shared" ca="1" si="4"/>
        <v/>
      </c>
      <c r="BQ12" s="41" t="str">
        <f t="shared" ca="1" si="5"/>
        <v/>
      </c>
    </row>
    <row r="13" spans="1:69" x14ac:dyDescent="0.2">
      <c r="A13" s="18">
        <f t="shared" si="6"/>
        <v>12</v>
      </c>
      <c r="B13" s="77">
        <f t="shared" si="12"/>
        <v>7</v>
      </c>
      <c r="C13" s="92">
        <f t="shared" ca="1" si="7"/>
        <v>44972</v>
      </c>
      <c r="D13" s="93" t="str">
        <f t="shared" ca="1" si="0"/>
        <v>P6</v>
      </c>
      <c r="E13" s="94" t="str">
        <f t="shared" ca="1" si="0"/>
        <v>Hasičský ples - občerstvení (doložitelné) (Y)</v>
      </c>
      <c r="F13" s="95" t="str">
        <f t="shared" ca="1" si="0"/>
        <v>Daňový</v>
      </c>
      <c r="G13" s="96">
        <f t="shared" ca="1" si="0"/>
        <v>10</v>
      </c>
      <c r="H13" s="95" t="str">
        <f t="shared" ca="1" si="0"/>
        <v>Hlavní</v>
      </c>
      <c r="I13" s="476" t="str">
        <f t="shared" ca="1" si="0"/>
        <v>V Materiál</v>
      </c>
      <c r="J13" s="42">
        <f t="shared" si="8"/>
        <v>7</v>
      </c>
      <c r="K13" s="39">
        <f t="shared" ca="1" si="1"/>
        <v>0</v>
      </c>
      <c r="L13" s="40">
        <f t="shared" ca="1" si="1"/>
        <v>5000</v>
      </c>
      <c r="M13" s="41">
        <f t="shared" ca="1" si="1"/>
        <v>20200</v>
      </c>
      <c r="N13" s="282">
        <f t="shared" ca="1" si="1"/>
        <v>0</v>
      </c>
      <c r="O13" s="283">
        <f t="shared" ca="1" si="1"/>
        <v>0</v>
      </c>
      <c r="P13" s="284">
        <f t="shared" ca="1" si="1"/>
        <v>4999.5</v>
      </c>
      <c r="Q13" s="282">
        <f t="shared" ca="1" si="1"/>
        <v>0</v>
      </c>
      <c r="R13" s="283">
        <f t="shared" ca="1" si="1"/>
        <v>0</v>
      </c>
      <c r="S13" s="284">
        <f t="shared" ca="1" si="1"/>
        <v>0</v>
      </c>
      <c r="T13" s="282">
        <f t="shared" ca="1" si="1"/>
        <v>0</v>
      </c>
      <c r="U13" s="283">
        <f t="shared" ca="1" si="1"/>
        <v>0</v>
      </c>
      <c r="V13" s="284">
        <f t="shared" ca="1" si="1"/>
        <v>0</v>
      </c>
      <c r="W13" s="485">
        <f t="shared" ca="1" si="1"/>
        <v>0</v>
      </c>
      <c r="X13" s="42">
        <f t="shared" si="9"/>
        <v>7</v>
      </c>
      <c r="Y13" s="39" t="str">
        <f t="shared" ca="1" si="2"/>
        <v/>
      </c>
      <c r="Z13" s="41" t="str">
        <f t="shared" ca="1" si="2"/>
        <v/>
      </c>
      <c r="AA13" s="39">
        <f t="shared" ca="1" si="2"/>
        <v>5000</v>
      </c>
      <c r="AB13" s="41" t="str">
        <f t="shared" ca="1" si="2"/>
        <v/>
      </c>
      <c r="AC13" s="39" t="str">
        <f t="shared" ca="1" si="2"/>
        <v/>
      </c>
      <c r="AD13" s="40" t="str">
        <f t="shared" ca="1" si="2"/>
        <v/>
      </c>
      <c r="AE13" s="40" t="str">
        <f t="shared" ca="1" si="2"/>
        <v/>
      </c>
      <c r="AF13" s="40" t="str">
        <f t="shared" ca="1" si="2"/>
        <v/>
      </c>
      <c r="AG13" s="40" t="str">
        <f t="shared" ca="1" si="2"/>
        <v/>
      </c>
      <c r="AH13" s="40" t="str">
        <f t="shared" ca="1" si="2"/>
        <v/>
      </c>
      <c r="AI13" s="41" t="str">
        <f t="shared" ca="1" si="2"/>
        <v/>
      </c>
      <c r="AJ13" s="39" t="str">
        <f t="shared" ca="1" si="2"/>
        <v/>
      </c>
      <c r="AK13" s="40" t="str">
        <f t="shared" ca="1" si="2"/>
        <v/>
      </c>
      <c r="AL13" s="40" t="str">
        <f t="shared" ca="1" si="2"/>
        <v/>
      </c>
      <c r="AM13" s="41" t="str">
        <f t="shared" ca="1" si="2"/>
        <v/>
      </c>
      <c r="AN13" s="42">
        <f t="shared" si="10"/>
        <v>7</v>
      </c>
      <c r="AO13" s="39" t="str">
        <f t="shared" ca="1" si="3"/>
        <v/>
      </c>
      <c r="AP13" s="40" t="str">
        <f t="shared" ca="1" si="3"/>
        <v/>
      </c>
      <c r="AQ13" s="40" t="str">
        <f t="shared" ca="1" si="3"/>
        <v/>
      </c>
      <c r="AR13" s="40" t="str">
        <f t="shared" ca="1" si="3"/>
        <v/>
      </c>
      <c r="AS13" s="40" t="str">
        <f t="shared" ca="1" si="3"/>
        <v/>
      </c>
      <c r="AT13" s="40" t="str">
        <f t="shared" ca="1" si="3"/>
        <v/>
      </c>
      <c r="AU13" s="40" t="str">
        <f t="shared" ca="1" si="3"/>
        <v/>
      </c>
      <c r="AV13" s="41" t="str">
        <f t="shared" ca="1" si="3"/>
        <v/>
      </c>
      <c r="AW13" s="40" t="str">
        <f t="shared" ca="1" si="3"/>
        <v/>
      </c>
      <c r="AX13" s="40" t="str">
        <f t="shared" ca="1" si="3"/>
        <v/>
      </c>
      <c r="AY13" s="41" t="str">
        <f t="shared" ca="1" si="3"/>
        <v/>
      </c>
      <c r="AZ13" s="42">
        <f t="shared" si="11"/>
        <v>7</v>
      </c>
      <c r="BA13" s="39" t="str">
        <f t="shared" ca="1" si="4"/>
        <v/>
      </c>
      <c r="BB13" s="40">
        <f t="shared" ca="1" si="4"/>
        <v>5000</v>
      </c>
      <c r="BC13" s="40" t="str">
        <f t="shared" ca="1" si="4"/>
        <v/>
      </c>
      <c r="BD13" s="40" t="str">
        <f t="shared" ca="1" si="4"/>
        <v/>
      </c>
      <c r="BE13" s="40" t="str">
        <f t="shared" ca="1" si="4"/>
        <v/>
      </c>
      <c r="BF13" s="40" t="str">
        <f t="shared" ca="1" si="4"/>
        <v/>
      </c>
      <c r="BG13" s="40" t="str">
        <f t="shared" ca="1" si="4"/>
        <v/>
      </c>
      <c r="BH13" s="40" t="str">
        <f t="shared" ca="1" si="4"/>
        <v/>
      </c>
      <c r="BI13" s="41" t="str">
        <f t="shared" ca="1" si="4"/>
        <v/>
      </c>
      <c r="BJ13" s="40" t="str">
        <f t="shared" ca="1" si="4"/>
        <v/>
      </c>
      <c r="BK13" s="40" t="str">
        <f t="shared" ca="1" si="4"/>
        <v/>
      </c>
      <c r="BL13" s="40" t="str">
        <f t="shared" ca="1" si="4"/>
        <v/>
      </c>
      <c r="BM13" s="40" t="str">
        <f t="shared" ca="1" si="4"/>
        <v/>
      </c>
      <c r="BN13" s="40" t="str">
        <f t="shared" ca="1" si="4"/>
        <v/>
      </c>
      <c r="BO13" s="40" t="str">
        <f t="shared" ca="1" si="4"/>
        <v/>
      </c>
      <c r="BP13" s="40" t="str">
        <f t="shared" ca="1" si="4"/>
        <v/>
      </c>
      <c r="BQ13" s="41" t="str">
        <f t="shared" ca="1" si="5"/>
        <v/>
      </c>
    </row>
    <row r="14" spans="1:69" x14ac:dyDescent="0.2">
      <c r="A14" s="18">
        <f t="shared" si="6"/>
        <v>13</v>
      </c>
      <c r="B14" s="77">
        <f t="shared" si="12"/>
        <v>8</v>
      </c>
      <c r="C14" s="92">
        <f t="shared" ca="1" si="7"/>
        <v>44972</v>
      </c>
      <c r="D14" s="93" t="str">
        <f t="shared" ca="1" si="0"/>
        <v>P7</v>
      </c>
      <c r="E14" s="94" t="str">
        <f t="shared" ca="1" si="0"/>
        <v>Hasičský ples - ostatní (nelze doložit) (Y)</v>
      </c>
      <c r="F14" s="95" t="str">
        <f t="shared" ca="1" si="0"/>
        <v>Nedaňový</v>
      </c>
      <c r="G14" s="96">
        <f t="shared" ca="1" si="0"/>
        <v>10</v>
      </c>
      <c r="H14" s="95" t="str">
        <f t="shared" ca="1" si="0"/>
        <v>Hlavní</v>
      </c>
      <c r="I14" s="476" t="str">
        <f t="shared" ca="1" si="0"/>
        <v>V Služby</v>
      </c>
      <c r="J14" s="42">
        <f t="shared" si="8"/>
        <v>8</v>
      </c>
      <c r="K14" s="39">
        <f t="shared" ca="1" si="1"/>
        <v>0</v>
      </c>
      <c r="L14" s="40">
        <f t="shared" ca="1" si="1"/>
        <v>6000</v>
      </c>
      <c r="M14" s="41">
        <f t="shared" ca="1" si="1"/>
        <v>14200</v>
      </c>
      <c r="N14" s="282">
        <f t="shared" ca="1" si="1"/>
        <v>0</v>
      </c>
      <c r="O14" s="283">
        <f t="shared" ca="1" si="1"/>
        <v>0</v>
      </c>
      <c r="P14" s="284">
        <f t="shared" ca="1" si="1"/>
        <v>4999.5</v>
      </c>
      <c r="Q14" s="282">
        <f t="shared" ca="1" si="1"/>
        <v>0</v>
      </c>
      <c r="R14" s="283">
        <f t="shared" ca="1" si="1"/>
        <v>0</v>
      </c>
      <c r="S14" s="284">
        <f t="shared" ca="1" si="1"/>
        <v>0</v>
      </c>
      <c r="T14" s="282">
        <f t="shared" ca="1" si="1"/>
        <v>0</v>
      </c>
      <c r="U14" s="283">
        <f t="shared" ca="1" si="1"/>
        <v>0</v>
      </c>
      <c r="V14" s="284">
        <f t="shared" ca="1" si="1"/>
        <v>0</v>
      </c>
      <c r="W14" s="485">
        <f t="shared" ca="1" si="1"/>
        <v>0</v>
      </c>
      <c r="X14" s="42">
        <f t="shared" si="9"/>
        <v>8</v>
      </c>
      <c r="Y14" s="39" t="str">
        <f t="shared" ca="1" si="2"/>
        <v/>
      </c>
      <c r="Z14" s="41" t="str">
        <f t="shared" ca="1" si="2"/>
        <v/>
      </c>
      <c r="AA14" s="39" t="str">
        <f t="shared" ca="1" si="2"/>
        <v/>
      </c>
      <c r="AB14" s="41" t="str">
        <f t="shared" ca="1" si="2"/>
        <v/>
      </c>
      <c r="AC14" s="39" t="str">
        <f t="shared" ca="1" si="2"/>
        <v/>
      </c>
      <c r="AD14" s="40" t="str">
        <f t="shared" ca="1" si="2"/>
        <v/>
      </c>
      <c r="AE14" s="40" t="str">
        <f t="shared" ca="1" si="2"/>
        <v/>
      </c>
      <c r="AF14" s="40" t="str">
        <f t="shared" ca="1" si="2"/>
        <v/>
      </c>
      <c r="AG14" s="40" t="str">
        <f t="shared" ca="1" si="2"/>
        <v/>
      </c>
      <c r="AH14" s="40" t="str">
        <f t="shared" ca="1" si="2"/>
        <v/>
      </c>
      <c r="AI14" s="41" t="str">
        <f t="shared" ca="1" si="2"/>
        <v/>
      </c>
      <c r="AJ14" s="39">
        <f t="shared" ca="1" si="2"/>
        <v>6000</v>
      </c>
      <c r="AK14" s="40" t="str">
        <f t="shared" ca="1" si="2"/>
        <v/>
      </c>
      <c r="AL14" s="40" t="str">
        <f t="shared" ca="1" si="2"/>
        <v/>
      </c>
      <c r="AM14" s="41" t="str">
        <f t="shared" ca="1" si="2"/>
        <v/>
      </c>
      <c r="AN14" s="42">
        <f t="shared" si="10"/>
        <v>8</v>
      </c>
      <c r="AO14" s="39" t="str">
        <f t="shared" ca="1" si="3"/>
        <v/>
      </c>
      <c r="AP14" s="40" t="str">
        <f t="shared" ca="1" si="3"/>
        <v/>
      </c>
      <c r="AQ14" s="40" t="str">
        <f t="shared" ca="1" si="3"/>
        <v/>
      </c>
      <c r="AR14" s="40" t="str">
        <f t="shared" ca="1" si="3"/>
        <v/>
      </c>
      <c r="AS14" s="40" t="str">
        <f t="shared" ca="1" si="3"/>
        <v/>
      </c>
      <c r="AT14" s="40" t="str">
        <f t="shared" ca="1" si="3"/>
        <v/>
      </c>
      <c r="AU14" s="40" t="str">
        <f t="shared" ca="1" si="3"/>
        <v/>
      </c>
      <c r="AV14" s="41" t="str">
        <f t="shared" ca="1" si="3"/>
        <v/>
      </c>
      <c r="AW14" s="40" t="str">
        <f t="shared" ca="1" si="3"/>
        <v/>
      </c>
      <c r="AX14" s="40" t="str">
        <f t="shared" ca="1" si="3"/>
        <v/>
      </c>
      <c r="AY14" s="41" t="str">
        <f t="shared" ca="1" si="3"/>
        <v/>
      </c>
      <c r="AZ14" s="42">
        <f t="shared" si="11"/>
        <v>8</v>
      </c>
      <c r="BA14" s="39" t="str">
        <f t="shared" ca="1" si="4"/>
        <v/>
      </c>
      <c r="BB14" s="40" t="str">
        <f t="shared" ca="1" si="4"/>
        <v/>
      </c>
      <c r="BC14" s="40" t="str">
        <f t="shared" ca="1" si="4"/>
        <v/>
      </c>
      <c r="BD14" s="40">
        <f t="shared" ca="1" si="4"/>
        <v>6000</v>
      </c>
      <c r="BE14" s="40" t="str">
        <f t="shared" ca="1" si="4"/>
        <v/>
      </c>
      <c r="BF14" s="40" t="str">
        <f t="shared" ca="1" si="4"/>
        <v/>
      </c>
      <c r="BG14" s="40" t="str">
        <f t="shared" ca="1" si="4"/>
        <v/>
      </c>
      <c r="BH14" s="40" t="str">
        <f t="shared" ca="1" si="4"/>
        <v/>
      </c>
      <c r="BI14" s="41" t="str">
        <f t="shared" ca="1" si="4"/>
        <v/>
      </c>
      <c r="BJ14" s="40" t="str">
        <f t="shared" ca="1" si="4"/>
        <v/>
      </c>
      <c r="BK14" s="40" t="str">
        <f t="shared" ca="1" si="4"/>
        <v/>
      </c>
      <c r="BL14" s="40" t="str">
        <f t="shared" ca="1" si="4"/>
        <v/>
      </c>
      <c r="BM14" s="40" t="str">
        <f t="shared" ca="1" si="4"/>
        <v/>
      </c>
      <c r="BN14" s="40" t="str">
        <f t="shared" ca="1" si="4"/>
        <v/>
      </c>
      <c r="BO14" s="40" t="str">
        <f t="shared" ca="1" si="4"/>
        <v/>
      </c>
      <c r="BP14" s="40" t="str">
        <f t="shared" ca="1" si="4"/>
        <v/>
      </c>
      <c r="BQ14" s="41" t="str">
        <f t="shared" ca="1" si="5"/>
        <v/>
      </c>
    </row>
    <row r="15" spans="1:69" x14ac:dyDescent="0.2">
      <c r="A15" s="18">
        <f t="shared" si="6"/>
        <v>14</v>
      </c>
      <c r="B15" s="77">
        <f t="shared" si="12"/>
        <v>9</v>
      </c>
      <c r="C15" s="92">
        <f t="shared" ca="1" si="7"/>
        <v>45041</v>
      </c>
      <c r="D15" s="93" t="str">
        <f t="shared" ca="1" si="0"/>
        <v>P8</v>
      </c>
      <c r="E15" s="94" t="str">
        <f t="shared" ca="1" si="0"/>
        <v>Příjem za sběr odpadu (Z1)</v>
      </c>
      <c r="F15" s="95" t="str">
        <f t="shared" ca="1" si="0"/>
        <v>Daňový</v>
      </c>
      <c r="G15" s="96">
        <f t="shared" ca="1" si="0"/>
        <v>1</v>
      </c>
      <c r="H15" s="95" t="str">
        <f t="shared" ca="1" si="0"/>
        <v>Vedlejší (hospodářská)</v>
      </c>
      <c r="I15" s="476" t="str">
        <f t="shared" ca="1" si="0"/>
        <v>P Prodej výrobků a služeb</v>
      </c>
      <c r="J15" s="42">
        <f t="shared" si="8"/>
        <v>9</v>
      </c>
      <c r="K15" s="39">
        <f t="shared" ca="1" si="1"/>
        <v>500</v>
      </c>
      <c r="L15" s="40">
        <f t="shared" ca="1" si="1"/>
        <v>0</v>
      </c>
      <c r="M15" s="41">
        <f t="shared" ca="1" si="1"/>
        <v>14700</v>
      </c>
      <c r="N15" s="282">
        <f t="shared" ca="1" si="1"/>
        <v>0</v>
      </c>
      <c r="O15" s="283">
        <f t="shared" ca="1" si="1"/>
        <v>0</v>
      </c>
      <c r="P15" s="284">
        <f t="shared" ca="1" si="1"/>
        <v>4999.5</v>
      </c>
      <c r="Q15" s="282">
        <f t="shared" ca="1" si="1"/>
        <v>0</v>
      </c>
      <c r="R15" s="283">
        <f t="shared" ca="1" si="1"/>
        <v>0</v>
      </c>
      <c r="S15" s="284">
        <f t="shared" ca="1" si="1"/>
        <v>0</v>
      </c>
      <c r="T15" s="282">
        <f t="shared" ca="1" si="1"/>
        <v>0</v>
      </c>
      <c r="U15" s="283">
        <f t="shared" ca="1" si="1"/>
        <v>0</v>
      </c>
      <c r="V15" s="284">
        <f t="shared" ca="1" si="1"/>
        <v>0</v>
      </c>
      <c r="W15" s="485">
        <f t="shared" ca="1" si="1"/>
        <v>0</v>
      </c>
      <c r="X15" s="42">
        <f t="shared" si="9"/>
        <v>9</v>
      </c>
      <c r="Y15" s="39" t="str">
        <f t="shared" ca="1" si="2"/>
        <v/>
      </c>
      <c r="Z15" s="41">
        <f t="shared" ca="1" si="2"/>
        <v>500</v>
      </c>
      <c r="AA15" s="39" t="str">
        <f t="shared" ca="1" si="2"/>
        <v/>
      </c>
      <c r="AB15" s="41" t="str">
        <f t="shared" ca="1" si="2"/>
        <v/>
      </c>
      <c r="AC15" s="39" t="str">
        <f t="shared" ca="1" si="2"/>
        <v/>
      </c>
      <c r="AD15" s="40" t="str">
        <f t="shared" ca="1" si="2"/>
        <v/>
      </c>
      <c r="AE15" s="40" t="str">
        <f t="shared" ca="1" si="2"/>
        <v/>
      </c>
      <c r="AF15" s="40" t="str">
        <f t="shared" ca="1" si="2"/>
        <v/>
      </c>
      <c r="AG15" s="40" t="str">
        <f t="shared" ca="1" si="2"/>
        <v/>
      </c>
      <c r="AH15" s="40" t="str">
        <f t="shared" ca="1" si="2"/>
        <v/>
      </c>
      <c r="AI15" s="41" t="str">
        <f t="shared" ca="1" si="2"/>
        <v/>
      </c>
      <c r="AJ15" s="39" t="str">
        <f t="shared" ca="1" si="2"/>
        <v/>
      </c>
      <c r="AK15" s="40" t="str">
        <f t="shared" ca="1" si="2"/>
        <v/>
      </c>
      <c r="AL15" s="40" t="str">
        <f t="shared" ca="1" si="2"/>
        <v/>
      </c>
      <c r="AM15" s="41" t="str">
        <f t="shared" ca="1" si="2"/>
        <v/>
      </c>
      <c r="AN15" s="42">
        <f t="shared" si="10"/>
        <v>9</v>
      </c>
      <c r="AO15" s="39" t="str">
        <f t="shared" ca="1" si="3"/>
        <v/>
      </c>
      <c r="AP15" s="40" t="str">
        <f t="shared" ca="1" si="3"/>
        <v/>
      </c>
      <c r="AQ15" s="40" t="str">
        <f t="shared" ca="1" si="3"/>
        <v/>
      </c>
      <c r="AR15" s="40" t="str">
        <f t="shared" ca="1" si="3"/>
        <v/>
      </c>
      <c r="AS15" s="40" t="str">
        <f t="shared" ca="1" si="3"/>
        <v/>
      </c>
      <c r="AT15" s="40" t="str">
        <f t="shared" ca="1" si="3"/>
        <v/>
      </c>
      <c r="AU15" s="40" t="str">
        <f t="shared" ca="1" si="3"/>
        <v/>
      </c>
      <c r="AV15" s="41" t="str">
        <f t="shared" ca="1" si="3"/>
        <v/>
      </c>
      <c r="AW15" s="40" t="str">
        <f t="shared" ca="1" si="3"/>
        <v/>
      </c>
      <c r="AX15" s="40">
        <f t="shared" ca="1" si="3"/>
        <v>500</v>
      </c>
      <c r="AY15" s="41" t="str">
        <f t="shared" ca="1" si="3"/>
        <v/>
      </c>
      <c r="AZ15" s="42">
        <f t="shared" si="11"/>
        <v>9</v>
      </c>
      <c r="BA15" s="39" t="str">
        <f t="shared" ca="1" si="4"/>
        <v/>
      </c>
      <c r="BB15" s="40" t="str">
        <f t="shared" ca="1" si="4"/>
        <v/>
      </c>
      <c r="BC15" s="40" t="str">
        <f t="shared" ca="1" si="4"/>
        <v/>
      </c>
      <c r="BD15" s="40" t="str">
        <f t="shared" ca="1" si="4"/>
        <v/>
      </c>
      <c r="BE15" s="40" t="str">
        <f t="shared" ca="1" si="4"/>
        <v/>
      </c>
      <c r="BF15" s="40" t="str">
        <f t="shared" ca="1" si="4"/>
        <v/>
      </c>
      <c r="BG15" s="40" t="str">
        <f t="shared" ca="1" si="4"/>
        <v/>
      </c>
      <c r="BH15" s="40" t="str">
        <f t="shared" ca="1" si="4"/>
        <v/>
      </c>
      <c r="BI15" s="41" t="str">
        <f t="shared" ca="1" si="4"/>
        <v/>
      </c>
      <c r="BJ15" s="40" t="str">
        <f t="shared" ca="1" si="4"/>
        <v/>
      </c>
      <c r="BK15" s="40" t="str">
        <f t="shared" ca="1" si="4"/>
        <v/>
      </c>
      <c r="BL15" s="40" t="str">
        <f t="shared" ca="1" si="4"/>
        <v/>
      </c>
      <c r="BM15" s="40" t="str">
        <f t="shared" ca="1" si="4"/>
        <v/>
      </c>
      <c r="BN15" s="40" t="str">
        <f t="shared" ca="1" si="4"/>
        <v/>
      </c>
      <c r="BO15" s="40" t="str">
        <f t="shared" ca="1" si="4"/>
        <v/>
      </c>
      <c r="BP15" s="40" t="str">
        <f t="shared" ca="1" si="4"/>
        <v/>
      </c>
      <c r="BQ15" s="41" t="str">
        <f t="shared" ca="1" si="5"/>
        <v/>
      </c>
    </row>
    <row r="16" spans="1:69" x14ac:dyDescent="0.2">
      <c r="A16" s="18">
        <f t="shared" si="6"/>
        <v>15</v>
      </c>
      <c r="B16" s="77">
        <f t="shared" si="12"/>
        <v>10</v>
      </c>
      <c r="C16" s="92">
        <f t="shared" ca="1" si="7"/>
        <v>45062</v>
      </c>
      <c r="D16" s="93" t="str">
        <f t="shared" ca="1" si="0"/>
        <v>P9</v>
      </c>
      <c r="E16" s="94" t="str">
        <f t="shared" ca="1" si="0"/>
        <v>Příjem z bufetu - soutěž (prodej členům) (Z4)</v>
      </c>
      <c r="F16" s="95" t="str">
        <f t="shared" ca="1" si="0"/>
        <v>Daňový</v>
      </c>
      <c r="G16" s="96">
        <f t="shared" ca="1" si="0"/>
        <v>2</v>
      </c>
      <c r="H16" s="95" t="str">
        <f t="shared" ca="1" si="0"/>
        <v>Hlavní</v>
      </c>
      <c r="I16" s="476" t="str">
        <f t="shared" ca="1" si="0"/>
        <v>P Prodej zboží</v>
      </c>
      <c r="J16" s="42">
        <f t="shared" si="8"/>
        <v>10</v>
      </c>
      <c r="K16" s="39">
        <f t="shared" ca="1" si="1"/>
        <v>1000</v>
      </c>
      <c r="L16" s="40">
        <f t="shared" ca="1" si="1"/>
        <v>0</v>
      </c>
      <c r="M16" s="41">
        <f t="shared" ca="1" si="1"/>
        <v>15700</v>
      </c>
      <c r="N16" s="282">
        <f t="shared" ca="1" si="1"/>
        <v>0</v>
      </c>
      <c r="O16" s="283">
        <f t="shared" ca="1" si="1"/>
        <v>0</v>
      </c>
      <c r="P16" s="284">
        <f t="shared" ca="1" si="1"/>
        <v>4999.5</v>
      </c>
      <c r="Q16" s="282">
        <f t="shared" ca="1" si="1"/>
        <v>0</v>
      </c>
      <c r="R16" s="283">
        <f t="shared" ca="1" si="1"/>
        <v>0</v>
      </c>
      <c r="S16" s="284">
        <f t="shared" ca="1" si="1"/>
        <v>0</v>
      </c>
      <c r="T16" s="282">
        <f t="shared" ca="1" si="1"/>
        <v>0</v>
      </c>
      <c r="U16" s="283">
        <f t="shared" ca="1" si="1"/>
        <v>0</v>
      </c>
      <c r="V16" s="284">
        <f t="shared" ca="1" si="1"/>
        <v>0</v>
      </c>
      <c r="W16" s="485">
        <f t="shared" ca="1" si="1"/>
        <v>0</v>
      </c>
      <c r="X16" s="42">
        <f t="shared" si="9"/>
        <v>10</v>
      </c>
      <c r="Y16" s="39">
        <f t="shared" ca="1" si="2"/>
        <v>1000</v>
      </c>
      <c r="Z16" s="41" t="str">
        <f t="shared" ca="1" si="2"/>
        <v/>
      </c>
      <c r="AA16" s="39" t="str">
        <f t="shared" ca="1" si="2"/>
        <v/>
      </c>
      <c r="AB16" s="41" t="str">
        <f t="shared" ca="1" si="2"/>
        <v/>
      </c>
      <c r="AC16" s="39" t="str">
        <f t="shared" ca="1" si="2"/>
        <v/>
      </c>
      <c r="AD16" s="40" t="str">
        <f t="shared" ca="1" si="2"/>
        <v/>
      </c>
      <c r="AE16" s="40" t="str">
        <f t="shared" ca="1" si="2"/>
        <v/>
      </c>
      <c r="AF16" s="40" t="str">
        <f t="shared" ca="1" si="2"/>
        <v/>
      </c>
      <c r="AG16" s="40" t="str">
        <f t="shared" ca="1" si="2"/>
        <v/>
      </c>
      <c r="AH16" s="40" t="str">
        <f t="shared" ca="1" si="2"/>
        <v/>
      </c>
      <c r="AI16" s="41" t="str">
        <f t="shared" ca="1" si="2"/>
        <v/>
      </c>
      <c r="AJ16" s="39" t="str">
        <f t="shared" ca="1" si="2"/>
        <v/>
      </c>
      <c r="AK16" s="40" t="str">
        <f t="shared" ca="1" si="2"/>
        <v/>
      </c>
      <c r="AL16" s="40" t="str">
        <f t="shared" ca="1" si="2"/>
        <v/>
      </c>
      <c r="AM16" s="41" t="str">
        <f t="shared" ca="1" si="2"/>
        <v/>
      </c>
      <c r="AN16" s="42">
        <f t="shared" si="10"/>
        <v>10</v>
      </c>
      <c r="AO16" s="39">
        <f t="shared" ca="1" si="3"/>
        <v>1000</v>
      </c>
      <c r="AP16" s="40" t="str">
        <f t="shared" ca="1" si="3"/>
        <v/>
      </c>
      <c r="AQ16" s="40" t="str">
        <f t="shared" ca="1" si="3"/>
        <v/>
      </c>
      <c r="AR16" s="40" t="str">
        <f t="shared" ca="1" si="3"/>
        <v/>
      </c>
      <c r="AS16" s="40" t="str">
        <f t="shared" ca="1" si="3"/>
        <v/>
      </c>
      <c r="AT16" s="40" t="str">
        <f t="shared" ca="1" si="3"/>
        <v/>
      </c>
      <c r="AU16" s="40" t="str">
        <f t="shared" ca="1" si="3"/>
        <v/>
      </c>
      <c r="AV16" s="41" t="str">
        <f t="shared" ca="1" si="3"/>
        <v/>
      </c>
      <c r="AW16" s="40" t="str">
        <f t="shared" ca="1" si="3"/>
        <v/>
      </c>
      <c r="AX16" s="40" t="str">
        <f t="shared" ca="1" si="3"/>
        <v/>
      </c>
      <c r="AY16" s="41" t="str">
        <f t="shared" ca="1" si="3"/>
        <v/>
      </c>
      <c r="AZ16" s="42">
        <f t="shared" si="11"/>
        <v>10</v>
      </c>
      <c r="BA16" s="39" t="str">
        <f t="shared" ca="1" si="4"/>
        <v/>
      </c>
      <c r="BB16" s="40" t="str">
        <f t="shared" ca="1" si="4"/>
        <v/>
      </c>
      <c r="BC16" s="40" t="str">
        <f t="shared" ca="1" si="4"/>
        <v/>
      </c>
      <c r="BD16" s="40" t="str">
        <f t="shared" ca="1" si="4"/>
        <v/>
      </c>
      <c r="BE16" s="40" t="str">
        <f t="shared" ca="1" si="4"/>
        <v/>
      </c>
      <c r="BF16" s="40" t="str">
        <f t="shared" ca="1" si="4"/>
        <v/>
      </c>
      <c r="BG16" s="40" t="str">
        <f t="shared" ca="1" si="4"/>
        <v/>
      </c>
      <c r="BH16" s="40" t="str">
        <f t="shared" ca="1" si="4"/>
        <v/>
      </c>
      <c r="BI16" s="41" t="str">
        <f t="shared" ca="1" si="4"/>
        <v/>
      </c>
      <c r="BJ16" s="40" t="str">
        <f t="shared" ca="1" si="4"/>
        <v/>
      </c>
      <c r="BK16" s="40" t="str">
        <f t="shared" ca="1" si="4"/>
        <v/>
      </c>
      <c r="BL16" s="40" t="str">
        <f t="shared" ca="1" si="4"/>
        <v/>
      </c>
      <c r="BM16" s="40" t="str">
        <f t="shared" ca="1" si="4"/>
        <v/>
      </c>
      <c r="BN16" s="40" t="str">
        <f t="shared" ca="1" si="4"/>
        <v/>
      </c>
      <c r="BO16" s="40" t="str">
        <f t="shared" ca="1" si="4"/>
        <v/>
      </c>
      <c r="BP16" s="40" t="str">
        <f t="shared" ca="1" si="4"/>
        <v/>
      </c>
      <c r="BQ16" s="41" t="str">
        <f t="shared" ca="1" si="5"/>
        <v/>
      </c>
    </row>
    <row r="17" spans="1:69" x14ac:dyDescent="0.2">
      <c r="A17" s="18">
        <f t="shared" si="6"/>
        <v>16</v>
      </c>
      <c r="B17" s="77">
        <f t="shared" si="12"/>
        <v>11</v>
      </c>
      <c r="C17" s="92">
        <f t="shared" ca="1" si="7"/>
        <v>45062</v>
      </c>
      <c r="D17" s="93" t="str">
        <f t="shared" ca="1" si="0"/>
        <v>P10</v>
      </c>
      <c r="E17" s="94" t="str">
        <f t="shared" ca="1" si="0"/>
        <v>Výdej z bufetu - soutěž (Z4)</v>
      </c>
      <c r="F17" s="95" t="str">
        <f t="shared" ca="1" si="0"/>
        <v>Daňový</v>
      </c>
      <c r="G17" s="96">
        <f t="shared" ca="1" si="0"/>
        <v>10</v>
      </c>
      <c r="H17" s="95" t="str">
        <f t="shared" ca="1" si="0"/>
        <v>Hlavní</v>
      </c>
      <c r="I17" s="476" t="str">
        <f t="shared" ca="1" si="0"/>
        <v>V Zboží</v>
      </c>
      <c r="J17" s="42">
        <f t="shared" si="8"/>
        <v>11</v>
      </c>
      <c r="K17" s="39">
        <f t="shared" ca="1" si="1"/>
        <v>0</v>
      </c>
      <c r="L17" s="40">
        <f t="shared" ca="1" si="1"/>
        <v>800</v>
      </c>
      <c r="M17" s="41">
        <f t="shared" ca="1" si="1"/>
        <v>14900</v>
      </c>
      <c r="N17" s="282">
        <f t="shared" ca="1" si="1"/>
        <v>0</v>
      </c>
      <c r="O17" s="283">
        <f t="shared" ca="1" si="1"/>
        <v>0</v>
      </c>
      <c r="P17" s="284">
        <f t="shared" ca="1" si="1"/>
        <v>4999.5</v>
      </c>
      <c r="Q17" s="282">
        <f t="shared" ca="1" si="1"/>
        <v>0</v>
      </c>
      <c r="R17" s="283">
        <f t="shared" ca="1" si="1"/>
        <v>0</v>
      </c>
      <c r="S17" s="284">
        <f t="shared" ca="1" si="1"/>
        <v>0</v>
      </c>
      <c r="T17" s="282">
        <f t="shared" ca="1" si="1"/>
        <v>0</v>
      </c>
      <c r="U17" s="283">
        <f t="shared" ca="1" si="1"/>
        <v>0</v>
      </c>
      <c r="V17" s="284">
        <f t="shared" ca="1" si="1"/>
        <v>0</v>
      </c>
      <c r="W17" s="485">
        <f t="shared" ca="1" si="1"/>
        <v>0</v>
      </c>
      <c r="X17" s="42">
        <f t="shared" si="9"/>
        <v>11</v>
      </c>
      <c r="Y17" s="39" t="str">
        <f t="shared" ca="1" si="2"/>
        <v/>
      </c>
      <c r="Z17" s="41" t="str">
        <f t="shared" ca="1" si="2"/>
        <v/>
      </c>
      <c r="AA17" s="39">
        <f t="shared" ca="1" si="2"/>
        <v>800</v>
      </c>
      <c r="AB17" s="41" t="str">
        <f t="shared" ca="1" si="2"/>
        <v/>
      </c>
      <c r="AC17" s="39" t="str">
        <f t="shared" ca="1" si="2"/>
        <v/>
      </c>
      <c r="AD17" s="40" t="str">
        <f t="shared" ca="1" si="2"/>
        <v/>
      </c>
      <c r="AE17" s="40" t="str">
        <f t="shared" ca="1" si="2"/>
        <v/>
      </c>
      <c r="AF17" s="40" t="str">
        <f t="shared" ca="1" si="2"/>
        <v/>
      </c>
      <c r="AG17" s="40" t="str">
        <f t="shared" ca="1" si="2"/>
        <v/>
      </c>
      <c r="AH17" s="40" t="str">
        <f t="shared" ca="1" si="2"/>
        <v/>
      </c>
      <c r="AI17" s="41" t="str">
        <f t="shared" ca="1" si="2"/>
        <v/>
      </c>
      <c r="AJ17" s="39" t="str">
        <f t="shared" ca="1" si="2"/>
        <v/>
      </c>
      <c r="AK17" s="40" t="str">
        <f t="shared" ca="1" si="2"/>
        <v/>
      </c>
      <c r="AL17" s="40" t="str">
        <f t="shared" ca="1" si="2"/>
        <v/>
      </c>
      <c r="AM17" s="41" t="str">
        <f t="shared" ca="1" si="2"/>
        <v/>
      </c>
      <c r="AN17" s="42">
        <f t="shared" si="10"/>
        <v>11</v>
      </c>
      <c r="AO17" s="39" t="str">
        <f t="shared" ca="1" si="3"/>
        <v/>
      </c>
      <c r="AP17" s="40" t="str">
        <f t="shared" ca="1" si="3"/>
        <v/>
      </c>
      <c r="AQ17" s="40" t="str">
        <f t="shared" ca="1" si="3"/>
        <v/>
      </c>
      <c r="AR17" s="40" t="str">
        <f t="shared" ca="1" si="3"/>
        <v/>
      </c>
      <c r="AS17" s="40" t="str">
        <f t="shared" ca="1" si="3"/>
        <v/>
      </c>
      <c r="AT17" s="40" t="str">
        <f t="shared" ca="1" si="3"/>
        <v/>
      </c>
      <c r="AU17" s="40" t="str">
        <f t="shared" ca="1" si="3"/>
        <v/>
      </c>
      <c r="AV17" s="41" t="str">
        <f t="shared" ca="1" si="3"/>
        <v/>
      </c>
      <c r="AW17" s="40" t="str">
        <f t="shared" ca="1" si="3"/>
        <v/>
      </c>
      <c r="AX17" s="40" t="str">
        <f t="shared" ca="1" si="3"/>
        <v/>
      </c>
      <c r="AY17" s="41" t="str">
        <f t="shared" ca="1" si="3"/>
        <v/>
      </c>
      <c r="AZ17" s="42">
        <f t="shared" si="11"/>
        <v>11</v>
      </c>
      <c r="BA17" s="39" t="str">
        <f t="shared" ca="1" si="4"/>
        <v/>
      </c>
      <c r="BB17" s="40" t="str">
        <f t="shared" ca="1" si="4"/>
        <v/>
      </c>
      <c r="BC17" s="40">
        <f t="shared" ca="1" si="4"/>
        <v>800</v>
      </c>
      <c r="BD17" s="40" t="str">
        <f t="shared" ca="1" si="4"/>
        <v/>
      </c>
      <c r="BE17" s="40" t="str">
        <f t="shared" ca="1" si="4"/>
        <v/>
      </c>
      <c r="BF17" s="40" t="str">
        <f t="shared" ca="1" si="4"/>
        <v/>
      </c>
      <c r="BG17" s="40" t="str">
        <f t="shared" ca="1" si="4"/>
        <v/>
      </c>
      <c r="BH17" s="40" t="str">
        <f t="shared" ca="1" si="4"/>
        <v/>
      </c>
      <c r="BI17" s="41" t="str">
        <f t="shared" ca="1" si="4"/>
        <v/>
      </c>
      <c r="BJ17" s="40" t="str">
        <f t="shared" ca="1" si="4"/>
        <v/>
      </c>
      <c r="BK17" s="40" t="str">
        <f t="shared" ca="1" si="4"/>
        <v/>
      </c>
      <c r="BL17" s="40" t="str">
        <f t="shared" ca="1" si="4"/>
        <v/>
      </c>
      <c r="BM17" s="40" t="str">
        <f t="shared" ca="1" si="4"/>
        <v/>
      </c>
      <c r="BN17" s="40" t="str">
        <f t="shared" ca="1" si="4"/>
        <v/>
      </c>
      <c r="BO17" s="40" t="str">
        <f t="shared" ca="1" si="4"/>
        <v/>
      </c>
      <c r="BP17" s="40" t="str">
        <f t="shared" ca="1" si="4"/>
        <v/>
      </c>
      <c r="BQ17" s="41" t="str">
        <f t="shared" ca="1" si="5"/>
        <v/>
      </c>
    </row>
    <row r="18" spans="1:69" x14ac:dyDescent="0.2">
      <c r="A18" s="18">
        <f t="shared" si="6"/>
        <v>17</v>
      </c>
      <c r="B18" s="77">
        <f t="shared" si="12"/>
        <v>12</v>
      </c>
      <c r="C18" s="92">
        <f t="shared" ca="1" si="7"/>
        <v>45062</v>
      </c>
      <c r="D18" s="93" t="str">
        <f t="shared" ca="1" si="0"/>
        <v>P11</v>
      </c>
      <c r="E18" s="94" t="str">
        <f t="shared" ca="1" si="0"/>
        <v>Příjem z reklamy na soutěži</v>
      </c>
      <c r="F18" s="95" t="str">
        <f t="shared" ca="1" si="0"/>
        <v>Daňový</v>
      </c>
      <c r="G18" s="96">
        <f t="shared" ca="1" si="0"/>
        <v>1</v>
      </c>
      <c r="H18" s="95" t="str">
        <f t="shared" ca="1" si="0"/>
        <v>Vedlejší (hospodářská)</v>
      </c>
      <c r="I18" s="476" t="str">
        <f t="shared" ca="1" si="0"/>
        <v>P Prodej výrobků a služeb</v>
      </c>
      <c r="J18" s="42">
        <f t="shared" si="8"/>
        <v>12</v>
      </c>
      <c r="K18" s="39">
        <f t="shared" ca="1" si="1"/>
        <v>2000</v>
      </c>
      <c r="L18" s="40">
        <f t="shared" ca="1" si="1"/>
        <v>0</v>
      </c>
      <c r="M18" s="41">
        <f t="shared" ca="1" si="1"/>
        <v>16900</v>
      </c>
      <c r="N18" s="282">
        <f t="shared" ca="1" si="1"/>
        <v>0</v>
      </c>
      <c r="O18" s="283">
        <f t="shared" ca="1" si="1"/>
        <v>0</v>
      </c>
      <c r="P18" s="284">
        <f t="shared" ca="1" si="1"/>
        <v>4999.5</v>
      </c>
      <c r="Q18" s="282">
        <f t="shared" ca="1" si="1"/>
        <v>0</v>
      </c>
      <c r="R18" s="283">
        <f t="shared" ca="1" si="1"/>
        <v>0</v>
      </c>
      <c r="S18" s="284">
        <f t="shared" ca="1" si="1"/>
        <v>0</v>
      </c>
      <c r="T18" s="282">
        <f t="shared" ca="1" si="1"/>
        <v>0</v>
      </c>
      <c r="U18" s="283">
        <f t="shared" ca="1" si="1"/>
        <v>0</v>
      </c>
      <c r="V18" s="284">
        <f t="shared" ca="1" si="1"/>
        <v>0</v>
      </c>
      <c r="W18" s="485">
        <f t="shared" ca="1" si="1"/>
        <v>0</v>
      </c>
      <c r="X18" s="42">
        <f t="shared" si="9"/>
        <v>12</v>
      </c>
      <c r="Y18" s="39" t="str">
        <f t="shared" ca="1" si="2"/>
        <v/>
      </c>
      <c r="Z18" s="41">
        <f t="shared" ca="1" si="2"/>
        <v>2000</v>
      </c>
      <c r="AA18" s="39" t="str">
        <f t="shared" ca="1" si="2"/>
        <v/>
      </c>
      <c r="AB18" s="41" t="str">
        <f t="shared" ca="1" si="2"/>
        <v/>
      </c>
      <c r="AC18" s="39" t="str">
        <f t="shared" ca="1" si="2"/>
        <v/>
      </c>
      <c r="AD18" s="40" t="str">
        <f t="shared" ca="1" si="2"/>
        <v/>
      </c>
      <c r="AE18" s="40" t="str">
        <f t="shared" ca="1" si="2"/>
        <v/>
      </c>
      <c r="AF18" s="40" t="str">
        <f t="shared" ca="1" si="2"/>
        <v/>
      </c>
      <c r="AG18" s="40" t="str">
        <f t="shared" ca="1" si="2"/>
        <v/>
      </c>
      <c r="AH18" s="40" t="str">
        <f t="shared" ca="1" si="2"/>
        <v/>
      </c>
      <c r="AI18" s="41" t="str">
        <f t="shared" ca="1" si="2"/>
        <v/>
      </c>
      <c r="AJ18" s="39" t="str">
        <f t="shared" ca="1" si="2"/>
        <v/>
      </c>
      <c r="AK18" s="40" t="str">
        <f t="shared" ca="1" si="2"/>
        <v/>
      </c>
      <c r="AL18" s="40" t="str">
        <f t="shared" ca="1" si="2"/>
        <v/>
      </c>
      <c r="AM18" s="41" t="str">
        <f t="shared" ca="1" si="2"/>
        <v/>
      </c>
      <c r="AN18" s="42">
        <f t="shared" si="10"/>
        <v>12</v>
      </c>
      <c r="AO18" s="39" t="str">
        <f t="shared" ca="1" si="3"/>
        <v/>
      </c>
      <c r="AP18" s="40" t="str">
        <f t="shared" ca="1" si="3"/>
        <v/>
      </c>
      <c r="AQ18" s="40" t="str">
        <f t="shared" ca="1" si="3"/>
        <v/>
      </c>
      <c r="AR18" s="40" t="str">
        <f t="shared" ca="1" si="3"/>
        <v/>
      </c>
      <c r="AS18" s="40" t="str">
        <f t="shared" ca="1" si="3"/>
        <v/>
      </c>
      <c r="AT18" s="40" t="str">
        <f t="shared" ca="1" si="3"/>
        <v/>
      </c>
      <c r="AU18" s="40" t="str">
        <f t="shared" ca="1" si="3"/>
        <v/>
      </c>
      <c r="AV18" s="41" t="str">
        <f t="shared" ca="1" si="3"/>
        <v/>
      </c>
      <c r="AW18" s="40" t="str">
        <f t="shared" ca="1" si="3"/>
        <v/>
      </c>
      <c r="AX18" s="40">
        <f t="shared" ca="1" si="3"/>
        <v>2000</v>
      </c>
      <c r="AY18" s="41" t="str">
        <f t="shared" ca="1" si="3"/>
        <v/>
      </c>
      <c r="AZ18" s="42">
        <f t="shared" si="11"/>
        <v>12</v>
      </c>
      <c r="BA18" s="39" t="str">
        <f t="shared" ca="1" si="4"/>
        <v/>
      </c>
      <c r="BB18" s="40" t="str">
        <f t="shared" ca="1" si="4"/>
        <v/>
      </c>
      <c r="BC18" s="40" t="str">
        <f t="shared" ca="1" si="4"/>
        <v/>
      </c>
      <c r="BD18" s="40" t="str">
        <f t="shared" ca="1" si="4"/>
        <v/>
      </c>
      <c r="BE18" s="40" t="str">
        <f t="shared" ca="1" si="4"/>
        <v/>
      </c>
      <c r="BF18" s="40" t="str">
        <f t="shared" ca="1" si="4"/>
        <v/>
      </c>
      <c r="BG18" s="40" t="str">
        <f t="shared" ca="1" si="4"/>
        <v/>
      </c>
      <c r="BH18" s="40" t="str">
        <f t="shared" ca="1" si="4"/>
        <v/>
      </c>
      <c r="BI18" s="41" t="str">
        <f t="shared" ca="1" si="4"/>
        <v/>
      </c>
      <c r="BJ18" s="40" t="str">
        <f t="shared" ca="1" si="4"/>
        <v/>
      </c>
      <c r="BK18" s="40" t="str">
        <f t="shared" ca="1" si="4"/>
        <v/>
      </c>
      <c r="BL18" s="40" t="str">
        <f t="shared" ca="1" si="4"/>
        <v/>
      </c>
      <c r="BM18" s="40" t="str">
        <f t="shared" ca="1" si="4"/>
        <v/>
      </c>
      <c r="BN18" s="40" t="str">
        <f t="shared" ca="1" si="4"/>
        <v/>
      </c>
      <c r="BO18" s="40" t="str">
        <f t="shared" ca="1" si="4"/>
        <v/>
      </c>
      <c r="BP18" s="40" t="str">
        <f t="shared" ca="1" si="4"/>
        <v/>
      </c>
      <c r="BQ18" s="41" t="str">
        <f t="shared" ca="1" si="5"/>
        <v/>
      </c>
    </row>
    <row r="19" spans="1:69" x14ac:dyDescent="0.2">
      <c r="A19" s="18">
        <f t="shared" si="6"/>
        <v>18</v>
      </c>
      <c r="B19" s="77">
        <f t="shared" si="12"/>
        <v>13</v>
      </c>
      <c r="C19" s="92">
        <f t="shared" ca="1" si="7"/>
        <v>45062</v>
      </c>
      <c r="D19" s="93" t="str">
        <f t="shared" ca="1" si="0"/>
        <v>P12</v>
      </c>
      <c r="E19" s="94" t="str">
        <f t="shared" ca="1" si="0"/>
        <v>Startovné na soutěži - příjem (X)</v>
      </c>
      <c r="F19" s="95" t="str">
        <f t="shared" ca="1" si="0"/>
        <v>Nedaňový</v>
      </c>
      <c r="G19" s="96">
        <f t="shared" ca="1" si="0"/>
        <v>2</v>
      </c>
      <c r="H19" s="95" t="str">
        <f t="shared" ca="1" si="0"/>
        <v>Hlavní</v>
      </c>
      <c r="I19" s="476" t="str">
        <f t="shared" ca="1" si="0"/>
        <v>P Prodej výrobků a služeb</v>
      </c>
      <c r="J19" s="42">
        <f t="shared" si="8"/>
        <v>13</v>
      </c>
      <c r="K19" s="39">
        <f t="shared" ca="1" si="1"/>
        <v>500</v>
      </c>
      <c r="L19" s="40">
        <f t="shared" ca="1" si="1"/>
        <v>0</v>
      </c>
      <c r="M19" s="41">
        <f t="shared" ca="1" si="1"/>
        <v>17400</v>
      </c>
      <c r="N19" s="282">
        <f t="shared" ca="1" si="1"/>
        <v>0</v>
      </c>
      <c r="O19" s="283">
        <f t="shared" ca="1" si="1"/>
        <v>0</v>
      </c>
      <c r="P19" s="284">
        <f t="shared" ca="1" si="1"/>
        <v>4999.5</v>
      </c>
      <c r="Q19" s="282">
        <f t="shared" ca="1" si="1"/>
        <v>0</v>
      </c>
      <c r="R19" s="283">
        <f t="shared" ca="1" si="1"/>
        <v>0</v>
      </c>
      <c r="S19" s="284">
        <f t="shared" ca="1" si="1"/>
        <v>0</v>
      </c>
      <c r="T19" s="282">
        <f t="shared" ca="1" si="1"/>
        <v>0</v>
      </c>
      <c r="U19" s="283">
        <f t="shared" ca="1" si="1"/>
        <v>0</v>
      </c>
      <c r="V19" s="284">
        <f t="shared" ca="1" si="1"/>
        <v>0</v>
      </c>
      <c r="W19" s="485">
        <f t="shared" ca="1" si="1"/>
        <v>0</v>
      </c>
      <c r="X19" s="42">
        <f t="shared" si="9"/>
        <v>13</v>
      </c>
      <c r="Y19" s="39" t="str">
        <f t="shared" ca="1" si="2"/>
        <v/>
      </c>
      <c r="Z19" s="41" t="str">
        <f t="shared" ca="1" si="2"/>
        <v/>
      </c>
      <c r="AA19" s="39" t="str">
        <f t="shared" ca="1" si="2"/>
        <v/>
      </c>
      <c r="AB19" s="41" t="str">
        <f t="shared" ca="1" si="2"/>
        <v/>
      </c>
      <c r="AC19" s="39">
        <f t="shared" ca="1" si="2"/>
        <v>500</v>
      </c>
      <c r="AD19" s="40" t="str">
        <f t="shared" ca="1" si="2"/>
        <v/>
      </c>
      <c r="AE19" s="40" t="str">
        <f t="shared" ca="1" si="2"/>
        <v/>
      </c>
      <c r="AF19" s="40" t="str">
        <f t="shared" ca="1" si="2"/>
        <v/>
      </c>
      <c r="AG19" s="40" t="str">
        <f t="shared" ca="1" si="2"/>
        <v/>
      </c>
      <c r="AH19" s="40" t="str">
        <f t="shared" ca="1" si="2"/>
        <v/>
      </c>
      <c r="AI19" s="41" t="str">
        <f t="shared" ca="1" si="2"/>
        <v/>
      </c>
      <c r="AJ19" s="39" t="str">
        <f t="shared" ca="1" si="2"/>
        <v/>
      </c>
      <c r="AK19" s="40" t="str">
        <f t="shared" ca="1" si="2"/>
        <v/>
      </c>
      <c r="AL19" s="40" t="str">
        <f t="shared" ca="1" si="2"/>
        <v/>
      </c>
      <c r="AM19" s="41" t="str">
        <f t="shared" ca="1" si="2"/>
        <v/>
      </c>
      <c r="AN19" s="42">
        <f t="shared" si="10"/>
        <v>13</v>
      </c>
      <c r="AO19" s="39" t="str">
        <f t="shared" ca="1" si="3"/>
        <v/>
      </c>
      <c r="AP19" s="40">
        <f t="shared" ca="1" si="3"/>
        <v>500</v>
      </c>
      <c r="AQ19" s="40" t="str">
        <f t="shared" ca="1" si="3"/>
        <v/>
      </c>
      <c r="AR19" s="40" t="str">
        <f t="shared" ca="1" si="3"/>
        <v/>
      </c>
      <c r="AS19" s="40" t="str">
        <f t="shared" ca="1" si="3"/>
        <v/>
      </c>
      <c r="AT19" s="40" t="str">
        <f t="shared" ca="1" si="3"/>
        <v/>
      </c>
      <c r="AU19" s="40" t="str">
        <f t="shared" ca="1" si="3"/>
        <v/>
      </c>
      <c r="AV19" s="41" t="str">
        <f t="shared" ca="1" si="3"/>
        <v/>
      </c>
      <c r="AW19" s="40" t="str">
        <f t="shared" ca="1" si="3"/>
        <v/>
      </c>
      <c r="AX19" s="40" t="str">
        <f t="shared" ca="1" si="3"/>
        <v/>
      </c>
      <c r="AY19" s="41" t="str">
        <f t="shared" ca="1" si="3"/>
        <v/>
      </c>
      <c r="AZ19" s="42">
        <f t="shared" si="11"/>
        <v>13</v>
      </c>
      <c r="BA19" s="39" t="str">
        <f t="shared" ca="1" si="4"/>
        <v/>
      </c>
      <c r="BB19" s="40" t="str">
        <f t="shared" ca="1" si="4"/>
        <v/>
      </c>
      <c r="BC19" s="40" t="str">
        <f t="shared" ca="1" si="4"/>
        <v/>
      </c>
      <c r="BD19" s="40" t="str">
        <f t="shared" ca="1" si="4"/>
        <v/>
      </c>
      <c r="BE19" s="40" t="str">
        <f t="shared" ca="1" si="4"/>
        <v/>
      </c>
      <c r="BF19" s="40" t="str">
        <f t="shared" ca="1" si="4"/>
        <v/>
      </c>
      <c r="BG19" s="40" t="str">
        <f t="shared" ca="1" si="4"/>
        <v/>
      </c>
      <c r="BH19" s="40" t="str">
        <f t="shared" ca="1" si="4"/>
        <v/>
      </c>
      <c r="BI19" s="41" t="str">
        <f t="shared" ca="1" si="4"/>
        <v/>
      </c>
      <c r="BJ19" s="40" t="str">
        <f t="shared" ca="1" si="4"/>
        <v/>
      </c>
      <c r="BK19" s="40" t="str">
        <f t="shared" ca="1" si="4"/>
        <v/>
      </c>
      <c r="BL19" s="40" t="str">
        <f t="shared" ca="1" si="4"/>
        <v/>
      </c>
      <c r="BM19" s="40" t="str">
        <f t="shared" ca="1" si="4"/>
        <v/>
      </c>
      <c r="BN19" s="40" t="str">
        <f t="shared" ca="1" si="4"/>
        <v/>
      </c>
      <c r="BO19" s="40" t="str">
        <f t="shared" ca="1" si="4"/>
        <v/>
      </c>
      <c r="BP19" s="40" t="str">
        <f t="shared" ca="1" si="4"/>
        <v/>
      </c>
      <c r="BQ19" s="41" t="str">
        <f t="shared" ca="1" si="5"/>
        <v/>
      </c>
    </row>
    <row r="20" spans="1:69" x14ac:dyDescent="0.2">
      <c r="A20" s="18">
        <f t="shared" si="6"/>
        <v>19</v>
      </c>
      <c r="B20" s="77">
        <f t="shared" si="12"/>
        <v>14</v>
      </c>
      <c r="C20" s="92">
        <f t="shared" ca="1" si="7"/>
        <v>45062</v>
      </c>
      <c r="D20" s="93" t="str">
        <f t="shared" ca="1" si="0"/>
        <v>P13</v>
      </c>
      <c r="E20" s="94" t="str">
        <f t="shared" ca="1" si="0"/>
        <v>Strava pořadatelům a rozhodčím (X)</v>
      </c>
      <c r="F20" s="95" t="str">
        <f t="shared" ca="1" si="0"/>
        <v>Nedaňový</v>
      </c>
      <c r="G20" s="96">
        <f t="shared" ca="1" si="0"/>
        <v>10</v>
      </c>
      <c r="H20" s="95" t="str">
        <f t="shared" ca="1" si="0"/>
        <v>Hlavní</v>
      </c>
      <c r="I20" s="476" t="str">
        <f t="shared" ca="1" si="0"/>
        <v>V Materiál</v>
      </c>
      <c r="J20" s="42">
        <f t="shared" si="8"/>
        <v>14</v>
      </c>
      <c r="K20" s="39">
        <f t="shared" ca="1" si="1"/>
        <v>0</v>
      </c>
      <c r="L20" s="40">
        <f t="shared" ca="1" si="1"/>
        <v>600</v>
      </c>
      <c r="M20" s="41">
        <f t="shared" ca="1" si="1"/>
        <v>16800</v>
      </c>
      <c r="N20" s="282">
        <f t="shared" ca="1" si="1"/>
        <v>0</v>
      </c>
      <c r="O20" s="283">
        <f t="shared" ca="1" si="1"/>
        <v>0</v>
      </c>
      <c r="P20" s="284">
        <f t="shared" ca="1" si="1"/>
        <v>4999.5</v>
      </c>
      <c r="Q20" s="282">
        <f t="shared" ca="1" si="1"/>
        <v>0</v>
      </c>
      <c r="R20" s="283">
        <f t="shared" ca="1" si="1"/>
        <v>0</v>
      </c>
      <c r="S20" s="284">
        <f t="shared" ca="1" si="1"/>
        <v>0</v>
      </c>
      <c r="T20" s="282">
        <f t="shared" ca="1" si="1"/>
        <v>0</v>
      </c>
      <c r="U20" s="283">
        <f t="shared" ca="1" si="1"/>
        <v>0</v>
      </c>
      <c r="V20" s="284">
        <f t="shared" ca="1" si="1"/>
        <v>0</v>
      </c>
      <c r="W20" s="485">
        <f t="shared" ca="1" si="1"/>
        <v>0</v>
      </c>
      <c r="X20" s="42">
        <f t="shared" si="9"/>
        <v>14</v>
      </c>
      <c r="Y20" s="39" t="str">
        <f t="shared" ca="1" si="2"/>
        <v/>
      </c>
      <c r="Z20" s="41" t="str">
        <f t="shared" ca="1" si="2"/>
        <v/>
      </c>
      <c r="AA20" s="39" t="str">
        <f t="shared" ca="1" si="2"/>
        <v/>
      </c>
      <c r="AB20" s="41" t="str">
        <f t="shared" ca="1" si="2"/>
        <v/>
      </c>
      <c r="AC20" s="39" t="str">
        <f t="shared" ca="1" si="2"/>
        <v/>
      </c>
      <c r="AD20" s="40" t="str">
        <f t="shared" ca="1" si="2"/>
        <v/>
      </c>
      <c r="AE20" s="40" t="str">
        <f t="shared" ca="1" si="2"/>
        <v/>
      </c>
      <c r="AF20" s="40" t="str">
        <f t="shared" ca="1" si="2"/>
        <v/>
      </c>
      <c r="AG20" s="40" t="str">
        <f t="shared" ca="1" si="2"/>
        <v/>
      </c>
      <c r="AH20" s="40" t="str">
        <f t="shared" ca="1" si="2"/>
        <v/>
      </c>
      <c r="AI20" s="41" t="str">
        <f t="shared" ca="1" si="2"/>
        <v/>
      </c>
      <c r="AJ20" s="39">
        <f t="shared" ca="1" si="2"/>
        <v>600</v>
      </c>
      <c r="AK20" s="40" t="str">
        <f t="shared" ca="1" si="2"/>
        <v/>
      </c>
      <c r="AL20" s="40" t="str">
        <f t="shared" ca="1" si="2"/>
        <v/>
      </c>
      <c r="AM20" s="41" t="str">
        <f t="shared" ca="1" si="2"/>
        <v/>
      </c>
      <c r="AN20" s="42">
        <f t="shared" si="10"/>
        <v>14</v>
      </c>
      <c r="AO20" s="39" t="str">
        <f t="shared" ca="1" si="3"/>
        <v/>
      </c>
      <c r="AP20" s="40" t="str">
        <f t="shared" ca="1" si="3"/>
        <v/>
      </c>
      <c r="AQ20" s="40" t="str">
        <f t="shared" ca="1" si="3"/>
        <v/>
      </c>
      <c r="AR20" s="40" t="str">
        <f t="shared" ca="1" si="3"/>
        <v/>
      </c>
      <c r="AS20" s="40" t="str">
        <f t="shared" ca="1" si="3"/>
        <v/>
      </c>
      <c r="AT20" s="40" t="str">
        <f t="shared" ca="1" si="3"/>
        <v/>
      </c>
      <c r="AU20" s="40" t="str">
        <f t="shared" ca="1" si="3"/>
        <v/>
      </c>
      <c r="AV20" s="41" t="str">
        <f t="shared" ca="1" si="3"/>
        <v/>
      </c>
      <c r="AW20" s="40" t="str">
        <f t="shared" ca="1" si="3"/>
        <v/>
      </c>
      <c r="AX20" s="40" t="str">
        <f t="shared" ca="1" si="3"/>
        <v/>
      </c>
      <c r="AY20" s="41" t="str">
        <f t="shared" ca="1" si="3"/>
        <v/>
      </c>
      <c r="AZ20" s="42">
        <f t="shared" si="11"/>
        <v>14</v>
      </c>
      <c r="BA20" s="39" t="str">
        <f t="shared" ca="1" si="4"/>
        <v/>
      </c>
      <c r="BB20" s="40">
        <f t="shared" ca="1" si="4"/>
        <v>600</v>
      </c>
      <c r="BC20" s="40" t="str">
        <f t="shared" ca="1" si="4"/>
        <v/>
      </c>
      <c r="BD20" s="40" t="str">
        <f t="shared" ca="1" si="4"/>
        <v/>
      </c>
      <c r="BE20" s="40" t="str">
        <f t="shared" ca="1" si="4"/>
        <v/>
      </c>
      <c r="BF20" s="40" t="str">
        <f t="shared" ca="1" si="4"/>
        <v/>
      </c>
      <c r="BG20" s="40" t="str">
        <f t="shared" ca="1" si="4"/>
        <v/>
      </c>
      <c r="BH20" s="40" t="str">
        <f t="shared" ca="1" si="4"/>
        <v/>
      </c>
      <c r="BI20" s="41" t="str">
        <f t="shared" ca="1" si="4"/>
        <v/>
      </c>
      <c r="BJ20" s="40" t="str">
        <f t="shared" ca="1" si="4"/>
        <v/>
      </c>
      <c r="BK20" s="40" t="str">
        <f t="shared" ca="1" si="4"/>
        <v/>
      </c>
      <c r="BL20" s="40" t="str">
        <f t="shared" ca="1" si="4"/>
        <v/>
      </c>
      <c r="BM20" s="40" t="str">
        <f t="shared" ca="1" si="4"/>
        <v/>
      </c>
      <c r="BN20" s="40" t="str">
        <f t="shared" ca="1" si="4"/>
        <v/>
      </c>
      <c r="BO20" s="40" t="str">
        <f t="shared" ca="1" si="4"/>
        <v/>
      </c>
      <c r="BP20" s="40" t="str">
        <f t="shared" ca="1" si="4"/>
        <v/>
      </c>
      <c r="BQ20" s="41" t="str">
        <f t="shared" ca="1" si="5"/>
        <v/>
      </c>
    </row>
    <row r="21" spans="1:69" x14ac:dyDescent="0.2">
      <c r="A21" s="18">
        <f t="shared" si="6"/>
        <v>20</v>
      </c>
      <c r="B21" s="77">
        <f t="shared" si="12"/>
        <v>15</v>
      </c>
      <c r="C21" s="92">
        <f t="shared" ca="1" si="7"/>
        <v>45066</v>
      </c>
      <c r="D21" s="93" t="str">
        <f t="shared" ca="1" si="0"/>
        <v>B2</v>
      </c>
      <c r="E21" s="94" t="str">
        <f t="shared" ca="1" si="0"/>
        <v>Příspěvek obce na činnosti SDH (X)</v>
      </c>
      <c r="F21" s="95" t="str">
        <f t="shared" ca="1" si="0"/>
        <v>Nedaňový</v>
      </c>
      <c r="G21" s="96" t="str">
        <f t="shared" ca="1" si="0"/>
        <v>5b</v>
      </c>
      <c r="H21" s="95" t="str">
        <f t="shared" ca="1" si="0"/>
        <v>Hlavní</v>
      </c>
      <c r="I21" s="476" t="str">
        <f t="shared" ca="1" si="0"/>
        <v>P Dotace a příspěvky přijaté z veřejných rozpočtů</v>
      </c>
      <c r="J21" s="42">
        <f t="shared" si="8"/>
        <v>15</v>
      </c>
      <c r="K21" s="39">
        <f t="shared" ca="1" si="1"/>
        <v>0</v>
      </c>
      <c r="L21" s="40">
        <f t="shared" ca="1" si="1"/>
        <v>0</v>
      </c>
      <c r="M21" s="41">
        <f t="shared" ca="1" si="1"/>
        <v>16800</v>
      </c>
      <c r="N21" s="282">
        <f t="shared" ca="1" si="1"/>
        <v>5000.5</v>
      </c>
      <c r="O21" s="283">
        <f t="shared" ca="1" si="1"/>
        <v>0</v>
      </c>
      <c r="P21" s="284">
        <f t="shared" ca="1" si="1"/>
        <v>10000</v>
      </c>
      <c r="Q21" s="282">
        <f t="shared" ca="1" si="1"/>
        <v>0</v>
      </c>
      <c r="R21" s="283">
        <f t="shared" ca="1" si="1"/>
        <v>0</v>
      </c>
      <c r="S21" s="284">
        <f t="shared" ca="1" si="1"/>
        <v>0</v>
      </c>
      <c r="T21" s="282">
        <f t="shared" ca="1" si="1"/>
        <v>0</v>
      </c>
      <c r="U21" s="283">
        <f t="shared" ca="1" si="1"/>
        <v>0</v>
      </c>
      <c r="V21" s="284">
        <f t="shared" ca="1" si="1"/>
        <v>0</v>
      </c>
      <c r="W21" s="485">
        <f t="shared" ca="1" si="1"/>
        <v>0</v>
      </c>
      <c r="X21" s="42">
        <f t="shared" si="9"/>
        <v>15</v>
      </c>
      <c r="Y21" s="39" t="str">
        <f t="shared" ca="1" si="2"/>
        <v/>
      </c>
      <c r="Z21" s="41" t="str">
        <f t="shared" ca="1" si="2"/>
        <v/>
      </c>
      <c r="AA21" s="39" t="str">
        <f t="shared" ca="1" si="2"/>
        <v/>
      </c>
      <c r="AB21" s="41" t="str">
        <f t="shared" ca="1" si="2"/>
        <v/>
      </c>
      <c r="AC21" s="39" t="str">
        <f t="shared" ca="1" si="2"/>
        <v/>
      </c>
      <c r="AD21" s="40" t="str">
        <f t="shared" ca="1" si="2"/>
        <v/>
      </c>
      <c r="AE21" s="40" t="str">
        <f t="shared" ca="1" si="2"/>
        <v/>
      </c>
      <c r="AF21" s="40" t="str">
        <f t="shared" ca="1" si="2"/>
        <v/>
      </c>
      <c r="AG21" s="40">
        <f t="shared" ca="1" si="2"/>
        <v>5000.5</v>
      </c>
      <c r="AH21" s="40" t="str">
        <f t="shared" ca="1" si="2"/>
        <v/>
      </c>
      <c r="AI21" s="41" t="str">
        <f t="shared" ca="1" si="2"/>
        <v/>
      </c>
      <c r="AJ21" s="39" t="str">
        <f t="shared" ca="1" si="2"/>
        <v/>
      </c>
      <c r="AK21" s="40" t="str">
        <f t="shared" ca="1" si="2"/>
        <v/>
      </c>
      <c r="AL21" s="40" t="str">
        <f t="shared" ca="1" si="2"/>
        <v/>
      </c>
      <c r="AM21" s="41" t="str">
        <f t="shared" ca="1" si="2"/>
        <v/>
      </c>
      <c r="AN21" s="42">
        <f t="shared" si="10"/>
        <v>15</v>
      </c>
      <c r="AO21" s="39" t="str">
        <f t="shared" ca="1" si="3"/>
        <v/>
      </c>
      <c r="AP21" s="40" t="str">
        <f t="shared" ca="1" si="3"/>
        <v/>
      </c>
      <c r="AQ21" s="40" t="str">
        <f t="shared" ca="1" si="3"/>
        <v/>
      </c>
      <c r="AR21" s="40" t="str">
        <f t="shared" ca="1" si="3"/>
        <v/>
      </c>
      <c r="AS21" s="40" t="str">
        <f t="shared" ca="1" si="3"/>
        <v/>
      </c>
      <c r="AT21" s="40">
        <f t="shared" ca="1" si="3"/>
        <v>5000.5</v>
      </c>
      <c r="AU21" s="40" t="str">
        <f t="shared" ca="1" si="3"/>
        <v/>
      </c>
      <c r="AV21" s="41" t="str">
        <f t="shared" ca="1" si="3"/>
        <v/>
      </c>
      <c r="AW21" s="40" t="str">
        <f t="shared" ca="1" si="3"/>
        <v/>
      </c>
      <c r="AX21" s="40" t="str">
        <f t="shared" ca="1" si="3"/>
        <v/>
      </c>
      <c r="AY21" s="41" t="str">
        <f t="shared" ca="1" si="3"/>
        <v/>
      </c>
      <c r="AZ21" s="42">
        <f t="shared" si="11"/>
        <v>15</v>
      </c>
      <c r="BA21" s="39" t="str">
        <f t="shared" ca="1" si="4"/>
        <v/>
      </c>
      <c r="BB21" s="40" t="str">
        <f t="shared" ca="1" si="4"/>
        <v/>
      </c>
      <c r="BC21" s="40" t="str">
        <f t="shared" ca="1" si="4"/>
        <v/>
      </c>
      <c r="BD21" s="40" t="str">
        <f t="shared" ca="1" si="4"/>
        <v/>
      </c>
      <c r="BE21" s="40" t="str">
        <f t="shared" ca="1" si="4"/>
        <v/>
      </c>
      <c r="BF21" s="40" t="str">
        <f t="shared" ca="1" si="4"/>
        <v/>
      </c>
      <c r="BG21" s="40" t="str">
        <f t="shared" ca="1" si="4"/>
        <v/>
      </c>
      <c r="BH21" s="40" t="str">
        <f t="shared" ca="1" si="4"/>
        <v/>
      </c>
      <c r="BI21" s="41" t="str">
        <f t="shared" ca="1" si="4"/>
        <v/>
      </c>
      <c r="BJ21" s="40" t="str">
        <f t="shared" ca="1" si="4"/>
        <v/>
      </c>
      <c r="BK21" s="40" t="str">
        <f t="shared" ca="1" si="4"/>
        <v/>
      </c>
      <c r="BL21" s="40" t="str">
        <f t="shared" ca="1" si="4"/>
        <v/>
      </c>
      <c r="BM21" s="40" t="str">
        <f t="shared" ca="1" si="4"/>
        <v/>
      </c>
      <c r="BN21" s="40" t="str">
        <f t="shared" ca="1" si="4"/>
        <v/>
      </c>
      <c r="BO21" s="40" t="str">
        <f t="shared" ca="1" si="4"/>
        <v/>
      </c>
      <c r="BP21" s="40" t="str">
        <f t="shared" ca="1" si="4"/>
        <v/>
      </c>
      <c r="BQ21" s="41" t="str">
        <f t="shared" ca="1" si="5"/>
        <v/>
      </c>
    </row>
    <row r="22" spans="1:69" x14ac:dyDescent="0.2">
      <c r="A22" s="18">
        <f t="shared" si="6"/>
        <v>21</v>
      </c>
      <c r="B22" s="77">
        <f t="shared" si="12"/>
        <v>16</v>
      </c>
      <c r="C22" s="92">
        <f t="shared" ca="1" si="7"/>
        <v>45072</v>
      </c>
      <c r="D22" s="93" t="str">
        <f t="shared" ca="1" si="0"/>
        <v>P14</v>
      </c>
      <c r="E22" s="94" t="str">
        <f t="shared" ca="1" si="0"/>
        <v>Nákup sanačního prostředku do studny (Z2)</v>
      </c>
      <c r="F22" s="95" t="str">
        <f t="shared" ca="1" si="0"/>
        <v>Daňový</v>
      </c>
      <c r="G22" s="96">
        <f t="shared" ca="1" si="0"/>
        <v>9</v>
      </c>
      <c r="H22" s="95" t="str">
        <f t="shared" ca="1" si="0"/>
        <v>Vedlejší (hospodářská)</v>
      </c>
      <c r="I22" s="476" t="str">
        <f t="shared" ca="1" si="0"/>
        <v>V Materiál</v>
      </c>
      <c r="J22" s="42">
        <f t="shared" si="8"/>
        <v>16</v>
      </c>
      <c r="K22" s="39">
        <f t="shared" ca="1" si="1"/>
        <v>0</v>
      </c>
      <c r="L22" s="40">
        <f t="shared" ca="1" si="1"/>
        <v>100</v>
      </c>
      <c r="M22" s="41">
        <f t="shared" ca="1" si="1"/>
        <v>16700</v>
      </c>
      <c r="N22" s="282">
        <f t="shared" ca="1" si="1"/>
        <v>0</v>
      </c>
      <c r="O22" s="283">
        <f t="shared" ca="1" si="1"/>
        <v>0</v>
      </c>
      <c r="P22" s="284">
        <f t="shared" ca="1" si="1"/>
        <v>10000</v>
      </c>
      <c r="Q22" s="282">
        <f t="shared" ca="1" si="1"/>
        <v>0</v>
      </c>
      <c r="R22" s="283">
        <f t="shared" ca="1" si="1"/>
        <v>0</v>
      </c>
      <c r="S22" s="284">
        <f t="shared" ca="1" si="1"/>
        <v>0</v>
      </c>
      <c r="T22" s="282">
        <f t="shared" ca="1" si="1"/>
        <v>0</v>
      </c>
      <c r="U22" s="283">
        <f t="shared" ca="1" si="1"/>
        <v>0</v>
      </c>
      <c r="V22" s="284">
        <f t="shared" ca="1" si="1"/>
        <v>0</v>
      </c>
      <c r="W22" s="485">
        <f t="shared" ca="1" si="1"/>
        <v>0</v>
      </c>
      <c r="X22" s="42">
        <f t="shared" si="9"/>
        <v>16</v>
      </c>
      <c r="Y22" s="39" t="str">
        <f t="shared" ca="1" si="2"/>
        <v/>
      </c>
      <c r="Z22" s="41" t="str">
        <f t="shared" ca="1" si="2"/>
        <v/>
      </c>
      <c r="AA22" s="39" t="str">
        <f t="shared" ca="1" si="2"/>
        <v/>
      </c>
      <c r="AB22" s="41">
        <f t="shared" ca="1" si="2"/>
        <v>100</v>
      </c>
      <c r="AC22" s="39" t="str">
        <f t="shared" ca="1" si="2"/>
        <v/>
      </c>
      <c r="AD22" s="40" t="str">
        <f t="shared" ca="1" si="2"/>
        <v/>
      </c>
      <c r="AE22" s="40" t="str">
        <f t="shared" ca="1" si="2"/>
        <v/>
      </c>
      <c r="AF22" s="40" t="str">
        <f t="shared" ca="1" si="2"/>
        <v/>
      </c>
      <c r="AG22" s="40" t="str">
        <f t="shared" ca="1" si="2"/>
        <v/>
      </c>
      <c r="AH22" s="40" t="str">
        <f t="shared" ca="1" si="2"/>
        <v/>
      </c>
      <c r="AI22" s="41" t="str">
        <f t="shared" ca="1" si="2"/>
        <v/>
      </c>
      <c r="AJ22" s="39" t="str">
        <f t="shared" ca="1" si="2"/>
        <v/>
      </c>
      <c r="AK22" s="40" t="str">
        <f t="shared" ca="1" si="2"/>
        <v/>
      </c>
      <c r="AL22" s="40" t="str">
        <f t="shared" ca="1" si="2"/>
        <v/>
      </c>
      <c r="AM22" s="41" t="str">
        <f t="shared" ca="1" si="2"/>
        <v/>
      </c>
      <c r="AN22" s="42">
        <f t="shared" si="10"/>
        <v>16</v>
      </c>
      <c r="AO22" s="39" t="str">
        <f t="shared" ca="1" si="3"/>
        <v/>
      </c>
      <c r="AP22" s="40" t="str">
        <f t="shared" ca="1" si="3"/>
        <v/>
      </c>
      <c r="AQ22" s="40" t="str">
        <f t="shared" ca="1" si="3"/>
        <v/>
      </c>
      <c r="AR22" s="40" t="str">
        <f t="shared" ca="1" si="3"/>
        <v/>
      </c>
      <c r="AS22" s="40" t="str">
        <f t="shared" ca="1" si="3"/>
        <v/>
      </c>
      <c r="AT22" s="40" t="str">
        <f t="shared" ca="1" si="3"/>
        <v/>
      </c>
      <c r="AU22" s="40" t="str">
        <f t="shared" ca="1" si="3"/>
        <v/>
      </c>
      <c r="AV22" s="41" t="str">
        <f t="shared" ca="1" si="3"/>
        <v/>
      </c>
      <c r="AW22" s="40" t="str">
        <f t="shared" ca="1" si="3"/>
        <v/>
      </c>
      <c r="AX22" s="40" t="str">
        <f t="shared" ca="1" si="3"/>
        <v/>
      </c>
      <c r="AY22" s="41" t="str">
        <f t="shared" ca="1" si="3"/>
        <v/>
      </c>
      <c r="AZ22" s="42">
        <f t="shared" si="11"/>
        <v>16</v>
      </c>
      <c r="BA22" s="39" t="str">
        <f t="shared" ca="1" si="4"/>
        <v/>
      </c>
      <c r="BB22" s="40" t="str">
        <f t="shared" ca="1" si="4"/>
        <v/>
      </c>
      <c r="BC22" s="40" t="str">
        <f t="shared" ca="1" si="4"/>
        <v/>
      </c>
      <c r="BD22" s="40" t="str">
        <f t="shared" ca="1" si="4"/>
        <v/>
      </c>
      <c r="BE22" s="40" t="str">
        <f t="shared" ca="1" si="4"/>
        <v/>
      </c>
      <c r="BF22" s="40" t="str">
        <f t="shared" ca="1" si="4"/>
        <v/>
      </c>
      <c r="BG22" s="40" t="str">
        <f t="shared" ca="1" si="4"/>
        <v/>
      </c>
      <c r="BH22" s="40" t="str">
        <f t="shared" ca="1" si="4"/>
        <v/>
      </c>
      <c r="BI22" s="41" t="str">
        <f t="shared" ca="1" si="4"/>
        <v/>
      </c>
      <c r="BJ22" s="40" t="str">
        <f t="shared" ca="1" si="4"/>
        <v/>
      </c>
      <c r="BK22" s="40">
        <f t="shared" ca="1" si="4"/>
        <v>100</v>
      </c>
      <c r="BL22" s="40" t="str">
        <f t="shared" ca="1" si="4"/>
        <v/>
      </c>
      <c r="BM22" s="40" t="str">
        <f t="shared" ca="1" si="4"/>
        <v/>
      </c>
      <c r="BN22" s="40" t="str">
        <f t="shared" ca="1" si="4"/>
        <v/>
      </c>
      <c r="BO22" s="40" t="str">
        <f t="shared" ca="1" si="4"/>
        <v/>
      </c>
      <c r="BP22" s="40" t="str">
        <f t="shared" ref="BP22:BP36" ca="1" si="13">INDIRECT("Deník!"&amp;BP$1&amp;$A22)</f>
        <v/>
      </c>
      <c r="BQ22" s="41" t="str">
        <f t="shared" ca="1" si="5"/>
        <v/>
      </c>
    </row>
    <row r="23" spans="1:69" x14ac:dyDescent="0.2">
      <c r="A23" s="18">
        <f t="shared" si="6"/>
        <v>22</v>
      </c>
      <c r="B23" s="77">
        <f t="shared" si="12"/>
        <v>17</v>
      </c>
      <c r="C23" s="92">
        <f t="shared" ca="1" si="7"/>
        <v>45072</v>
      </c>
      <c r="D23" s="93" t="str">
        <f t="shared" ca="1" si="7"/>
        <v>P15</v>
      </c>
      <c r="E23" s="94" t="str">
        <f t="shared" ca="1" si="7"/>
        <v>Vyčištění studny občanu</v>
      </c>
      <c r="F23" s="95" t="str">
        <f t="shared" ca="1" si="7"/>
        <v>Daňový</v>
      </c>
      <c r="G23" s="96">
        <f t="shared" ca="1" si="7"/>
        <v>1</v>
      </c>
      <c r="H23" s="95" t="str">
        <f t="shared" ca="1" si="7"/>
        <v>Vedlejší (hospodářská)</v>
      </c>
      <c r="I23" s="476" t="str">
        <f t="shared" ca="1" si="7"/>
        <v>P Prodej výrobků a služeb</v>
      </c>
      <c r="J23" s="42">
        <f t="shared" si="8"/>
        <v>17</v>
      </c>
      <c r="K23" s="39">
        <f t="shared" ref="K23:W36" ca="1" si="14">INDIRECT("Deník!"&amp;K$1&amp;$A23)</f>
        <v>1000</v>
      </c>
      <c r="L23" s="40">
        <f t="shared" ca="1" si="14"/>
        <v>0</v>
      </c>
      <c r="M23" s="41">
        <f t="shared" ca="1" si="14"/>
        <v>17700</v>
      </c>
      <c r="N23" s="282">
        <f t="shared" ca="1" si="14"/>
        <v>0</v>
      </c>
      <c r="O23" s="283">
        <f t="shared" ca="1" si="14"/>
        <v>0</v>
      </c>
      <c r="P23" s="284">
        <f t="shared" ca="1" si="14"/>
        <v>10000</v>
      </c>
      <c r="Q23" s="282">
        <f t="shared" ca="1" si="14"/>
        <v>0</v>
      </c>
      <c r="R23" s="283">
        <f t="shared" ca="1" si="14"/>
        <v>0</v>
      </c>
      <c r="S23" s="284">
        <f t="shared" ca="1" si="14"/>
        <v>0</v>
      </c>
      <c r="T23" s="282">
        <f t="shared" ca="1" si="14"/>
        <v>0</v>
      </c>
      <c r="U23" s="283">
        <f t="shared" ca="1" si="14"/>
        <v>0</v>
      </c>
      <c r="V23" s="284">
        <f t="shared" ca="1" si="14"/>
        <v>0</v>
      </c>
      <c r="W23" s="485">
        <f t="shared" ca="1" si="14"/>
        <v>0</v>
      </c>
      <c r="X23" s="42">
        <f t="shared" si="9"/>
        <v>17</v>
      </c>
      <c r="Y23" s="39" t="str">
        <f t="shared" ref="Y23:AM36" ca="1" si="15">INDIRECT("Deník!"&amp;Y$1&amp;$A23)</f>
        <v/>
      </c>
      <c r="Z23" s="41">
        <f t="shared" ca="1" si="15"/>
        <v>1000</v>
      </c>
      <c r="AA23" s="39" t="str">
        <f t="shared" ca="1" si="15"/>
        <v/>
      </c>
      <c r="AB23" s="41" t="str">
        <f t="shared" ca="1" si="15"/>
        <v/>
      </c>
      <c r="AC23" s="39" t="str">
        <f t="shared" ca="1" si="15"/>
        <v/>
      </c>
      <c r="AD23" s="40" t="str">
        <f t="shared" ca="1" si="15"/>
        <v/>
      </c>
      <c r="AE23" s="40" t="str">
        <f t="shared" ca="1" si="15"/>
        <v/>
      </c>
      <c r="AF23" s="40" t="str">
        <f t="shared" ca="1" si="15"/>
        <v/>
      </c>
      <c r="AG23" s="40" t="str">
        <f t="shared" ca="1" si="15"/>
        <v/>
      </c>
      <c r="AH23" s="40" t="str">
        <f t="shared" ca="1" si="15"/>
        <v/>
      </c>
      <c r="AI23" s="41" t="str">
        <f t="shared" ca="1" si="15"/>
        <v/>
      </c>
      <c r="AJ23" s="39" t="str">
        <f t="shared" ca="1" si="15"/>
        <v/>
      </c>
      <c r="AK23" s="40" t="str">
        <f t="shared" ca="1" si="15"/>
        <v/>
      </c>
      <c r="AL23" s="40" t="str">
        <f t="shared" ca="1" si="15"/>
        <v/>
      </c>
      <c r="AM23" s="41" t="str">
        <f t="shared" ca="1" si="15"/>
        <v/>
      </c>
      <c r="AN23" s="42">
        <f t="shared" si="10"/>
        <v>17</v>
      </c>
      <c r="AO23" s="39" t="str">
        <f t="shared" ref="AO23:AY36" ca="1" si="16">INDIRECT("Deník!"&amp;AO$1&amp;$A23)</f>
        <v/>
      </c>
      <c r="AP23" s="40" t="str">
        <f t="shared" ca="1" si="16"/>
        <v/>
      </c>
      <c r="AQ23" s="40" t="str">
        <f t="shared" ca="1" si="16"/>
        <v/>
      </c>
      <c r="AR23" s="40" t="str">
        <f t="shared" ca="1" si="16"/>
        <v/>
      </c>
      <c r="AS23" s="40" t="str">
        <f t="shared" ca="1" si="16"/>
        <v/>
      </c>
      <c r="AT23" s="40" t="str">
        <f t="shared" ca="1" si="16"/>
        <v/>
      </c>
      <c r="AU23" s="40" t="str">
        <f t="shared" ca="1" si="16"/>
        <v/>
      </c>
      <c r="AV23" s="41" t="str">
        <f t="shared" ca="1" si="16"/>
        <v/>
      </c>
      <c r="AW23" s="40" t="str">
        <f t="shared" ca="1" si="16"/>
        <v/>
      </c>
      <c r="AX23" s="40">
        <f t="shared" ca="1" si="16"/>
        <v>1000</v>
      </c>
      <c r="AY23" s="41" t="str">
        <f t="shared" ca="1" si="16"/>
        <v/>
      </c>
      <c r="AZ23" s="42">
        <f t="shared" si="11"/>
        <v>17</v>
      </c>
      <c r="BA23" s="39" t="str">
        <f t="shared" ref="BA23:BO36" ca="1" si="17">INDIRECT("Deník!"&amp;BA$1&amp;$A23)</f>
        <v/>
      </c>
      <c r="BB23" s="40" t="str">
        <f t="shared" ca="1" si="17"/>
        <v/>
      </c>
      <c r="BC23" s="40" t="str">
        <f t="shared" ca="1" si="17"/>
        <v/>
      </c>
      <c r="BD23" s="40" t="str">
        <f t="shared" ca="1" si="17"/>
        <v/>
      </c>
      <c r="BE23" s="40" t="str">
        <f t="shared" ca="1" si="17"/>
        <v/>
      </c>
      <c r="BF23" s="40" t="str">
        <f t="shared" ca="1" si="17"/>
        <v/>
      </c>
      <c r="BG23" s="40" t="str">
        <f t="shared" ca="1" si="17"/>
        <v/>
      </c>
      <c r="BH23" s="40" t="str">
        <f t="shared" ca="1" si="17"/>
        <v/>
      </c>
      <c r="BI23" s="41" t="str">
        <f t="shared" ca="1" si="17"/>
        <v/>
      </c>
      <c r="BJ23" s="40" t="str">
        <f t="shared" ca="1" si="17"/>
        <v/>
      </c>
      <c r="BK23" s="40" t="str">
        <f t="shared" ca="1" si="17"/>
        <v/>
      </c>
      <c r="BL23" s="40" t="str">
        <f t="shared" ca="1" si="17"/>
        <v/>
      </c>
      <c r="BM23" s="40" t="str">
        <f t="shared" ca="1" si="17"/>
        <v/>
      </c>
      <c r="BN23" s="40" t="str">
        <f t="shared" ca="1" si="17"/>
        <v/>
      </c>
      <c r="BO23" s="40" t="str">
        <f t="shared" ca="1" si="17"/>
        <v/>
      </c>
      <c r="BP23" s="40" t="str">
        <f t="shared" ca="1" si="13"/>
        <v/>
      </c>
      <c r="BQ23" s="41" t="str">
        <f t="shared" ca="1" si="5"/>
        <v/>
      </c>
    </row>
    <row r="24" spans="1:69" x14ac:dyDescent="0.2">
      <c r="A24" s="18">
        <f t="shared" si="6"/>
        <v>23</v>
      </c>
      <c r="B24" s="77">
        <f t="shared" si="12"/>
        <v>18</v>
      </c>
      <c r="C24" s="92">
        <f t="shared" ref="C24:I36" ca="1" si="18">INDIRECT("Deník!"&amp;C$1&amp;$A24)</f>
        <v>45072</v>
      </c>
      <c r="D24" s="93" t="str">
        <f t="shared" ca="1" si="18"/>
        <v>P16</v>
      </c>
      <c r="E24" s="94" t="str">
        <f t="shared" ca="1" si="18"/>
        <v>Vyplacení zálohy na volnočasové aktivity (X)</v>
      </c>
      <c r="F24" s="95" t="str">
        <f t="shared" ca="1" si="18"/>
        <v>Nedaňový</v>
      </c>
      <c r="G24" s="96">
        <f t="shared" ca="1" si="18"/>
        <v>12</v>
      </c>
      <c r="H24" s="95" t="str">
        <f t="shared" ca="1" si="18"/>
        <v>Hlavní</v>
      </c>
      <c r="I24" s="476" t="str">
        <f t="shared" ca="1" si="18"/>
        <v>V Ostatní</v>
      </c>
      <c r="J24" s="42">
        <f t="shared" si="8"/>
        <v>18</v>
      </c>
      <c r="K24" s="39">
        <f t="shared" ca="1" si="14"/>
        <v>0</v>
      </c>
      <c r="L24" s="40">
        <f t="shared" ca="1" si="14"/>
        <v>5000</v>
      </c>
      <c r="M24" s="41">
        <f t="shared" ca="1" si="14"/>
        <v>12700</v>
      </c>
      <c r="N24" s="282">
        <f t="shared" ca="1" si="14"/>
        <v>0</v>
      </c>
      <c r="O24" s="283">
        <f t="shared" ca="1" si="14"/>
        <v>0</v>
      </c>
      <c r="P24" s="284">
        <f t="shared" ca="1" si="14"/>
        <v>10000</v>
      </c>
      <c r="Q24" s="282">
        <f t="shared" ca="1" si="14"/>
        <v>0</v>
      </c>
      <c r="R24" s="283">
        <f t="shared" ca="1" si="14"/>
        <v>0</v>
      </c>
      <c r="S24" s="284">
        <f t="shared" ca="1" si="14"/>
        <v>0</v>
      </c>
      <c r="T24" s="282">
        <f t="shared" ca="1" si="14"/>
        <v>0</v>
      </c>
      <c r="U24" s="283">
        <f t="shared" ca="1" si="14"/>
        <v>0</v>
      </c>
      <c r="V24" s="284">
        <f t="shared" ca="1" si="14"/>
        <v>0</v>
      </c>
      <c r="W24" s="485">
        <f t="shared" ca="1" si="14"/>
        <v>0</v>
      </c>
      <c r="X24" s="42">
        <f t="shared" si="9"/>
        <v>18</v>
      </c>
      <c r="Y24" s="39" t="str">
        <f t="shared" ca="1" si="15"/>
        <v/>
      </c>
      <c r="Z24" s="41" t="str">
        <f t="shared" ca="1" si="15"/>
        <v/>
      </c>
      <c r="AA24" s="39" t="str">
        <f t="shared" ca="1" si="15"/>
        <v/>
      </c>
      <c r="AB24" s="41" t="str">
        <f t="shared" ca="1" si="15"/>
        <v/>
      </c>
      <c r="AC24" s="39" t="str">
        <f t="shared" ca="1" si="15"/>
        <v/>
      </c>
      <c r="AD24" s="40" t="str">
        <f t="shared" ca="1" si="15"/>
        <v/>
      </c>
      <c r="AE24" s="40" t="str">
        <f t="shared" ca="1" si="15"/>
        <v/>
      </c>
      <c r="AF24" s="40" t="str">
        <f t="shared" ca="1" si="15"/>
        <v/>
      </c>
      <c r="AG24" s="40" t="str">
        <f t="shared" ca="1" si="15"/>
        <v/>
      </c>
      <c r="AH24" s="40" t="str">
        <f t="shared" ca="1" si="15"/>
        <v/>
      </c>
      <c r="AI24" s="41" t="str">
        <f t="shared" ca="1" si="15"/>
        <v/>
      </c>
      <c r="AJ24" s="39" t="str">
        <f t="shared" ca="1" si="15"/>
        <v/>
      </c>
      <c r="AK24" s="40" t="str">
        <f t="shared" ca="1" si="15"/>
        <v/>
      </c>
      <c r="AL24" s="40">
        <f t="shared" ca="1" si="15"/>
        <v>5000</v>
      </c>
      <c r="AM24" s="41" t="str">
        <f t="shared" ca="1" si="15"/>
        <v/>
      </c>
      <c r="AN24" s="42">
        <f t="shared" si="10"/>
        <v>18</v>
      </c>
      <c r="AO24" s="39" t="str">
        <f t="shared" ca="1" si="16"/>
        <v/>
      </c>
      <c r="AP24" s="40" t="str">
        <f t="shared" ca="1" si="16"/>
        <v/>
      </c>
      <c r="AQ24" s="40" t="str">
        <f t="shared" ca="1" si="16"/>
        <v/>
      </c>
      <c r="AR24" s="40" t="str">
        <f t="shared" ca="1" si="16"/>
        <v/>
      </c>
      <c r="AS24" s="40" t="str">
        <f t="shared" ca="1" si="16"/>
        <v/>
      </c>
      <c r="AT24" s="40" t="str">
        <f t="shared" ca="1" si="16"/>
        <v/>
      </c>
      <c r="AU24" s="40" t="str">
        <f t="shared" ca="1" si="16"/>
        <v/>
      </c>
      <c r="AV24" s="41" t="str">
        <f t="shared" ca="1" si="16"/>
        <v/>
      </c>
      <c r="AW24" s="40" t="str">
        <f t="shared" ca="1" si="16"/>
        <v/>
      </c>
      <c r="AX24" s="40" t="str">
        <f t="shared" ca="1" si="16"/>
        <v/>
      </c>
      <c r="AY24" s="41" t="str">
        <f t="shared" ca="1" si="16"/>
        <v/>
      </c>
      <c r="AZ24" s="42">
        <f t="shared" si="11"/>
        <v>18</v>
      </c>
      <c r="BA24" s="39" t="str">
        <f t="shared" ca="1" si="17"/>
        <v/>
      </c>
      <c r="BB24" s="40" t="str">
        <f t="shared" ca="1" si="17"/>
        <v/>
      </c>
      <c r="BC24" s="40" t="str">
        <f t="shared" ca="1" si="17"/>
        <v/>
      </c>
      <c r="BD24" s="40" t="str">
        <f t="shared" ca="1" si="17"/>
        <v/>
      </c>
      <c r="BE24" s="40" t="str">
        <f t="shared" ca="1" si="17"/>
        <v/>
      </c>
      <c r="BF24" s="40" t="str">
        <f t="shared" ca="1" si="17"/>
        <v/>
      </c>
      <c r="BG24" s="40" t="str">
        <f t="shared" ca="1" si="17"/>
        <v/>
      </c>
      <c r="BH24" s="40">
        <f t="shared" ca="1" si="17"/>
        <v>5000</v>
      </c>
      <c r="BI24" s="41" t="str">
        <f t="shared" ca="1" si="17"/>
        <v/>
      </c>
      <c r="BJ24" s="40" t="str">
        <f t="shared" ca="1" si="17"/>
        <v/>
      </c>
      <c r="BK24" s="40" t="str">
        <f t="shared" ca="1" si="17"/>
        <v/>
      </c>
      <c r="BL24" s="40" t="str">
        <f t="shared" ca="1" si="17"/>
        <v/>
      </c>
      <c r="BM24" s="40" t="str">
        <f t="shared" ca="1" si="17"/>
        <v/>
      </c>
      <c r="BN24" s="40" t="str">
        <f t="shared" ca="1" si="17"/>
        <v/>
      </c>
      <c r="BO24" s="40" t="str">
        <f t="shared" ca="1" si="17"/>
        <v/>
      </c>
      <c r="BP24" s="40" t="str">
        <f t="shared" ca="1" si="13"/>
        <v/>
      </c>
      <c r="BQ24" s="41" t="str">
        <f t="shared" ca="1" si="5"/>
        <v/>
      </c>
    </row>
    <row r="25" spans="1:69" x14ac:dyDescent="0.2">
      <c r="A25" s="18">
        <f t="shared" si="6"/>
        <v>24</v>
      </c>
      <c r="B25" s="77">
        <f t="shared" si="12"/>
        <v>19</v>
      </c>
      <c r="C25" s="92">
        <f t="shared" ca="1" si="18"/>
        <v>45076</v>
      </c>
      <c r="D25" s="93" t="str">
        <f t="shared" ca="1" si="18"/>
        <v>B3</v>
      </c>
      <c r="E25" s="94" t="str">
        <f t="shared" ca="1" si="18"/>
        <v>Výběr hotovosti z účtu</v>
      </c>
      <c r="F25" s="95" t="str">
        <f t="shared" ca="1" si="18"/>
        <v>Průběžná položka</v>
      </c>
      <c r="G25" s="96" t="str">
        <f t="shared" ca="1" si="18"/>
        <v>*</v>
      </c>
      <c r="H25" s="95" t="str">
        <f t="shared" ca="1" si="18"/>
        <v>Hlavní</v>
      </c>
      <c r="I25" s="476" t="str">
        <f t="shared" ca="1" si="18"/>
        <v>V Průběžné položky</v>
      </c>
      <c r="J25" s="42">
        <f t="shared" si="8"/>
        <v>19</v>
      </c>
      <c r="K25" s="39">
        <f t="shared" ca="1" si="14"/>
        <v>0</v>
      </c>
      <c r="L25" s="40">
        <f t="shared" ca="1" si="14"/>
        <v>0</v>
      </c>
      <c r="M25" s="41">
        <f t="shared" ca="1" si="14"/>
        <v>12700</v>
      </c>
      <c r="N25" s="282">
        <f t="shared" ca="1" si="14"/>
        <v>0</v>
      </c>
      <c r="O25" s="283">
        <f t="shared" ca="1" si="14"/>
        <v>4000</v>
      </c>
      <c r="P25" s="284">
        <f t="shared" ca="1" si="14"/>
        <v>6000</v>
      </c>
      <c r="Q25" s="282">
        <f t="shared" ca="1" si="14"/>
        <v>0</v>
      </c>
      <c r="R25" s="283">
        <f t="shared" ca="1" si="14"/>
        <v>0</v>
      </c>
      <c r="S25" s="284">
        <f t="shared" ca="1" si="14"/>
        <v>0</v>
      </c>
      <c r="T25" s="282">
        <f t="shared" ca="1" si="14"/>
        <v>0</v>
      </c>
      <c r="U25" s="283">
        <f t="shared" ca="1" si="14"/>
        <v>0</v>
      </c>
      <c r="V25" s="284">
        <f t="shared" ca="1" si="14"/>
        <v>0</v>
      </c>
      <c r="W25" s="485">
        <f t="shared" ca="1" si="14"/>
        <v>0</v>
      </c>
      <c r="X25" s="42">
        <f t="shared" si="9"/>
        <v>19</v>
      </c>
      <c r="Y25" s="39" t="str">
        <f t="shared" ca="1" si="15"/>
        <v/>
      </c>
      <c r="Z25" s="41" t="str">
        <f t="shared" ca="1" si="15"/>
        <v/>
      </c>
      <c r="AA25" s="39" t="str">
        <f t="shared" ca="1" si="15"/>
        <v/>
      </c>
      <c r="AB25" s="41" t="str">
        <f t="shared" ca="1" si="15"/>
        <v/>
      </c>
      <c r="AC25" s="39" t="str">
        <f t="shared" ca="1" si="15"/>
        <v/>
      </c>
      <c r="AD25" s="40" t="str">
        <f t="shared" ca="1" si="15"/>
        <v/>
      </c>
      <c r="AE25" s="40" t="str">
        <f t="shared" ca="1" si="15"/>
        <v/>
      </c>
      <c r="AF25" s="40" t="str">
        <f t="shared" ca="1" si="15"/>
        <v/>
      </c>
      <c r="AG25" s="40" t="str">
        <f t="shared" ca="1" si="15"/>
        <v/>
      </c>
      <c r="AH25" s="40" t="str">
        <f t="shared" ca="1" si="15"/>
        <v/>
      </c>
      <c r="AI25" s="41" t="str">
        <f t="shared" ca="1" si="15"/>
        <v/>
      </c>
      <c r="AJ25" s="39" t="str">
        <f t="shared" ca="1" si="15"/>
        <v/>
      </c>
      <c r="AK25" s="40" t="str">
        <f t="shared" ca="1" si="15"/>
        <v/>
      </c>
      <c r="AL25" s="40" t="str">
        <f t="shared" ca="1" si="15"/>
        <v/>
      </c>
      <c r="AM25" s="41" t="str">
        <f t="shared" ca="1" si="15"/>
        <v/>
      </c>
      <c r="AN25" s="42">
        <f t="shared" si="10"/>
        <v>19</v>
      </c>
      <c r="AO25" s="39" t="str">
        <f t="shared" ca="1" si="16"/>
        <v/>
      </c>
      <c r="AP25" s="40" t="str">
        <f t="shared" ca="1" si="16"/>
        <v/>
      </c>
      <c r="AQ25" s="40" t="str">
        <f t="shared" ca="1" si="16"/>
        <v/>
      </c>
      <c r="AR25" s="40" t="str">
        <f t="shared" ca="1" si="16"/>
        <v/>
      </c>
      <c r="AS25" s="40" t="str">
        <f t="shared" ca="1" si="16"/>
        <v/>
      </c>
      <c r="AT25" s="40" t="str">
        <f t="shared" ca="1" si="16"/>
        <v/>
      </c>
      <c r="AU25" s="40" t="str">
        <f t="shared" ca="1" si="16"/>
        <v/>
      </c>
      <c r="AV25" s="41" t="str">
        <f t="shared" ca="1" si="16"/>
        <v/>
      </c>
      <c r="AW25" s="40" t="str">
        <f t="shared" ca="1" si="16"/>
        <v/>
      </c>
      <c r="AX25" s="40" t="str">
        <f t="shared" ca="1" si="16"/>
        <v/>
      </c>
      <c r="AY25" s="41" t="str">
        <f t="shared" ca="1" si="16"/>
        <v/>
      </c>
      <c r="AZ25" s="42">
        <f t="shared" si="11"/>
        <v>19</v>
      </c>
      <c r="BA25" s="39" t="str">
        <f t="shared" ca="1" si="17"/>
        <v/>
      </c>
      <c r="BB25" s="40" t="str">
        <f t="shared" ca="1" si="17"/>
        <v/>
      </c>
      <c r="BC25" s="40" t="str">
        <f t="shared" ca="1" si="17"/>
        <v/>
      </c>
      <c r="BD25" s="40" t="str">
        <f t="shared" ca="1" si="17"/>
        <v/>
      </c>
      <c r="BE25" s="40" t="str">
        <f t="shared" ca="1" si="17"/>
        <v/>
      </c>
      <c r="BF25" s="40" t="str">
        <f t="shared" ca="1" si="17"/>
        <v/>
      </c>
      <c r="BG25" s="40" t="str">
        <f t="shared" ca="1" si="17"/>
        <v/>
      </c>
      <c r="BH25" s="40" t="str">
        <f t="shared" ca="1" si="17"/>
        <v/>
      </c>
      <c r="BI25" s="41">
        <f t="shared" ca="1" si="17"/>
        <v>4000</v>
      </c>
      <c r="BJ25" s="40" t="str">
        <f t="shared" ca="1" si="17"/>
        <v/>
      </c>
      <c r="BK25" s="40" t="str">
        <f t="shared" ca="1" si="17"/>
        <v/>
      </c>
      <c r="BL25" s="40" t="str">
        <f t="shared" ca="1" si="17"/>
        <v/>
      </c>
      <c r="BM25" s="40" t="str">
        <f t="shared" ca="1" si="17"/>
        <v/>
      </c>
      <c r="BN25" s="40" t="str">
        <f t="shared" ca="1" si="17"/>
        <v/>
      </c>
      <c r="BO25" s="40" t="str">
        <f t="shared" ca="1" si="17"/>
        <v/>
      </c>
      <c r="BP25" s="40" t="str">
        <f t="shared" ca="1" si="13"/>
        <v/>
      </c>
      <c r="BQ25" s="41" t="str">
        <f t="shared" ca="1" si="5"/>
        <v/>
      </c>
    </row>
    <row r="26" spans="1:69" x14ac:dyDescent="0.2">
      <c r="A26" s="18">
        <f t="shared" si="6"/>
        <v>25</v>
      </c>
      <c r="B26" s="77">
        <f t="shared" si="12"/>
        <v>20</v>
      </c>
      <c r="C26" s="92">
        <f t="shared" ca="1" si="18"/>
        <v>45076</v>
      </c>
      <c r="D26" s="93" t="str">
        <f t="shared" ca="1" si="18"/>
        <v>P17</v>
      </c>
      <c r="E26" s="94" t="str">
        <f t="shared" ca="1" si="18"/>
        <v>Příjem peněz do pokladny</v>
      </c>
      <c r="F26" s="95" t="str">
        <f t="shared" ca="1" si="18"/>
        <v>Průběžná položka</v>
      </c>
      <c r="G26" s="96" t="str">
        <f t="shared" ca="1" si="18"/>
        <v>*</v>
      </c>
      <c r="H26" s="95" t="str">
        <f t="shared" ca="1" si="18"/>
        <v>Hlavní</v>
      </c>
      <c r="I26" s="476" t="str">
        <f t="shared" ca="1" si="18"/>
        <v>P Průběžné položky</v>
      </c>
      <c r="J26" s="42">
        <f t="shared" si="8"/>
        <v>20</v>
      </c>
      <c r="K26" s="39">
        <f t="shared" ca="1" si="14"/>
        <v>4000</v>
      </c>
      <c r="L26" s="40">
        <f t="shared" ca="1" si="14"/>
        <v>0</v>
      </c>
      <c r="M26" s="41">
        <f t="shared" ca="1" si="14"/>
        <v>16700</v>
      </c>
      <c r="N26" s="282">
        <f t="shared" ca="1" si="14"/>
        <v>0</v>
      </c>
      <c r="O26" s="283">
        <f t="shared" ca="1" si="14"/>
        <v>0</v>
      </c>
      <c r="P26" s="284">
        <f t="shared" ca="1" si="14"/>
        <v>6000</v>
      </c>
      <c r="Q26" s="282">
        <f t="shared" ca="1" si="14"/>
        <v>0</v>
      </c>
      <c r="R26" s="283">
        <f t="shared" ca="1" si="14"/>
        <v>0</v>
      </c>
      <c r="S26" s="284">
        <f t="shared" ca="1" si="14"/>
        <v>0</v>
      </c>
      <c r="T26" s="282">
        <f t="shared" ca="1" si="14"/>
        <v>0</v>
      </c>
      <c r="U26" s="283">
        <f t="shared" ca="1" si="14"/>
        <v>0</v>
      </c>
      <c r="V26" s="284">
        <f t="shared" ca="1" si="14"/>
        <v>0</v>
      </c>
      <c r="W26" s="485">
        <f t="shared" ca="1" si="14"/>
        <v>0</v>
      </c>
      <c r="X26" s="42">
        <f t="shared" si="9"/>
        <v>20</v>
      </c>
      <c r="Y26" s="39" t="str">
        <f t="shared" ca="1" si="15"/>
        <v/>
      </c>
      <c r="Z26" s="41" t="str">
        <f t="shared" ca="1" si="15"/>
        <v/>
      </c>
      <c r="AA26" s="39" t="str">
        <f t="shared" ca="1" si="15"/>
        <v/>
      </c>
      <c r="AB26" s="41" t="str">
        <f t="shared" ca="1" si="15"/>
        <v/>
      </c>
      <c r="AC26" s="39" t="str">
        <f t="shared" ca="1" si="15"/>
        <v/>
      </c>
      <c r="AD26" s="40" t="str">
        <f t="shared" ca="1" si="15"/>
        <v/>
      </c>
      <c r="AE26" s="40" t="str">
        <f t="shared" ca="1" si="15"/>
        <v/>
      </c>
      <c r="AF26" s="40" t="str">
        <f t="shared" ca="1" si="15"/>
        <v/>
      </c>
      <c r="AG26" s="40" t="str">
        <f t="shared" ca="1" si="15"/>
        <v/>
      </c>
      <c r="AH26" s="40" t="str">
        <f t="shared" ca="1" si="15"/>
        <v/>
      </c>
      <c r="AI26" s="41" t="str">
        <f t="shared" ca="1" si="15"/>
        <v/>
      </c>
      <c r="AJ26" s="39" t="str">
        <f t="shared" ca="1" si="15"/>
        <v/>
      </c>
      <c r="AK26" s="40" t="str">
        <f t="shared" ca="1" si="15"/>
        <v/>
      </c>
      <c r="AL26" s="40" t="str">
        <f t="shared" ca="1" si="15"/>
        <v/>
      </c>
      <c r="AM26" s="41" t="str">
        <f t="shared" ca="1" si="15"/>
        <v/>
      </c>
      <c r="AN26" s="42">
        <f t="shared" si="10"/>
        <v>20</v>
      </c>
      <c r="AO26" s="39" t="str">
        <f t="shared" ca="1" si="16"/>
        <v/>
      </c>
      <c r="AP26" s="40" t="str">
        <f t="shared" ca="1" si="16"/>
        <v/>
      </c>
      <c r="AQ26" s="40" t="str">
        <f t="shared" ca="1" si="16"/>
        <v/>
      </c>
      <c r="AR26" s="40" t="str">
        <f t="shared" ca="1" si="16"/>
        <v/>
      </c>
      <c r="AS26" s="40" t="str">
        <f t="shared" ca="1" si="16"/>
        <v/>
      </c>
      <c r="AT26" s="40" t="str">
        <f t="shared" ca="1" si="16"/>
        <v/>
      </c>
      <c r="AU26" s="40" t="str">
        <f t="shared" ca="1" si="16"/>
        <v/>
      </c>
      <c r="AV26" s="41">
        <f t="shared" ca="1" si="16"/>
        <v>4000</v>
      </c>
      <c r="AW26" s="40" t="str">
        <f t="shared" ca="1" si="16"/>
        <v/>
      </c>
      <c r="AX26" s="40" t="str">
        <f t="shared" ca="1" si="16"/>
        <v/>
      </c>
      <c r="AY26" s="41" t="str">
        <f t="shared" ca="1" si="16"/>
        <v/>
      </c>
      <c r="AZ26" s="42">
        <f t="shared" si="11"/>
        <v>20</v>
      </c>
      <c r="BA26" s="39" t="str">
        <f t="shared" ca="1" si="17"/>
        <v/>
      </c>
      <c r="BB26" s="40" t="str">
        <f t="shared" ca="1" si="17"/>
        <v/>
      </c>
      <c r="BC26" s="40" t="str">
        <f t="shared" ca="1" si="17"/>
        <v/>
      </c>
      <c r="BD26" s="40" t="str">
        <f t="shared" ca="1" si="17"/>
        <v/>
      </c>
      <c r="BE26" s="40" t="str">
        <f t="shared" ca="1" si="17"/>
        <v/>
      </c>
      <c r="BF26" s="40" t="str">
        <f t="shared" ca="1" si="17"/>
        <v/>
      </c>
      <c r="BG26" s="40" t="str">
        <f t="shared" ca="1" si="17"/>
        <v/>
      </c>
      <c r="BH26" s="40" t="str">
        <f t="shared" ca="1" si="17"/>
        <v/>
      </c>
      <c r="BI26" s="41" t="str">
        <f t="shared" ca="1" si="17"/>
        <v/>
      </c>
      <c r="BJ26" s="40" t="str">
        <f t="shared" ca="1" si="17"/>
        <v/>
      </c>
      <c r="BK26" s="40" t="str">
        <f t="shared" ca="1" si="17"/>
        <v/>
      </c>
      <c r="BL26" s="40" t="str">
        <f t="shared" ca="1" si="17"/>
        <v/>
      </c>
      <c r="BM26" s="40" t="str">
        <f t="shared" ca="1" si="17"/>
        <v/>
      </c>
      <c r="BN26" s="40" t="str">
        <f t="shared" ca="1" si="17"/>
        <v/>
      </c>
      <c r="BO26" s="40" t="str">
        <f t="shared" ca="1" si="17"/>
        <v/>
      </c>
      <c r="BP26" s="40" t="str">
        <f t="shared" ca="1" si="13"/>
        <v/>
      </c>
      <c r="BQ26" s="41" t="str">
        <f t="shared" ca="1" si="5"/>
        <v/>
      </c>
    </row>
    <row r="27" spans="1:69" x14ac:dyDescent="0.2">
      <c r="A27" s="18">
        <f t="shared" si="6"/>
        <v>26</v>
      </c>
      <c r="B27" s="77">
        <f t="shared" si="12"/>
        <v>21</v>
      </c>
      <c r="C27" s="92">
        <f t="shared" ca="1" si="18"/>
        <v>45091</v>
      </c>
      <c r="D27" s="93" t="str">
        <f t="shared" ca="1" si="18"/>
        <v>P18</v>
      </c>
      <c r="E27" s="94" t="str">
        <f t="shared" ca="1" si="18"/>
        <v>Výdaj na výlet členů SDH (X)</v>
      </c>
      <c r="F27" s="95" t="str">
        <f t="shared" ca="1" si="18"/>
        <v>Nedaňový</v>
      </c>
      <c r="G27" s="96">
        <f t="shared" ca="1" si="18"/>
        <v>10</v>
      </c>
      <c r="H27" s="95" t="str">
        <f t="shared" ca="1" si="18"/>
        <v>Hlavní</v>
      </c>
      <c r="I27" s="476" t="str">
        <f t="shared" ca="1" si="18"/>
        <v>V Služby</v>
      </c>
      <c r="J27" s="42">
        <f t="shared" si="8"/>
        <v>21</v>
      </c>
      <c r="K27" s="39">
        <f t="shared" ca="1" si="14"/>
        <v>0</v>
      </c>
      <c r="L27" s="40">
        <f t="shared" ca="1" si="14"/>
        <v>15000</v>
      </c>
      <c r="M27" s="41">
        <f t="shared" ca="1" si="14"/>
        <v>1700</v>
      </c>
      <c r="N27" s="282">
        <f t="shared" ca="1" si="14"/>
        <v>0</v>
      </c>
      <c r="O27" s="283">
        <f t="shared" ca="1" si="14"/>
        <v>0</v>
      </c>
      <c r="P27" s="284">
        <f t="shared" ca="1" si="14"/>
        <v>6000</v>
      </c>
      <c r="Q27" s="282">
        <f t="shared" ca="1" si="14"/>
        <v>0</v>
      </c>
      <c r="R27" s="283">
        <f t="shared" ca="1" si="14"/>
        <v>0</v>
      </c>
      <c r="S27" s="284">
        <f t="shared" ca="1" si="14"/>
        <v>0</v>
      </c>
      <c r="T27" s="282">
        <f t="shared" ca="1" si="14"/>
        <v>0</v>
      </c>
      <c r="U27" s="283">
        <f t="shared" ca="1" si="14"/>
        <v>0</v>
      </c>
      <c r="V27" s="284">
        <f t="shared" ca="1" si="14"/>
        <v>0</v>
      </c>
      <c r="W27" s="485">
        <f t="shared" ca="1" si="14"/>
        <v>0</v>
      </c>
      <c r="X27" s="42">
        <f t="shared" si="9"/>
        <v>21</v>
      </c>
      <c r="Y27" s="39" t="str">
        <f t="shared" ca="1" si="15"/>
        <v/>
      </c>
      <c r="Z27" s="41" t="str">
        <f t="shared" ca="1" si="15"/>
        <v/>
      </c>
      <c r="AA27" s="39" t="str">
        <f t="shared" ca="1" si="15"/>
        <v/>
      </c>
      <c r="AB27" s="41" t="str">
        <f t="shared" ca="1" si="15"/>
        <v/>
      </c>
      <c r="AC27" s="39" t="str">
        <f t="shared" ca="1" si="15"/>
        <v/>
      </c>
      <c r="AD27" s="40" t="str">
        <f t="shared" ca="1" si="15"/>
        <v/>
      </c>
      <c r="AE27" s="40" t="str">
        <f t="shared" ca="1" si="15"/>
        <v/>
      </c>
      <c r="AF27" s="40" t="str">
        <f t="shared" ca="1" si="15"/>
        <v/>
      </c>
      <c r="AG27" s="40" t="str">
        <f t="shared" ca="1" si="15"/>
        <v/>
      </c>
      <c r="AH27" s="40" t="str">
        <f t="shared" ca="1" si="15"/>
        <v/>
      </c>
      <c r="AI27" s="41" t="str">
        <f t="shared" ca="1" si="15"/>
        <v/>
      </c>
      <c r="AJ27" s="39">
        <f t="shared" ca="1" si="15"/>
        <v>15000</v>
      </c>
      <c r="AK27" s="40" t="str">
        <f t="shared" ca="1" si="15"/>
        <v/>
      </c>
      <c r="AL27" s="40" t="str">
        <f t="shared" ca="1" si="15"/>
        <v/>
      </c>
      <c r="AM27" s="41" t="str">
        <f t="shared" ca="1" si="15"/>
        <v/>
      </c>
      <c r="AN27" s="42">
        <f t="shared" si="10"/>
        <v>21</v>
      </c>
      <c r="AO27" s="39" t="str">
        <f t="shared" ca="1" si="16"/>
        <v/>
      </c>
      <c r="AP27" s="40" t="str">
        <f t="shared" ca="1" si="16"/>
        <v/>
      </c>
      <c r="AQ27" s="40" t="str">
        <f t="shared" ca="1" si="16"/>
        <v/>
      </c>
      <c r="AR27" s="40" t="str">
        <f t="shared" ca="1" si="16"/>
        <v/>
      </c>
      <c r="AS27" s="40" t="str">
        <f t="shared" ca="1" si="16"/>
        <v/>
      </c>
      <c r="AT27" s="40" t="str">
        <f t="shared" ca="1" si="16"/>
        <v/>
      </c>
      <c r="AU27" s="40" t="str">
        <f t="shared" ca="1" si="16"/>
        <v/>
      </c>
      <c r="AV27" s="41" t="str">
        <f t="shared" ca="1" si="16"/>
        <v/>
      </c>
      <c r="AW27" s="40" t="str">
        <f t="shared" ca="1" si="16"/>
        <v/>
      </c>
      <c r="AX27" s="40" t="str">
        <f t="shared" ca="1" si="16"/>
        <v/>
      </c>
      <c r="AY27" s="41" t="str">
        <f t="shared" ca="1" si="16"/>
        <v/>
      </c>
      <c r="AZ27" s="42">
        <f t="shared" si="11"/>
        <v>21</v>
      </c>
      <c r="BA27" s="39" t="str">
        <f t="shared" ca="1" si="17"/>
        <v/>
      </c>
      <c r="BB27" s="40" t="str">
        <f t="shared" ca="1" si="17"/>
        <v/>
      </c>
      <c r="BC27" s="40" t="str">
        <f t="shared" ca="1" si="17"/>
        <v/>
      </c>
      <c r="BD27" s="40">
        <f t="shared" ca="1" si="17"/>
        <v>15000</v>
      </c>
      <c r="BE27" s="40" t="str">
        <f t="shared" ca="1" si="17"/>
        <v/>
      </c>
      <c r="BF27" s="40" t="str">
        <f t="shared" ca="1" si="17"/>
        <v/>
      </c>
      <c r="BG27" s="40" t="str">
        <f t="shared" ca="1" si="17"/>
        <v/>
      </c>
      <c r="BH27" s="40" t="str">
        <f t="shared" ca="1" si="17"/>
        <v/>
      </c>
      <c r="BI27" s="41" t="str">
        <f t="shared" ca="1" si="17"/>
        <v/>
      </c>
      <c r="BJ27" s="40" t="str">
        <f t="shared" ca="1" si="17"/>
        <v/>
      </c>
      <c r="BK27" s="40" t="str">
        <f t="shared" ca="1" si="17"/>
        <v/>
      </c>
      <c r="BL27" s="40" t="str">
        <f t="shared" ca="1" si="17"/>
        <v/>
      </c>
      <c r="BM27" s="40" t="str">
        <f t="shared" ca="1" si="17"/>
        <v/>
      </c>
      <c r="BN27" s="40" t="str">
        <f t="shared" ca="1" si="17"/>
        <v/>
      </c>
      <c r="BO27" s="40" t="str">
        <f t="shared" ca="1" si="17"/>
        <v/>
      </c>
      <c r="BP27" s="40" t="str">
        <f t="shared" ca="1" si="13"/>
        <v/>
      </c>
      <c r="BQ27" s="41" t="str">
        <f t="shared" ca="1" si="5"/>
        <v/>
      </c>
    </row>
    <row r="28" spans="1:69" x14ac:dyDescent="0.2">
      <c r="A28" s="18">
        <f t="shared" si="6"/>
        <v>27</v>
      </c>
      <c r="B28" s="77">
        <f t="shared" si="12"/>
        <v>22</v>
      </c>
      <c r="C28" s="92">
        <f t="shared" ca="1" si="18"/>
        <v>45107</v>
      </c>
      <c r="D28" s="93" t="str">
        <f t="shared" ca="1" si="18"/>
        <v>P19</v>
      </c>
      <c r="E28" s="94" t="str">
        <f t="shared" ca="1" si="18"/>
        <v>Vrácení zálohy na volnočasové aktivity (X)</v>
      </c>
      <c r="F28" s="95" t="str">
        <f t="shared" ca="1" si="18"/>
        <v>Nedaňový</v>
      </c>
      <c r="G28" s="96">
        <f t="shared" ca="1" si="18"/>
        <v>7</v>
      </c>
      <c r="H28" s="95" t="str">
        <f t="shared" ca="1" si="18"/>
        <v>Hlavní</v>
      </c>
      <c r="I28" s="476" t="str">
        <f t="shared" ca="1" si="18"/>
        <v>P Ostatní</v>
      </c>
      <c r="J28" s="42">
        <f t="shared" si="8"/>
        <v>22</v>
      </c>
      <c r="K28" s="39">
        <f t="shared" ca="1" si="14"/>
        <v>5000</v>
      </c>
      <c r="L28" s="40">
        <f t="shared" ca="1" si="14"/>
        <v>0</v>
      </c>
      <c r="M28" s="41">
        <f t="shared" ca="1" si="14"/>
        <v>6700</v>
      </c>
      <c r="N28" s="282">
        <f t="shared" ca="1" si="14"/>
        <v>0</v>
      </c>
      <c r="O28" s="283">
        <f t="shared" ca="1" si="14"/>
        <v>0</v>
      </c>
      <c r="P28" s="284">
        <f t="shared" ca="1" si="14"/>
        <v>6000</v>
      </c>
      <c r="Q28" s="282">
        <f t="shared" ca="1" si="14"/>
        <v>0</v>
      </c>
      <c r="R28" s="283">
        <f t="shared" ca="1" si="14"/>
        <v>0</v>
      </c>
      <c r="S28" s="284">
        <f t="shared" ca="1" si="14"/>
        <v>0</v>
      </c>
      <c r="T28" s="282">
        <f t="shared" ca="1" si="14"/>
        <v>0</v>
      </c>
      <c r="U28" s="283">
        <f t="shared" ca="1" si="14"/>
        <v>0</v>
      </c>
      <c r="V28" s="284">
        <f t="shared" ca="1" si="14"/>
        <v>0</v>
      </c>
      <c r="W28" s="485">
        <f t="shared" ca="1" si="14"/>
        <v>0</v>
      </c>
      <c r="X28" s="42">
        <f t="shared" si="9"/>
        <v>22</v>
      </c>
      <c r="Y28" s="39" t="str">
        <f t="shared" ca="1" si="15"/>
        <v/>
      </c>
      <c r="Z28" s="41" t="str">
        <f t="shared" ca="1" si="15"/>
        <v/>
      </c>
      <c r="AA28" s="39" t="str">
        <f t="shared" ca="1" si="15"/>
        <v/>
      </c>
      <c r="AB28" s="41" t="str">
        <f t="shared" ca="1" si="15"/>
        <v/>
      </c>
      <c r="AC28" s="39" t="str">
        <f t="shared" ca="1" si="15"/>
        <v/>
      </c>
      <c r="AD28" s="40" t="str">
        <f t="shared" ca="1" si="15"/>
        <v/>
      </c>
      <c r="AE28" s="40" t="str">
        <f t="shared" ca="1" si="15"/>
        <v/>
      </c>
      <c r="AF28" s="40" t="str">
        <f t="shared" ca="1" si="15"/>
        <v/>
      </c>
      <c r="AG28" s="40" t="str">
        <f t="shared" ca="1" si="15"/>
        <v/>
      </c>
      <c r="AH28" s="40" t="str">
        <f t="shared" ca="1" si="15"/>
        <v/>
      </c>
      <c r="AI28" s="41">
        <f t="shared" ca="1" si="15"/>
        <v>5000</v>
      </c>
      <c r="AJ28" s="39" t="str">
        <f t="shared" ca="1" si="15"/>
        <v/>
      </c>
      <c r="AK28" s="40" t="str">
        <f t="shared" ca="1" si="15"/>
        <v/>
      </c>
      <c r="AL28" s="40" t="str">
        <f t="shared" ca="1" si="15"/>
        <v/>
      </c>
      <c r="AM28" s="41" t="str">
        <f t="shared" ca="1" si="15"/>
        <v/>
      </c>
      <c r="AN28" s="42">
        <f t="shared" si="10"/>
        <v>22</v>
      </c>
      <c r="AO28" s="39" t="str">
        <f t="shared" ca="1" si="16"/>
        <v/>
      </c>
      <c r="AP28" s="40" t="str">
        <f t="shared" ca="1" si="16"/>
        <v/>
      </c>
      <c r="AQ28" s="40" t="str">
        <f t="shared" ca="1" si="16"/>
        <v/>
      </c>
      <c r="AR28" s="40" t="str">
        <f t="shared" ca="1" si="16"/>
        <v/>
      </c>
      <c r="AS28" s="40" t="str">
        <f t="shared" ca="1" si="16"/>
        <v/>
      </c>
      <c r="AT28" s="40" t="str">
        <f t="shared" ca="1" si="16"/>
        <v/>
      </c>
      <c r="AU28" s="40">
        <f t="shared" ca="1" si="16"/>
        <v>5000</v>
      </c>
      <c r="AV28" s="41" t="str">
        <f t="shared" ca="1" si="16"/>
        <v/>
      </c>
      <c r="AW28" s="40" t="str">
        <f t="shared" ca="1" si="16"/>
        <v/>
      </c>
      <c r="AX28" s="40" t="str">
        <f t="shared" ca="1" si="16"/>
        <v/>
      </c>
      <c r="AY28" s="41" t="str">
        <f t="shared" ca="1" si="16"/>
        <v/>
      </c>
      <c r="AZ28" s="42">
        <f t="shared" si="11"/>
        <v>22</v>
      </c>
      <c r="BA28" s="39" t="str">
        <f t="shared" ca="1" si="17"/>
        <v/>
      </c>
      <c r="BB28" s="40" t="str">
        <f t="shared" ca="1" si="17"/>
        <v/>
      </c>
      <c r="BC28" s="40" t="str">
        <f t="shared" ca="1" si="17"/>
        <v/>
      </c>
      <c r="BD28" s="40" t="str">
        <f t="shared" ca="1" si="17"/>
        <v/>
      </c>
      <c r="BE28" s="40" t="str">
        <f t="shared" ca="1" si="17"/>
        <v/>
      </c>
      <c r="BF28" s="40" t="str">
        <f t="shared" ca="1" si="17"/>
        <v/>
      </c>
      <c r="BG28" s="40" t="str">
        <f t="shared" ca="1" si="17"/>
        <v/>
      </c>
      <c r="BH28" s="40" t="str">
        <f t="shared" ca="1" si="17"/>
        <v/>
      </c>
      <c r="BI28" s="41" t="str">
        <f t="shared" ca="1" si="17"/>
        <v/>
      </c>
      <c r="BJ28" s="40" t="str">
        <f t="shared" ca="1" si="17"/>
        <v/>
      </c>
      <c r="BK28" s="40" t="str">
        <f t="shared" ca="1" si="17"/>
        <v/>
      </c>
      <c r="BL28" s="40" t="str">
        <f t="shared" ca="1" si="17"/>
        <v/>
      </c>
      <c r="BM28" s="40" t="str">
        <f t="shared" ca="1" si="17"/>
        <v/>
      </c>
      <c r="BN28" s="40" t="str">
        <f t="shared" ca="1" si="17"/>
        <v/>
      </c>
      <c r="BO28" s="40" t="str">
        <f t="shared" ca="1" si="17"/>
        <v/>
      </c>
      <c r="BP28" s="40" t="str">
        <f t="shared" ca="1" si="13"/>
        <v/>
      </c>
      <c r="BQ28" s="41" t="str">
        <f t="shared" ca="1" si="5"/>
        <v/>
      </c>
    </row>
    <row r="29" spans="1:69" x14ac:dyDescent="0.2">
      <c r="A29" s="18">
        <f t="shared" si="6"/>
        <v>28</v>
      </c>
      <c r="B29" s="77">
        <f t="shared" si="12"/>
        <v>23</v>
      </c>
      <c r="C29" s="92">
        <f t="shared" ca="1" si="18"/>
        <v>45107</v>
      </c>
      <c r="D29" s="93" t="str">
        <f t="shared" ca="1" si="18"/>
        <v>P20</v>
      </c>
      <c r="E29" s="94" t="str">
        <f t="shared" ca="1" si="18"/>
        <v>Výdaj za aktivity mládeže (X)</v>
      </c>
      <c r="F29" s="95" t="str">
        <f t="shared" ca="1" si="18"/>
        <v>Nedaňový</v>
      </c>
      <c r="G29" s="96">
        <f t="shared" ca="1" si="18"/>
        <v>10</v>
      </c>
      <c r="H29" s="95" t="str">
        <f t="shared" ca="1" si="18"/>
        <v>Hlavní</v>
      </c>
      <c r="I29" s="476" t="str">
        <f t="shared" ca="1" si="18"/>
        <v>V Služby</v>
      </c>
      <c r="J29" s="42">
        <f t="shared" si="8"/>
        <v>23</v>
      </c>
      <c r="K29" s="39">
        <f t="shared" ca="1" si="14"/>
        <v>0</v>
      </c>
      <c r="L29" s="40">
        <f t="shared" ca="1" si="14"/>
        <v>2500</v>
      </c>
      <c r="M29" s="41">
        <f t="shared" ca="1" si="14"/>
        <v>4200</v>
      </c>
      <c r="N29" s="282">
        <f t="shared" ca="1" si="14"/>
        <v>0</v>
      </c>
      <c r="O29" s="283">
        <f t="shared" ca="1" si="14"/>
        <v>0</v>
      </c>
      <c r="P29" s="284">
        <f t="shared" ca="1" si="14"/>
        <v>6000</v>
      </c>
      <c r="Q29" s="282">
        <f t="shared" ca="1" si="14"/>
        <v>0</v>
      </c>
      <c r="R29" s="283">
        <f t="shared" ca="1" si="14"/>
        <v>0</v>
      </c>
      <c r="S29" s="284">
        <f t="shared" ca="1" si="14"/>
        <v>0</v>
      </c>
      <c r="T29" s="282">
        <f t="shared" ca="1" si="14"/>
        <v>0</v>
      </c>
      <c r="U29" s="283">
        <f t="shared" ca="1" si="14"/>
        <v>0</v>
      </c>
      <c r="V29" s="284">
        <f t="shared" ca="1" si="14"/>
        <v>0</v>
      </c>
      <c r="W29" s="485">
        <f t="shared" ca="1" si="14"/>
        <v>0</v>
      </c>
      <c r="X29" s="42">
        <f t="shared" si="9"/>
        <v>23</v>
      </c>
      <c r="Y29" s="39" t="str">
        <f t="shared" ca="1" si="15"/>
        <v/>
      </c>
      <c r="Z29" s="41" t="str">
        <f t="shared" ca="1" si="15"/>
        <v/>
      </c>
      <c r="AA29" s="39" t="str">
        <f t="shared" ca="1" si="15"/>
        <v/>
      </c>
      <c r="AB29" s="41" t="str">
        <f t="shared" ca="1" si="15"/>
        <v/>
      </c>
      <c r="AC29" s="39" t="str">
        <f t="shared" ca="1" si="15"/>
        <v/>
      </c>
      <c r="AD29" s="40" t="str">
        <f t="shared" ca="1" si="15"/>
        <v/>
      </c>
      <c r="AE29" s="40" t="str">
        <f t="shared" ca="1" si="15"/>
        <v/>
      </c>
      <c r="AF29" s="40" t="str">
        <f t="shared" ca="1" si="15"/>
        <v/>
      </c>
      <c r="AG29" s="40" t="str">
        <f t="shared" ca="1" si="15"/>
        <v/>
      </c>
      <c r="AH29" s="40" t="str">
        <f t="shared" ca="1" si="15"/>
        <v/>
      </c>
      <c r="AI29" s="41" t="str">
        <f t="shared" ca="1" si="15"/>
        <v/>
      </c>
      <c r="AJ29" s="39">
        <f t="shared" ca="1" si="15"/>
        <v>2500</v>
      </c>
      <c r="AK29" s="40" t="str">
        <f t="shared" ca="1" si="15"/>
        <v/>
      </c>
      <c r="AL29" s="40" t="str">
        <f t="shared" ca="1" si="15"/>
        <v/>
      </c>
      <c r="AM29" s="41" t="str">
        <f t="shared" ca="1" si="15"/>
        <v/>
      </c>
      <c r="AN29" s="42">
        <f t="shared" si="10"/>
        <v>23</v>
      </c>
      <c r="AO29" s="39" t="str">
        <f t="shared" ca="1" si="16"/>
        <v/>
      </c>
      <c r="AP29" s="40" t="str">
        <f t="shared" ca="1" si="16"/>
        <v/>
      </c>
      <c r="AQ29" s="40" t="str">
        <f t="shared" ca="1" si="16"/>
        <v/>
      </c>
      <c r="AR29" s="40" t="str">
        <f t="shared" ca="1" si="16"/>
        <v/>
      </c>
      <c r="AS29" s="40" t="str">
        <f t="shared" ca="1" si="16"/>
        <v/>
      </c>
      <c r="AT29" s="40" t="str">
        <f t="shared" ca="1" si="16"/>
        <v/>
      </c>
      <c r="AU29" s="40" t="str">
        <f t="shared" ca="1" si="16"/>
        <v/>
      </c>
      <c r="AV29" s="41" t="str">
        <f t="shared" ca="1" si="16"/>
        <v/>
      </c>
      <c r="AW29" s="40" t="str">
        <f t="shared" ca="1" si="16"/>
        <v/>
      </c>
      <c r="AX29" s="40" t="str">
        <f t="shared" ca="1" si="16"/>
        <v/>
      </c>
      <c r="AY29" s="41" t="str">
        <f t="shared" ca="1" si="16"/>
        <v/>
      </c>
      <c r="AZ29" s="42">
        <f t="shared" si="11"/>
        <v>23</v>
      </c>
      <c r="BA29" s="39" t="str">
        <f t="shared" ca="1" si="17"/>
        <v/>
      </c>
      <c r="BB29" s="40" t="str">
        <f t="shared" ca="1" si="17"/>
        <v/>
      </c>
      <c r="BC29" s="40" t="str">
        <f t="shared" ca="1" si="17"/>
        <v/>
      </c>
      <c r="BD29" s="40">
        <f t="shared" ca="1" si="17"/>
        <v>2500</v>
      </c>
      <c r="BE29" s="40" t="str">
        <f t="shared" ca="1" si="17"/>
        <v/>
      </c>
      <c r="BF29" s="40" t="str">
        <f t="shared" ca="1" si="17"/>
        <v/>
      </c>
      <c r="BG29" s="40" t="str">
        <f t="shared" ca="1" si="17"/>
        <v/>
      </c>
      <c r="BH29" s="40" t="str">
        <f t="shared" ca="1" si="17"/>
        <v/>
      </c>
      <c r="BI29" s="41" t="str">
        <f t="shared" ca="1" si="17"/>
        <v/>
      </c>
      <c r="BJ29" s="40" t="str">
        <f t="shared" ca="1" si="17"/>
        <v/>
      </c>
      <c r="BK29" s="40" t="str">
        <f t="shared" ca="1" si="17"/>
        <v/>
      </c>
      <c r="BL29" s="40" t="str">
        <f t="shared" ca="1" si="17"/>
        <v/>
      </c>
      <c r="BM29" s="40" t="str">
        <f t="shared" ca="1" si="17"/>
        <v/>
      </c>
      <c r="BN29" s="40" t="str">
        <f t="shared" ca="1" si="17"/>
        <v/>
      </c>
      <c r="BO29" s="40" t="str">
        <f t="shared" ca="1" si="17"/>
        <v/>
      </c>
      <c r="BP29" s="40" t="str">
        <f t="shared" ca="1" si="13"/>
        <v/>
      </c>
      <c r="BQ29" s="41" t="str">
        <f t="shared" ca="1" si="5"/>
        <v/>
      </c>
    </row>
    <row r="30" spans="1:69" x14ac:dyDescent="0.2">
      <c r="A30" s="18">
        <f t="shared" si="6"/>
        <v>29</v>
      </c>
      <c r="B30" s="77">
        <f t="shared" si="12"/>
        <v>24</v>
      </c>
      <c r="C30" s="92">
        <f t="shared" ca="1" si="18"/>
        <v>45107</v>
      </c>
      <c r="D30" s="93" t="str">
        <f t="shared" ca="1" si="18"/>
        <v>P21</v>
      </c>
      <c r="E30" s="94" t="str">
        <f t="shared" ca="1" si="18"/>
        <v>Výdaj za aktivity mládeže - vlastní náklady (X)</v>
      </c>
      <c r="F30" s="95" t="str">
        <f t="shared" ca="1" si="18"/>
        <v>Nedaňový</v>
      </c>
      <c r="G30" s="96">
        <f t="shared" ca="1" si="18"/>
        <v>10</v>
      </c>
      <c r="H30" s="95" t="str">
        <f t="shared" ca="1" si="18"/>
        <v>Hlavní</v>
      </c>
      <c r="I30" s="476" t="str">
        <f t="shared" ca="1" si="18"/>
        <v>V Služby</v>
      </c>
      <c r="J30" s="42">
        <f t="shared" si="8"/>
        <v>24</v>
      </c>
      <c r="K30" s="39">
        <f t="shared" ca="1" si="14"/>
        <v>0</v>
      </c>
      <c r="L30" s="40">
        <f t="shared" ca="1" si="14"/>
        <v>1100</v>
      </c>
      <c r="M30" s="41">
        <f t="shared" ca="1" si="14"/>
        <v>3100</v>
      </c>
      <c r="N30" s="282">
        <f t="shared" ca="1" si="14"/>
        <v>0</v>
      </c>
      <c r="O30" s="283">
        <f t="shared" ca="1" si="14"/>
        <v>0</v>
      </c>
      <c r="P30" s="284">
        <f t="shared" ca="1" si="14"/>
        <v>6000</v>
      </c>
      <c r="Q30" s="282">
        <f t="shared" ca="1" si="14"/>
        <v>0</v>
      </c>
      <c r="R30" s="283">
        <f t="shared" ca="1" si="14"/>
        <v>0</v>
      </c>
      <c r="S30" s="284">
        <f t="shared" ca="1" si="14"/>
        <v>0</v>
      </c>
      <c r="T30" s="282">
        <f t="shared" ca="1" si="14"/>
        <v>0</v>
      </c>
      <c r="U30" s="283">
        <f t="shared" ca="1" si="14"/>
        <v>0</v>
      </c>
      <c r="V30" s="284">
        <f t="shared" ca="1" si="14"/>
        <v>0</v>
      </c>
      <c r="W30" s="485">
        <f t="shared" ca="1" si="14"/>
        <v>0</v>
      </c>
      <c r="X30" s="42">
        <f t="shared" si="9"/>
        <v>24</v>
      </c>
      <c r="Y30" s="39" t="str">
        <f t="shared" ca="1" si="15"/>
        <v/>
      </c>
      <c r="Z30" s="41" t="str">
        <f t="shared" ca="1" si="15"/>
        <v/>
      </c>
      <c r="AA30" s="39" t="str">
        <f t="shared" ca="1" si="15"/>
        <v/>
      </c>
      <c r="AB30" s="41" t="str">
        <f t="shared" ca="1" si="15"/>
        <v/>
      </c>
      <c r="AC30" s="39" t="str">
        <f t="shared" ca="1" si="15"/>
        <v/>
      </c>
      <c r="AD30" s="40" t="str">
        <f t="shared" ca="1" si="15"/>
        <v/>
      </c>
      <c r="AE30" s="40" t="str">
        <f t="shared" ca="1" si="15"/>
        <v/>
      </c>
      <c r="AF30" s="40" t="str">
        <f t="shared" ca="1" si="15"/>
        <v/>
      </c>
      <c r="AG30" s="40" t="str">
        <f t="shared" ca="1" si="15"/>
        <v/>
      </c>
      <c r="AH30" s="40" t="str">
        <f t="shared" ca="1" si="15"/>
        <v/>
      </c>
      <c r="AI30" s="41" t="str">
        <f t="shared" ca="1" si="15"/>
        <v/>
      </c>
      <c r="AJ30" s="39">
        <f t="shared" ca="1" si="15"/>
        <v>1100</v>
      </c>
      <c r="AK30" s="40" t="str">
        <f t="shared" ca="1" si="15"/>
        <v/>
      </c>
      <c r="AL30" s="40" t="str">
        <f t="shared" ca="1" si="15"/>
        <v/>
      </c>
      <c r="AM30" s="41" t="str">
        <f t="shared" ca="1" si="15"/>
        <v/>
      </c>
      <c r="AN30" s="42">
        <f t="shared" si="10"/>
        <v>24</v>
      </c>
      <c r="AO30" s="39" t="str">
        <f t="shared" ca="1" si="16"/>
        <v/>
      </c>
      <c r="AP30" s="40" t="str">
        <f t="shared" ca="1" si="16"/>
        <v/>
      </c>
      <c r="AQ30" s="40" t="str">
        <f t="shared" ca="1" si="16"/>
        <v/>
      </c>
      <c r="AR30" s="40" t="str">
        <f t="shared" ca="1" si="16"/>
        <v/>
      </c>
      <c r="AS30" s="40" t="str">
        <f t="shared" ca="1" si="16"/>
        <v/>
      </c>
      <c r="AT30" s="40" t="str">
        <f t="shared" ca="1" si="16"/>
        <v/>
      </c>
      <c r="AU30" s="40" t="str">
        <f t="shared" ca="1" si="16"/>
        <v/>
      </c>
      <c r="AV30" s="41" t="str">
        <f t="shared" ca="1" si="16"/>
        <v/>
      </c>
      <c r="AW30" s="40" t="str">
        <f t="shared" ca="1" si="16"/>
        <v/>
      </c>
      <c r="AX30" s="40" t="str">
        <f t="shared" ca="1" si="16"/>
        <v/>
      </c>
      <c r="AY30" s="41" t="str">
        <f t="shared" ca="1" si="16"/>
        <v/>
      </c>
      <c r="AZ30" s="42">
        <f t="shared" si="11"/>
        <v>24</v>
      </c>
      <c r="BA30" s="39" t="str">
        <f t="shared" ca="1" si="17"/>
        <v/>
      </c>
      <c r="BB30" s="40" t="str">
        <f t="shared" ca="1" si="17"/>
        <v/>
      </c>
      <c r="BC30" s="40" t="str">
        <f t="shared" ca="1" si="17"/>
        <v/>
      </c>
      <c r="BD30" s="40">
        <f t="shared" ca="1" si="17"/>
        <v>1100</v>
      </c>
      <c r="BE30" s="40" t="str">
        <f t="shared" ca="1" si="17"/>
        <v/>
      </c>
      <c r="BF30" s="40" t="str">
        <f t="shared" ca="1" si="17"/>
        <v/>
      </c>
      <c r="BG30" s="40" t="str">
        <f t="shared" ca="1" si="17"/>
        <v/>
      </c>
      <c r="BH30" s="40" t="str">
        <f t="shared" ca="1" si="17"/>
        <v/>
      </c>
      <c r="BI30" s="41" t="str">
        <f t="shared" ca="1" si="17"/>
        <v/>
      </c>
      <c r="BJ30" s="40" t="str">
        <f t="shared" ca="1" si="17"/>
        <v/>
      </c>
      <c r="BK30" s="40" t="str">
        <f t="shared" ca="1" si="17"/>
        <v/>
      </c>
      <c r="BL30" s="40" t="str">
        <f t="shared" ca="1" si="17"/>
        <v/>
      </c>
      <c r="BM30" s="40" t="str">
        <f t="shared" ca="1" si="17"/>
        <v/>
      </c>
      <c r="BN30" s="40" t="str">
        <f t="shared" ca="1" si="17"/>
        <v/>
      </c>
      <c r="BO30" s="40" t="str">
        <f t="shared" ca="1" si="17"/>
        <v/>
      </c>
      <c r="BP30" s="40" t="str">
        <f t="shared" ca="1" si="13"/>
        <v/>
      </c>
      <c r="BQ30" s="41" t="str">
        <f t="shared" ca="1" si="5"/>
        <v/>
      </c>
    </row>
    <row r="31" spans="1:69" x14ac:dyDescent="0.2">
      <c r="A31" s="18">
        <f t="shared" si="6"/>
        <v>30</v>
      </c>
      <c r="B31" s="77">
        <f t="shared" si="12"/>
        <v>25</v>
      </c>
      <c r="C31" s="92">
        <f t="shared" ca="1" si="18"/>
        <v>45184</v>
      </c>
      <c r="D31" s="93" t="str">
        <f t="shared" ca="1" si="18"/>
        <v>B4</v>
      </c>
      <c r="E31" s="94" t="str">
        <f t="shared" ca="1" si="18"/>
        <v>Has.zboží - nákup označení na uniformy (Z4)</v>
      </c>
      <c r="F31" s="95" t="str">
        <f t="shared" ca="1" si="18"/>
        <v>Daňový</v>
      </c>
      <c r="G31" s="96">
        <f t="shared" ca="1" si="18"/>
        <v>10</v>
      </c>
      <c r="H31" s="95" t="str">
        <f t="shared" ca="1" si="18"/>
        <v>Hlavní</v>
      </c>
      <c r="I31" s="476" t="str">
        <f t="shared" ca="1" si="18"/>
        <v>V Zboží</v>
      </c>
      <c r="J31" s="42">
        <f t="shared" si="8"/>
        <v>25</v>
      </c>
      <c r="K31" s="39">
        <f t="shared" ca="1" si="14"/>
        <v>0</v>
      </c>
      <c r="L31" s="40">
        <f t="shared" ca="1" si="14"/>
        <v>0</v>
      </c>
      <c r="M31" s="41">
        <f t="shared" ca="1" si="14"/>
        <v>3100</v>
      </c>
      <c r="N31" s="282">
        <f t="shared" ca="1" si="14"/>
        <v>0</v>
      </c>
      <c r="O31" s="283">
        <f t="shared" ca="1" si="14"/>
        <v>500.5</v>
      </c>
      <c r="P31" s="284">
        <f t="shared" ca="1" si="14"/>
        <v>5499.5</v>
      </c>
      <c r="Q31" s="282">
        <f t="shared" ca="1" si="14"/>
        <v>0</v>
      </c>
      <c r="R31" s="283">
        <f t="shared" ca="1" si="14"/>
        <v>0</v>
      </c>
      <c r="S31" s="284">
        <f t="shared" ca="1" si="14"/>
        <v>0</v>
      </c>
      <c r="T31" s="282">
        <f t="shared" ca="1" si="14"/>
        <v>0</v>
      </c>
      <c r="U31" s="283">
        <f t="shared" ca="1" si="14"/>
        <v>0</v>
      </c>
      <c r="V31" s="284">
        <f t="shared" ca="1" si="14"/>
        <v>0</v>
      </c>
      <c r="W31" s="485">
        <f t="shared" ca="1" si="14"/>
        <v>0</v>
      </c>
      <c r="X31" s="42">
        <f t="shared" si="9"/>
        <v>25</v>
      </c>
      <c r="Y31" s="39" t="str">
        <f t="shared" ca="1" si="15"/>
        <v/>
      </c>
      <c r="Z31" s="41" t="str">
        <f t="shared" ca="1" si="15"/>
        <v/>
      </c>
      <c r="AA31" s="39">
        <f t="shared" ca="1" si="15"/>
        <v>500.5</v>
      </c>
      <c r="AB31" s="41" t="str">
        <f t="shared" ca="1" si="15"/>
        <v/>
      </c>
      <c r="AC31" s="39" t="str">
        <f t="shared" ca="1" si="15"/>
        <v/>
      </c>
      <c r="AD31" s="40" t="str">
        <f t="shared" ca="1" si="15"/>
        <v/>
      </c>
      <c r="AE31" s="40" t="str">
        <f t="shared" ca="1" si="15"/>
        <v/>
      </c>
      <c r="AF31" s="40" t="str">
        <f t="shared" ca="1" si="15"/>
        <v/>
      </c>
      <c r="AG31" s="40" t="str">
        <f t="shared" ca="1" si="15"/>
        <v/>
      </c>
      <c r="AH31" s="40" t="str">
        <f t="shared" ca="1" si="15"/>
        <v/>
      </c>
      <c r="AI31" s="41" t="str">
        <f t="shared" ca="1" si="15"/>
        <v/>
      </c>
      <c r="AJ31" s="39" t="str">
        <f t="shared" ca="1" si="15"/>
        <v/>
      </c>
      <c r="AK31" s="40" t="str">
        <f t="shared" ca="1" si="15"/>
        <v/>
      </c>
      <c r="AL31" s="40" t="str">
        <f t="shared" ca="1" si="15"/>
        <v/>
      </c>
      <c r="AM31" s="41" t="str">
        <f t="shared" ca="1" si="15"/>
        <v/>
      </c>
      <c r="AN31" s="42">
        <f t="shared" si="10"/>
        <v>25</v>
      </c>
      <c r="AO31" s="39" t="str">
        <f t="shared" ca="1" si="16"/>
        <v/>
      </c>
      <c r="AP31" s="40" t="str">
        <f t="shared" ca="1" si="16"/>
        <v/>
      </c>
      <c r="AQ31" s="40" t="str">
        <f t="shared" ca="1" si="16"/>
        <v/>
      </c>
      <c r="AR31" s="40" t="str">
        <f t="shared" ca="1" si="16"/>
        <v/>
      </c>
      <c r="AS31" s="40" t="str">
        <f t="shared" ca="1" si="16"/>
        <v/>
      </c>
      <c r="AT31" s="40" t="str">
        <f t="shared" ca="1" si="16"/>
        <v/>
      </c>
      <c r="AU31" s="40" t="str">
        <f t="shared" ca="1" si="16"/>
        <v/>
      </c>
      <c r="AV31" s="41" t="str">
        <f t="shared" ca="1" si="16"/>
        <v/>
      </c>
      <c r="AW31" s="40" t="str">
        <f t="shared" ca="1" si="16"/>
        <v/>
      </c>
      <c r="AX31" s="40" t="str">
        <f t="shared" ca="1" si="16"/>
        <v/>
      </c>
      <c r="AY31" s="41" t="str">
        <f t="shared" ca="1" si="16"/>
        <v/>
      </c>
      <c r="AZ31" s="42">
        <f t="shared" si="11"/>
        <v>25</v>
      </c>
      <c r="BA31" s="39" t="str">
        <f t="shared" ca="1" si="17"/>
        <v/>
      </c>
      <c r="BB31" s="40" t="str">
        <f t="shared" ca="1" si="17"/>
        <v/>
      </c>
      <c r="BC31" s="40">
        <f t="shared" ca="1" si="17"/>
        <v>500.5</v>
      </c>
      <c r="BD31" s="40" t="str">
        <f t="shared" ca="1" si="17"/>
        <v/>
      </c>
      <c r="BE31" s="40" t="str">
        <f t="shared" ca="1" si="17"/>
        <v/>
      </c>
      <c r="BF31" s="40" t="str">
        <f t="shared" ca="1" si="17"/>
        <v/>
      </c>
      <c r="BG31" s="40" t="str">
        <f t="shared" ca="1" si="17"/>
        <v/>
      </c>
      <c r="BH31" s="40" t="str">
        <f t="shared" ca="1" si="17"/>
        <v/>
      </c>
      <c r="BI31" s="41" t="str">
        <f t="shared" ca="1" si="17"/>
        <v/>
      </c>
      <c r="BJ31" s="40" t="str">
        <f t="shared" ca="1" si="17"/>
        <v/>
      </c>
      <c r="BK31" s="40" t="str">
        <f t="shared" ca="1" si="17"/>
        <v/>
      </c>
      <c r="BL31" s="40" t="str">
        <f t="shared" ca="1" si="17"/>
        <v/>
      </c>
      <c r="BM31" s="40" t="str">
        <f t="shared" ca="1" si="17"/>
        <v/>
      </c>
      <c r="BN31" s="40" t="str">
        <f t="shared" ca="1" si="17"/>
        <v/>
      </c>
      <c r="BO31" s="40" t="str">
        <f t="shared" ca="1" si="17"/>
        <v/>
      </c>
      <c r="BP31" s="40" t="str">
        <f t="shared" ca="1" si="13"/>
        <v/>
      </c>
      <c r="BQ31" s="41" t="str">
        <f t="shared" ca="1" si="5"/>
        <v/>
      </c>
    </row>
    <row r="32" spans="1:69" x14ac:dyDescent="0.2">
      <c r="A32" s="18">
        <f t="shared" si="6"/>
        <v>31</v>
      </c>
      <c r="B32" s="77">
        <f t="shared" si="12"/>
        <v>26</v>
      </c>
      <c r="C32" s="92">
        <f t="shared" ca="1" si="18"/>
        <v>45189</v>
      </c>
      <c r="D32" s="93" t="str">
        <f t="shared" ca="1" si="18"/>
        <v>P22</v>
      </c>
      <c r="E32" s="94" t="str">
        <f t="shared" ca="1" si="18"/>
        <v>Has.zboží - prodej členům (Z4)</v>
      </c>
      <c r="F32" s="95" t="str">
        <f t="shared" ca="1" si="18"/>
        <v>Daňový</v>
      </c>
      <c r="G32" s="96">
        <f t="shared" ca="1" si="18"/>
        <v>2</v>
      </c>
      <c r="H32" s="95" t="str">
        <f t="shared" ca="1" si="18"/>
        <v>Hlavní</v>
      </c>
      <c r="I32" s="476" t="str">
        <f t="shared" ca="1" si="18"/>
        <v>P Prodej zboží</v>
      </c>
      <c r="J32" s="42">
        <f t="shared" si="8"/>
        <v>26</v>
      </c>
      <c r="K32" s="39">
        <f t="shared" ca="1" si="14"/>
        <v>525</v>
      </c>
      <c r="L32" s="40">
        <f t="shared" ca="1" si="14"/>
        <v>0</v>
      </c>
      <c r="M32" s="41">
        <f t="shared" ca="1" si="14"/>
        <v>3625</v>
      </c>
      <c r="N32" s="282">
        <f t="shared" ca="1" si="14"/>
        <v>0</v>
      </c>
      <c r="O32" s="283">
        <f t="shared" ca="1" si="14"/>
        <v>0</v>
      </c>
      <c r="P32" s="284">
        <f t="shared" ca="1" si="14"/>
        <v>5499.5</v>
      </c>
      <c r="Q32" s="282">
        <f t="shared" ca="1" si="14"/>
        <v>0</v>
      </c>
      <c r="R32" s="283">
        <f t="shared" ca="1" si="14"/>
        <v>0</v>
      </c>
      <c r="S32" s="284">
        <f t="shared" ca="1" si="14"/>
        <v>0</v>
      </c>
      <c r="T32" s="282">
        <f t="shared" ca="1" si="14"/>
        <v>0</v>
      </c>
      <c r="U32" s="283">
        <f t="shared" ca="1" si="14"/>
        <v>0</v>
      </c>
      <c r="V32" s="284">
        <f t="shared" ca="1" si="14"/>
        <v>0</v>
      </c>
      <c r="W32" s="485">
        <f t="shared" ca="1" si="14"/>
        <v>0</v>
      </c>
      <c r="X32" s="42">
        <f t="shared" si="9"/>
        <v>26</v>
      </c>
      <c r="Y32" s="39">
        <f t="shared" ca="1" si="15"/>
        <v>525</v>
      </c>
      <c r="Z32" s="41" t="str">
        <f t="shared" ca="1" si="15"/>
        <v/>
      </c>
      <c r="AA32" s="39" t="str">
        <f t="shared" ca="1" si="15"/>
        <v/>
      </c>
      <c r="AB32" s="41" t="str">
        <f t="shared" ca="1" si="15"/>
        <v/>
      </c>
      <c r="AC32" s="39" t="str">
        <f t="shared" ca="1" si="15"/>
        <v/>
      </c>
      <c r="AD32" s="40" t="str">
        <f t="shared" ca="1" si="15"/>
        <v/>
      </c>
      <c r="AE32" s="40" t="str">
        <f t="shared" ca="1" si="15"/>
        <v/>
      </c>
      <c r="AF32" s="40" t="str">
        <f t="shared" ca="1" si="15"/>
        <v/>
      </c>
      <c r="AG32" s="40" t="str">
        <f t="shared" ca="1" si="15"/>
        <v/>
      </c>
      <c r="AH32" s="40" t="str">
        <f t="shared" ca="1" si="15"/>
        <v/>
      </c>
      <c r="AI32" s="41" t="str">
        <f t="shared" ca="1" si="15"/>
        <v/>
      </c>
      <c r="AJ32" s="39" t="str">
        <f t="shared" ca="1" si="15"/>
        <v/>
      </c>
      <c r="AK32" s="40" t="str">
        <f t="shared" ca="1" si="15"/>
        <v/>
      </c>
      <c r="AL32" s="40" t="str">
        <f t="shared" ca="1" si="15"/>
        <v/>
      </c>
      <c r="AM32" s="41" t="str">
        <f t="shared" ca="1" si="15"/>
        <v/>
      </c>
      <c r="AN32" s="42">
        <f t="shared" si="10"/>
        <v>26</v>
      </c>
      <c r="AO32" s="39">
        <f t="shared" ca="1" si="16"/>
        <v>525</v>
      </c>
      <c r="AP32" s="40" t="str">
        <f t="shared" ca="1" si="16"/>
        <v/>
      </c>
      <c r="AQ32" s="40" t="str">
        <f t="shared" ca="1" si="16"/>
        <v/>
      </c>
      <c r="AR32" s="40" t="str">
        <f t="shared" ca="1" si="16"/>
        <v/>
      </c>
      <c r="AS32" s="40" t="str">
        <f t="shared" ca="1" si="16"/>
        <v/>
      </c>
      <c r="AT32" s="40" t="str">
        <f t="shared" ca="1" si="16"/>
        <v/>
      </c>
      <c r="AU32" s="40" t="str">
        <f t="shared" ca="1" si="16"/>
        <v/>
      </c>
      <c r="AV32" s="41" t="str">
        <f t="shared" ca="1" si="16"/>
        <v/>
      </c>
      <c r="AW32" s="40" t="str">
        <f t="shared" ca="1" si="16"/>
        <v/>
      </c>
      <c r="AX32" s="40" t="str">
        <f t="shared" ca="1" si="16"/>
        <v/>
      </c>
      <c r="AY32" s="41" t="str">
        <f t="shared" ca="1" si="16"/>
        <v/>
      </c>
      <c r="AZ32" s="42">
        <f t="shared" si="11"/>
        <v>26</v>
      </c>
      <c r="BA32" s="39" t="str">
        <f t="shared" ca="1" si="17"/>
        <v/>
      </c>
      <c r="BB32" s="40" t="str">
        <f t="shared" ca="1" si="17"/>
        <v/>
      </c>
      <c r="BC32" s="40" t="str">
        <f t="shared" ca="1" si="17"/>
        <v/>
      </c>
      <c r="BD32" s="40" t="str">
        <f t="shared" ca="1" si="17"/>
        <v/>
      </c>
      <c r="BE32" s="40" t="str">
        <f t="shared" ca="1" si="17"/>
        <v/>
      </c>
      <c r="BF32" s="40" t="str">
        <f t="shared" ca="1" si="17"/>
        <v/>
      </c>
      <c r="BG32" s="40" t="str">
        <f t="shared" ca="1" si="17"/>
        <v/>
      </c>
      <c r="BH32" s="40" t="str">
        <f t="shared" ca="1" si="17"/>
        <v/>
      </c>
      <c r="BI32" s="41" t="str">
        <f t="shared" ca="1" si="17"/>
        <v/>
      </c>
      <c r="BJ32" s="40" t="str">
        <f t="shared" ca="1" si="17"/>
        <v/>
      </c>
      <c r="BK32" s="40" t="str">
        <f t="shared" ca="1" si="17"/>
        <v/>
      </c>
      <c r="BL32" s="40" t="str">
        <f t="shared" ca="1" si="17"/>
        <v/>
      </c>
      <c r="BM32" s="40" t="str">
        <f t="shared" ca="1" si="17"/>
        <v/>
      </c>
      <c r="BN32" s="40" t="str">
        <f t="shared" ca="1" si="17"/>
        <v/>
      </c>
      <c r="BO32" s="40" t="str">
        <f t="shared" ca="1" si="17"/>
        <v/>
      </c>
      <c r="BP32" s="40" t="str">
        <f t="shared" ca="1" si="13"/>
        <v/>
      </c>
      <c r="BQ32" s="41" t="str">
        <f t="shared" ca="1" si="5"/>
        <v/>
      </c>
    </row>
    <row r="33" spans="1:69" x14ac:dyDescent="0.2">
      <c r="A33" s="18">
        <f t="shared" si="6"/>
        <v>32</v>
      </c>
      <c r="B33" s="77">
        <f t="shared" si="12"/>
        <v>27</v>
      </c>
      <c r="C33" s="92">
        <f t="shared" ca="1" si="18"/>
        <v>45230</v>
      </c>
      <c r="D33" s="93" t="str">
        <f t="shared" ca="1" si="18"/>
        <v>B5</v>
      </c>
      <c r="E33" s="94" t="str">
        <f t="shared" ca="1" si="18"/>
        <v>Sponzorský dar (X)</v>
      </c>
      <c r="F33" s="95" t="str">
        <f t="shared" ca="1" si="18"/>
        <v>Osvobozený příjem</v>
      </c>
      <c r="G33" s="96">
        <f t="shared" ca="1" si="18"/>
        <v>6</v>
      </c>
      <c r="H33" s="95" t="str">
        <f t="shared" ca="1" si="18"/>
        <v>Hlavní</v>
      </c>
      <c r="I33" s="476" t="str">
        <f t="shared" ca="1" si="18"/>
        <v>P Přijaté peněžní dary mimo veřejné sbírky</v>
      </c>
      <c r="J33" s="42">
        <f t="shared" si="8"/>
        <v>27</v>
      </c>
      <c r="K33" s="39">
        <f t="shared" ca="1" si="14"/>
        <v>0</v>
      </c>
      <c r="L33" s="40">
        <f t="shared" ca="1" si="14"/>
        <v>0</v>
      </c>
      <c r="M33" s="41">
        <f t="shared" ca="1" si="14"/>
        <v>3625</v>
      </c>
      <c r="N33" s="282">
        <f t="shared" ca="1" si="14"/>
        <v>3000.5</v>
      </c>
      <c r="O33" s="283">
        <f t="shared" ca="1" si="14"/>
        <v>0</v>
      </c>
      <c r="P33" s="284">
        <f t="shared" ca="1" si="14"/>
        <v>8500</v>
      </c>
      <c r="Q33" s="282">
        <f t="shared" ca="1" si="14"/>
        <v>0</v>
      </c>
      <c r="R33" s="283">
        <f t="shared" ca="1" si="14"/>
        <v>0</v>
      </c>
      <c r="S33" s="284">
        <f t="shared" ca="1" si="14"/>
        <v>0</v>
      </c>
      <c r="T33" s="282">
        <f t="shared" ca="1" si="14"/>
        <v>0</v>
      </c>
      <c r="U33" s="283">
        <f t="shared" ca="1" si="14"/>
        <v>0</v>
      </c>
      <c r="V33" s="284">
        <f t="shared" ca="1" si="14"/>
        <v>0</v>
      </c>
      <c r="W33" s="485">
        <f t="shared" ca="1" si="14"/>
        <v>0</v>
      </c>
      <c r="X33" s="42">
        <f t="shared" si="9"/>
        <v>27</v>
      </c>
      <c r="Y33" s="39" t="str">
        <f t="shared" ca="1" si="15"/>
        <v/>
      </c>
      <c r="Z33" s="41" t="str">
        <f t="shared" ca="1" si="15"/>
        <v/>
      </c>
      <c r="AA33" s="39" t="str">
        <f t="shared" ca="1" si="15"/>
        <v/>
      </c>
      <c r="AB33" s="41" t="str">
        <f t="shared" ca="1" si="15"/>
        <v/>
      </c>
      <c r="AC33" s="39" t="str">
        <f t="shared" ca="1" si="15"/>
        <v/>
      </c>
      <c r="AD33" s="40" t="str">
        <f t="shared" ca="1" si="15"/>
        <v/>
      </c>
      <c r="AE33" s="40" t="str">
        <f t="shared" ca="1" si="15"/>
        <v/>
      </c>
      <c r="AF33" s="40" t="str">
        <f t="shared" ca="1" si="15"/>
        <v/>
      </c>
      <c r="AG33" s="40" t="str">
        <f t="shared" ca="1" si="15"/>
        <v/>
      </c>
      <c r="AH33" s="40">
        <f t="shared" ca="1" si="15"/>
        <v>3000.5</v>
      </c>
      <c r="AI33" s="41" t="str">
        <f t="shared" ca="1" si="15"/>
        <v/>
      </c>
      <c r="AJ33" s="39" t="str">
        <f t="shared" ca="1" si="15"/>
        <v/>
      </c>
      <c r="AK33" s="40" t="str">
        <f t="shared" ca="1" si="15"/>
        <v/>
      </c>
      <c r="AL33" s="40" t="str">
        <f t="shared" ca="1" si="15"/>
        <v/>
      </c>
      <c r="AM33" s="41" t="str">
        <f t="shared" ca="1" si="15"/>
        <v/>
      </c>
      <c r="AN33" s="42">
        <f t="shared" si="10"/>
        <v>27</v>
      </c>
      <c r="AO33" s="39" t="str">
        <f t="shared" ca="1" si="16"/>
        <v/>
      </c>
      <c r="AP33" s="40" t="str">
        <f t="shared" ca="1" si="16"/>
        <v/>
      </c>
      <c r="AQ33" s="40" t="str">
        <f t="shared" ca="1" si="16"/>
        <v/>
      </c>
      <c r="AR33" s="40">
        <f t="shared" ca="1" si="16"/>
        <v>3000.5</v>
      </c>
      <c r="AS33" s="40" t="str">
        <f t="shared" ca="1" si="16"/>
        <v/>
      </c>
      <c r="AT33" s="40" t="str">
        <f t="shared" ca="1" si="16"/>
        <v/>
      </c>
      <c r="AU33" s="40" t="str">
        <f t="shared" ca="1" si="16"/>
        <v/>
      </c>
      <c r="AV33" s="41" t="str">
        <f t="shared" ca="1" si="16"/>
        <v/>
      </c>
      <c r="AW33" s="40" t="str">
        <f t="shared" ca="1" si="16"/>
        <v/>
      </c>
      <c r="AX33" s="40" t="str">
        <f t="shared" ca="1" si="16"/>
        <v/>
      </c>
      <c r="AY33" s="41" t="str">
        <f t="shared" ca="1" si="16"/>
        <v/>
      </c>
      <c r="AZ33" s="42">
        <f t="shared" si="11"/>
        <v>27</v>
      </c>
      <c r="BA33" s="39" t="str">
        <f t="shared" ca="1" si="17"/>
        <v/>
      </c>
      <c r="BB33" s="40" t="str">
        <f t="shared" ca="1" si="17"/>
        <v/>
      </c>
      <c r="BC33" s="40" t="str">
        <f t="shared" ca="1" si="17"/>
        <v/>
      </c>
      <c r="BD33" s="40" t="str">
        <f t="shared" ca="1" si="17"/>
        <v/>
      </c>
      <c r="BE33" s="40" t="str">
        <f t="shared" ca="1" si="17"/>
        <v/>
      </c>
      <c r="BF33" s="40" t="str">
        <f t="shared" ca="1" si="17"/>
        <v/>
      </c>
      <c r="BG33" s="40" t="str">
        <f t="shared" ca="1" si="17"/>
        <v/>
      </c>
      <c r="BH33" s="40" t="str">
        <f t="shared" ca="1" si="17"/>
        <v/>
      </c>
      <c r="BI33" s="41" t="str">
        <f t="shared" ca="1" si="17"/>
        <v/>
      </c>
      <c r="BJ33" s="40" t="str">
        <f t="shared" ca="1" si="17"/>
        <v/>
      </c>
      <c r="BK33" s="40" t="str">
        <f t="shared" ca="1" si="17"/>
        <v/>
      </c>
      <c r="BL33" s="40" t="str">
        <f t="shared" ca="1" si="17"/>
        <v/>
      </c>
      <c r="BM33" s="40" t="str">
        <f t="shared" ca="1" si="17"/>
        <v/>
      </c>
      <c r="BN33" s="40" t="str">
        <f t="shared" ca="1" si="17"/>
        <v/>
      </c>
      <c r="BO33" s="40" t="str">
        <f t="shared" ca="1" si="17"/>
        <v/>
      </c>
      <c r="BP33" s="40" t="str">
        <f t="shared" ca="1" si="13"/>
        <v/>
      </c>
      <c r="BQ33" s="41" t="str">
        <f t="shared" ca="1" si="5"/>
        <v/>
      </c>
    </row>
    <row r="34" spans="1:69" x14ac:dyDescent="0.2">
      <c r="A34" s="18">
        <f t="shared" si="6"/>
        <v>33</v>
      </c>
      <c r="B34" s="77">
        <f t="shared" si="12"/>
        <v>28</v>
      </c>
      <c r="C34" s="92">
        <f t="shared" ca="1" si="18"/>
        <v>45245</v>
      </c>
      <c r="D34" s="93" t="str">
        <f t="shared" ca="1" si="18"/>
        <v>P23</v>
      </c>
      <c r="E34" s="94" t="str">
        <f t="shared" ca="1" si="18"/>
        <v>Kancelářské potřeby (X)</v>
      </c>
      <c r="F34" s="95" t="str">
        <f t="shared" ca="1" si="18"/>
        <v>Nedaňový</v>
      </c>
      <c r="G34" s="96">
        <f t="shared" ca="1" si="18"/>
        <v>10</v>
      </c>
      <c r="H34" s="95" t="str">
        <f t="shared" ca="1" si="18"/>
        <v>Hlavní</v>
      </c>
      <c r="I34" s="476" t="str">
        <f t="shared" ca="1" si="18"/>
        <v>V Materiál</v>
      </c>
      <c r="J34" s="42">
        <f t="shared" si="8"/>
        <v>28</v>
      </c>
      <c r="K34" s="39">
        <f t="shared" ca="1" si="14"/>
        <v>0</v>
      </c>
      <c r="L34" s="40">
        <f t="shared" ca="1" si="14"/>
        <v>150</v>
      </c>
      <c r="M34" s="41">
        <f t="shared" ca="1" si="14"/>
        <v>3475</v>
      </c>
      <c r="N34" s="282">
        <f t="shared" ca="1" si="14"/>
        <v>0</v>
      </c>
      <c r="O34" s="283">
        <f t="shared" ca="1" si="14"/>
        <v>0</v>
      </c>
      <c r="P34" s="284">
        <f t="shared" ca="1" si="14"/>
        <v>8500</v>
      </c>
      <c r="Q34" s="282">
        <f t="shared" ca="1" si="14"/>
        <v>0</v>
      </c>
      <c r="R34" s="283">
        <f t="shared" ca="1" si="14"/>
        <v>0</v>
      </c>
      <c r="S34" s="284">
        <f t="shared" ca="1" si="14"/>
        <v>0</v>
      </c>
      <c r="T34" s="282">
        <f t="shared" ca="1" si="14"/>
        <v>0</v>
      </c>
      <c r="U34" s="283">
        <f t="shared" ca="1" si="14"/>
        <v>0</v>
      </c>
      <c r="V34" s="284">
        <f t="shared" ca="1" si="14"/>
        <v>0</v>
      </c>
      <c r="W34" s="485">
        <f t="shared" ca="1" si="14"/>
        <v>0</v>
      </c>
      <c r="X34" s="42">
        <f t="shared" si="9"/>
        <v>28</v>
      </c>
      <c r="Y34" s="39" t="str">
        <f t="shared" ca="1" si="15"/>
        <v/>
      </c>
      <c r="Z34" s="41" t="str">
        <f t="shared" ca="1" si="15"/>
        <v/>
      </c>
      <c r="AA34" s="39" t="str">
        <f t="shared" ca="1" si="15"/>
        <v/>
      </c>
      <c r="AB34" s="41" t="str">
        <f t="shared" ca="1" si="15"/>
        <v/>
      </c>
      <c r="AC34" s="39" t="str">
        <f t="shared" ca="1" si="15"/>
        <v/>
      </c>
      <c r="AD34" s="40" t="str">
        <f t="shared" ca="1" si="15"/>
        <v/>
      </c>
      <c r="AE34" s="40" t="str">
        <f t="shared" ca="1" si="15"/>
        <v/>
      </c>
      <c r="AF34" s="40" t="str">
        <f t="shared" ca="1" si="15"/>
        <v/>
      </c>
      <c r="AG34" s="40" t="str">
        <f t="shared" ca="1" si="15"/>
        <v/>
      </c>
      <c r="AH34" s="40" t="str">
        <f t="shared" ca="1" si="15"/>
        <v/>
      </c>
      <c r="AI34" s="41" t="str">
        <f t="shared" ca="1" si="15"/>
        <v/>
      </c>
      <c r="AJ34" s="39">
        <f t="shared" ca="1" si="15"/>
        <v>150</v>
      </c>
      <c r="AK34" s="40" t="str">
        <f t="shared" ca="1" si="15"/>
        <v/>
      </c>
      <c r="AL34" s="40" t="str">
        <f t="shared" ca="1" si="15"/>
        <v/>
      </c>
      <c r="AM34" s="41" t="str">
        <f t="shared" ca="1" si="15"/>
        <v/>
      </c>
      <c r="AN34" s="42">
        <f t="shared" si="10"/>
        <v>28</v>
      </c>
      <c r="AO34" s="39" t="str">
        <f t="shared" ca="1" si="16"/>
        <v/>
      </c>
      <c r="AP34" s="40" t="str">
        <f t="shared" ca="1" si="16"/>
        <v/>
      </c>
      <c r="AQ34" s="40" t="str">
        <f t="shared" ca="1" si="16"/>
        <v/>
      </c>
      <c r="AR34" s="40" t="str">
        <f t="shared" ca="1" si="16"/>
        <v/>
      </c>
      <c r="AS34" s="40" t="str">
        <f t="shared" ca="1" si="16"/>
        <v/>
      </c>
      <c r="AT34" s="40" t="str">
        <f t="shared" ca="1" si="16"/>
        <v/>
      </c>
      <c r="AU34" s="40" t="str">
        <f t="shared" ca="1" si="16"/>
        <v/>
      </c>
      <c r="AV34" s="41" t="str">
        <f t="shared" ca="1" si="16"/>
        <v/>
      </c>
      <c r="AW34" s="40" t="str">
        <f t="shared" ca="1" si="16"/>
        <v/>
      </c>
      <c r="AX34" s="40" t="str">
        <f t="shared" ca="1" si="16"/>
        <v/>
      </c>
      <c r="AY34" s="41" t="str">
        <f t="shared" ca="1" si="16"/>
        <v/>
      </c>
      <c r="AZ34" s="42">
        <f t="shared" si="11"/>
        <v>28</v>
      </c>
      <c r="BA34" s="39" t="str">
        <f t="shared" ca="1" si="17"/>
        <v/>
      </c>
      <c r="BB34" s="40">
        <f t="shared" ca="1" si="17"/>
        <v>150</v>
      </c>
      <c r="BC34" s="40" t="str">
        <f t="shared" ca="1" si="17"/>
        <v/>
      </c>
      <c r="BD34" s="40" t="str">
        <f t="shared" ca="1" si="17"/>
        <v/>
      </c>
      <c r="BE34" s="40" t="str">
        <f t="shared" ca="1" si="17"/>
        <v/>
      </c>
      <c r="BF34" s="40" t="str">
        <f t="shared" ca="1" si="17"/>
        <v/>
      </c>
      <c r="BG34" s="40" t="str">
        <f t="shared" ca="1" si="17"/>
        <v/>
      </c>
      <c r="BH34" s="40" t="str">
        <f t="shared" ca="1" si="17"/>
        <v/>
      </c>
      <c r="BI34" s="41" t="str">
        <f t="shared" ca="1" si="17"/>
        <v/>
      </c>
      <c r="BJ34" s="40" t="str">
        <f t="shared" ca="1" si="17"/>
        <v/>
      </c>
      <c r="BK34" s="40" t="str">
        <f t="shared" ca="1" si="17"/>
        <v/>
      </c>
      <c r="BL34" s="40" t="str">
        <f t="shared" ca="1" si="17"/>
        <v/>
      </c>
      <c r="BM34" s="40" t="str">
        <f t="shared" ca="1" si="17"/>
        <v/>
      </c>
      <c r="BN34" s="40" t="str">
        <f t="shared" ca="1" si="17"/>
        <v/>
      </c>
      <c r="BO34" s="40" t="str">
        <f t="shared" ca="1" si="17"/>
        <v/>
      </c>
      <c r="BP34" s="40" t="str">
        <f t="shared" ca="1" si="13"/>
        <v/>
      </c>
      <c r="BQ34" s="41" t="str">
        <f t="shared" ca="1" si="5"/>
        <v/>
      </c>
    </row>
    <row r="35" spans="1:69" x14ac:dyDescent="0.2">
      <c r="A35" s="18">
        <f t="shared" si="6"/>
        <v>34</v>
      </c>
      <c r="B35" s="77">
        <f t="shared" si="12"/>
        <v>29</v>
      </c>
      <c r="C35" s="92">
        <f t="shared" ca="1" si="18"/>
        <v>45250</v>
      </c>
      <c r="D35" s="93" t="str">
        <f t="shared" ca="1" si="18"/>
        <v>P24</v>
      </c>
      <c r="E35" s="94" t="str">
        <f t="shared" ca="1" si="18"/>
        <v>Příjem za zapůjčení (pronájem) čerpadla</v>
      </c>
      <c r="F35" s="95" t="str">
        <f t="shared" ca="1" si="18"/>
        <v>Daňový</v>
      </c>
      <c r="G35" s="96">
        <f t="shared" ca="1" si="18"/>
        <v>1</v>
      </c>
      <c r="H35" s="95" t="str">
        <f t="shared" ca="1" si="18"/>
        <v>Vedlejší (hospodářská)</v>
      </c>
      <c r="I35" s="476" t="str">
        <f t="shared" ca="1" si="18"/>
        <v>P Prodej výrobků a služeb</v>
      </c>
      <c r="J35" s="42">
        <f t="shared" si="8"/>
        <v>29</v>
      </c>
      <c r="K35" s="39">
        <f t="shared" ca="1" si="14"/>
        <v>1000</v>
      </c>
      <c r="L35" s="40">
        <f t="shared" ca="1" si="14"/>
        <v>0</v>
      </c>
      <c r="M35" s="41">
        <f t="shared" ca="1" si="14"/>
        <v>4475</v>
      </c>
      <c r="N35" s="282">
        <f t="shared" ca="1" si="14"/>
        <v>0</v>
      </c>
      <c r="O35" s="283">
        <f t="shared" ca="1" si="14"/>
        <v>0</v>
      </c>
      <c r="P35" s="284">
        <f t="shared" ca="1" si="14"/>
        <v>8500</v>
      </c>
      <c r="Q35" s="282">
        <f t="shared" ca="1" si="14"/>
        <v>0</v>
      </c>
      <c r="R35" s="283">
        <f t="shared" ca="1" si="14"/>
        <v>0</v>
      </c>
      <c r="S35" s="284">
        <f t="shared" ca="1" si="14"/>
        <v>0</v>
      </c>
      <c r="T35" s="282">
        <f t="shared" ca="1" si="14"/>
        <v>0</v>
      </c>
      <c r="U35" s="283">
        <f t="shared" ca="1" si="14"/>
        <v>0</v>
      </c>
      <c r="V35" s="284">
        <f t="shared" ca="1" si="14"/>
        <v>0</v>
      </c>
      <c r="W35" s="485">
        <f t="shared" ca="1" si="14"/>
        <v>0</v>
      </c>
      <c r="X35" s="42">
        <f t="shared" si="9"/>
        <v>29</v>
      </c>
      <c r="Y35" s="39" t="str">
        <f t="shared" ca="1" si="15"/>
        <v/>
      </c>
      <c r="Z35" s="41">
        <f t="shared" ca="1" si="15"/>
        <v>1000</v>
      </c>
      <c r="AA35" s="39" t="str">
        <f t="shared" ca="1" si="15"/>
        <v/>
      </c>
      <c r="AB35" s="41" t="str">
        <f t="shared" ca="1" si="15"/>
        <v/>
      </c>
      <c r="AC35" s="39" t="str">
        <f t="shared" ca="1" si="15"/>
        <v/>
      </c>
      <c r="AD35" s="40" t="str">
        <f t="shared" ca="1" si="15"/>
        <v/>
      </c>
      <c r="AE35" s="40" t="str">
        <f t="shared" ca="1" si="15"/>
        <v/>
      </c>
      <c r="AF35" s="40" t="str">
        <f t="shared" ca="1" si="15"/>
        <v/>
      </c>
      <c r="AG35" s="40" t="str">
        <f t="shared" ca="1" si="15"/>
        <v/>
      </c>
      <c r="AH35" s="40" t="str">
        <f t="shared" ca="1" si="15"/>
        <v/>
      </c>
      <c r="AI35" s="41" t="str">
        <f t="shared" ca="1" si="15"/>
        <v/>
      </c>
      <c r="AJ35" s="39" t="str">
        <f t="shared" ca="1" si="15"/>
        <v/>
      </c>
      <c r="AK35" s="40" t="str">
        <f t="shared" ca="1" si="15"/>
        <v/>
      </c>
      <c r="AL35" s="40" t="str">
        <f t="shared" ca="1" si="15"/>
        <v/>
      </c>
      <c r="AM35" s="41" t="str">
        <f t="shared" ca="1" si="15"/>
        <v/>
      </c>
      <c r="AN35" s="42">
        <f t="shared" si="10"/>
        <v>29</v>
      </c>
      <c r="AO35" s="39" t="str">
        <f t="shared" ca="1" si="16"/>
        <v/>
      </c>
      <c r="AP35" s="40" t="str">
        <f t="shared" ca="1" si="16"/>
        <v/>
      </c>
      <c r="AQ35" s="40" t="str">
        <f t="shared" ca="1" si="16"/>
        <v/>
      </c>
      <c r="AR35" s="40" t="str">
        <f t="shared" ca="1" si="16"/>
        <v/>
      </c>
      <c r="AS35" s="40" t="str">
        <f t="shared" ca="1" si="16"/>
        <v/>
      </c>
      <c r="AT35" s="40" t="str">
        <f t="shared" ca="1" si="16"/>
        <v/>
      </c>
      <c r="AU35" s="40" t="str">
        <f t="shared" ca="1" si="16"/>
        <v/>
      </c>
      <c r="AV35" s="41" t="str">
        <f t="shared" ca="1" si="16"/>
        <v/>
      </c>
      <c r="AW35" s="40" t="str">
        <f t="shared" ca="1" si="16"/>
        <v/>
      </c>
      <c r="AX35" s="40">
        <f t="shared" ca="1" si="16"/>
        <v>1000</v>
      </c>
      <c r="AY35" s="41" t="str">
        <f t="shared" ca="1" si="16"/>
        <v/>
      </c>
      <c r="AZ35" s="42">
        <f t="shared" si="11"/>
        <v>29</v>
      </c>
      <c r="BA35" s="39" t="str">
        <f t="shared" ca="1" si="17"/>
        <v/>
      </c>
      <c r="BB35" s="40" t="str">
        <f t="shared" ca="1" si="17"/>
        <v/>
      </c>
      <c r="BC35" s="40" t="str">
        <f t="shared" ca="1" si="17"/>
        <v/>
      </c>
      <c r="BD35" s="40" t="str">
        <f t="shared" ca="1" si="17"/>
        <v/>
      </c>
      <c r="BE35" s="40" t="str">
        <f t="shared" ca="1" si="17"/>
        <v/>
      </c>
      <c r="BF35" s="40" t="str">
        <f t="shared" ca="1" si="17"/>
        <v/>
      </c>
      <c r="BG35" s="40" t="str">
        <f t="shared" ca="1" si="17"/>
        <v/>
      </c>
      <c r="BH35" s="40" t="str">
        <f t="shared" ca="1" si="17"/>
        <v/>
      </c>
      <c r="BI35" s="41" t="str">
        <f t="shared" ca="1" si="17"/>
        <v/>
      </c>
      <c r="BJ35" s="40" t="str">
        <f t="shared" ca="1" si="17"/>
        <v/>
      </c>
      <c r="BK35" s="40" t="str">
        <f t="shared" ca="1" si="17"/>
        <v/>
      </c>
      <c r="BL35" s="40" t="str">
        <f t="shared" ca="1" si="17"/>
        <v/>
      </c>
      <c r="BM35" s="40" t="str">
        <f t="shared" ca="1" si="17"/>
        <v/>
      </c>
      <c r="BN35" s="40" t="str">
        <f t="shared" ca="1" si="17"/>
        <v/>
      </c>
      <c r="BO35" s="40" t="str">
        <f t="shared" ca="1" si="17"/>
        <v/>
      </c>
      <c r="BP35" s="40" t="str">
        <f t="shared" ca="1" si="13"/>
        <v/>
      </c>
      <c r="BQ35" s="41" t="str">
        <f t="shared" ca="1" si="5"/>
        <v/>
      </c>
    </row>
    <row r="36" spans="1:69" ht="13.5" thickBot="1" x14ac:dyDescent="0.25">
      <c r="A36" s="18">
        <f t="shared" si="6"/>
        <v>35</v>
      </c>
      <c r="B36" s="77">
        <f t="shared" si="12"/>
        <v>30</v>
      </c>
      <c r="C36" s="92">
        <f t="shared" ca="1" si="18"/>
        <v>45260</v>
      </c>
      <c r="D36" s="93" t="str">
        <f t="shared" ca="1" si="18"/>
        <v>B6</v>
      </c>
      <c r="E36" s="94" t="str">
        <f t="shared" ca="1" si="18"/>
        <v>Dividendy z akcií (zdaněné)</v>
      </c>
      <c r="F36" s="95" t="str">
        <f t="shared" ca="1" si="18"/>
        <v>Nedaňový</v>
      </c>
      <c r="G36" s="96">
        <f t="shared" ca="1" si="18"/>
        <v>4</v>
      </c>
      <c r="H36" s="95" t="str">
        <f t="shared" ca="1" si="18"/>
        <v>Hlavní</v>
      </c>
      <c r="I36" s="476" t="str">
        <f t="shared" ca="1" si="18"/>
        <v>P Ostatní</v>
      </c>
      <c r="J36" s="42">
        <f t="shared" si="8"/>
        <v>30</v>
      </c>
      <c r="K36" s="39">
        <f t="shared" ca="1" si="14"/>
        <v>0</v>
      </c>
      <c r="L36" s="40">
        <f t="shared" ca="1" si="14"/>
        <v>0</v>
      </c>
      <c r="M36" s="41">
        <f t="shared" ca="1" si="14"/>
        <v>4475</v>
      </c>
      <c r="N36" s="282">
        <f t="shared" ca="1" si="14"/>
        <v>50.5</v>
      </c>
      <c r="O36" s="283">
        <f t="shared" ca="1" si="14"/>
        <v>0</v>
      </c>
      <c r="P36" s="284">
        <f t="shared" ca="1" si="14"/>
        <v>8550.5</v>
      </c>
      <c r="Q36" s="282">
        <f t="shared" ca="1" si="14"/>
        <v>0</v>
      </c>
      <c r="R36" s="283">
        <f t="shared" ca="1" si="14"/>
        <v>0</v>
      </c>
      <c r="S36" s="284">
        <f t="shared" ca="1" si="14"/>
        <v>0</v>
      </c>
      <c r="T36" s="282">
        <f t="shared" ca="1" si="14"/>
        <v>0</v>
      </c>
      <c r="U36" s="283">
        <f t="shared" ca="1" si="14"/>
        <v>0</v>
      </c>
      <c r="V36" s="284">
        <f t="shared" ca="1" si="14"/>
        <v>0</v>
      </c>
      <c r="W36" s="485">
        <f t="shared" ca="1" si="14"/>
        <v>0</v>
      </c>
      <c r="X36" s="42">
        <f t="shared" si="9"/>
        <v>30</v>
      </c>
      <c r="Y36" s="39" t="str">
        <f t="shared" ca="1" si="15"/>
        <v/>
      </c>
      <c r="Z36" s="41" t="str">
        <f t="shared" ca="1" si="15"/>
        <v/>
      </c>
      <c r="AA36" s="39" t="str">
        <f t="shared" ca="1" si="15"/>
        <v/>
      </c>
      <c r="AB36" s="41" t="str">
        <f t="shared" ca="1" si="15"/>
        <v/>
      </c>
      <c r="AC36" s="39" t="str">
        <f t="shared" ca="1" si="15"/>
        <v/>
      </c>
      <c r="AD36" s="40" t="str">
        <f t="shared" ca="1" si="15"/>
        <v/>
      </c>
      <c r="AE36" s="40">
        <f t="shared" ca="1" si="15"/>
        <v>50.5</v>
      </c>
      <c r="AF36" s="40" t="str">
        <f t="shared" ca="1" si="15"/>
        <v/>
      </c>
      <c r="AG36" s="40" t="str">
        <f t="shared" ca="1" si="15"/>
        <v/>
      </c>
      <c r="AH36" s="40" t="str">
        <f t="shared" ca="1" si="15"/>
        <v/>
      </c>
      <c r="AI36" s="41" t="str">
        <f t="shared" ca="1" si="15"/>
        <v/>
      </c>
      <c r="AJ36" s="39" t="str">
        <f t="shared" ca="1" si="15"/>
        <v/>
      </c>
      <c r="AK36" s="40" t="str">
        <f t="shared" ca="1" si="15"/>
        <v/>
      </c>
      <c r="AL36" s="40" t="str">
        <f t="shared" ca="1" si="15"/>
        <v/>
      </c>
      <c r="AM36" s="41" t="str">
        <f t="shared" ca="1" si="15"/>
        <v/>
      </c>
      <c r="AN36" s="42">
        <f t="shared" si="10"/>
        <v>30</v>
      </c>
      <c r="AO36" s="39" t="str">
        <f t="shared" ca="1" si="16"/>
        <v/>
      </c>
      <c r="AP36" s="40" t="str">
        <f t="shared" ca="1" si="16"/>
        <v/>
      </c>
      <c r="AQ36" s="40" t="str">
        <f t="shared" ca="1" si="16"/>
        <v/>
      </c>
      <c r="AR36" s="40" t="str">
        <f t="shared" ca="1" si="16"/>
        <v/>
      </c>
      <c r="AS36" s="40" t="str">
        <f t="shared" ca="1" si="16"/>
        <v/>
      </c>
      <c r="AT36" s="40" t="str">
        <f t="shared" ca="1" si="16"/>
        <v/>
      </c>
      <c r="AU36" s="40">
        <f t="shared" ca="1" si="16"/>
        <v>50.5</v>
      </c>
      <c r="AV36" s="41" t="str">
        <f t="shared" ca="1" si="16"/>
        <v/>
      </c>
      <c r="AW36" s="40" t="str">
        <f t="shared" ca="1" si="16"/>
        <v/>
      </c>
      <c r="AX36" s="40" t="str">
        <f t="shared" ca="1" si="16"/>
        <v/>
      </c>
      <c r="AY36" s="41">
        <f t="shared" ca="1" si="16"/>
        <v>50.5</v>
      </c>
      <c r="AZ36" s="42">
        <f t="shared" si="11"/>
        <v>30</v>
      </c>
      <c r="BA36" s="39" t="str">
        <f t="shared" ca="1" si="17"/>
        <v/>
      </c>
      <c r="BB36" s="40" t="str">
        <f t="shared" ca="1" si="17"/>
        <v/>
      </c>
      <c r="BC36" s="40" t="str">
        <f t="shared" ca="1" si="17"/>
        <v/>
      </c>
      <c r="BD36" s="40" t="str">
        <f t="shared" ca="1" si="17"/>
        <v/>
      </c>
      <c r="BE36" s="40" t="str">
        <f t="shared" ca="1" si="17"/>
        <v/>
      </c>
      <c r="BF36" s="40" t="str">
        <f t="shared" ca="1" si="17"/>
        <v/>
      </c>
      <c r="BG36" s="40" t="str">
        <f t="shared" ca="1" si="17"/>
        <v/>
      </c>
      <c r="BH36" s="40" t="str">
        <f t="shared" ca="1" si="17"/>
        <v/>
      </c>
      <c r="BI36" s="41" t="str">
        <f t="shared" ca="1" si="17"/>
        <v/>
      </c>
      <c r="BJ36" s="40" t="str">
        <f t="shared" ca="1" si="17"/>
        <v/>
      </c>
      <c r="BK36" s="40" t="str">
        <f t="shared" ca="1" si="17"/>
        <v/>
      </c>
      <c r="BL36" s="40" t="str">
        <f t="shared" ca="1" si="17"/>
        <v/>
      </c>
      <c r="BM36" s="40" t="str">
        <f t="shared" ca="1" si="17"/>
        <v/>
      </c>
      <c r="BN36" s="40" t="str">
        <f t="shared" ca="1" si="17"/>
        <v/>
      </c>
      <c r="BO36" s="40" t="str">
        <f t="shared" ca="1" si="17"/>
        <v/>
      </c>
      <c r="BP36" s="40" t="str">
        <f t="shared" ca="1" si="13"/>
        <v/>
      </c>
      <c r="BQ36" s="41" t="str">
        <f t="shared" ca="1" si="5"/>
        <v/>
      </c>
    </row>
    <row r="37" spans="1:69" ht="13.5" customHeight="1" thickBot="1" x14ac:dyDescent="0.25">
      <c r="B37" s="31"/>
      <c r="C37" s="87"/>
      <c r="D37" s="87"/>
      <c r="E37" s="15" t="s">
        <v>109</v>
      </c>
      <c r="F37" s="15"/>
      <c r="G37" s="16"/>
      <c r="H37" s="16"/>
      <c r="I37" s="16"/>
      <c r="J37" s="483" t="s">
        <v>3414</v>
      </c>
      <c r="K37" s="28">
        <f ca="1">SUM(K7:K36)</f>
        <v>39525</v>
      </c>
      <c r="L37" s="29">
        <f ca="1">SUM(L7:L36)</f>
        <v>37050</v>
      </c>
      <c r="M37" s="30">
        <f ca="1">M6+K37-L37</f>
        <v>4475</v>
      </c>
      <c r="N37" s="285">
        <f ca="1">SUM(N7:N36)</f>
        <v>8051.5</v>
      </c>
      <c r="O37" s="286">
        <f ca="1">SUM(O7:O36)</f>
        <v>5501</v>
      </c>
      <c r="P37" s="287">
        <f ca="1">P6+N37-O37</f>
        <v>8550.5</v>
      </c>
      <c r="Q37" s="285">
        <f ca="1">SUM(Q7:Q36)</f>
        <v>0</v>
      </c>
      <c r="R37" s="286">
        <f ca="1">SUM(R7:R36)</f>
        <v>0</v>
      </c>
      <c r="S37" s="287">
        <f ca="1">S6+Q37-R37</f>
        <v>0</v>
      </c>
      <c r="T37" s="285">
        <f ca="1">SUM(T7:T36)</f>
        <v>0</v>
      </c>
      <c r="U37" s="286">
        <f ca="1">SUM(U7:U36)</f>
        <v>0</v>
      </c>
      <c r="V37" s="287">
        <f ca="1">V6+T37-U37</f>
        <v>0</v>
      </c>
      <c r="W37" s="288"/>
      <c r="X37" s="483" t="s">
        <v>3414</v>
      </c>
      <c r="Y37" s="28">
        <f t="shared" ref="Y37:AM37" ca="1" si="19">SUM(Y7:Y36)</f>
        <v>23525</v>
      </c>
      <c r="Z37" s="30">
        <f t="shared" ca="1" si="19"/>
        <v>4500</v>
      </c>
      <c r="AA37" s="28">
        <f t="shared" ca="1" si="19"/>
        <v>6300.5</v>
      </c>
      <c r="AB37" s="30">
        <f t="shared" ca="1" si="19"/>
        <v>100</v>
      </c>
      <c r="AC37" s="28">
        <f t="shared" ca="1" si="19"/>
        <v>500</v>
      </c>
      <c r="AD37" s="29">
        <f t="shared" ca="1" si="19"/>
        <v>2000</v>
      </c>
      <c r="AE37" s="29">
        <f t="shared" ca="1" si="19"/>
        <v>50.5</v>
      </c>
      <c r="AF37" s="29">
        <f t="shared" ca="1" si="19"/>
        <v>0</v>
      </c>
      <c r="AG37" s="29">
        <f t="shared" ca="1" si="19"/>
        <v>5000.5</v>
      </c>
      <c r="AH37" s="29">
        <f t="shared" ca="1" si="19"/>
        <v>3000.5</v>
      </c>
      <c r="AI37" s="30">
        <f t="shared" ca="1" si="19"/>
        <v>5000</v>
      </c>
      <c r="AJ37" s="28">
        <f t="shared" ca="1" si="19"/>
        <v>27150.5</v>
      </c>
      <c r="AK37" s="29">
        <f t="shared" ca="1" si="19"/>
        <v>0</v>
      </c>
      <c r="AL37" s="29">
        <f t="shared" ca="1" si="19"/>
        <v>5000</v>
      </c>
      <c r="AM37" s="30">
        <f t="shared" ca="1" si="19"/>
        <v>0</v>
      </c>
      <c r="AN37" s="483" t="s">
        <v>3414</v>
      </c>
      <c r="AO37" s="28">
        <f t="shared" ref="AO37:BB37" ca="1" si="20">SUM(AO7:AO36)</f>
        <v>1525</v>
      </c>
      <c r="AP37" s="29">
        <f t="shared" ref="AP37:AS37" ca="1" si="21">SUM(AP7:AP36)</f>
        <v>22500</v>
      </c>
      <c r="AQ37" s="29">
        <f t="shared" ca="1" si="21"/>
        <v>0</v>
      </c>
      <c r="AR37" s="29">
        <f t="shared" ca="1" si="21"/>
        <v>3000.5</v>
      </c>
      <c r="AS37" s="29">
        <f t="shared" ca="1" si="21"/>
        <v>2000</v>
      </c>
      <c r="AT37" s="29">
        <f t="shared" ca="1" si="20"/>
        <v>5000.5</v>
      </c>
      <c r="AU37" s="29">
        <f t="shared" ca="1" si="20"/>
        <v>5050.5</v>
      </c>
      <c r="AV37" s="30">
        <f t="shared" ref="AV37" ca="1" si="22">SUM(AV7:AV36)</f>
        <v>4000</v>
      </c>
      <c r="AW37" s="29">
        <f t="shared" ca="1" si="20"/>
        <v>0</v>
      </c>
      <c r="AX37" s="29">
        <f t="shared" ca="1" si="20"/>
        <v>4500</v>
      </c>
      <c r="AY37" s="30">
        <f t="shared" ca="1" si="20"/>
        <v>50.5</v>
      </c>
      <c r="AZ37" s="483" t="s">
        <v>3414</v>
      </c>
      <c r="BA37" s="28">
        <f t="shared" ca="1" si="20"/>
        <v>0</v>
      </c>
      <c r="BB37" s="29">
        <f t="shared" ca="1" si="20"/>
        <v>6550</v>
      </c>
      <c r="BC37" s="29">
        <f t="shared" ref="BC37:BP37" ca="1" si="23">SUM(BC7:BC36)</f>
        <v>1300.5</v>
      </c>
      <c r="BD37" s="29">
        <f t="shared" ca="1" si="23"/>
        <v>24600</v>
      </c>
      <c r="BE37" s="29">
        <f t="shared" ca="1" si="23"/>
        <v>0</v>
      </c>
      <c r="BF37" s="29">
        <f t="shared" ca="1" si="23"/>
        <v>0</v>
      </c>
      <c r="BG37" s="29">
        <f t="shared" ca="1" si="23"/>
        <v>0</v>
      </c>
      <c r="BH37" s="29">
        <f t="shared" ca="1" si="23"/>
        <v>6000.5</v>
      </c>
      <c r="BI37" s="30">
        <f t="shared" ca="1" si="23"/>
        <v>4000</v>
      </c>
      <c r="BJ37" s="29">
        <f t="shared" ca="1" si="23"/>
        <v>0</v>
      </c>
      <c r="BK37" s="29">
        <f t="shared" ca="1" si="23"/>
        <v>100</v>
      </c>
      <c r="BL37" s="29">
        <f t="shared" ca="1" si="23"/>
        <v>0</v>
      </c>
      <c r="BM37" s="29">
        <f t="shared" ca="1" si="23"/>
        <v>0</v>
      </c>
      <c r="BN37" s="29">
        <f t="shared" ca="1" si="23"/>
        <v>0</v>
      </c>
      <c r="BO37" s="29">
        <f t="shared" ca="1" si="23"/>
        <v>0</v>
      </c>
      <c r="BP37" s="29">
        <f t="shared" ca="1" si="23"/>
        <v>0</v>
      </c>
      <c r="BQ37" s="30">
        <f t="shared" ref="BQ37" ca="1" si="24">SUM(BQ7:BQ36)</f>
        <v>0</v>
      </c>
    </row>
    <row r="38" spans="1:69" ht="13.5" customHeight="1" thickBot="1" x14ac:dyDescent="0.25">
      <c r="B38" s="31"/>
      <c r="C38" s="87"/>
      <c r="D38" s="87"/>
      <c r="E38" s="15" t="s">
        <v>39</v>
      </c>
      <c r="F38" s="15"/>
      <c r="G38" s="16"/>
      <c r="H38" s="16"/>
      <c r="I38" s="16"/>
      <c r="J38" s="483" t="s">
        <v>3413</v>
      </c>
      <c r="K38" s="28">
        <f ca="1">SUM(INDIRECT("Deník!"&amp;K$1&amp;"6"):INDIRECT("Deník!"&amp;K$1&amp;$C$42*30+5))</f>
        <v>39525</v>
      </c>
      <c r="L38" s="29">
        <f ca="1">SUM(INDIRECT("Deník!"&amp;L$1&amp;"6"):INDIRECT("Deník!"&amp;L$1&amp;$C$42*30+5))</f>
        <v>37050</v>
      </c>
      <c r="M38" s="30">
        <f ca="1">Deník!K5+'Tisk deníku'!K38-'Tisk deníku'!L38</f>
        <v>4475</v>
      </c>
      <c r="N38" s="285">
        <f ca="1">SUM(INDIRECT("Deník!"&amp;N$1&amp;"6"):INDIRECT("Deník!"&amp;N$1&amp;$C$42*30+5))</f>
        <v>8051.5</v>
      </c>
      <c r="O38" s="286">
        <f ca="1">SUM(INDIRECT("Deník!"&amp;O$1&amp;"6"):INDIRECT("Deník!"&amp;O$1&amp;$C$42*30+5))</f>
        <v>5501</v>
      </c>
      <c r="P38" s="287">
        <f ca="1">Deník!N5+'Tisk deníku'!N38-'Tisk deníku'!O38</f>
        <v>8550.5</v>
      </c>
      <c r="Q38" s="285">
        <f ca="1">SUM(INDIRECT("Deník!"&amp;Q$1&amp;"6"):INDIRECT("Deník!"&amp;Q$1&amp;$C$42*30+5))</f>
        <v>0</v>
      </c>
      <c r="R38" s="286">
        <f ca="1">SUM(INDIRECT("Deník!"&amp;R$1&amp;"6"):INDIRECT("Deník!"&amp;R$1&amp;$C$42*30+5))</f>
        <v>0</v>
      </c>
      <c r="S38" s="287">
        <f ca="1">Deník!Q5+'Tisk deníku'!Q38-'Tisk deníku'!R38</f>
        <v>0</v>
      </c>
      <c r="T38" s="285">
        <f ca="1">SUM(INDIRECT("Deník!"&amp;T$1&amp;"6"):INDIRECT("Deník!"&amp;T$1&amp;$C$42*30+5))</f>
        <v>0</v>
      </c>
      <c r="U38" s="286">
        <f ca="1">SUM(INDIRECT("Deník!"&amp;U$1&amp;"6"):INDIRECT("Deník!"&amp;U$1&amp;$C$42*30+5))</f>
        <v>0</v>
      </c>
      <c r="V38" s="287">
        <f ca="1">Deník!T5+'Tisk deníku'!T38-'Tisk deníku'!U38</f>
        <v>0</v>
      </c>
      <c r="W38" s="288"/>
      <c r="X38" s="483" t="s">
        <v>3413</v>
      </c>
      <c r="Y38" s="28">
        <f ca="1">SUM(INDIRECT("Deník!"&amp;Y$1&amp;"6"):INDIRECT("Deník!"&amp;Y$1&amp;$C$42*30+5))</f>
        <v>23525</v>
      </c>
      <c r="Z38" s="30">
        <f ca="1">SUM(INDIRECT("Deník!"&amp;Z$1&amp;"6"):INDIRECT("Deník!"&amp;Z$1&amp;$C$42*30+5))</f>
        <v>4500</v>
      </c>
      <c r="AA38" s="28">
        <f ca="1">SUM(INDIRECT("Deník!"&amp;AA$1&amp;"6"):INDIRECT("Deník!"&amp;AA$1&amp;$C$42*30+5))</f>
        <v>6300.5</v>
      </c>
      <c r="AB38" s="30">
        <f ca="1">SUM(INDIRECT("Deník!"&amp;AB$1&amp;"6"):INDIRECT("Deník!"&amp;AB$1&amp;$C$42*30+5))</f>
        <v>100</v>
      </c>
      <c r="AC38" s="28">
        <f ca="1">SUM(INDIRECT("Deník!"&amp;AC$1&amp;"6"):INDIRECT("Deník!"&amp;AC$1&amp;$C$42*30+5))</f>
        <v>500</v>
      </c>
      <c r="AD38" s="29">
        <f ca="1">SUM(INDIRECT("Deník!"&amp;AD$1&amp;"6"):INDIRECT("Deník!"&amp;AD$1&amp;$C$42*30+5))</f>
        <v>2000</v>
      </c>
      <c r="AE38" s="29">
        <f ca="1">SUM(INDIRECT("Deník!"&amp;AE$1&amp;"6"):INDIRECT("Deník!"&amp;AE$1&amp;$C$42*30+5))</f>
        <v>50.5</v>
      </c>
      <c r="AF38" s="29">
        <f ca="1">SUM(INDIRECT("Deník!"&amp;AF$1&amp;"6"):INDIRECT("Deník!"&amp;AF$1&amp;$C$42*30+5))</f>
        <v>0</v>
      </c>
      <c r="AG38" s="29">
        <f ca="1">SUM(INDIRECT("Deník!"&amp;AG$1&amp;"6"):INDIRECT("Deník!"&amp;AG$1&amp;$C$42*30+5))</f>
        <v>5000.5</v>
      </c>
      <c r="AH38" s="29">
        <f ca="1">SUM(INDIRECT("Deník!"&amp;AH$1&amp;"6"):INDIRECT("Deník!"&amp;AH$1&amp;$C$42*30+5))</f>
        <v>3000.5</v>
      </c>
      <c r="AI38" s="30">
        <f ca="1">SUM(INDIRECT("Deník!"&amp;AI$1&amp;"6"):INDIRECT("Deník!"&amp;AI$1&amp;$C$42*30+5))</f>
        <v>5000</v>
      </c>
      <c r="AJ38" s="28">
        <f ca="1">SUM(INDIRECT("Deník!"&amp;AJ$1&amp;"6"):INDIRECT("Deník!"&amp;AJ$1&amp;$C$42*30+5))</f>
        <v>27150.5</v>
      </c>
      <c r="AK38" s="29">
        <f ca="1">SUM(INDIRECT("Deník!"&amp;AK$1&amp;"6"):INDIRECT("Deník!"&amp;AK$1&amp;$C$42*30+5))</f>
        <v>0</v>
      </c>
      <c r="AL38" s="29">
        <f ca="1">SUM(INDIRECT("Deník!"&amp;AL$1&amp;"6"):INDIRECT("Deník!"&amp;AL$1&amp;$C$42*30+5))</f>
        <v>5000</v>
      </c>
      <c r="AM38" s="30">
        <f ca="1">SUM(INDIRECT("Deník!"&amp;AM$1&amp;"6"):INDIRECT("Deník!"&amp;AM$1&amp;$C$42*30+5))</f>
        <v>0</v>
      </c>
      <c r="AN38" s="483" t="s">
        <v>3413</v>
      </c>
      <c r="AO38" s="28">
        <f ca="1">SUM(INDIRECT("Deník!"&amp;AO$1&amp;"6"):INDIRECT("Deník!"&amp;AO$1&amp;$C$42*30+5))</f>
        <v>1525</v>
      </c>
      <c r="AP38" s="29">
        <f ca="1">SUM(INDIRECT("Deník!"&amp;AP$1&amp;"6"):INDIRECT("Deník!"&amp;AP$1&amp;$C$42*30+5))</f>
        <v>22500</v>
      </c>
      <c r="AQ38" s="29">
        <f ca="1">SUM(INDIRECT("Deník!"&amp;AQ$1&amp;"6"):INDIRECT("Deník!"&amp;AQ$1&amp;$C$42*30+5))</f>
        <v>0</v>
      </c>
      <c r="AR38" s="29">
        <f ca="1">SUM(INDIRECT("Deník!"&amp;AR$1&amp;"6"):INDIRECT("Deník!"&amp;AR$1&amp;$C$42*30+5))</f>
        <v>3000.5</v>
      </c>
      <c r="AS38" s="29">
        <f ca="1">SUM(INDIRECT("Deník!"&amp;AS$1&amp;"6"):INDIRECT("Deník!"&amp;AS$1&amp;$C$42*30+5))</f>
        <v>2000</v>
      </c>
      <c r="AT38" s="29">
        <f ca="1">SUM(INDIRECT("Deník!"&amp;AT$1&amp;"6"):INDIRECT("Deník!"&amp;AT$1&amp;$C$42*30+5))</f>
        <v>5000.5</v>
      </c>
      <c r="AU38" s="29">
        <f ca="1">SUM(INDIRECT("Deník!"&amp;AU$1&amp;"6"):INDIRECT("Deník!"&amp;AU$1&amp;$C$42*30+5))</f>
        <v>5050.5</v>
      </c>
      <c r="AV38" s="30">
        <f ca="1">SUM(INDIRECT("Deník!"&amp;AV$1&amp;"6"):INDIRECT("Deník!"&amp;AV$1&amp;$C$42*30+5))</f>
        <v>4000</v>
      </c>
      <c r="AW38" s="29">
        <f ca="1">SUM(INDIRECT("Deník!"&amp;AW$1&amp;"6"):INDIRECT("Deník!"&amp;AW$1&amp;$C$42*30+5))</f>
        <v>0</v>
      </c>
      <c r="AX38" s="29">
        <f ca="1">SUM(INDIRECT("Deník!"&amp;AX$1&amp;"6"):INDIRECT("Deník!"&amp;AX$1&amp;$C$42*30+5))</f>
        <v>4500</v>
      </c>
      <c r="AY38" s="30">
        <f ca="1">SUM(INDIRECT("Deník!"&amp;AY$1&amp;"6"):INDIRECT("Deník!"&amp;AY$1&amp;$C$42*30+5))</f>
        <v>50.5</v>
      </c>
      <c r="AZ38" s="483" t="s">
        <v>3413</v>
      </c>
      <c r="BA38" s="28">
        <f ca="1">SUM(INDIRECT("Deník!"&amp;BA$1&amp;"6"):INDIRECT("Deník!"&amp;BA$1&amp;$C$42*30+5))</f>
        <v>0</v>
      </c>
      <c r="BB38" s="29">
        <f ca="1">SUM(INDIRECT("Deník!"&amp;BB$1&amp;"6"):INDIRECT("Deník!"&amp;BB$1&amp;$C$42*30+5))</f>
        <v>6550</v>
      </c>
      <c r="BC38" s="29">
        <f ca="1">SUM(INDIRECT("Deník!"&amp;BC$1&amp;"6"):INDIRECT("Deník!"&amp;BC$1&amp;$C$42*30+5))</f>
        <v>1300.5</v>
      </c>
      <c r="BD38" s="29">
        <f ca="1">SUM(INDIRECT("Deník!"&amp;BD$1&amp;"6"):INDIRECT("Deník!"&amp;BD$1&amp;$C$42*30+5))</f>
        <v>24600</v>
      </c>
      <c r="BE38" s="29">
        <f ca="1">SUM(INDIRECT("Deník!"&amp;BE$1&amp;"6"):INDIRECT("Deník!"&amp;BE$1&amp;$C$42*30+5))</f>
        <v>0</v>
      </c>
      <c r="BF38" s="29">
        <f ca="1">SUM(INDIRECT("Deník!"&amp;BF$1&amp;"6"):INDIRECT("Deník!"&amp;BF$1&amp;$C$42*30+5))</f>
        <v>0</v>
      </c>
      <c r="BG38" s="29">
        <f ca="1">SUM(INDIRECT("Deník!"&amp;BG$1&amp;"6"):INDIRECT("Deník!"&amp;BG$1&amp;$C$42*30+5))</f>
        <v>0</v>
      </c>
      <c r="BH38" s="29">
        <f ca="1">SUM(INDIRECT("Deník!"&amp;BH$1&amp;"6"):INDIRECT("Deník!"&amp;BH$1&amp;$C$42*30+5))</f>
        <v>6000.5</v>
      </c>
      <c r="BI38" s="30">
        <f ca="1">SUM(INDIRECT("Deník!"&amp;BI$1&amp;"6"):INDIRECT("Deník!"&amp;BI$1&amp;$C$42*30+5))</f>
        <v>4000</v>
      </c>
      <c r="BJ38" s="29">
        <f ca="1">SUM(INDIRECT("Deník!"&amp;BJ$1&amp;"6"):INDIRECT("Deník!"&amp;BJ$1&amp;$C$42*30+5))</f>
        <v>0</v>
      </c>
      <c r="BK38" s="29">
        <f ca="1">SUM(INDIRECT("Deník!"&amp;BK$1&amp;"6"):INDIRECT("Deník!"&amp;BK$1&amp;$C$42*30+5))</f>
        <v>100</v>
      </c>
      <c r="BL38" s="29">
        <f ca="1">SUM(INDIRECT("Deník!"&amp;BL$1&amp;"6"):INDIRECT("Deník!"&amp;BL$1&amp;$C$42*30+5))</f>
        <v>0</v>
      </c>
      <c r="BM38" s="29">
        <f ca="1">SUM(INDIRECT("Deník!"&amp;BM$1&amp;"6"):INDIRECT("Deník!"&amp;BM$1&amp;$C$42*30+5))</f>
        <v>0</v>
      </c>
      <c r="BN38" s="29">
        <f ca="1">SUM(INDIRECT("Deník!"&amp;BN$1&amp;"6"):INDIRECT("Deník!"&amp;BN$1&amp;$C$42*30+5))</f>
        <v>0</v>
      </c>
      <c r="BO38" s="29">
        <f ca="1">SUM(INDIRECT("Deník!"&amp;BO$1&amp;"6"):INDIRECT("Deník!"&amp;BO$1&amp;$C$42*30+5))</f>
        <v>0</v>
      </c>
      <c r="BP38" s="29">
        <f ca="1">SUM(INDIRECT("Deník!"&amp;BP$1&amp;"6"):INDIRECT("Deník!"&amp;BP$1&amp;$C$42*30+5))</f>
        <v>0</v>
      </c>
      <c r="BQ38" s="30">
        <f ca="1">SUM(INDIRECT("Deník!"&amp;BQ$1&amp;"6"):INDIRECT("Deník!"&amp;BQ$1&amp;$C$42*30+5))</f>
        <v>0</v>
      </c>
    </row>
    <row r="39" spans="1:69" ht="13.5" customHeight="1" thickBot="1" x14ac:dyDescent="0.25">
      <c r="C39" s="89" t="s">
        <v>133</v>
      </c>
      <c r="E39" s="17" t="str">
        <f ca="1">IF(OR('Tisk deníku'!C42=20,'Tisk deníku'!D36=0),"Konečný stav k 31.12."&amp;YEAR(Deník!B6),"Průběžný stav (pokračuje na další straně)")</f>
        <v>Průběžný stav (pokračuje na další straně)</v>
      </c>
      <c r="F39" s="590" t="str">
        <f>Deník!E607</f>
        <v/>
      </c>
      <c r="G39" s="592"/>
      <c r="H39" s="592"/>
      <c r="I39" s="591"/>
      <c r="J39" s="89" t="s">
        <v>133</v>
      </c>
      <c r="K39" s="484"/>
      <c r="L39" s="19" t="s">
        <v>14</v>
      </c>
      <c r="M39" s="20">
        <f ca="1">M38</f>
        <v>4475</v>
      </c>
      <c r="N39" s="599" t="str">
        <f>'Základní údaje'!B26</f>
        <v>Bankovní účet A</v>
      </c>
      <c r="O39" s="600"/>
      <c r="P39" s="288">
        <f ca="1">P38</f>
        <v>8550.5</v>
      </c>
      <c r="Q39" s="599" t="str">
        <f>'Základní údaje'!B27</f>
        <v>Bankovní účet B</v>
      </c>
      <c r="R39" s="600"/>
      <c r="S39" s="288">
        <f ca="1">S38</f>
        <v>0</v>
      </c>
      <c r="T39" s="599" t="str">
        <f>'Základní údaje'!B28</f>
        <v>Bankovní účet C</v>
      </c>
      <c r="U39" s="600"/>
      <c r="V39" s="288">
        <f ca="1">V38</f>
        <v>0</v>
      </c>
      <c r="W39" s="440"/>
      <c r="X39" s="89" t="s">
        <v>133</v>
      </c>
      <c r="Y39" s="570">
        <f ca="1">Y38+Z38</f>
        <v>28025</v>
      </c>
      <c r="Z39" s="572"/>
      <c r="AA39" s="570">
        <f ca="1">AA38+AB38</f>
        <v>6400.5</v>
      </c>
      <c r="AB39" s="572"/>
      <c r="AC39" s="570">
        <f ca="1">SUM(AC38:AI38)</f>
        <v>15551.5</v>
      </c>
      <c r="AD39" s="571"/>
      <c r="AE39" s="571"/>
      <c r="AF39" s="571"/>
      <c r="AG39" s="571"/>
      <c r="AH39" s="571"/>
      <c r="AI39" s="572"/>
      <c r="AJ39" s="570">
        <f ca="1">SUM(AJ38:AM38)</f>
        <v>32150.5</v>
      </c>
      <c r="AK39" s="571"/>
      <c r="AL39" s="571"/>
      <c r="AM39" s="572"/>
      <c r="AN39" s="89" t="s">
        <v>133</v>
      </c>
      <c r="AO39" s="570">
        <f ca="1">SUM(AO38:AV38)</f>
        <v>43076.5</v>
      </c>
      <c r="AP39" s="571"/>
      <c r="AQ39" s="571"/>
      <c r="AR39" s="571"/>
      <c r="AS39" s="571"/>
      <c r="AT39" s="571"/>
      <c r="AU39" s="571"/>
      <c r="AV39" s="572"/>
      <c r="AW39" s="570">
        <f ca="1">SUM(AW38:AY38)</f>
        <v>4550.5</v>
      </c>
      <c r="AX39" s="571"/>
      <c r="AY39" s="572"/>
      <c r="AZ39" s="89" t="s">
        <v>133</v>
      </c>
      <c r="BA39" s="570">
        <f ca="1">SUM(BA38:BI38)</f>
        <v>42451</v>
      </c>
      <c r="BB39" s="571"/>
      <c r="BC39" s="571"/>
      <c r="BD39" s="571"/>
      <c r="BE39" s="571"/>
      <c r="BF39" s="571"/>
      <c r="BG39" s="571"/>
      <c r="BH39" s="571"/>
      <c r="BI39" s="572"/>
      <c r="BJ39" s="570">
        <f ca="1">SUM(BJ38:BQ38)</f>
        <v>100</v>
      </c>
      <c r="BK39" s="571"/>
      <c r="BL39" s="571"/>
      <c r="BM39" s="571"/>
      <c r="BN39" s="571"/>
      <c r="BO39" s="571"/>
      <c r="BP39" s="571"/>
      <c r="BQ39" s="572"/>
    </row>
    <row r="40" spans="1:69" ht="13.5" customHeight="1" thickBot="1" x14ac:dyDescent="0.25">
      <c r="C40" s="90" t="str">
        <f>C42&amp;"a"</f>
        <v>1a</v>
      </c>
      <c r="J40" s="90" t="str">
        <f>C42&amp;"b"</f>
        <v>1b</v>
      </c>
      <c r="L40" s="751" t="str">
        <f ca="1">"Rozdíl příjmů a výdajů "&amp;IF(OR('Tisk deníku'!C42=20,'Tisk deníku'!D36=0),"k 31.12."&amp;YEAR(Deník!B6),"(průběžné)")</f>
        <v>Rozdíl příjmů a výdajů (průběžné)</v>
      </c>
      <c r="M40" s="752"/>
      <c r="N40" s="752"/>
      <c r="O40" s="752"/>
      <c r="P40" s="749">
        <f ca="1">K38+N38-L38-O38+Q38-R38+T38-U38</f>
        <v>5025.5</v>
      </c>
      <c r="Q40" s="750"/>
      <c r="U40" s="3"/>
      <c r="V40" s="3"/>
      <c r="W40" s="3"/>
      <c r="X40" s="90" t="str">
        <f>C42&amp;"c"</f>
        <v>1c</v>
      </c>
      <c r="Y40" s="599" t="s">
        <v>67</v>
      </c>
      <c r="Z40" s="600"/>
      <c r="AA40" s="571">
        <f ca="1">Y39-AA39</f>
        <v>21624.5</v>
      </c>
      <c r="AB40" s="572"/>
      <c r="AC40" s="599" t="str">
        <f ca="1">"Rozdíl nedaňových příjmů a výdajů "&amp;IF(OR('Tisk deníku'!C42=20,'Tisk deníku'!D36=0),"k 31.12."&amp;YEAR(Deník!B6),"(průběžné)")</f>
        <v>Rozdíl nedaňových příjmů a výdajů (průběžné)</v>
      </c>
      <c r="AD40" s="600"/>
      <c r="AE40" s="600"/>
      <c r="AF40" s="600"/>
      <c r="AG40" s="600"/>
      <c r="AH40" s="600"/>
      <c r="AI40" s="600"/>
      <c r="AJ40" s="571">
        <f ca="1">AC39-AJ39</f>
        <v>-16599</v>
      </c>
      <c r="AK40" s="571"/>
      <c r="AL40" s="571"/>
      <c r="AM40" s="572"/>
      <c r="AN40" s="90" t="str">
        <f>C42&amp;"d"</f>
        <v>1d</v>
      </c>
      <c r="AO40" s="477" t="str">
        <f ca="1">E39</f>
        <v>Průběžný stav (pokračuje na další straně)</v>
      </c>
      <c r="AP40" s="478"/>
      <c r="AQ40" s="478"/>
      <c r="AR40" s="478"/>
      <c r="AS40" s="478"/>
      <c r="AT40" s="478"/>
      <c r="AU40" s="478"/>
      <c r="AV40" s="478"/>
      <c r="AW40" s="478"/>
      <c r="AX40" s="478"/>
      <c r="AY40" s="478"/>
      <c r="AZ40" s="90" t="str">
        <f>C42&amp;"e"</f>
        <v>1e</v>
      </c>
      <c r="BA40" s="8" t="str">
        <f ca="1">E39</f>
        <v>Průběžný stav (pokračuje na další straně)</v>
      </c>
    </row>
    <row r="41" spans="1:69" ht="13.5" thickBot="1" x14ac:dyDescent="0.25"/>
    <row r="42" spans="1:69" ht="13.5" thickBot="1" x14ac:dyDescent="0.25">
      <c r="C42" s="441">
        <v>1</v>
      </c>
      <c r="F42" s="748" t="s">
        <v>3415</v>
      </c>
      <c r="G42" s="748"/>
      <c r="H42" s="748"/>
      <c r="I42" s="748"/>
    </row>
    <row r="43" spans="1:69" x14ac:dyDescent="0.2">
      <c r="F43" s="748" t="s">
        <v>3417</v>
      </c>
      <c r="G43" s="748"/>
      <c r="H43" s="748"/>
      <c r="I43" s="748"/>
    </row>
    <row r="44" spans="1:69" x14ac:dyDescent="0.2">
      <c r="F44" s="748" t="s">
        <v>3416</v>
      </c>
      <c r="G44" s="748"/>
      <c r="H44" s="748"/>
      <c r="I44" s="748"/>
    </row>
  </sheetData>
  <sheetProtection sheet="1" objects="1" scenarios="1"/>
  <mergeCells count="49">
    <mergeCell ref="B2:E2"/>
    <mergeCell ref="F2:G2"/>
    <mergeCell ref="H2:I2"/>
    <mergeCell ref="K2:V2"/>
    <mergeCell ref="AE3:AE4"/>
    <mergeCell ref="F3:F4"/>
    <mergeCell ref="G3:G4"/>
    <mergeCell ref="K3:M3"/>
    <mergeCell ref="N3:P3"/>
    <mergeCell ref="Q3:S3"/>
    <mergeCell ref="T3:V3"/>
    <mergeCell ref="T39:U39"/>
    <mergeCell ref="Y2:Z3"/>
    <mergeCell ref="AA2:AB3"/>
    <mergeCell ref="AC2:AI2"/>
    <mergeCell ref="AJ2:AM2"/>
    <mergeCell ref="AC3:AC4"/>
    <mergeCell ref="AD3:AD4"/>
    <mergeCell ref="AF3:AG4"/>
    <mergeCell ref="AH3:AH4"/>
    <mergeCell ref="AI3:AI4"/>
    <mergeCell ref="AJ3:AJ4"/>
    <mergeCell ref="AK3:AK4"/>
    <mergeCell ref="AL3:AL4"/>
    <mergeCell ref="AM3:AM4"/>
    <mergeCell ref="Y39:Z39"/>
    <mergeCell ref="AA39:AB39"/>
    <mergeCell ref="AC39:AI39"/>
    <mergeCell ref="AJ39:AM39"/>
    <mergeCell ref="Y40:Z40"/>
    <mergeCell ref="AA40:AB40"/>
    <mergeCell ref="AC40:AI40"/>
    <mergeCell ref="AJ40:AM40"/>
    <mergeCell ref="BJ2:BQ2"/>
    <mergeCell ref="AO39:AV39"/>
    <mergeCell ref="AW39:AY39"/>
    <mergeCell ref="BJ39:BQ39"/>
    <mergeCell ref="BA39:BI39"/>
    <mergeCell ref="BA2:BI2"/>
    <mergeCell ref="AO2:AV2"/>
    <mergeCell ref="AW2:AY2"/>
    <mergeCell ref="F44:I44"/>
    <mergeCell ref="P40:Q40"/>
    <mergeCell ref="F39:I39"/>
    <mergeCell ref="L40:O40"/>
    <mergeCell ref="F42:I42"/>
    <mergeCell ref="F43:I43"/>
    <mergeCell ref="N39:O39"/>
    <mergeCell ref="Q39:R39"/>
  </mergeCells>
  <conditionalFormatting sqref="C7:L36 N7:O36 Q7:R36 T7:U36 W7:W36">
    <cfRule type="cellIs" dxfId="7" priority="8" stopIfTrue="1" operator="equal">
      <formula>0</formula>
    </cfRule>
  </conditionalFormatting>
  <conditionalFormatting sqref="F39">
    <cfRule type="notContainsBlanks" dxfId="6" priority="6" stopIfTrue="1">
      <formula>LEN(TRIM(F39))&gt;0</formula>
    </cfRule>
  </conditionalFormatting>
  <conditionalFormatting sqref="Y7">
    <cfRule type="cellIs" dxfId="5" priority="1" stopIfTrue="1" operator="equal">
      <formula>0</formula>
    </cfRule>
  </conditionalFormatting>
  <conditionalFormatting sqref="AO7">
    <cfRule type="cellIs" dxfId="4" priority="2" stopIfTrue="1" operator="equal">
      <formula>0</formula>
    </cfRule>
  </conditionalFormatting>
  <dataValidations count="4">
    <dataValidation type="list" allowBlank="1" showErrorMessage="1" errorTitle="Nepovolená hodnota" error="Zadána nepovolená hodnota._x000a__x000a_Lze zadat pouze hodnoty ze seznamů uvedených na záložce &quot;Povolené hodnoty&quot;._x000a_" sqref="G7:G36 I7:I36" xr:uid="{00000000-0002-0000-0700-000000000000}">
      <formula1>Označení</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F7:F36 H7:H36" xr:uid="{00000000-0002-0000-0700-000001000000}">
      <formula1>Klasifikace</formula1>
    </dataValidation>
    <dataValidation type="whole" allowBlank="1" showErrorMessage="1" errorTitle="Chybné číslo stránky" error="Stránky lze zadávat pouze v rozmezí 1-20." sqref="C42" xr:uid="{933E3094-3330-4BBE-AD75-E4D166A3CD0D}">
      <formula1>1</formula1>
      <formula2>20</formula2>
    </dataValidation>
    <dataValidation allowBlank="1" errorTitle="Nepovolená hodnota" error="Zadána nepovolená hodnota._x000a__x000a_Lze zadat pouze hodnoty ze seznamů uvedených na záložce &quot;Povolené hodnoty&quot;._x000a_" sqref="J7:J36" xr:uid="{D194A3F1-0650-45E7-890B-7C792314EF4E}"/>
  </dataValidations>
  <printOptions horizontalCentered="1" verticalCentered="1"/>
  <pageMargins left="0.23622047244094491" right="0.23622047244094491" top="0.74803149606299213" bottom="0.74803149606299213" header="0.31496062992125984" footer="0.31496062992125984"/>
  <pageSetup paperSize="9" scale="99" fitToWidth="0" orientation="landscape" r:id="rId1"/>
  <headerFooter>
    <oddHeader>&amp;F</oddHeader>
  </headerFooter>
  <colBreaks count="4" manualBreakCount="4">
    <brk id="9" min="1" max="39" man="1"/>
    <brk id="23" min="1" max="39" man="1"/>
    <brk id="39" min="1" max="39" man="1"/>
    <brk id="51" min="1" max="39" man="1"/>
  </colBreaks>
  <ignoredErrors>
    <ignoredError sqref="M37:M38"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1">
    <tabColor rgb="FFFF0000"/>
  </sheetPr>
  <dimension ref="A1:L58"/>
  <sheetViews>
    <sheetView workbookViewId="0">
      <selection sqref="A1:L1"/>
    </sheetView>
  </sheetViews>
  <sheetFormatPr defaultRowHeight="12.75" x14ac:dyDescent="0.2"/>
  <cols>
    <col min="1" max="1" width="10.7109375" style="115" customWidth="1"/>
    <col min="2" max="2" width="3.5703125" style="115" customWidth="1"/>
    <col min="3" max="3" width="9.140625" style="115"/>
    <col min="4" max="4" width="3.42578125" style="115" customWidth="1"/>
    <col min="5" max="5" width="8.28515625" style="115" customWidth="1"/>
    <col min="6" max="6" width="11" style="115" customWidth="1"/>
    <col min="7" max="7" width="3.85546875" style="115" customWidth="1"/>
    <col min="8" max="8" width="11" style="115" customWidth="1"/>
    <col min="9" max="9" width="3.85546875" style="115" customWidth="1"/>
    <col min="10" max="10" width="14" style="115" customWidth="1"/>
    <col min="11" max="11" width="5" style="115" customWidth="1"/>
    <col min="12" max="12" width="13.7109375" style="115" customWidth="1"/>
    <col min="13" max="16384" width="9.140625" style="115"/>
  </cols>
  <sheetData>
    <row r="1" spans="1:12" ht="18" customHeight="1" x14ac:dyDescent="0.2">
      <c r="A1" s="826" t="s">
        <v>170</v>
      </c>
      <c r="B1" s="804"/>
      <c r="C1" s="804"/>
      <c r="D1" s="804"/>
      <c r="E1" s="804"/>
      <c r="F1" s="804"/>
      <c r="G1" s="804"/>
      <c r="H1" s="804"/>
      <c r="I1" s="804"/>
      <c r="J1" s="804"/>
      <c r="K1" s="804"/>
      <c r="L1" s="804"/>
    </row>
    <row r="2" spans="1:12" ht="12" customHeight="1" thickBot="1" x14ac:dyDescent="0.25">
      <c r="A2" s="755" t="s">
        <v>169</v>
      </c>
      <c r="B2" s="754"/>
      <c r="C2" s="754"/>
      <c r="D2" s="754"/>
      <c r="E2" s="754"/>
      <c r="F2" s="754"/>
      <c r="G2" s="754"/>
      <c r="H2" s="827"/>
      <c r="I2" s="827"/>
      <c r="J2" s="827"/>
      <c r="K2" s="827"/>
      <c r="L2" s="827"/>
    </row>
    <row r="3" spans="1:12" ht="18" customHeight="1" thickBot="1" x14ac:dyDescent="0.25">
      <c r="A3" s="774" t="str">
        <f>+'Základní údaje'!B4</f>
        <v>Pardubický kraj</v>
      </c>
      <c r="B3" s="775"/>
      <c r="C3" s="775"/>
      <c r="D3" s="775"/>
      <c r="E3" s="776"/>
      <c r="F3" s="753"/>
      <c r="G3" s="754"/>
      <c r="H3" s="828" t="s">
        <v>168</v>
      </c>
      <c r="I3" s="829"/>
      <c r="J3" s="829"/>
      <c r="K3" s="829"/>
      <c r="L3" s="830"/>
    </row>
    <row r="4" spans="1:12" ht="12" customHeight="1" thickBot="1" x14ac:dyDescent="0.25">
      <c r="A4" s="780" t="s">
        <v>167</v>
      </c>
      <c r="B4" s="790"/>
      <c r="C4" s="790"/>
      <c r="D4" s="790"/>
      <c r="E4" s="790"/>
      <c r="F4" s="754"/>
      <c r="G4" s="754"/>
      <c r="H4" s="831"/>
      <c r="I4" s="832"/>
      <c r="J4" s="832"/>
      <c r="K4" s="832"/>
      <c r="L4" s="833"/>
    </row>
    <row r="5" spans="1:12" ht="18" customHeight="1" thickBot="1" x14ac:dyDescent="0.25">
      <c r="A5" s="774" t="str">
        <f>+'Základní údaje'!B5</f>
        <v>Litomyšli</v>
      </c>
      <c r="B5" s="775"/>
      <c r="C5" s="775"/>
      <c r="D5" s="775"/>
      <c r="E5" s="776"/>
      <c r="F5" s="754"/>
      <c r="G5" s="754"/>
      <c r="H5" s="831"/>
      <c r="I5" s="832"/>
      <c r="J5" s="832"/>
      <c r="K5" s="832"/>
      <c r="L5" s="833"/>
    </row>
    <row r="6" spans="1:12" ht="12" customHeight="1" thickBot="1" x14ac:dyDescent="0.25">
      <c r="A6" s="837" t="s">
        <v>166</v>
      </c>
      <c r="B6" s="775"/>
      <c r="C6" s="775"/>
      <c r="D6" s="775"/>
      <c r="E6" s="775"/>
      <c r="F6" s="754"/>
      <c r="G6" s="754"/>
      <c r="H6" s="831"/>
      <c r="I6" s="832"/>
      <c r="J6" s="832"/>
      <c r="K6" s="832"/>
      <c r="L6" s="833"/>
    </row>
    <row r="7" spans="1:12" ht="18" customHeight="1" thickBot="1" x14ac:dyDescent="0.25">
      <c r="A7" s="774" t="str">
        <f>"CZ"&amp;'Základní údaje'!B9</f>
        <v>CZ64211045</v>
      </c>
      <c r="B7" s="775"/>
      <c r="C7" s="775"/>
      <c r="D7" s="775"/>
      <c r="E7" s="776"/>
      <c r="F7" s="754"/>
      <c r="G7" s="754"/>
      <c r="H7" s="831"/>
      <c r="I7" s="832"/>
      <c r="J7" s="832"/>
      <c r="K7" s="832"/>
      <c r="L7" s="833"/>
    </row>
    <row r="8" spans="1:12" ht="12" customHeight="1" thickBot="1" x14ac:dyDescent="0.25">
      <c r="A8" s="837" t="s">
        <v>165</v>
      </c>
      <c r="B8" s="775"/>
      <c r="C8" s="775"/>
      <c r="D8" s="775"/>
      <c r="E8" s="775"/>
      <c r="F8" s="754"/>
      <c r="G8" s="754"/>
      <c r="H8" s="831"/>
      <c r="I8" s="832"/>
      <c r="J8" s="832"/>
      <c r="K8" s="832"/>
      <c r="L8" s="833"/>
    </row>
    <row r="9" spans="1:12" ht="18" customHeight="1" thickBot="1" x14ac:dyDescent="0.25">
      <c r="A9" s="764">
        <f>'Základní údaje'!B9</f>
        <v>64211045</v>
      </c>
      <c r="B9" s="791"/>
      <c r="C9" s="791"/>
      <c r="D9" s="791"/>
      <c r="E9" s="838"/>
      <c r="F9" s="754"/>
      <c r="G9" s="754"/>
      <c r="H9" s="831"/>
      <c r="I9" s="832"/>
      <c r="J9" s="832"/>
      <c r="K9" s="832"/>
      <c r="L9" s="833"/>
    </row>
    <row r="10" spans="1:12" ht="11.1" customHeight="1" thickBot="1" x14ac:dyDescent="0.25">
      <c r="A10" s="755" t="s">
        <v>164</v>
      </c>
      <c r="B10" s="754"/>
      <c r="C10" s="754"/>
      <c r="D10" s="754"/>
      <c r="E10" s="754"/>
      <c r="F10" s="754"/>
      <c r="G10" s="754"/>
      <c r="H10" s="834"/>
      <c r="I10" s="835"/>
      <c r="J10" s="835"/>
      <c r="K10" s="835"/>
      <c r="L10" s="836"/>
    </row>
    <row r="11" spans="1:12" ht="18" customHeight="1" thickBot="1" x14ac:dyDescent="0.25">
      <c r="A11" s="246" t="s">
        <v>163</v>
      </c>
      <c r="B11" s="247"/>
      <c r="C11" s="248" t="s">
        <v>292</v>
      </c>
      <c r="D11" s="249" t="s">
        <v>162</v>
      </c>
      <c r="E11" s="248" t="s">
        <v>291</v>
      </c>
      <c r="F11" s="754"/>
      <c r="G11" s="754"/>
      <c r="H11" s="839"/>
      <c r="I11" s="839"/>
      <c r="J11" s="839"/>
      <c r="K11" s="839"/>
      <c r="L11" s="839"/>
    </row>
    <row r="12" spans="1:12" ht="5.0999999999999996" customHeight="1" thickBot="1" x14ac:dyDescent="0.25">
      <c r="A12" s="753"/>
      <c r="B12" s="754"/>
      <c r="C12" s="754"/>
      <c r="D12" s="754"/>
      <c r="E12" s="754"/>
      <c r="F12" s="754"/>
      <c r="G12" s="754"/>
      <c r="H12" s="754"/>
      <c r="I12" s="754"/>
      <c r="J12" s="754"/>
      <c r="K12" s="754"/>
      <c r="L12" s="754"/>
    </row>
    <row r="13" spans="1:12" s="117" customFormat="1" ht="11.1" customHeight="1" x14ac:dyDescent="0.2">
      <c r="A13" s="815" t="s">
        <v>161</v>
      </c>
      <c r="B13" s="816"/>
      <c r="C13" s="816"/>
      <c r="D13" s="817"/>
      <c r="E13" s="818"/>
      <c r="F13" s="819"/>
      <c r="G13" s="822"/>
      <c r="H13" s="754"/>
      <c r="I13" s="823" t="s">
        <v>160</v>
      </c>
      <c r="J13" s="816"/>
      <c r="K13" s="817"/>
      <c r="L13" s="824">
        <v>1</v>
      </c>
    </row>
    <row r="14" spans="1:12" s="117" customFormat="1" ht="11.1" customHeight="1" thickBot="1" x14ac:dyDescent="0.25">
      <c r="A14" s="816"/>
      <c r="B14" s="816"/>
      <c r="C14" s="816"/>
      <c r="D14" s="817"/>
      <c r="E14" s="820"/>
      <c r="F14" s="821"/>
      <c r="G14" s="822"/>
      <c r="H14" s="754"/>
      <c r="I14" s="816"/>
      <c r="J14" s="816"/>
      <c r="K14" s="817"/>
      <c r="L14" s="825"/>
    </row>
    <row r="15" spans="1:12" s="117" customFormat="1" ht="5.0999999999999996" customHeight="1" thickBot="1" x14ac:dyDescent="0.25">
      <c r="A15" s="753"/>
      <c r="B15" s="754"/>
      <c r="C15" s="754"/>
      <c r="D15" s="754"/>
      <c r="E15" s="754"/>
      <c r="F15" s="754"/>
      <c r="G15" s="754"/>
      <c r="H15" s="754"/>
      <c r="I15" s="754"/>
      <c r="J15" s="754"/>
      <c r="K15" s="754"/>
      <c r="L15" s="754"/>
    </row>
    <row r="16" spans="1:12" s="117" customFormat="1" ht="15.95" customHeight="1" thickBot="1" x14ac:dyDescent="0.25">
      <c r="A16" s="755" t="s">
        <v>159</v>
      </c>
      <c r="B16" s="754"/>
      <c r="C16" s="754"/>
      <c r="D16" s="806"/>
      <c r="E16" s="420" t="str">
        <f>'Základní údaje'!B2&amp;" "&amp;'Základní údaje'!B3</f>
        <v>3 A</v>
      </c>
      <c r="F16" s="809"/>
      <c r="G16" s="754"/>
      <c r="H16" s="754"/>
      <c r="I16" s="755" t="s">
        <v>158</v>
      </c>
      <c r="J16" s="755"/>
      <c r="K16" s="794"/>
      <c r="L16" s="251">
        <f>IF('str 2'!E20&gt;0,1,0)+IF('str 2'!E21&gt;0,1,0)</f>
        <v>2</v>
      </c>
    </row>
    <row r="17" spans="1:12" s="117" customFormat="1" ht="5.0999999999999996" customHeight="1" thickBot="1" x14ac:dyDescent="0.25">
      <c r="A17" s="753"/>
      <c r="B17" s="754"/>
      <c r="C17" s="754"/>
      <c r="D17" s="754"/>
      <c r="E17" s="754"/>
      <c r="F17" s="754"/>
      <c r="G17" s="754"/>
      <c r="H17" s="754"/>
      <c r="I17" s="754"/>
      <c r="J17" s="754"/>
      <c r="K17" s="754"/>
      <c r="L17" s="754"/>
    </row>
    <row r="18" spans="1:12" s="117" customFormat="1" ht="15.95" customHeight="1" thickBot="1" x14ac:dyDescent="0.25">
      <c r="A18" s="782" t="s">
        <v>157</v>
      </c>
      <c r="B18" s="795"/>
      <c r="C18" s="795"/>
      <c r="D18" s="795"/>
      <c r="E18" s="796"/>
      <c r="F18" s="754"/>
      <c r="G18" s="793" t="s">
        <v>293</v>
      </c>
      <c r="H18" s="770"/>
      <c r="I18" s="755" t="s">
        <v>156</v>
      </c>
      <c r="J18" s="755"/>
      <c r="K18" s="794"/>
      <c r="L18" s="251">
        <v>0</v>
      </c>
    </row>
    <row r="19" spans="1:12" s="117" customFormat="1" ht="5.0999999999999996" customHeight="1" thickBot="1" x14ac:dyDescent="0.25">
      <c r="A19" s="753"/>
      <c r="B19" s="754"/>
      <c r="C19" s="754"/>
      <c r="D19" s="754"/>
      <c r="E19" s="754"/>
      <c r="F19" s="754"/>
      <c r="G19" s="754"/>
      <c r="H19" s="754"/>
      <c r="I19" s="754"/>
      <c r="J19" s="754"/>
      <c r="K19" s="754"/>
      <c r="L19" s="754"/>
    </row>
    <row r="20" spans="1:12" ht="15.95" customHeight="1" thickBot="1" x14ac:dyDescent="0.25">
      <c r="A20" s="782" t="s">
        <v>155</v>
      </c>
      <c r="B20" s="795"/>
      <c r="C20" s="795"/>
      <c r="D20" s="795"/>
      <c r="E20" s="796"/>
      <c r="F20" s="250" t="s">
        <v>294</v>
      </c>
      <c r="G20" s="797" t="s">
        <v>154</v>
      </c>
      <c r="H20" s="754"/>
      <c r="I20" s="754"/>
      <c r="J20" s="754"/>
      <c r="K20" s="754"/>
      <c r="L20" s="754"/>
    </row>
    <row r="21" spans="1:12" ht="5.0999999999999996" customHeight="1" x14ac:dyDescent="0.2">
      <c r="A21" s="753"/>
      <c r="B21" s="754"/>
      <c r="C21" s="754"/>
      <c r="D21" s="754"/>
      <c r="E21" s="754"/>
      <c r="F21" s="754"/>
      <c r="G21" s="754"/>
      <c r="H21" s="754"/>
      <c r="I21" s="754"/>
      <c r="J21" s="754"/>
      <c r="K21" s="754"/>
      <c r="L21" s="754"/>
    </row>
    <row r="22" spans="1:12" ht="21.75" customHeight="1" x14ac:dyDescent="0.2">
      <c r="A22" s="798" t="s">
        <v>153</v>
      </c>
      <c r="B22" s="799"/>
      <c r="C22" s="799"/>
      <c r="D22" s="799"/>
      <c r="E22" s="799"/>
      <c r="F22" s="799"/>
      <c r="G22" s="799"/>
      <c r="H22" s="799"/>
      <c r="I22" s="799"/>
      <c r="J22" s="799"/>
      <c r="K22" s="799"/>
      <c r="L22" s="799"/>
    </row>
    <row r="23" spans="1:12" ht="14.1" customHeight="1" x14ac:dyDescent="0.2">
      <c r="A23" s="800" t="s">
        <v>152</v>
      </c>
      <c r="B23" s="801"/>
      <c r="C23" s="801"/>
      <c r="D23" s="801"/>
      <c r="E23" s="801"/>
      <c r="F23" s="801"/>
      <c r="G23" s="801"/>
      <c r="H23" s="801"/>
      <c r="I23" s="801"/>
      <c r="J23" s="801"/>
      <c r="K23" s="801"/>
      <c r="L23" s="801"/>
    </row>
    <row r="24" spans="1:12" ht="14.1" customHeight="1" x14ac:dyDescent="0.2">
      <c r="A24" s="802" t="s">
        <v>151</v>
      </c>
      <c r="B24" s="802"/>
      <c r="C24" s="802"/>
      <c r="D24" s="802"/>
      <c r="E24" s="802"/>
      <c r="F24" s="802"/>
      <c r="G24" s="802"/>
      <c r="H24" s="802"/>
      <c r="I24" s="802"/>
      <c r="J24" s="802"/>
      <c r="K24" s="802"/>
      <c r="L24" s="802"/>
    </row>
    <row r="25" spans="1:12" ht="17.25" customHeight="1" thickBot="1" x14ac:dyDescent="0.25">
      <c r="A25" s="803" t="s">
        <v>554</v>
      </c>
      <c r="B25" s="804"/>
      <c r="C25" s="804"/>
      <c r="D25" s="804"/>
      <c r="E25" s="804"/>
      <c r="F25" s="804"/>
      <c r="G25" s="804"/>
      <c r="H25" s="565"/>
      <c r="I25" s="565"/>
      <c r="J25" s="565"/>
      <c r="K25" s="565"/>
      <c r="L25" s="565"/>
    </row>
    <row r="26" spans="1:12" ht="17.25" customHeight="1" thickBot="1" x14ac:dyDescent="0.25">
      <c r="A26" s="805" t="s">
        <v>150</v>
      </c>
      <c r="B26" s="754"/>
      <c r="C26" s="754"/>
      <c r="D26" s="754"/>
      <c r="E26" s="806"/>
      <c r="F26" s="252" t="str">
        <f>"1.1."&amp;YEAR(Deník!B6)</f>
        <v>1.1.2023</v>
      </c>
      <c r="G26" s="253" t="s">
        <v>149</v>
      </c>
      <c r="H26" s="252" t="str">
        <f>"31.12."&amp;YEAR(Deník!B6)</f>
        <v>31.12.2023</v>
      </c>
      <c r="I26" s="810"/>
      <c r="J26" s="565"/>
      <c r="K26" s="565"/>
      <c r="L26" s="565"/>
    </row>
    <row r="27" spans="1:12" s="117" customFormat="1" x14ac:dyDescent="0.2">
      <c r="A27" s="811" t="s">
        <v>148</v>
      </c>
      <c r="B27" s="754"/>
      <c r="C27" s="754"/>
      <c r="D27" s="754"/>
      <c r="E27" s="754"/>
      <c r="F27" s="754"/>
      <c r="G27" s="754"/>
      <c r="H27" s="754"/>
      <c r="I27" s="754"/>
      <c r="J27" s="754"/>
      <c r="K27" s="754"/>
      <c r="L27" s="754"/>
    </row>
    <row r="28" spans="1:12" ht="12.75" customHeight="1" thickBot="1" x14ac:dyDescent="0.25">
      <c r="A28" s="780" t="s">
        <v>147</v>
      </c>
      <c r="B28" s="790"/>
      <c r="C28" s="790"/>
      <c r="D28" s="790"/>
      <c r="E28" s="790"/>
      <c r="F28" s="790"/>
      <c r="G28" s="790"/>
      <c r="H28" s="790"/>
      <c r="I28" s="790"/>
      <c r="J28" s="790"/>
      <c r="K28" s="790"/>
      <c r="L28" s="790"/>
    </row>
    <row r="29" spans="1:12" ht="18" customHeight="1" thickBot="1" x14ac:dyDescent="0.25">
      <c r="A29" s="812" t="str">
        <f>'Základní údaje'!B10&amp;IF('Základní údaje'!B10="SH ČMS - Sbor dobrovolných hasičů"," "&amp;'Základní údaje'!B16,"")</f>
        <v>SH ČMS - Sbor dobrovolných hasičů Osík</v>
      </c>
      <c r="B29" s="813"/>
      <c r="C29" s="813"/>
      <c r="D29" s="813"/>
      <c r="E29" s="813"/>
      <c r="F29" s="813"/>
      <c r="G29" s="813"/>
      <c r="H29" s="813"/>
      <c r="I29" s="813"/>
      <c r="J29" s="813"/>
      <c r="K29" s="813"/>
      <c r="L29" s="814"/>
    </row>
    <row r="30" spans="1:12" ht="5.0999999999999996" customHeight="1" thickBot="1" x14ac:dyDescent="0.25">
      <c r="A30" s="753"/>
      <c r="B30" s="754"/>
      <c r="C30" s="754"/>
      <c r="D30" s="754"/>
      <c r="E30" s="754"/>
      <c r="F30" s="754"/>
      <c r="G30" s="754"/>
      <c r="H30" s="754"/>
      <c r="I30" s="754"/>
      <c r="J30" s="754"/>
      <c r="K30" s="754"/>
      <c r="L30" s="754"/>
    </row>
    <row r="31" spans="1:12" ht="18" customHeight="1" thickBot="1" x14ac:dyDescent="0.25">
      <c r="A31" s="777"/>
      <c r="B31" s="807"/>
      <c r="C31" s="807"/>
      <c r="D31" s="807"/>
      <c r="E31" s="807"/>
      <c r="F31" s="807"/>
      <c r="G31" s="807"/>
      <c r="H31" s="807"/>
      <c r="I31" s="807"/>
      <c r="J31" s="807"/>
      <c r="K31" s="807"/>
      <c r="L31" s="808"/>
    </row>
    <row r="32" spans="1:12" ht="12.95" customHeight="1" x14ac:dyDescent="0.2">
      <c r="A32" s="755" t="s">
        <v>146</v>
      </c>
      <c r="B32" s="754"/>
      <c r="C32" s="754"/>
      <c r="D32" s="754"/>
      <c r="E32" s="754"/>
      <c r="F32" s="754"/>
      <c r="G32" s="754"/>
      <c r="H32" s="754"/>
      <c r="I32" s="754"/>
      <c r="J32" s="754"/>
      <c r="K32" s="754"/>
      <c r="L32" s="754"/>
    </row>
    <row r="33" spans="1:12" ht="12.95" customHeight="1" thickBot="1" x14ac:dyDescent="0.25">
      <c r="A33" s="755" t="s">
        <v>145</v>
      </c>
      <c r="B33" s="754"/>
      <c r="C33" s="754"/>
      <c r="D33" s="754"/>
      <c r="E33" s="754"/>
      <c r="F33" s="754"/>
      <c r="G33" s="754"/>
      <c r="H33" s="754"/>
      <c r="I33" s="754"/>
      <c r="J33" s="754"/>
      <c r="K33" s="754"/>
      <c r="L33" s="754"/>
    </row>
    <row r="34" spans="1:12" ht="18" customHeight="1" thickBot="1" x14ac:dyDescent="0.25">
      <c r="A34" s="764" t="str">
        <f>'Základní údaje'!B14&amp;" "&amp;'Základní údaje'!B15</f>
        <v>Osík 240</v>
      </c>
      <c r="B34" s="765"/>
      <c r="C34" s="765"/>
      <c r="D34" s="765"/>
      <c r="E34" s="765"/>
      <c r="F34" s="765"/>
      <c r="G34" s="765"/>
      <c r="H34" s="765"/>
      <c r="I34" s="765"/>
      <c r="J34" s="765"/>
      <c r="K34" s="765"/>
      <c r="L34" s="766"/>
    </row>
    <row r="35" spans="1:12" ht="12.95" customHeight="1" thickBot="1" x14ac:dyDescent="0.25">
      <c r="A35" s="788" t="s">
        <v>144</v>
      </c>
      <c r="B35" s="789"/>
      <c r="C35" s="789"/>
      <c r="D35" s="789"/>
      <c r="E35" s="789"/>
      <c r="F35" s="789"/>
      <c r="G35" s="789"/>
      <c r="H35" s="790"/>
      <c r="I35" s="790"/>
      <c r="J35" s="790"/>
      <c r="K35" s="754"/>
      <c r="L35" s="254" t="s">
        <v>143</v>
      </c>
    </row>
    <row r="36" spans="1:12" ht="18" customHeight="1" thickBot="1" x14ac:dyDescent="0.25">
      <c r="A36" s="764" t="str">
        <f>+'Základní údaje'!B16</f>
        <v>Osík</v>
      </c>
      <c r="B36" s="791"/>
      <c r="C36" s="791"/>
      <c r="D36" s="791"/>
      <c r="E36" s="791"/>
      <c r="F36" s="791"/>
      <c r="G36" s="765"/>
      <c r="H36" s="765"/>
      <c r="I36" s="765"/>
      <c r="J36" s="792"/>
      <c r="K36" s="116"/>
      <c r="L36" s="255" t="str">
        <f>+'Základní údaje'!B17</f>
        <v>56967</v>
      </c>
    </row>
    <row r="37" spans="1:12" ht="12.95" customHeight="1" thickBot="1" x14ac:dyDescent="0.25">
      <c r="A37" s="785" t="s">
        <v>142</v>
      </c>
      <c r="B37" s="786"/>
      <c r="C37" s="786"/>
      <c r="D37" s="786"/>
      <c r="E37" s="786"/>
      <c r="F37" s="786"/>
      <c r="G37" s="787" t="s">
        <v>141</v>
      </c>
      <c r="H37" s="786"/>
      <c r="I37" s="786"/>
      <c r="J37" s="786"/>
      <c r="K37" s="755"/>
      <c r="L37" s="754"/>
    </row>
    <row r="38" spans="1:12" ht="18" customHeight="1" thickBot="1" x14ac:dyDescent="0.25">
      <c r="A38" s="767" t="s">
        <v>136</v>
      </c>
      <c r="B38" s="765"/>
      <c r="C38" s="766"/>
      <c r="D38" s="256"/>
      <c r="E38" s="255"/>
      <c r="F38" s="256"/>
      <c r="G38" s="768" t="str">
        <f>+'Základní údaje'!B19</f>
        <v>601 234 567</v>
      </c>
      <c r="H38" s="769"/>
      <c r="I38" s="770"/>
      <c r="J38" s="256"/>
      <c r="K38" s="771"/>
      <c r="L38" s="565"/>
    </row>
    <row r="39" spans="1:12" ht="9" customHeight="1" x14ac:dyDescent="0.2">
      <c r="A39" s="755"/>
      <c r="B39" s="754"/>
      <c r="C39" s="754"/>
      <c r="D39" s="754"/>
      <c r="E39" s="754"/>
      <c r="F39" s="754"/>
      <c r="G39" s="754"/>
      <c r="H39" s="754"/>
      <c r="I39" s="754"/>
      <c r="J39" s="754"/>
      <c r="K39" s="754"/>
      <c r="L39" s="754"/>
    </row>
    <row r="40" spans="1:12" ht="18" customHeight="1" x14ac:dyDescent="0.2">
      <c r="A40" s="761" t="s">
        <v>435</v>
      </c>
      <c r="B40" s="761"/>
      <c r="C40" s="761"/>
      <c r="D40" s="761"/>
      <c r="E40" s="761"/>
      <c r="F40" s="761"/>
      <c r="G40" s="761"/>
      <c r="H40" s="761"/>
      <c r="I40" s="761"/>
      <c r="J40" s="295" t="s">
        <v>436</v>
      </c>
      <c r="K40" s="759"/>
      <c r="L40" s="760"/>
    </row>
    <row r="41" spans="1:12" ht="9" customHeight="1" x14ac:dyDescent="0.2">
      <c r="A41" s="753"/>
      <c r="B41" s="754"/>
      <c r="C41" s="754"/>
      <c r="D41" s="754"/>
      <c r="E41" s="754"/>
      <c r="F41" s="754"/>
      <c r="G41" s="754"/>
      <c r="H41" s="754"/>
      <c r="I41" s="754"/>
      <c r="J41" s="754"/>
      <c r="K41" s="754"/>
      <c r="L41" s="754"/>
    </row>
    <row r="42" spans="1:12" ht="15.95" customHeight="1" x14ac:dyDescent="0.2">
      <c r="A42" s="755" t="s">
        <v>536</v>
      </c>
      <c r="B42" s="756"/>
      <c r="C42" s="756"/>
      <c r="D42" s="756"/>
      <c r="E42" s="756"/>
      <c r="F42" s="756"/>
      <c r="G42" s="756"/>
      <c r="H42" s="756"/>
      <c r="I42" s="756"/>
      <c r="J42" s="757"/>
      <c r="K42" s="758"/>
      <c r="L42" s="257" t="s">
        <v>293</v>
      </c>
    </row>
    <row r="43" spans="1:12" ht="9" customHeight="1" x14ac:dyDescent="0.2">
      <c r="A43" s="753"/>
      <c r="B43" s="754"/>
      <c r="C43" s="754"/>
      <c r="D43" s="754"/>
      <c r="E43" s="754"/>
      <c r="F43" s="754"/>
      <c r="G43" s="754"/>
      <c r="H43" s="754"/>
      <c r="I43" s="754"/>
      <c r="J43" s="754"/>
      <c r="K43" s="754"/>
      <c r="L43" s="754"/>
    </row>
    <row r="44" spans="1:12" ht="15.95" customHeight="1" x14ac:dyDescent="0.2">
      <c r="A44" s="763" t="s">
        <v>657</v>
      </c>
      <c r="B44" s="763"/>
      <c r="C44" s="763"/>
      <c r="D44" s="763"/>
      <c r="E44" s="763"/>
      <c r="F44" s="763"/>
      <c r="G44" s="763"/>
      <c r="H44" s="763"/>
      <c r="I44" s="763"/>
      <c r="J44" s="763"/>
      <c r="K44" s="124"/>
      <c r="L44" s="257" t="s">
        <v>293</v>
      </c>
    </row>
    <row r="45" spans="1:12" ht="9" customHeight="1" x14ac:dyDescent="0.2">
      <c r="A45" s="763"/>
      <c r="B45" s="763"/>
      <c r="C45" s="763"/>
      <c r="D45" s="763"/>
      <c r="E45" s="763"/>
      <c r="F45" s="763"/>
      <c r="G45" s="763"/>
      <c r="H45" s="763"/>
      <c r="I45" s="763"/>
      <c r="J45" s="763"/>
      <c r="K45" s="124"/>
      <c r="L45" s="124"/>
    </row>
    <row r="46" spans="1:12" ht="15.95" customHeight="1" x14ac:dyDescent="0.2">
      <c r="A46" s="755" t="s">
        <v>140</v>
      </c>
      <c r="B46" s="756"/>
      <c r="C46" s="756"/>
      <c r="D46" s="756"/>
      <c r="E46" s="756"/>
      <c r="F46" s="756"/>
      <c r="G46" s="756"/>
      <c r="H46" s="756"/>
      <c r="I46" s="756"/>
      <c r="J46" s="757"/>
      <c r="K46" s="758"/>
      <c r="L46" s="257" t="s">
        <v>293</v>
      </c>
    </row>
    <row r="47" spans="1:12" ht="8.25" customHeight="1" x14ac:dyDescent="0.2">
      <c r="A47" s="753"/>
      <c r="B47" s="754"/>
      <c r="C47" s="754"/>
      <c r="D47" s="754"/>
      <c r="E47" s="754"/>
      <c r="F47" s="754"/>
      <c r="G47" s="754"/>
      <c r="H47" s="754"/>
      <c r="I47" s="754"/>
      <c r="J47" s="754"/>
      <c r="K47" s="754"/>
      <c r="L47" s="754"/>
    </row>
    <row r="48" spans="1:12" ht="15.95" customHeight="1" x14ac:dyDescent="0.2">
      <c r="A48" s="762" t="s">
        <v>658</v>
      </c>
      <c r="B48" s="762"/>
      <c r="C48" s="762"/>
      <c r="D48" s="762"/>
      <c r="E48" s="762"/>
      <c r="F48" s="762"/>
      <c r="G48" s="762"/>
      <c r="H48" s="762"/>
      <c r="I48" s="762"/>
      <c r="J48" s="257" t="s">
        <v>298</v>
      </c>
      <c r="K48" s="129"/>
      <c r="L48" s="257" t="s">
        <v>299</v>
      </c>
    </row>
    <row r="49" spans="1:12" ht="9" customHeight="1" x14ac:dyDescent="0.2">
      <c r="A49" s="762"/>
      <c r="B49" s="762"/>
      <c r="C49" s="762"/>
      <c r="D49" s="762"/>
      <c r="E49" s="762"/>
      <c r="F49" s="762"/>
      <c r="G49" s="762"/>
      <c r="H49" s="762"/>
      <c r="I49" s="762"/>
      <c r="J49" s="124"/>
      <c r="K49" s="124"/>
      <c r="L49" s="124"/>
    </row>
    <row r="50" spans="1:12" ht="15.75" customHeight="1" x14ac:dyDescent="0.2">
      <c r="A50" s="761" t="s">
        <v>139</v>
      </c>
      <c r="B50" s="761"/>
      <c r="C50" s="761"/>
      <c r="D50" s="761"/>
      <c r="E50" s="761"/>
      <c r="F50" s="761"/>
      <c r="G50" s="761"/>
      <c r="H50" s="761"/>
      <c r="I50" s="761"/>
      <c r="J50" s="761"/>
      <c r="K50" s="295" t="s">
        <v>436</v>
      </c>
      <c r="L50" s="257"/>
    </row>
    <row r="51" spans="1:12" ht="9" customHeight="1" x14ac:dyDescent="0.2">
      <c r="A51" s="753"/>
      <c r="B51" s="754"/>
      <c r="C51" s="754"/>
      <c r="D51" s="754"/>
      <c r="E51" s="754"/>
      <c r="F51" s="754"/>
      <c r="G51" s="754"/>
      <c r="H51" s="754"/>
      <c r="I51" s="754"/>
      <c r="J51" s="754"/>
      <c r="K51" s="754"/>
      <c r="L51" s="754"/>
    </row>
    <row r="52" spans="1:12" ht="15.95" customHeight="1" thickBot="1" x14ac:dyDescent="0.25">
      <c r="A52" s="780" t="s">
        <v>138</v>
      </c>
      <c r="B52" s="781"/>
      <c r="C52" s="781"/>
      <c r="D52" s="781"/>
      <c r="E52" s="781"/>
      <c r="F52" s="781"/>
      <c r="G52" s="781"/>
      <c r="H52" s="781"/>
      <c r="I52" s="781"/>
      <c r="J52" s="781"/>
      <c r="K52" s="782" t="s">
        <v>137</v>
      </c>
      <c r="L52" s="754"/>
    </row>
    <row r="53" spans="1:12" ht="18" customHeight="1" thickBot="1" x14ac:dyDescent="0.25">
      <c r="A53" s="777" t="s">
        <v>297</v>
      </c>
      <c r="B53" s="778"/>
      <c r="C53" s="778"/>
      <c r="D53" s="778"/>
      <c r="E53" s="778"/>
      <c r="F53" s="778"/>
      <c r="G53" s="778"/>
      <c r="H53" s="778"/>
      <c r="I53" s="778"/>
      <c r="J53" s="779"/>
      <c r="K53" s="129"/>
      <c r="L53" s="258"/>
    </row>
    <row r="54" spans="1:12" ht="5.0999999999999996" customHeight="1" thickBot="1" x14ac:dyDescent="0.25">
      <c r="A54" s="753"/>
      <c r="B54" s="754"/>
      <c r="C54" s="754"/>
      <c r="D54" s="754"/>
      <c r="E54" s="754"/>
      <c r="F54" s="754"/>
      <c r="G54" s="754"/>
      <c r="H54" s="754"/>
      <c r="I54" s="754"/>
      <c r="J54" s="754"/>
      <c r="K54" s="754"/>
      <c r="L54" s="754"/>
    </row>
    <row r="55" spans="1:12" ht="18" customHeight="1" thickBot="1" x14ac:dyDescent="0.25">
      <c r="A55" s="774"/>
      <c r="B55" s="775"/>
      <c r="C55" s="775"/>
      <c r="D55" s="775"/>
      <c r="E55" s="775"/>
      <c r="F55" s="775"/>
      <c r="G55" s="775"/>
      <c r="H55" s="775"/>
      <c r="I55" s="775"/>
      <c r="J55" s="776"/>
      <c r="K55" s="129"/>
      <c r="L55" s="258"/>
    </row>
    <row r="56" spans="1:12" ht="9.9499999999999993" customHeight="1" x14ac:dyDescent="0.2">
      <c r="A56" s="773"/>
      <c r="B56" s="754"/>
      <c r="C56" s="754"/>
      <c r="D56" s="754"/>
      <c r="E56" s="754"/>
      <c r="F56" s="754"/>
      <c r="G56" s="754"/>
      <c r="H56" s="754"/>
      <c r="I56" s="754"/>
      <c r="J56" s="754"/>
      <c r="K56" s="754"/>
      <c r="L56" s="754"/>
    </row>
    <row r="57" spans="1:12" ht="19.5" customHeight="1" x14ac:dyDescent="0.2">
      <c r="A57" s="783" t="s">
        <v>3439</v>
      </c>
      <c r="B57" s="783"/>
      <c r="C57" s="783"/>
      <c r="D57" s="783"/>
      <c r="E57" s="784" t="s">
        <v>3440</v>
      </c>
      <c r="F57" s="784"/>
      <c r="G57" s="784"/>
      <c r="H57" s="784"/>
      <c r="I57" s="784"/>
      <c r="J57" s="784"/>
      <c r="K57" s="784"/>
      <c r="L57" s="784"/>
    </row>
    <row r="58" spans="1:12" x14ac:dyDescent="0.2">
      <c r="A58" s="772">
        <v>1</v>
      </c>
      <c r="B58" s="772"/>
      <c r="C58" s="772"/>
      <c r="D58" s="772"/>
      <c r="E58" s="772"/>
      <c r="F58" s="772"/>
      <c r="G58" s="772"/>
      <c r="H58" s="772"/>
      <c r="I58" s="772"/>
      <c r="J58" s="772"/>
      <c r="K58" s="772"/>
      <c r="L58" s="772"/>
    </row>
  </sheetData>
  <sheetProtection sheet="1" objects="1" scenarios="1"/>
  <mergeCells count="74">
    <mergeCell ref="A1:L1"/>
    <mergeCell ref="A2:L2"/>
    <mergeCell ref="A3:E3"/>
    <mergeCell ref="F3:G11"/>
    <mergeCell ref="H3:L10"/>
    <mergeCell ref="A4:E4"/>
    <mergeCell ref="A5:E5"/>
    <mergeCell ref="A6:E6"/>
    <mergeCell ref="A7:E7"/>
    <mergeCell ref="A8:E8"/>
    <mergeCell ref="A9:E9"/>
    <mergeCell ref="A10:E10"/>
    <mergeCell ref="H11:L11"/>
    <mergeCell ref="A12:L12"/>
    <mergeCell ref="A13:D14"/>
    <mergeCell ref="E13:F14"/>
    <mergeCell ref="G13:H14"/>
    <mergeCell ref="I13:K14"/>
    <mergeCell ref="L13:L14"/>
    <mergeCell ref="A31:L31"/>
    <mergeCell ref="A15:L15"/>
    <mergeCell ref="A16:D16"/>
    <mergeCell ref="F16:H16"/>
    <mergeCell ref="I16:K16"/>
    <mergeCell ref="A17:L17"/>
    <mergeCell ref="I26:L26"/>
    <mergeCell ref="A27:L27"/>
    <mergeCell ref="A28:L28"/>
    <mergeCell ref="A29:L29"/>
    <mergeCell ref="A30:L30"/>
    <mergeCell ref="A35:K35"/>
    <mergeCell ref="A36:J36"/>
    <mergeCell ref="G18:H18"/>
    <mergeCell ref="I18:K18"/>
    <mergeCell ref="A19:L19"/>
    <mergeCell ref="A20:E20"/>
    <mergeCell ref="G20:L20"/>
    <mergeCell ref="A18:F18"/>
    <mergeCell ref="A21:L21"/>
    <mergeCell ref="A22:L22"/>
    <mergeCell ref="A32:L32"/>
    <mergeCell ref="A33:L33"/>
    <mergeCell ref="A23:L23"/>
    <mergeCell ref="A24:L24"/>
    <mergeCell ref="A25:L25"/>
    <mergeCell ref="A26:E26"/>
    <mergeCell ref="A34:L34"/>
    <mergeCell ref="A38:C38"/>
    <mergeCell ref="G38:I38"/>
    <mergeCell ref="K38:L38"/>
    <mergeCell ref="A58:L58"/>
    <mergeCell ref="A56:L56"/>
    <mergeCell ref="A55:J55"/>
    <mergeCell ref="A53:J53"/>
    <mergeCell ref="A52:J52"/>
    <mergeCell ref="K52:L52"/>
    <mergeCell ref="A57:D57"/>
    <mergeCell ref="E57:L57"/>
    <mergeCell ref="A54:L54"/>
    <mergeCell ref="A37:F37"/>
    <mergeCell ref="G37:J37"/>
    <mergeCell ref="K37:L37"/>
    <mergeCell ref="A51:L51"/>
    <mergeCell ref="A39:L39"/>
    <mergeCell ref="A42:K42"/>
    <mergeCell ref="A43:L43"/>
    <mergeCell ref="A41:L41"/>
    <mergeCell ref="A46:K46"/>
    <mergeCell ref="A47:L47"/>
    <mergeCell ref="K40:L40"/>
    <mergeCell ref="A40:I40"/>
    <mergeCell ref="A50:J50"/>
    <mergeCell ref="A48:I49"/>
    <mergeCell ref="A44:J45"/>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2">
    <tabColor rgb="FFFF0000"/>
    <pageSetUpPr fitToPage="1"/>
  </sheetPr>
  <dimension ref="A1:F33"/>
  <sheetViews>
    <sheetView workbookViewId="0">
      <selection sqref="A1:F2"/>
    </sheetView>
  </sheetViews>
  <sheetFormatPr defaultRowHeight="12.75" x14ac:dyDescent="0.2"/>
  <cols>
    <col min="1" max="1" width="7.7109375" style="117" customWidth="1"/>
    <col min="2" max="2" width="9" style="117" customWidth="1"/>
    <col min="3" max="3" width="15.85546875" style="117" customWidth="1"/>
    <col min="4" max="4" width="36.5703125" style="117" customWidth="1"/>
    <col min="5" max="6" width="14.28515625" style="117" customWidth="1"/>
    <col min="7" max="16384" width="9.140625" style="117"/>
  </cols>
  <sheetData>
    <row r="1" spans="1:6" x14ac:dyDescent="0.2">
      <c r="A1" s="863" t="s">
        <v>191</v>
      </c>
      <c r="B1" s="864"/>
      <c r="C1" s="864"/>
      <c r="D1" s="864"/>
      <c r="E1" s="864"/>
      <c r="F1" s="864"/>
    </row>
    <row r="2" spans="1:6" ht="8.1" customHeight="1" thickBot="1" x14ac:dyDescent="0.25">
      <c r="A2" s="865"/>
      <c r="B2" s="865"/>
      <c r="C2" s="865"/>
      <c r="D2" s="865"/>
      <c r="E2" s="865"/>
      <c r="F2" s="865"/>
    </row>
    <row r="3" spans="1:6" ht="14.1" customHeight="1" x14ac:dyDescent="0.2">
      <c r="A3" s="866" t="s">
        <v>190</v>
      </c>
      <c r="B3" s="868" t="s">
        <v>189</v>
      </c>
      <c r="C3" s="869"/>
      <c r="D3" s="870"/>
      <c r="E3" s="874" t="s">
        <v>188</v>
      </c>
      <c r="F3" s="875"/>
    </row>
    <row r="4" spans="1:6" ht="14.1" customHeight="1" x14ac:dyDescent="0.2">
      <c r="A4" s="867"/>
      <c r="B4" s="871"/>
      <c r="C4" s="872"/>
      <c r="D4" s="873"/>
      <c r="E4" s="226" t="s">
        <v>187</v>
      </c>
      <c r="F4" s="227" t="s">
        <v>186</v>
      </c>
    </row>
    <row r="5" spans="1:6" x14ac:dyDescent="0.2">
      <c r="A5" s="876" t="s">
        <v>185</v>
      </c>
      <c r="B5" s="879" t="s">
        <v>556</v>
      </c>
      <c r="C5" s="880"/>
      <c r="D5" s="881"/>
      <c r="E5" s="882">
        <f>'Přehled údajů k přiznání'!H45</f>
        <v>6208</v>
      </c>
      <c r="F5" s="885"/>
    </row>
    <row r="6" spans="1:6" x14ac:dyDescent="0.2">
      <c r="A6" s="877"/>
      <c r="B6" s="228" t="s">
        <v>555</v>
      </c>
      <c r="C6" s="229" t="str">
        <f>'str 1'!H26</f>
        <v>31.12.2023</v>
      </c>
      <c r="D6" s="230"/>
      <c r="E6" s="883"/>
      <c r="F6" s="886"/>
    </row>
    <row r="7" spans="1:6" ht="13.5" thickBot="1" x14ac:dyDescent="0.25">
      <c r="A7" s="878"/>
      <c r="B7" s="231"/>
      <c r="C7" s="231"/>
      <c r="D7" s="231"/>
      <c r="E7" s="884"/>
      <c r="F7" s="887"/>
    </row>
    <row r="8" spans="1:6" ht="7.5" customHeight="1" thickBot="1" x14ac:dyDescent="0.25">
      <c r="A8" s="859"/>
      <c r="B8" s="859"/>
      <c r="C8" s="859"/>
      <c r="D8" s="859"/>
      <c r="E8" s="859"/>
      <c r="F8" s="859"/>
    </row>
    <row r="9" spans="1:6" ht="36" customHeight="1" x14ac:dyDescent="0.2">
      <c r="A9" s="195" t="s">
        <v>184</v>
      </c>
      <c r="B9" s="860" t="s">
        <v>557</v>
      </c>
      <c r="C9" s="861"/>
      <c r="D9" s="862"/>
      <c r="E9" s="160">
        <v>0</v>
      </c>
      <c r="F9" s="232"/>
    </row>
    <row r="10" spans="1:6" ht="36" customHeight="1" x14ac:dyDescent="0.2">
      <c r="A10" s="175" t="s">
        <v>183</v>
      </c>
      <c r="B10" s="845" t="s">
        <v>437</v>
      </c>
      <c r="C10" s="846"/>
      <c r="D10" s="847"/>
      <c r="E10" s="123">
        <v>0</v>
      </c>
      <c r="F10" s="233"/>
    </row>
    <row r="11" spans="1:6" ht="36" customHeight="1" x14ac:dyDescent="0.2">
      <c r="A11" s="168">
        <v>40</v>
      </c>
      <c r="B11" s="845" t="s">
        <v>558</v>
      </c>
      <c r="C11" s="846"/>
      <c r="D11" s="847"/>
      <c r="E11" s="150">
        <f>'Přehled údajů k přiznání'!F44</f>
        <v>33753</v>
      </c>
      <c r="F11" s="234"/>
    </row>
    <row r="12" spans="1:6" ht="36" customHeight="1" x14ac:dyDescent="0.2">
      <c r="A12" s="175">
        <v>50</v>
      </c>
      <c r="B12" s="845" t="s">
        <v>659</v>
      </c>
      <c r="C12" s="846"/>
      <c r="D12" s="847"/>
      <c r="E12" s="123">
        <v>0</v>
      </c>
      <c r="F12" s="233"/>
    </row>
    <row r="13" spans="1:6" ht="30" customHeight="1" x14ac:dyDescent="0.2">
      <c r="A13" s="152" t="s">
        <v>182</v>
      </c>
      <c r="B13" s="845" t="s">
        <v>438</v>
      </c>
      <c r="C13" s="852"/>
      <c r="D13" s="853"/>
      <c r="E13" s="118">
        <v>0</v>
      </c>
      <c r="F13" s="235"/>
    </row>
    <row r="14" spans="1:6" ht="30" customHeight="1" x14ac:dyDescent="0.2">
      <c r="A14" s="152" t="s">
        <v>181</v>
      </c>
      <c r="B14" s="888"/>
      <c r="C14" s="889"/>
      <c r="D14" s="890"/>
      <c r="E14" s="118">
        <v>0</v>
      </c>
      <c r="F14" s="236"/>
    </row>
    <row r="15" spans="1:6" ht="30" customHeight="1" x14ac:dyDescent="0.2">
      <c r="A15" s="152">
        <v>63</v>
      </c>
      <c r="B15" s="842" t="s">
        <v>526</v>
      </c>
      <c r="C15" s="854"/>
      <c r="D15" s="855"/>
      <c r="E15" s="118">
        <v>0</v>
      </c>
      <c r="F15" s="236"/>
    </row>
    <row r="16" spans="1:6" ht="36" customHeight="1" thickBot="1" x14ac:dyDescent="0.25">
      <c r="A16" s="173">
        <v>70</v>
      </c>
      <c r="B16" s="892" t="s">
        <v>527</v>
      </c>
      <c r="C16" s="893"/>
      <c r="D16" s="894"/>
      <c r="E16" s="137">
        <f>SUM(E9:E15)</f>
        <v>33753</v>
      </c>
      <c r="F16" s="237"/>
    </row>
    <row r="17" spans="1:6" ht="7.5" customHeight="1" thickBot="1" x14ac:dyDescent="0.25">
      <c r="A17" s="895"/>
      <c r="B17" s="859"/>
      <c r="C17" s="859"/>
      <c r="D17" s="859"/>
      <c r="E17" s="859"/>
      <c r="F17" s="859"/>
    </row>
    <row r="18" spans="1:6" ht="36" customHeight="1" x14ac:dyDescent="0.2">
      <c r="A18" s="195">
        <v>100</v>
      </c>
      <c r="B18" s="896" t="s">
        <v>537</v>
      </c>
      <c r="C18" s="897"/>
      <c r="D18" s="898"/>
      <c r="E18" s="160">
        <v>0</v>
      </c>
      <c r="F18" s="238"/>
    </row>
    <row r="19" spans="1:6" ht="36" customHeight="1" x14ac:dyDescent="0.2">
      <c r="A19" s="175">
        <v>101</v>
      </c>
      <c r="B19" s="845" t="s">
        <v>559</v>
      </c>
      <c r="C19" s="846"/>
      <c r="D19" s="847"/>
      <c r="E19" s="118">
        <f>'Přehled údajů k přiznání'!F37-'Přehled údajů k přiznání'!F35-'Přehled údajů k přiznání'!F31-'Přehled údajů k přiznání'!F32</f>
        <v>12002</v>
      </c>
      <c r="F19" s="236"/>
    </row>
    <row r="20" spans="1:6" ht="30" customHeight="1" x14ac:dyDescent="0.2">
      <c r="A20" s="175" t="s">
        <v>180</v>
      </c>
      <c r="B20" s="842" t="s">
        <v>439</v>
      </c>
      <c r="C20" s="843"/>
      <c r="D20" s="844"/>
      <c r="E20" s="118">
        <f>'Přehled údajů k přiznání'!F35</f>
        <v>3001</v>
      </c>
      <c r="F20" s="236"/>
    </row>
    <row r="21" spans="1:6" ht="30" customHeight="1" x14ac:dyDescent="0.2">
      <c r="A21" s="168" t="s">
        <v>179</v>
      </c>
      <c r="B21" s="842" t="s">
        <v>440</v>
      </c>
      <c r="C21" s="843"/>
      <c r="D21" s="844"/>
      <c r="E21" s="118">
        <f>'Přehled údajů k přiznání'!F31</f>
        <v>2000</v>
      </c>
      <c r="F21" s="239"/>
    </row>
    <row r="22" spans="1:6" ht="30" customHeight="1" x14ac:dyDescent="0.2">
      <c r="A22" s="152" t="s">
        <v>178</v>
      </c>
      <c r="B22" s="845" t="s">
        <v>560</v>
      </c>
      <c r="C22" s="846"/>
      <c r="D22" s="847"/>
      <c r="E22" s="118">
        <v>0</v>
      </c>
      <c r="F22" s="236"/>
    </row>
    <row r="23" spans="1:6" ht="30" customHeight="1" x14ac:dyDescent="0.2">
      <c r="A23" s="152" t="s">
        <v>177</v>
      </c>
      <c r="B23" s="845" t="s">
        <v>561</v>
      </c>
      <c r="C23" s="846"/>
      <c r="D23" s="847"/>
      <c r="E23" s="118">
        <v>0</v>
      </c>
      <c r="F23" s="239"/>
    </row>
    <row r="24" spans="1:6" s="124" customFormat="1" ht="25.5" customHeight="1" x14ac:dyDescent="0.2">
      <c r="A24" s="175">
        <v>120</v>
      </c>
      <c r="B24" s="848" t="s">
        <v>176</v>
      </c>
      <c r="C24" s="849"/>
      <c r="D24" s="850"/>
      <c r="E24" s="118">
        <f>'Přehled údajů k přiznání'!F32</f>
        <v>99</v>
      </c>
      <c r="F24" s="176"/>
    </row>
    <row r="25" spans="1:6" s="124" customFormat="1" ht="25.5" customHeight="1" x14ac:dyDescent="0.2">
      <c r="A25" s="175">
        <v>130</v>
      </c>
      <c r="B25" s="848" t="s">
        <v>175</v>
      </c>
      <c r="C25" s="849"/>
      <c r="D25" s="850"/>
      <c r="E25" s="118">
        <v>0</v>
      </c>
      <c r="F25" s="176"/>
    </row>
    <row r="26" spans="1:6" ht="30" customHeight="1" x14ac:dyDescent="0.2">
      <c r="A26" s="152" t="s">
        <v>174</v>
      </c>
      <c r="B26" s="845" t="s">
        <v>660</v>
      </c>
      <c r="C26" s="846"/>
      <c r="D26" s="847"/>
      <c r="E26" s="118">
        <v>0</v>
      </c>
      <c r="F26" s="240"/>
    </row>
    <row r="27" spans="1:6" ht="30" customHeight="1" x14ac:dyDescent="0.2">
      <c r="A27" s="241">
        <v>150</v>
      </c>
      <c r="B27" s="851" t="s">
        <v>441</v>
      </c>
      <c r="C27" s="846"/>
      <c r="D27" s="847"/>
      <c r="E27" s="118">
        <v>0</v>
      </c>
      <c r="F27" s="242"/>
    </row>
    <row r="28" spans="1:6" ht="30" customHeight="1" x14ac:dyDescent="0.2">
      <c r="A28" s="152" t="s">
        <v>173</v>
      </c>
      <c r="B28" s="851" t="s">
        <v>442</v>
      </c>
      <c r="C28" s="846"/>
      <c r="D28" s="847"/>
      <c r="E28" s="118">
        <v>0</v>
      </c>
      <c r="F28" s="243"/>
    </row>
    <row r="29" spans="1:6" ht="30" customHeight="1" x14ac:dyDescent="0.2">
      <c r="A29" s="152" t="s">
        <v>172</v>
      </c>
      <c r="B29" s="851" t="s">
        <v>562</v>
      </c>
      <c r="C29" s="852"/>
      <c r="D29" s="853"/>
      <c r="E29" s="118">
        <v>0</v>
      </c>
      <c r="F29" s="243"/>
    </row>
    <row r="30" spans="1:6" ht="24" customHeight="1" x14ac:dyDescent="0.2">
      <c r="A30" s="152" t="s">
        <v>171</v>
      </c>
      <c r="B30" s="891"/>
      <c r="C30" s="889"/>
      <c r="D30" s="890"/>
      <c r="E30" s="118">
        <v>0</v>
      </c>
      <c r="F30" s="243"/>
    </row>
    <row r="31" spans="1:6" ht="30" customHeight="1" x14ac:dyDescent="0.2">
      <c r="A31" s="152">
        <v>163</v>
      </c>
      <c r="B31" s="842" t="s">
        <v>563</v>
      </c>
      <c r="C31" s="854"/>
      <c r="D31" s="855"/>
      <c r="E31" s="118">
        <v>0</v>
      </c>
      <c r="F31" s="243"/>
    </row>
    <row r="32" spans="1:6" ht="30" customHeight="1" thickBot="1" x14ac:dyDescent="0.25">
      <c r="A32" s="241">
        <v>170</v>
      </c>
      <c r="B32" s="856" t="s">
        <v>528</v>
      </c>
      <c r="C32" s="857"/>
      <c r="D32" s="858"/>
      <c r="E32" s="244">
        <f>SUM(E18:E31)</f>
        <v>17102</v>
      </c>
      <c r="F32" s="245"/>
    </row>
    <row r="33" spans="1:6" x14ac:dyDescent="0.2">
      <c r="A33" s="840">
        <v>2</v>
      </c>
      <c r="B33" s="841"/>
      <c r="C33" s="841"/>
      <c r="D33" s="841"/>
      <c r="E33" s="841"/>
      <c r="F33" s="841"/>
    </row>
  </sheetData>
  <sheetProtection sheet="1" objects="1" scenarios="1"/>
  <mergeCells count="34">
    <mergeCell ref="B14:D14"/>
    <mergeCell ref="B30:D30"/>
    <mergeCell ref="B13:D13"/>
    <mergeCell ref="B15:D15"/>
    <mergeCell ref="B19:D19"/>
    <mergeCell ref="B16:D16"/>
    <mergeCell ref="A17:F17"/>
    <mergeCell ref="B18:D18"/>
    <mergeCell ref="B20:D20"/>
    <mergeCell ref="A1:F2"/>
    <mergeCell ref="A3:A4"/>
    <mergeCell ref="B3:D4"/>
    <mergeCell ref="E3:F3"/>
    <mergeCell ref="A5:A7"/>
    <mergeCell ref="B5:D5"/>
    <mergeCell ref="E5:E7"/>
    <mergeCell ref="F5:F7"/>
    <mergeCell ref="A8:F8"/>
    <mergeCell ref="B9:D9"/>
    <mergeCell ref="B10:D10"/>
    <mergeCell ref="B11:D11"/>
    <mergeCell ref="B12:D12"/>
    <mergeCell ref="A33:F33"/>
    <mergeCell ref="B21:D21"/>
    <mergeCell ref="B22:D22"/>
    <mergeCell ref="B23:D23"/>
    <mergeCell ref="B24:D24"/>
    <mergeCell ref="B25:D25"/>
    <mergeCell ref="B26:D26"/>
    <mergeCell ref="B27:D27"/>
    <mergeCell ref="B28:D28"/>
    <mergeCell ref="B29:D29"/>
    <mergeCell ref="B31:D31"/>
    <mergeCell ref="B32:D32"/>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4">
    <tabColor rgb="FFFF0000"/>
  </sheetPr>
  <dimension ref="A1:E42"/>
  <sheetViews>
    <sheetView workbookViewId="0">
      <selection sqref="A1:E2"/>
    </sheetView>
  </sheetViews>
  <sheetFormatPr defaultRowHeight="12.75" x14ac:dyDescent="0.2"/>
  <cols>
    <col min="1" max="1" width="10.5703125" style="117" customWidth="1"/>
    <col min="2" max="2" width="18.85546875" style="117" customWidth="1"/>
    <col min="3" max="3" width="37.140625" style="117" customWidth="1"/>
    <col min="4" max="5" width="15.140625" style="117" customWidth="1"/>
    <col min="6" max="16384" width="9.140625" style="117"/>
  </cols>
  <sheetData>
    <row r="1" spans="1:5" x14ac:dyDescent="0.2">
      <c r="A1" s="925" t="s">
        <v>207</v>
      </c>
      <c r="B1" s="795"/>
      <c r="C1" s="795"/>
      <c r="D1" s="795"/>
      <c r="E1" s="795"/>
    </row>
    <row r="2" spans="1:5" s="124" customFormat="1" ht="12.95" customHeight="1" x14ac:dyDescent="0.2">
      <c r="A2" s="795"/>
      <c r="B2" s="795"/>
      <c r="C2" s="795"/>
      <c r="D2" s="795"/>
      <c r="E2" s="795"/>
    </row>
    <row r="3" spans="1:5" s="124" customFormat="1" ht="12.95" customHeight="1" x14ac:dyDescent="0.2">
      <c r="A3" s="926" t="s">
        <v>206</v>
      </c>
      <c r="B3" s="816"/>
      <c r="C3" s="815" t="s">
        <v>205</v>
      </c>
      <c r="D3" s="816"/>
      <c r="E3" s="816"/>
    </row>
    <row r="4" spans="1:5" ht="18" customHeight="1" x14ac:dyDescent="0.2">
      <c r="A4" s="219">
        <f>'Základní údaje'!B9</f>
        <v>64211045</v>
      </c>
      <c r="B4" s="124"/>
      <c r="C4" s="220" t="str">
        <f>'str 1'!A7</f>
        <v>CZ64211045</v>
      </c>
      <c r="D4" s="927"/>
      <c r="E4" s="754"/>
    </row>
    <row r="5" spans="1:5" ht="5.25" customHeight="1" x14ac:dyDescent="0.2">
      <c r="A5" s="124"/>
      <c r="B5" s="124"/>
      <c r="C5" s="124"/>
      <c r="D5" s="124"/>
      <c r="E5" s="124"/>
    </row>
    <row r="6" spans="1:5" ht="15" customHeight="1" x14ac:dyDescent="0.2">
      <c r="A6" s="928" t="s">
        <v>564</v>
      </c>
      <c r="B6" s="915"/>
      <c r="C6" s="915"/>
      <c r="D6" s="915"/>
      <c r="E6" s="915"/>
    </row>
    <row r="7" spans="1:5" ht="15" customHeight="1" thickBot="1" x14ac:dyDescent="0.25">
      <c r="A7" s="908"/>
      <c r="B7" s="908"/>
      <c r="C7" s="908"/>
      <c r="D7" s="908"/>
      <c r="E7" s="908"/>
    </row>
    <row r="8" spans="1:5" ht="14.1" customHeight="1" x14ac:dyDescent="0.2">
      <c r="A8" s="916" t="s">
        <v>190</v>
      </c>
      <c r="B8" s="918" t="s">
        <v>443</v>
      </c>
      <c r="C8" s="919"/>
      <c r="D8" s="922" t="s">
        <v>188</v>
      </c>
      <c r="E8" s="923"/>
    </row>
    <row r="9" spans="1:5" ht="14.1" customHeight="1" x14ac:dyDescent="0.2">
      <c r="A9" s="917"/>
      <c r="B9" s="920"/>
      <c r="C9" s="921"/>
      <c r="D9" s="134" t="s">
        <v>187</v>
      </c>
      <c r="E9" s="172" t="s">
        <v>186</v>
      </c>
    </row>
    <row r="10" spans="1:5" ht="18.75" customHeight="1" x14ac:dyDescent="0.2">
      <c r="A10" s="221">
        <v>1</v>
      </c>
      <c r="B10" s="924" t="s">
        <v>565</v>
      </c>
      <c r="C10" s="912"/>
      <c r="D10" s="118">
        <f>'Přehled údajů k přiznání'!F44</f>
        <v>33753</v>
      </c>
      <c r="E10" s="151"/>
    </row>
    <row r="11" spans="1:5" ht="18.75" customHeight="1" x14ac:dyDescent="0.2">
      <c r="A11" s="221">
        <v>2</v>
      </c>
      <c r="B11" s="911"/>
      <c r="C11" s="912"/>
      <c r="D11" s="118"/>
      <c r="E11" s="151"/>
    </row>
    <row r="12" spans="1:5" ht="18.75" customHeight="1" x14ac:dyDescent="0.2">
      <c r="A12" s="221">
        <v>3</v>
      </c>
      <c r="B12" s="911"/>
      <c r="C12" s="912"/>
      <c r="D12" s="118"/>
      <c r="E12" s="151"/>
    </row>
    <row r="13" spans="1:5" ht="18.75" customHeight="1" x14ac:dyDescent="0.2">
      <c r="A13" s="221">
        <v>4</v>
      </c>
      <c r="B13" s="911"/>
      <c r="C13" s="912"/>
      <c r="D13" s="118"/>
      <c r="E13" s="151"/>
    </row>
    <row r="14" spans="1:5" ht="18.75" customHeight="1" x14ac:dyDescent="0.2">
      <c r="A14" s="221">
        <v>5</v>
      </c>
      <c r="B14" s="911"/>
      <c r="C14" s="912"/>
      <c r="D14" s="118"/>
      <c r="E14" s="151"/>
    </row>
    <row r="15" spans="1:5" ht="18.75" customHeight="1" x14ac:dyDescent="0.2">
      <c r="A15" s="221">
        <v>6</v>
      </c>
      <c r="B15" s="911"/>
      <c r="C15" s="912"/>
      <c r="D15" s="118"/>
      <c r="E15" s="151"/>
    </row>
    <row r="16" spans="1:5" ht="18.75" customHeight="1" x14ac:dyDescent="0.2">
      <c r="A16" s="221">
        <v>7</v>
      </c>
      <c r="B16" s="911"/>
      <c r="C16" s="912"/>
      <c r="D16" s="118"/>
      <c r="E16" s="151"/>
    </row>
    <row r="17" spans="1:5" ht="18.75" customHeight="1" x14ac:dyDescent="0.2">
      <c r="A17" s="221">
        <v>8</v>
      </c>
      <c r="B17" s="911"/>
      <c r="C17" s="912"/>
      <c r="D17" s="118"/>
      <c r="E17" s="151"/>
    </row>
    <row r="18" spans="1:5" ht="18.75" customHeight="1" x14ac:dyDescent="0.2">
      <c r="A18" s="221">
        <v>9</v>
      </c>
      <c r="B18" s="911"/>
      <c r="C18" s="912"/>
      <c r="D18" s="118"/>
      <c r="E18" s="151"/>
    </row>
    <row r="19" spans="1:5" ht="18.75" customHeight="1" x14ac:dyDescent="0.2">
      <c r="A19" s="221">
        <v>10</v>
      </c>
      <c r="B19" s="911"/>
      <c r="C19" s="912"/>
      <c r="D19" s="118"/>
      <c r="E19" s="151"/>
    </row>
    <row r="20" spans="1:5" ht="18.75" customHeight="1" x14ac:dyDescent="0.2">
      <c r="A20" s="221">
        <v>11</v>
      </c>
      <c r="B20" s="911"/>
      <c r="C20" s="912"/>
      <c r="D20" s="118"/>
      <c r="E20" s="151"/>
    </row>
    <row r="21" spans="1:5" ht="18.75" customHeight="1" x14ac:dyDescent="0.2">
      <c r="A21" s="221">
        <v>12</v>
      </c>
      <c r="B21" s="911"/>
      <c r="C21" s="912"/>
      <c r="D21" s="118"/>
      <c r="E21" s="151"/>
    </row>
    <row r="22" spans="1:5" ht="18.75" customHeight="1" thickBot="1" x14ac:dyDescent="0.25">
      <c r="A22" s="222">
        <v>13</v>
      </c>
      <c r="B22" s="296" t="s">
        <v>444</v>
      </c>
      <c r="C22" s="223"/>
      <c r="D22" s="137">
        <f>SUM(D10:D21)</f>
        <v>33753</v>
      </c>
      <c r="E22" s="174"/>
    </row>
    <row r="23" spans="1:5" x14ac:dyDescent="0.2">
      <c r="A23" s="913" t="s">
        <v>203</v>
      </c>
      <c r="B23" s="786"/>
      <c r="C23" s="786"/>
      <c r="D23" s="786"/>
      <c r="E23" s="786"/>
    </row>
    <row r="24" spans="1:5" x14ac:dyDescent="0.2">
      <c r="A24" s="914" t="s">
        <v>202</v>
      </c>
      <c r="B24" s="915"/>
      <c r="C24" s="915"/>
      <c r="D24" s="915"/>
      <c r="E24" s="915"/>
    </row>
    <row r="25" spans="1:5" ht="13.5" thickBot="1" x14ac:dyDescent="0.25">
      <c r="A25" s="908"/>
      <c r="B25" s="908"/>
      <c r="C25" s="908"/>
      <c r="D25" s="908"/>
      <c r="E25" s="908"/>
    </row>
    <row r="26" spans="1:5" ht="14.1" customHeight="1" x14ac:dyDescent="0.2">
      <c r="A26" s="916" t="s">
        <v>190</v>
      </c>
      <c r="B26" s="918" t="s">
        <v>189</v>
      </c>
      <c r="C26" s="919"/>
      <c r="D26" s="922" t="s">
        <v>188</v>
      </c>
      <c r="E26" s="923"/>
    </row>
    <row r="27" spans="1:5" ht="14.1" customHeight="1" x14ac:dyDescent="0.2">
      <c r="A27" s="917"/>
      <c r="B27" s="920"/>
      <c r="C27" s="921"/>
      <c r="D27" s="134" t="s">
        <v>187</v>
      </c>
      <c r="E27" s="172" t="s">
        <v>186</v>
      </c>
    </row>
    <row r="28" spans="1:5" ht="18.75" customHeight="1" x14ac:dyDescent="0.2">
      <c r="A28" s="221">
        <v>1</v>
      </c>
      <c r="B28" s="848" t="s">
        <v>201</v>
      </c>
      <c r="C28" s="850"/>
      <c r="D28" s="118"/>
      <c r="E28" s="151"/>
    </row>
    <row r="29" spans="1:5" ht="18.75" customHeight="1" x14ac:dyDescent="0.2">
      <c r="A29" s="221">
        <v>2</v>
      </c>
      <c r="B29" s="848" t="s">
        <v>200</v>
      </c>
      <c r="C29" s="850"/>
      <c r="D29" s="118" t="s">
        <v>129</v>
      </c>
      <c r="E29" s="224" t="s">
        <v>129</v>
      </c>
    </row>
    <row r="30" spans="1:5" ht="18.75" customHeight="1" x14ac:dyDescent="0.2">
      <c r="A30" s="221">
        <v>3</v>
      </c>
      <c r="B30" s="848" t="s">
        <v>199</v>
      </c>
      <c r="C30" s="850"/>
      <c r="D30" s="118"/>
      <c r="E30" s="151"/>
    </row>
    <row r="31" spans="1:5" ht="18.75" customHeight="1" x14ac:dyDescent="0.2">
      <c r="A31" s="221">
        <v>4</v>
      </c>
      <c r="B31" s="848" t="s">
        <v>198</v>
      </c>
      <c r="C31" s="902"/>
      <c r="D31" s="118"/>
      <c r="E31" s="151"/>
    </row>
    <row r="32" spans="1:5" ht="18.75" customHeight="1" x14ac:dyDescent="0.2">
      <c r="A32" s="221">
        <v>5</v>
      </c>
      <c r="B32" s="848" t="s">
        <v>197</v>
      </c>
      <c r="C32" s="902"/>
      <c r="D32" s="118"/>
      <c r="E32" s="151"/>
    </row>
    <row r="33" spans="1:5" ht="18.75" customHeight="1" x14ac:dyDescent="0.2">
      <c r="A33" s="221">
        <v>6</v>
      </c>
      <c r="B33" s="848" t="s">
        <v>196</v>
      </c>
      <c r="C33" s="902"/>
      <c r="D33" s="118"/>
      <c r="E33" s="151"/>
    </row>
    <row r="34" spans="1:5" ht="18.75" customHeight="1" x14ac:dyDescent="0.2">
      <c r="A34" s="221">
        <v>7</v>
      </c>
      <c r="B34" s="848" t="s">
        <v>195</v>
      </c>
      <c r="C34" s="902"/>
      <c r="D34" s="118"/>
      <c r="E34" s="151"/>
    </row>
    <row r="35" spans="1:5" ht="24" customHeight="1" x14ac:dyDescent="0.2">
      <c r="A35" s="221">
        <v>8</v>
      </c>
      <c r="B35" s="845" t="s">
        <v>445</v>
      </c>
      <c r="C35" s="901"/>
      <c r="D35" s="118"/>
      <c r="E35" s="151"/>
    </row>
    <row r="36" spans="1:5" ht="18.75" customHeight="1" x14ac:dyDescent="0.2">
      <c r="A36" s="221">
        <v>9</v>
      </c>
      <c r="B36" s="848" t="s">
        <v>194</v>
      </c>
      <c r="C36" s="902"/>
      <c r="D36" s="118"/>
      <c r="E36" s="151"/>
    </row>
    <row r="37" spans="1:5" ht="24" customHeight="1" x14ac:dyDescent="0.2">
      <c r="A37" s="221">
        <v>10</v>
      </c>
      <c r="B37" s="903" t="s">
        <v>661</v>
      </c>
      <c r="C37" s="904"/>
      <c r="D37" s="118"/>
      <c r="E37" s="151"/>
    </row>
    <row r="38" spans="1:5" ht="18.75" customHeight="1" thickBot="1" x14ac:dyDescent="0.25">
      <c r="A38" s="222">
        <v>11</v>
      </c>
      <c r="B38" s="892" t="s">
        <v>193</v>
      </c>
      <c r="C38" s="905"/>
      <c r="D38" s="137">
        <f>SUM(D28:D37)</f>
        <v>0</v>
      </c>
      <c r="E38" s="174"/>
    </row>
    <row r="39" spans="1:5" x14ac:dyDescent="0.2">
      <c r="A39" s="906" t="s">
        <v>192</v>
      </c>
      <c r="B39" s="907"/>
      <c r="C39" s="907"/>
      <c r="D39" s="907"/>
      <c r="E39" s="907"/>
    </row>
    <row r="40" spans="1:5" ht="13.5" thickBot="1" x14ac:dyDescent="0.25">
      <c r="A40" s="908"/>
      <c r="B40" s="908"/>
      <c r="C40" s="908"/>
      <c r="D40" s="908"/>
      <c r="E40" s="908"/>
    </row>
    <row r="41" spans="1:5" ht="90" customHeight="1" thickBot="1" x14ac:dyDescent="0.25">
      <c r="A41" s="225">
        <v>12</v>
      </c>
      <c r="B41" s="909" t="s">
        <v>446</v>
      </c>
      <c r="C41" s="910"/>
      <c r="D41" s="160">
        <v>0</v>
      </c>
      <c r="E41" s="161"/>
    </row>
    <row r="42" spans="1:5" x14ac:dyDescent="0.2">
      <c r="A42" s="899">
        <v>3</v>
      </c>
      <c r="B42" s="900"/>
      <c r="C42" s="900"/>
      <c r="D42" s="900"/>
      <c r="E42" s="900"/>
    </row>
  </sheetData>
  <sheetProtection sheet="1" objects="1" scenarios="1"/>
  <mergeCells count="39">
    <mergeCell ref="D8:E8"/>
    <mergeCell ref="A1:E2"/>
    <mergeCell ref="A3:B3"/>
    <mergeCell ref="C3:E3"/>
    <mergeCell ref="D4:E4"/>
    <mergeCell ref="A6:E7"/>
    <mergeCell ref="B15:C15"/>
    <mergeCell ref="B16:C16"/>
    <mergeCell ref="B17:C17"/>
    <mergeCell ref="B18:C18"/>
    <mergeCell ref="A8:A9"/>
    <mergeCell ref="B8:C9"/>
    <mergeCell ref="B10:C10"/>
    <mergeCell ref="B11:C11"/>
    <mergeCell ref="B12:C12"/>
    <mergeCell ref="B13:C13"/>
    <mergeCell ref="B14:C14"/>
    <mergeCell ref="B19:C19"/>
    <mergeCell ref="B20:C20"/>
    <mergeCell ref="B34:C34"/>
    <mergeCell ref="A23:E23"/>
    <mergeCell ref="A24:E25"/>
    <mergeCell ref="A26:A27"/>
    <mergeCell ref="B26:C27"/>
    <mergeCell ref="D26:E26"/>
    <mergeCell ref="B28:C28"/>
    <mergeCell ref="B29:C29"/>
    <mergeCell ref="B21:C21"/>
    <mergeCell ref="B30:C30"/>
    <mergeCell ref="B31:C31"/>
    <mergeCell ref="B32:C32"/>
    <mergeCell ref="B33:C33"/>
    <mergeCell ref="A42:E42"/>
    <mergeCell ref="B35:C35"/>
    <mergeCell ref="B36:C36"/>
    <mergeCell ref="B37:C37"/>
    <mergeCell ref="B38:C38"/>
    <mergeCell ref="A39:E40"/>
    <mergeCell ref="B41:C41"/>
  </mergeCells>
  <conditionalFormatting sqref="D38">
    <cfRule type="cellIs" dxfId="3" priority="2" stopIfTrue="1" operator="equal">
      <formula>0</formula>
    </cfRule>
  </conditionalFormatting>
  <conditionalFormatting sqref="D41">
    <cfRule type="cellIs" dxfId="2" priority="1" stopIfTrue="1" operator="equal">
      <formula>0</formula>
    </cfRule>
  </conditionalFormatting>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5">
    <tabColor rgb="FFFF0000"/>
  </sheetPr>
  <dimension ref="A1:F32"/>
  <sheetViews>
    <sheetView workbookViewId="0">
      <selection sqref="A1:F1"/>
    </sheetView>
  </sheetViews>
  <sheetFormatPr defaultRowHeight="12.75" x14ac:dyDescent="0.2"/>
  <cols>
    <col min="1" max="1" width="6.42578125" style="117" customWidth="1"/>
    <col min="2" max="2" width="20.140625" style="117" customWidth="1"/>
    <col min="3" max="3" width="19" style="117" customWidth="1"/>
    <col min="4" max="4" width="21.7109375" style="117" customWidth="1"/>
    <col min="5" max="6" width="14.5703125" style="117" customWidth="1"/>
    <col min="7" max="16384" width="9.140625" style="117"/>
  </cols>
  <sheetData>
    <row r="1" spans="1:6" ht="39.950000000000003" customHeight="1" x14ac:dyDescent="0.2">
      <c r="A1" s="928" t="s">
        <v>566</v>
      </c>
      <c r="B1" s="816"/>
      <c r="C1" s="816"/>
      <c r="D1" s="816"/>
      <c r="E1" s="816"/>
      <c r="F1" s="816"/>
    </row>
    <row r="2" spans="1:6" ht="24" customHeight="1" thickBot="1" x14ac:dyDescent="0.25">
      <c r="A2" s="956" t="s">
        <v>215</v>
      </c>
      <c r="B2" s="957"/>
      <c r="C2" s="957"/>
      <c r="D2" s="957"/>
      <c r="E2" s="957"/>
      <c r="F2" s="957"/>
    </row>
    <row r="3" spans="1:6" ht="14.1" customHeight="1" x14ac:dyDescent="0.2">
      <c r="A3" s="916" t="s">
        <v>190</v>
      </c>
      <c r="B3" s="918" t="s">
        <v>189</v>
      </c>
      <c r="C3" s="959"/>
      <c r="D3" s="919"/>
      <c r="E3" s="922" t="s">
        <v>188</v>
      </c>
      <c r="F3" s="963"/>
    </row>
    <row r="4" spans="1:6" ht="14.1" customHeight="1" x14ac:dyDescent="0.2">
      <c r="A4" s="958"/>
      <c r="B4" s="960"/>
      <c r="C4" s="961"/>
      <c r="D4" s="962"/>
      <c r="E4" s="171" t="s">
        <v>187</v>
      </c>
      <c r="F4" s="172" t="s">
        <v>186</v>
      </c>
    </row>
    <row r="5" spans="1:6" ht="18" customHeight="1" x14ac:dyDescent="0.2">
      <c r="A5" s="207">
        <v>1</v>
      </c>
      <c r="B5" s="943" t="s">
        <v>214</v>
      </c>
      <c r="C5" s="954"/>
      <c r="D5" s="955"/>
      <c r="E5" s="118" t="s">
        <v>129</v>
      </c>
      <c r="F5" s="208" t="s">
        <v>129</v>
      </c>
    </row>
    <row r="6" spans="1:6" ht="18" customHeight="1" x14ac:dyDescent="0.2">
      <c r="A6" s="207">
        <v>2</v>
      </c>
      <c r="B6" s="946" t="s">
        <v>214</v>
      </c>
      <c r="C6" s="947"/>
      <c r="D6" s="948"/>
      <c r="E6" s="118" t="s">
        <v>129</v>
      </c>
      <c r="F6" s="208" t="s">
        <v>129</v>
      </c>
    </row>
    <row r="7" spans="1:6" ht="24" customHeight="1" x14ac:dyDescent="0.2">
      <c r="A7" s="207">
        <v>3</v>
      </c>
      <c r="B7" s="943" t="s">
        <v>300</v>
      </c>
      <c r="C7" s="944"/>
      <c r="D7" s="945"/>
      <c r="E7" s="118"/>
      <c r="F7" s="209"/>
    </row>
    <row r="8" spans="1:6" ht="33.950000000000003" customHeight="1" x14ac:dyDescent="0.2">
      <c r="A8" s="207">
        <v>4</v>
      </c>
      <c r="B8" s="943" t="s">
        <v>539</v>
      </c>
      <c r="C8" s="944"/>
      <c r="D8" s="945"/>
      <c r="E8" s="118"/>
      <c r="F8" s="209"/>
    </row>
    <row r="9" spans="1:6" ht="33.950000000000003" customHeight="1" x14ac:dyDescent="0.2">
      <c r="A9" s="207">
        <v>5</v>
      </c>
      <c r="B9" s="943" t="s">
        <v>540</v>
      </c>
      <c r="C9" s="944"/>
      <c r="D9" s="945"/>
      <c r="E9" s="118"/>
      <c r="F9" s="209"/>
    </row>
    <row r="10" spans="1:6" ht="24" customHeight="1" x14ac:dyDescent="0.2">
      <c r="A10" s="207">
        <v>6</v>
      </c>
      <c r="B10" s="934" t="s">
        <v>301</v>
      </c>
      <c r="C10" s="935"/>
      <c r="D10" s="936"/>
      <c r="E10" s="118"/>
      <c r="F10" s="209"/>
    </row>
    <row r="11" spans="1:6" ht="33.950000000000003" customHeight="1" x14ac:dyDescent="0.2">
      <c r="A11" s="210">
        <v>7</v>
      </c>
      <c r="B11" s="943" t="s">
        <v>302</v>
      </c>
      <c r="C11" s="944"/>
      <c r="D11" s="945"/>
      <c r="E11" s="123"/>
      <c r="F11" s="211"/>
    </row>
    <row r="12" spans="1:6" ht="24" customHeight="1" x14ac:dyDescent="0.2">
      <c r="A12" s="212">
        <v>8</v>
      </c>
      <c r="B12" s="934" t="s">
        <v>303</v>
      </c>
      <c r="C12" s="935"/>
      <c r="D12" s="936"/>
      <c r="E12" s="150"/>
      <c r="F12" s="209"/>
    </row>
    <row r="13" spans="1:6" ht="24" customHeight="1" x14ac:dyDescent="0.2">
      <c r="A13" s="210">
        <v>9</v>
      </c>
      <c r="B13" s="949" t="s">
        <v>304</v>
      </c>
      <c r="C13" s="949"/>
      <c r="D13" s="949"/>
      <c r="E13" s="213"/>
      <c r="F13" s="214"/>
    </row>
    <row r="14" spans="1:6" ht="24" customHeight="1" x14ac:dyDescent="0.2">
      <c r="A14" s="210">
        <v>10</v>
      </c>
      <c r="B14" s="949" t="s">
        <v>305</v>
      </c>
      <c r="C14" s="949"/>
      <c r="D14" s="949"/>
      <c r="E14" s="213"/>
      <c r="F14" s="215"/>
    </row>
    <row r="15" spans="1:6" ht="24" customHeight="1" x14ac:dyDescent="0.2">
      <c r="A15" s="210">
        <v>11</v>
      </c>
      <c r="B15" s="949" t="s">
        <v>306</v>
      </c>
      <c r="C15" s="949"/>
      <c r="D15" s="949"/>
      <c r="E15" s="213"/>
      <c r="F15" s="215"/>
    </row>
    <row r="16" spans="1:6" ht="33.950000000000003" customHeight="1" thickBot="1" x14ac:dyDescent="0.25">
      <c r="A16" s="194">
        <v>12</v>
      </c>
      <c r="B16" s="950" t="s">
        <v>567</v>
      </c>
      <c r="C16" s="950"/>
      <c r="D16" s="950"/>
      <c r="E16" s="216"/>
      <c r="F16" s="217"/>
    </row>
    <row r="17" spans="1:6" ht="15" customHeight="1" thickBot="1" x14ac:dyDescent="0.25">
      <c r="A17" s="932" t="s">
        <v>213</v>
      </c>
      <c r="B17" s="933"/>
      <c r="C17" s="933"/>
      <c r="D17" s="933"/>
      <c r="E17" s="933"/>
      <c r="F17" s="933"/>
    </row>
    <row r="18" spans="1:6" ht="24" customHeight="1" x14ac:dyDescent="0.2">
      <c r="A18" s="193">
        <v>13</v>
      </c>
      <c r="B18" s="951" t="s">
        <v>307</v>
      </c>
      <c r="C18" s="952"/>
      <c r="D18" s="953"/>
      <c r="E18" s="160"/>
      <c r="F18" s="218"/>
    </row>
    <row r="19" spans="1:6" ht="24" customHeight="1" x14ac:dyDescent="0.2">
      <c r="A19" s="207" t="s">
        <v>212</v>
      </c>
      <c r="B19" s="934" t="s">
        <v>308</v>
      </c>
      <c r="C19" s="935"/>
      <c r="D19" s="936"/>
      <c r="E19" s="118"/>
      <c r="F19" s="209"/>
    </row>
    <row r="20" spans="1:6" ht="24" customHeight="1" x14ac:dyDescent="0.2">
      <c r="A20" s="207">
        <v>15</v>
      </c>
      <c r="B20" s="943" t="s">
        <v>309</v>
      </c>
      <c r="C20" s="944"/>
      <c r="D20" s="945"/>
      <c r="E20" s="118"/>
      <c r="F20" s="209"/>
    </row>
    <row r="21" spans="1:6" ht="24" customHeight="1" x14ac:dyDescent="0.2">
      <c r="A21" s="207">
        <v>16</v>
      </c>
      <c r="B21" s="934" t="s">
        <v>310</v>
      </c>
      <c r="C21" s="935"/>
      <c r="D21" s="936"/>
      <c r="E21" s="118"/>
      <c r="F21" s="209"/>
    </row>
    <row r="22" spans="1:6" ht="24" customHeight="1" x14ac:dyDescent="0.2">
      <c r="A22" s="207" t="s">
        <v>211</v>
      </c>
      <c r="B22" s="934" t="s">
        <v>311</v>
      </c>
      <c r="C22" s="935"/>
      <c r="D22" s="936"/>
      <c r="E22" s="118"/>
      <c r="F22" s="209"/>
    </row>
    <row r="23" spans="1:6" ht="24" customHeight="1" thickBot="1" x14ac:dyDescent="0.25">
      <c r="A23" s="207">
        <v>18</v>
      </c>
      <c r="B23" s="946" t="s">
        <v>312</v>
      </c>
      <c r="C23" s="947"/>
      <c r="D23" s="948"/>
      <c r="E23" s="118"/>
      <c r="F23" s="209"/>
    </row>
    <row r="24" spans="1:6" ht="15" customHeight="1" thickBot="1" x14ac:dyDescent="0.25">
      <c r="A24" s="932" t="s">
        <v>210</v>
      </c>
      <c r="B24" s="933"/>
      <c r="C24" s="933"/>
      <c r="D24" s="933"/>
      <c r="E24" s="933"/>
      <c r="F24" s="933"/>
    </row>
    <row r="25" spans="1:6" ht="42" customHeight="1" x14ac:dyDescent="0.2">
      <c r="A25" s="193">
        <v>19</v>
      </c>
      <c r="B25" s="929" t="s">
        <v>313</v>
      </c>
      <c r="C25" s="930"/>
      <c r="D25" s="931"/>
      <c r="E25" s="160"/>
      <c r="F25" s="218"/>
    </row>
    <row r="26" spans="1:6" ht="24" customHeight="1" x14ac:dyDescent="0.2">
      <c r="A26" s="207">
        <v>20</v>
      </c>
      <c r="B26" s="934" t="s">
        <v>314</v>
      </c>
      <c r="C26" s="935"/>
      <c r="D26" s="936"/>
      <c r="E26" s="118"/>
      <c r="F26" s="209"/>
    </row>
    <row r="27" spans="1:6" ht="33.950000000000003" customHeight="1" x14ac:dyDescent="0.2">
      <c r="A27" s="210" t="s">
        <v>209</v>
      </c>
      <c r="B27" s="937" t="s">
        <v>315</v>
      </c>
      <c r="C27" s="938"/>
      <c r="D27" s="939"/>
      <c r="E27" s="123"/>
      <c r="F27" s="211"/>
    </row>
    <row r="28" spans="1:6" ht="33.950000000000003" customHeight="1" thickBot="1" x14ac:dyDescent="0.25">
      <c r="A28" s="207">
        <v>22</v>
      </c>
      <c r="B28" s="940" t="s">
        <v>316</v>
      </c>
      <c r="C28" s="941"/>
      <c r="D28" s="942"/>
      <c r="E28" s="118"/>
      <c r="F28" s="209"/>
    </row>
    <row r="29" spans="1:6" ht="15" customHeight="1" thickBot="1" x14ac:dyDescent="0.25">
      <c r="A29" s="932" t="s">
        <v>208</v>
      </c>
      <c r="B29" s="933"/>
      <c r="C29" s="933"/>
      <c r="D29" s="933"/>
      <c r="E29" s="933"/>
      <c r="F29" s="933"/>
    </row>
    <row r="30" spans="1:6" ht="36" customHeight="1" x14ac:dyDescent="0.2">
      <c r="A30" s="193">
        <v>23</v>
      </c>
      <c r="B30" s="929" t="s">
        <v>538</v>
      </c>
      <c r="C30" s="930"/>
      <c r="D30" s="931"/>
      <c r="E30" s="160"/>
      <c r="F30" s="218"/>
    </row>
    <row r="31" spans="1:6" ht="24" customHeight="1" thickBot="1" x14ac:dyDescent="0.25">
      <c r="A31" s="207">
        <v>24</v>
      </c>
      <c r="B31" s="940" t="s">
        <v>541</v>
      </c>
      <c r="C31" s="941"/>
      <c r="D31" s="942"/>
      <c r="E31" s="118"/>
      <c r="F31" s="209"/>
    </row>
    <row r="32" spans="1:6" ht="11.1" customHeight="1" x14ac:dyDescent="0.2">
      <c r="A32" s="899">
        <v>4</v>
      </c>
      <c r="B32" s="899"/>
      <c r="C32" s="899"/>
      <c r="D32" s="899"/>
      <c r="E32" s="899"/>
      <c r="F32" s="899"/>
    </row>
  </sheetData>
  <sheetProtection sheet="1" objects="1" scenarios="1"/>
  <mergeCells count="33">
    <mergeCell ref="B5:D5"/>
    <mergeCell ref="B6:D6"/>
    <mergeCell ref="B7:D7"/>
    <mergeCell ref="B8:D8"/>
    <mergeCell ref="A1:F1"/>
    <mergeCell ref="A2:F2"/>
    <mergeCell ref="A3:A4"/>
    <mergeCell ref="B3:D4"/>
    <mergeCell ref="E3:F3"/>
    <mergeCell ref="B9:D9"/>
    <mergeCell ref="B10:D10"/>
    <mergeCell ref="B23:D23"/>
    <mergeCell ref="B12:D12"/>
    <mergeCell ref="B13:D13"/>
    <mergeCell ref="B14:D14"/>
    <mergeCell ref="B15:D15"/>
    <mergeCell ref="B16:D16"/>
    <mergeCell ref="A17:F17"/>
    <mergeCell ref="B18:D18"/>
    <mergeCell ref="B11:D11"/>
    <mergeCell ref="B19:D19"/>
    <mergeCell ref="B20:D20"/>
    <mergeCell ref="B22:D22"/>
    <mergeCell ref="B21:D21"/>
    <mergeCell ref="B30:D30"/>
    <mergeCell ref="A32:F32"/>
    <mergeCell ref="A24:F24"/>
    <mergeCell ref="B25:D25"/>
    <mergeCell ref="B26:D26"/>
    <mergeCell ref="B27:D27"/>
    <mergeCell ref="B28:D28"/>
    <mergeCell ref="A29:F29"/>
    <mergeCell ref="B31:D31"/>
  </mergeCells>
  <printOptions horizontalCentered="1" verticalCentered="1"/>
  <pageMargins left="0.23622047244094491" right="0.23622047244094491" top="0.23622047244094491" bottom="0.23622047244094491" header="0" footer="0"/>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6">
    <tabColor rgb="FFFF0000"/>
  </sheetPr>
  <dimension ref="A1:J45"/>
  <sheetViews>
    <sheetView workbookViewId="0">
      <selection activeCell="B16" sqref="B16"/>
    </sheetView>
  </sheetViews>
  <sheetFormatPr defaultRowHeight="12.75" x14ac:dyDescent="0.2"/>
  <cols>
    <col min="1" max="1" width="7" style="117" customWidth="1"/>
    <col min="2" max="3" width="12" style="117" customWidth="1"/>
    <col min="4" max="4" width="13.42578125" style="117" customWidth="1"/>
    <col min="5" max="6" width="6.7109375" style="117" customWidth="1"/>
    <col min="7" max="7" width="10" style="117" customWidth="1"/>
    <col min="8" max="8" width="3.42578125" style="117" customWidth="1"/>
    <col min="9" max="9" width="13.42578125" style="117" customWidth="1"/>
    <col min="10" max="10" width="15.7109375" style="117" customWidth="1"/>
    <col min="11" max="16384" width="9.140625" style="117"/>
  </cols>
  <sheetData>
    <row r="1" spans="1:10" ht="12.75" customHeight="1" thickBot="1" x14ac:dyDescent="0.25">
      <c r="A1" s="1012" t="s">
        <v>225</v>
      </c>
      <c r="B1" s="790"/>
      <c r="C1" s="790"/>
      <c r="D1" s="790"/>
      <c r="E1" s="790"/>
      <c r="F1" s="790"/>
      <c r="G1" s="790"/>
      <c r="H1" s="790"/>
      <c r="I1" s="790"/>
      <c r="J1" s="790"/>
    </row>
    <row r="2" spans="1:10" ht="22.5" customHeight="1" x14ac:dyDescent="0.2">
      <c r="A2" s="193">
        <v>25</v>
      </c>
      <c r="B2" s="974" t="s">
        <v>317</v>
      </c>
      <c r="C2" s="975"/>
      <c r="D2" s="975"/>
      <c r="E2" s="975"/>
      <c r="F2" s="975"/>
      <c r="G2" s="975"/>
      <c r="H2" s="976"/>
      <c r="I2" s="196"/>
      <c r="J2" s="121"/>
    </row>
    <row r="3" spans="1:10" ht="22.5" customHeight="1" thickBot="1" x14ac:dyDescent="0.25">
      <c r="A3" s="194">
        <v>26</v>
      </c>
      <c r="B3" s="977" t="s">
        <v>318</v>
      </c>
      <c r="C3" s="978"/>
      <c r="D3" s="978"/>
      <c r="E3" s="978"/>
      <c r="F3" s="978"/>
      <c r="G3" s="978"/>
      <c r="H3" s="979"/>
      <c r="I3" s="199"/>
      <c r="J3" s="119"/>
    </row>
    <row r="4" spans="1:10" ht="12.75" customHeight="1" thickBot="1" x14ac:dyDescent="0.25">
      <c r="A4" s="1013" t="s">
        <v>224</v>
      </c>
      <c r="B4" s="765"/>
      <c r="C4" s="765"/>
      <c r="D4" s="765"/>
      <c r="E4" s="765"/>
      <c r="F4" s="765"/>
      <c r="G4" s="765"/>
      <c r="H4" s="765"/>
      <c r="I4" s="765"/>
      <c r="J4" s="765"/>
    </row>
    <row r="5" spans="1:10" ht="22.5" customHeight="1" x14ac:dyDescent="0.2">
      <c r="A5" s="195">
        <v>27</v>
      </c>
      <c r="B5" s="980" t="s">
        <v>319</v>
      </c>
      <c r="C5" s="981"/>
      <c r="D5" s="981"/>
      <c r="E5" s="981"/>
      <c r="F5" s="981"/>
      <c r="G5" s="981"/>
      <c r="H5" s="982"/>
      <c r="I5" s="196"/>
      <c r="J5" s="121"/>
    </row>
    <row r="6" spans="1:10" ht="22.5" customHeight="1" x14ac:dyDescent="0.2">
      <c r="A6" s="175">
        <v>28</v>
      </c>
      <c r="B6" s="983" t="s">
        <v>320</v>
      </c>
      <c r="C6" s="984"/>
      <c r="D6" s="984"/>
      <c r="E6" s="984"/>
      <c r="F6" s="984"/>
      <c r="G6" s="984"/>
      <c r="H6" s="985"/>
      <c r="I6" s="197"/>
      <c r="J6" s="120"/>
    </row>
    <row r="7" spans="1:10" ht="22.5" customHeight="1" thickBot="1" x14ac:dyDescent="0.25">
      <c r="A7" s="198" t="s">
        <v>223</v>
      </c>
      <c r="B7" s="986" t="s">
        <v>321</v>
      </c>
      <c r="C7" s="987"/>
      <c r="D7" s="987"/>
      <c r="E7" s="987"/>
      <c r="F7" s="987"/>
      <c r="G7" s="987"/>
      <c r="H7" s="988"/>
      <c r="I7" s="199"/>
      <c r="J7" s="119"/>
    </row>
    <row r="8" spans="1:10" ht="12.75" customHeight="1" thickBot="1" x14ac:dyDescent="0.25">
      <c r="A8" s="1012" t="s">
        <v>222</v>
      </c>
      <c r="B8" s="790"/>
      <c r="C8" s="790"/>
      <c r="D8" s="790"/>
      <c r="E8" s="790"/>
      <c r="F8" s="790"/>
      <c r="G8" s="790"/>
      <c r="H8" s="790"/>
      <c r="I8" s="790"/>
      <c r="J8" s="790"/>
    </row>
    <row r="9" spans="1:10" ht="22.5" customHeight="1" x14ac:dyDescent="0.2">
      <c r="A9" s="193">
        <v>30</v>
      </c>
      <c r="B9" s="974" t="s">
        <v>221</v>
      </c>
      <c r="C9" s="975"/>
      <c r="D9" s="975"/>
      <c r="E9" s="975"/>
      <c r="F9" s="975"/>
      <c r="G9" s="975"/>
      <c r="H9" s="976"/>
      <c r="I9" s="196"/>
      <c r="J9" s="121"/>
    </row>
    <row r="10" spans="1:10" ht="22.5" customHeight="1" thickBot="1" x14ac:dyDescent="0.25">
      <c r="A10" s="194">
        <v>31</v>
      </c>
      <c r="B10" s="977" t="s">
        <v>322</v>
      </c>
      <c r="C10" s="978"/>
      <c r="D10" s="978"/>
      <c r="E10" s="978"/>
      <c r="F10" s="978"/>
      <c r="G10" s="978"/>
      <c r="H10" s="979"/>
      <c r="I10" s="199"/>
      <c r="J10" s="119"/>
    </row>
    <row r="11" spans="1:10" ht="15.95" customHeight="1" x14ac:dyDescent="0.2">
      <c r="A11" s="1014" t="s">
        <v>220</v>
      </c>
      <c r="B11" s="897"/>
      <c r="C11" s="897"/>
      <c r="D11" s="897"/>
      <c r="E11" s="897"/>
      <c r="F11" s="897"/>
      <c r="G11" s="897"/>
      <c r="H11" s="897"/>
      <c r="I11" s="897"/>
      <c r="J11" s="897"/>
    </row>
    <row r="12" spans="1:10" s="124" customFormat="1" ht="15.75" customHeight="1" thickBot="1" x14ac:dyDescent="0.25">
      <c r="A12" s="928" t="s">
        <v>447</v>
      </c>
      <c r="B12" s="816"/>
      <c r="C12" s="816"/>
      <c r="D12" s="816"/>
      <c r="E12" s="816"/>
      <c r="F12" s="816"/>
      <c r="G12" s="816"/>
      <c r="H12" s="816"/>
      <c r="I12" s="816"/>
      <c r="J12" s="816"/>
    </row>
    <row r="13" spans="1:10" s="200" customFormat="1" ht="12" customHeight="1" x14ac:dyDescent="0.2">
      <c r="A13" s="866" t="s">
        <v>190</v>
      </c>
      <c r="B13" s="1002" t="s">
        <v>662</v>
      </c>
      <c r="C13" s="1003"/>
      <c r="D13" s="1002" t="s">
        <v>663</v>
      </c>
      <c r="E13" s="995" t="s">
        <v>219</v>
      </c>
      <c r="F13" s="996"/>
      <c r="G13" s="996"/>
      <c r="H13" s="996"/>
      <c r="I13" s="996"/>
      <c r="J13" s="1015" t="s">
        <v>666</v>
      </c>
    </row>
    <row r="14" spans="1:10" ht="52.5" customHeight="1" x14ac:dyDescent="0.2">
      <c r="A14" s="1001"/>
      <c r="B14" s="1004"/>
      <c r="C14" s="1005"/>
      <c r="D14" s="1007"/>
      <c r="E14" s="989" t="s">
        <v>542</v>
      </c>
      <c r="F14" s="990"/>
      <c r="G14" s="989" t="s">
        <v>664</v>
      </c>
      <c r="H14" s="990"/>
      <c r="I14" s="201" t="s">
        <v>665</v>
      </c>
      <c r="J14" s="1016"/>
    </row>
    <row r="15" spans="1:10" ht="14.1" customHeight="1" x14ac:dyDescent="0.2">
      <c r="A15" s="175">
        <v>0</v>
      </c>
      <c r="B15" s="966">
        <v>1</v>
      </c>
      <c r="C15" s="998"/>
      <c r="D15" s="203">
        <v>2</v>
      </c>
      <c r="E15" s="966">
        <v>3</v>
      </c>
      <c r="F15" s="967"/>
      <c r="G15" s="966">
        <v>4</v>
      </c>
      <c r="H15" s="967"/>
      <c r="I15" s="203">
        <v>5</v>
      </c>
      <c r="J15" s="147">
        <v>6</v>
      </c>
    </row>
    <row r="16" spans="1:10" ht="15" customHeight="1" x14ac:dyDescent="0.2">
      <c r="A16" s="175">
        <v>1</v>
      </c>
      <c r="B16" s="500"/>
      <c r="C16" s="501"/>
      <c r="D16" s="502"/>
      <c r="E16" s="964"/>
      <c r="F16" s="965"/>
      <c r="G16" s="964"/>
      <c r="H16" s="965"/>
      <c r="I16" s="197" t="str">
        <f>IF(D16&gt;0,D16-E16-G16,"")</f>
        <v/>
      </c>
      <c r="J16" s="122"/>
    </row>
    <row r="17" spans="1:10" ht="15" customHeight="1" x14ac:dyDescent="0.2">
      <c r="A17" s="175">
        <v>2</v>
      </c>
      <c r="B17" s="500"/>
      <c r="C17" s="500"/>
      <c r="D17" s="502"/>
      <c r="E17" s="964"/>
      <c r="F17" s="965"/>
      <c r="G17" s="964"/>
      <c r="H17" s="965"/>
      <c r="I17" s="197" t="str">
        <f t="shared" ref="I17:I23" si="0">IF(D17&gt;0,D17-E17-G17,"")</f>
        <v/>
      </c>
      <c r="J17" s="122"/>
    </row>
    <row r="18" spans="1:10" ht="15" customHeight="1" x14ac:dyDescent="0.2">
      <c r="A18" s="175">
        <v>3</v>
      </c>
      <c r="B18" s="500"/>
      <c r="C18" s="500"/>
      <c r="D18" s="502"/>
      <c r="E18" s="964"/>
      <c r="F18" s="965"/>
      <c r="G18" s="964"/>
      <c r="H18" s="965"/>
      <c r="I18" s="197" t="str">
        <f t="shared" si="0"/>
        <v/>
      </c>
      <c r="J18" s="122"/>
    </row>
    <row r="19" spans="1:10" ht="15" customHeight="1" x14ac:dyDescent="0.2">
      <c r="A19" s="175">
        <v>4</v>
      </c>
      <c r="B19" s="500"/>
      <c r="C19" s="500"/>
      <c r="D19" s="502"/>
      <c r="E19" s="964"/>
      <c r="F19" s="965"/>
      <c r="G19" s="964"/>
      <c r="H19" s="965"/>
      <c r="I19" s="197" t="str">
        <f t="shared" si="0"/>
        <v/>
      </c>
      <c r="J19" s="122"/>
    </row>
    <row r="20" spans="1:10" ht="15" customHeight="1" x14ac:dyDescent="0.2">
      <c r="A20" s="175">
        <v>5</v>
      </c>
      <c r="B20" s="500"/>
      <c r="C20" s="500"/>
      <c r="D20" s="502"/>
      <c r="E20" s="964"/>
      <c r="F20" s="965"/>
      <c r="G20" s="964"/>
      <c r="H20" s="965"/>
      <c r="I20" s="197" t="str">
        <f t="shared" si="0"/>
        <v/>
      </c>
      <c r="J20" s="122"/>
    </row>
    <row r="21" spans="1:10" ht="15" customHeight="1" x14ac:dyDescent="0.2">
      <c r="A21" s="175">
        <v>6</v>
      </c>
      <c r="B21" s="500"/>
      <c r="C21" s="500"/>
      <c r="D21" s="502"/>
      <c r="E21" s="964"/>
      <c r="F21" s="965"/>
      <c r="G21" s="964"/>
      <c r="H21" s="965"/>
      <c r="I21" s="197" t="str">
        <f t="shared" si="0"/>
        <v/>
      </c>
      <c r="J21" s="122"/>
    </row>
    <row r="22" spans="1:10" ht="15" customHeight="1" x14ac:dyDescent="0.2">
      <c r="A22" s="175">
        <v>7</v>
      </c>
      <c r="B22" s="500"/>
      <c r="C22" s="500"/>
      <c r="D22" s="502"/>
      <c r="E22" s="964"/>
      <c r="F22" s="965"/>
      <c r="G22" s="964"/>
      <c r="H22" s="965"/>
      <c r="I22" s="197" t="str">
        <f t="shared" si="0"/>
        <v/>
      </c>
      <c r="J22" s="122"/>
    </row>
    <row r="23" spans="1:10" ht="15" customHeight="1" x14ac:dyDescent="0.2">
      <c r="A23" s="175">
        <v>8</v>
      </c>
      <c r="B23" s="500"/>
      <c r="C23" s="500"/>
      <c r="D23" s="502"/>
      <c r="E23" s="964"/>
      <c r="F23" s="965"/>
      <c r="G23" s="964"/>
      <c r="H23" s="965"/>
      <c r="I23" s="197" t="str">
        <f t="shared" si="0"/>
        <v/>
      </c>
      <c r="J23" s="122"/>
    </row>
    <row r="24" spans="1:10" ht="15" customHeight="1" thickBot="1" x14ac:dyDescent="0.25">
      <c r="A24" s="173"/>
      <c r="B24" s="971" t="s">
        <v>204</v>
      </c>
      <c r="C24" s="972"/>
      <c r="D24" s="972"/>
      <c r="E24" s="972"/>
      <c r="F24" s="973"/>
      <c r="G24" s="993">
        <f>SUM(G16:H23)</f>
        <v>0</v>
      </c>
      <c r="H24" s="994"/>
      <c r="I24" s="199">
        <f>SUM(I16:I23)</f>
        <v>0</v>
      </c>
      <c r="J24" s="206"/>
    </row>
    <row r="25" spans="1:10" ht="15" customHeight="1" x14ac:dyDescent="0.2">
      <c r="A25" s="913" t="s">
        <v>218</v>
      </c>
      <c r="B25" s="1009"/>
      <c r="C25" s="1009"/>
      <c r="D25" s="1009"/>
      <c r="E25" s="1009"/>
      <c r="F25" s="1009"/>
      <c r="G25" s="1009"/>
      <c r="H25" s="1009"/>
      <c r="I25" s="1009"/>
      <c r="J25" s="1009"/>
    </row>
    <row r="26" spans="1:10" ht="12" customHeight="1" x14ac:dyDescent="0.2">
      <c r="A26" s="1010" t="s">
        <v>217</v>
      </c>
      <c r="B26" s="1011"/>
      <c r="C26" s="1011"/>
      <c r="D26" s="1011"/>
      <c r="E26" s="1011"/>
      <c r="F26" s="1011"/>
      <c r="G26" s="1011"/>
      <c r="H26" s="1011"/>
      <c r="I26" s="1011"/>
      <c r="J26" s="1011"/>
    </row>
    <row r="27" spans="1:10" ht="12" customHeight="1" thickBot="1" x14ac:dyDescent="0.25">
      <c r="A27" s="1000" t="s">
        <v>341</v>
      </c>
      <c r="B27" s="790"/>
      <c r="C27" s="790"/>
      <c r="D27" s="790"/>
      <c r="E27" s="790"/>
      <c r="F27" s="790"/>
      <c r="G27" s="790"/>
      <c r="H27" s="790"/>
      <c r="I27" s="790"/>
      <c r="J27" s="790"/>
    </row>
    <row r="28" spans="1:10" ht="15" customHeight="1" x14ac:dyDescent="0.2">
      <c r="A28" s="866" t="s">
        <v>190</v>
      </c>
      <c r="B28" s="1002" t="s">
        <v>448</v>
      </c>
      <c r="C28" s="1003"/>
      <c r="D28" s="1002" t="s">
        <v>667</v>
      </c>
      <c r="E28" s="1006"/>
      <c r="F28" s="995" t="s">
        <v>216</v>
      </c>
      <c r="G28" s="996"/>
      <c r="H28" s="996"/>
      <c r="I28" s="996"/>
      <c r="J28" s="997"/>
    </row>
    <row r="29" spans="1:10" ht="48" customHeight="1" x14ac:dyDescent="0.2">
      <c r="A29" s="1001"/>
      <c r="B29" s="1004"/>
      <c r="C29" s="1005"/>
      <c r="D29" s="1007"/>
      <c r="E29" s="1008"/>
      <c r="F29" s="989" t="s">
        <v>338</v>
      </c>
      <c r="G29" s="990"/>
      <c r="H29" s="989" t="s">
        <v>669</v>
      </c>
      <c r="I29" s="990"/>
      <c r="J29" s="202" t="s">
        <v>339</v>
      </c>
    </row>
    <row r="30" spans="1:10" x14ac:dyDescent="0.2">
      <c r="A30" s="175">
        <v>0</v>
      </c>
      <c r="B30" s="966">
        <v>1</v>
      </c>
      <c r="C30" s="998"/>
      <c r="D30" s="966">
        <v>2</v>
      </c>
      <c r="E30" s="967"/>
      <c r="F30" s="966">
        <v>3</v>
      </c>
      <c r="G30" s="967"/>
      <c r="H30" s="966">
        <v>4</v>
      </c>
      <c r="I30" s="967"/>
      <c r="J30" s="147">
        <v>5</v>
      </c>
    </row>
    <row r="31" spans="1:10" ht="15" customHeight="1" x14ac:dyDescent="0.2">
      <c r="A31" s="175">
        <v>1</v>
      </c>
      <c r="B31" s="204"/>
      <c r="C31" s="205"/>
      <c r="D31" s="991"/>
      <c r="E31" s="992"/>
      <c r="F31" s="991"/>
      <c r="G31" s="992"/>
      <c r="H31" s="991"/>
      <c r="I31" s="992"/>
      <c r="J31" s="122"/>
    </row>
    <row r="32" spans="1:10" ht="15" customHeight="1" x14ac:dyDescent="0.2">
      <c r="A32" s="175">
        <v>2</v>
      </c>
      <c r="B32" s="204"/>
      <c r="C32" s="204"/>
      <c r="D32" s="991"/>
      <c r="E32" s="992"/>
      <c r="F32" s="991"/>
      <c r="G32" s="992"/>
      <c r="H32" s="991"/>
      <c r="I32" s="992"/>
      <c r="J32" s="122"/>
    </row>
    <row r="33" spans="1:10" ht="15" customHeight="1" x14ac:dyDescent="0.2">
      <c r="A33" s="175">
        <v>3</v>
      </c>
      <c r="B33" s="204"/>
      <c r="C33" s="204"/>
      <c r="D33" s="991"/>
      <c r="E33" s="992"/>
      <c r="F33" s="991"/>
      <c r="G33" s="992"/>
      <c r="H33" s="991"/>
      <c r="I33" s="992"/>
      <c r="J33" s="122"/>
    </row>
    <row r="34" spans="1:10" ht="15" customHeight="1" x14ac:dyDescent="0.2">
      <c r="A34" s="175">
        <v>4</v>
      </c>
      <c r="B34" s="204"/>
      <c r="C34" s="204"/>
      <c r="D34" s="991"/>
      <c r="E34" s="992"/>
      <c r="F34" s="991"/>
      <c r="G34" s="992"/>
      <c r="H34" s="991"/>
      <c r="I34" s="992"/>
      <c r="J34" s="122"/>
    </row>
    <row r="35" spans="1:10" ht="15" customHeight="1" thickBot="1" x14ac:dyDescent="0.25">
      <c r="A35" s="173">
        <v>5</v>
      </c>
      <c r="B35" s="968" t="s">
        <v>204</v>
      </c>
      <c r="C35" s="999"/>
      <c r="D35" s="999"/>
      <c r="E35" s="999"/>
      <c r="F35" s="411"/>
      <c r="G35" s="411"/>
      <c r="H35" s="993"/>
      <c r="I35" s="994"/>
      <c r="J35" s="206"/>
    </row>
    <row r="36" spans="1:10" ht="15" customHeight="1" thickBot="1" x14ac:dyDescent="0.25">
      <c r="A36" s="1000" t="s">
        <v>340</v>
      </c>
      <c r="B36" s="790"/>
      <c r="C36" s="790"/>
      <c r="D36" s="790"/>
      <c r="E36" s="790"/>
      <c r="F36" s="790"/>
      <c r="G36" s="790"/>
      <c r="H36" s="790"/>
      <c r="I36" s="790"/>
      <c r="J36" s="790"/>
    </row>
    <row r="37" spans="1:10" ht="15" customHeight="1" x14ac:dyDescent="0.2">
      <c r="A37" s="866" t="s">
        <v>190</v>
      </c>
      <c r="B37" s="1002" t="s">
        <v>449</v>
      </c>
      <c r="C37" s="1003"/>
      <c r="D37" s="1002" t="s">
        <v>668</v>
      </c>
      <c r="E37" s="1006"/>
      <c r="F37" s="995" t="s">
        <v>216</v>
      </c>
      <c r="G37" s="996"/>
      <c r="H37" s="996"/>
      <c r="I37" s="996"/>
      <c r="J37" s="997"/>
    </row>
    <row r="38" spans="1:10" ht="48" customHeight="1" x14ac:dyDescent="0.2">
      <c r="A38" s="1001"/>
      <c r="B38" s="1004"/>
      <c r="C38" s="1005"/>
      <c r="D38" s="1007"/>
      <c r="E38" s="1008"/>
      <c r="F38" s="989" t="s">
        <v>338</v>
      </c>
      <c r="G38" s="990"/>
      <c r="H38" s="989" t="s">
        <v>669</v>
      </c>
      <c r="I38" s="990"/>
      <c r="J38" s="202" t="s">
        <v>339</v>
      </c>
    </row>
    <row r="39" spans="1:10" ht="12.95" customHeight="1" x14ac:dyDescent="0.2">
      <c r="A39" s="175">
        <v>0</v>
      </c>
      <c r="B39" s="966">
        <v>1</v>
      </c>
      <c r="C39" s="998"/>
      <c r="D39" s="966">
        <v>2</v>
      </c>
      <c r="E39" s="967"/>
      <c r="F39" s="966">
        <v>3</v>
      </c>
      <c r="G39" s="967"/>
      <c r="H39" s="966">
        <v>4</v>
      </c>
      <c r="I39" s="967"/>
      <c r="J39" s="147">
        <v>5</v>
      </c>
    </row>
    <row r="40" spans="1:10" ht="15" customHeight="1" x14ac:dyDescent="0.2">
      <c r="A40" s="175">
        <v>1</v>
      </c>
      <c r="B40" s="204"/>
      <c r="C40" s="205"/>
      <c r="D40" s="991"/>
      <c r="E40" s="992"/>
      <c r="F40" s="991"/>
      <c r="G40" s="992"/>
      <c r="H40" s="991"/>
      <c r="I40" s="992"/>
      <c r="J40" s="122"/>
    </row>
    <row r="41" spans="1:10" ht="15" customHeight="1" x14ac:dyDescent="0.2">
      <c r="A41" s="175">
        <v>2</v>
      </c>
      <c r="B41" s="204"/>
      <c r="C41" s="204"/>
      <c r="D41" s="991"/>
      <c r="E41" s="992"/>
      <c r="F41" s="991"/>
      <c r="G41" s="992"/>
      <c r="H41" s="991"/>
      <c r="I41" s="992"/>
      <c r="J41" s="122"/>
    </row>
    <row r="42" spans="1:10" ht="15" customHeight="1" x14ac:dyDescent="0.2">
      <c r="A42" s="175">
        <v>3</v>
      </c>
      <c r="B42" s="204"/>
      <c r="C42" s="204"/>
      <c r="D42" s="991"/>
      <c r="E42" s="992"/>
      <c r="F42" s="991"/>
      <c r="G42" s="992"/>
      <c r="H42" s="991"/>
      <c r="I42" s="992"/>
      <c r="J42" s="122"/>
    </row>
    <row r="43" spans="1:10" ht="15" customHeight="1" x14ac:dyDescent="0.2">
      <c r="A43" s="175">
        <v>4</v>
      </c>
      <c r="B43" s="204"/>
      <c r="C43" s="204"/>
      <c r="D43" s="991"/>
      <c r="E43" s="992"/>
      <c r="F43" s="991"/>
      <c r="G43" s="992"/>
      <c r="H43" s="991"/>
      <c r="I43" s="992"/>
      <c r="J43" s="122"/>
    </row>
    <row r="44" spans="1:10" ht="15" customHeight="1" thickBot="1" x14ac:dyDescent="0.25">
      <c r="A44" s="173">
        <v>5</v>
      </c>
      <c r="B44" s="968" t="s">
        <v>204</v>
      </c>
      <c r="C44" s="969"/>
      <c r="D44" s="969"/>
      <c r="E44" s="969"/>
      <c r="F44" s="969"/>
      <c r="G44" s="970"/>
      <c r="H44" s="991"/>
      <c r="I44" s="992"/>
      <c r="J44" s="206"/>
    </row>
    <row r="45" spans="1:10" ht="12" customHeight="1" x14ac:dyDescent="0.2">
      <c r="A45" s="899">
        <v>5</v>
      </c>
      <c r="B45" s="900"/>
      <c r="C45" s="900"/>
      <c r="D45" s="900"/>
      <c r="E45" s="900"/>
      <c r="F45" s="900"/>
      <c r="G45" s="900"/>
      <c r="H45" s="900"/>
      <c r="I45" s="900"/>
      <c r="J45" s="900"/>
    </row>
  </sheetData>
  <sheetProtection sheet="1" objects="1" scenarios="1"/>
  <mergeCells count="93">
    <mergeCell ref="H38:I38"/>
    <mergeCell ref="G24:H24"/>
    <mergeCell ref="F29:G29"/>
    <mergeCell ref="A1:J1"/>
    <mergeCell ref="A4:J4"/>
    <mergeCell ref="A12:J12"/>
    <mergeCell ref="A13:A14"/>
    <mergeCell ref="B13:C14"/>
    <mergeCell ref="D13:D14"/>
    <mergeCell ref="A8:J8"/>
    <mergeCell ref="A11:J11"/>
    <mergeCell ref="E13:I13"/>
    <mergeCell ref="J13:J14"/>
    <mergeCell ref="E14:F14"/>
    <mergeCell ref="G14:H14"/>
    <mergeCell ref="G15:H15"/>
    <mergeCell ref="B39:C39"/>
    <mergeCell ref="A28:A29"/>
    <mergeCell ref="B28:C29"/>
    <mergeCell ref="E15:F15"/>
    <mergeCell ref="E16:F16"/>
    <mergeCell ref="E17:F17"/>
    <mergeCell ref="E18:F18"/>
    <mergeCell ref="E19:F19"/>
    <mergeCell ref="E20:F20"/>
    <mergeCell ref="F30:G30"/>
    <mergeCell ref="B15:C15"/>
    <mergeCell ref="A25:J25"/>
    <mergeCell ref="A26:J26"/>
    <mergeCell ref="A27:J27"/>
    <mergeCell ref="D28:E29"/>
    <mergeCell ref="F38:G38"/>
    <mergeCell ref="A45:J45"/>
    <mergeCell ref="B30:C30"/>
    <mergeCell ref="B35:E35"/>
    <mergeCell ref="A36:J36"/>
    <mergeCell ref="A37:A38"/>
    <mergeCell ref="B37:C38"/>
    <mergeCell ref="D39:E39"/>
    <mergeCell ref="F39:G39"/>
    <mergeCell ref="H39:I39"/>
    <mergeCell ref="D40:E40"/>
    <mergeCell ref="D41:E41"/>
    <mergeCell ref="D42:E42"/>
    <mergeCell ref="D43:E43"/>
    <mergeCell ref="D37:E38"/>
    <mergeCell ref="D30:E30"/>
    <mergeCell ref="F37:J37"/>
    <mergeCell ref="D32:E32"/>
    <mergeCell ref="D33:E33"/>
    <mergeCell ref="D34:E34"/>
    <mergeCell ref="F31:G31"/>
    <mergeCell ref="F32:G32"/>
    <mergeCell ref="F33:G33"/>
    <mergeCell ref="F34:G34"/>
    <mergeCell ref="H31:I31"/>
    <mergeCell ref="E21:F21"/>
    <mergeCell ref="E22:F22"/>
    <mergeCell ref="E23:F23"/>
    <mergeCell ref="F28:J28"/>
    <mergeCell ref="D31:E31"/>
    <mergeCell ref="G18:H18"/>
    <mergeCell ref="H29:I29"/>
    <mergeCell ref="G16:H16"/>
    <mergeCell ref="H44:I44"/>
    <mergeCell ref="H35:I35"/>
    <mergeCell ref="H34:I34"/>
    <mergeCell ref="H33:I33"/>
    <mergeCell ref="H32:I32"/>
    <mergeCell ref="F40:G40"/>
    <mergeCell ref="F41:G41"/>
    <mergeCell ref="F42:G42"/>
    <mergeCell ref="F43:G43"/>
    <mergeCell ref="H43:I43"/>
    <mergeCell ref="H42:I42"/>
    <mergeCell ref="H41:I41"/>
    <mergeCell ref="H40:I40"/>
    <mergeCell ref="G17:H17"/>
    <mergeCell ref="H30:I30"/>
    <mergeCell ref="B44:G44"/>
    <mergeCell ref="B24:F24"/>
    <mergeCell ref="B2:H2"/>
    <mergeCell ref="B3:H3"/>
    <mergeCell ref="B5:H5"/>
    <mergeCell ref="B6:H6"/>
    <mergeCell ref="B7:H7"/>
    <mergeCell ref="B9:H9"/>
    <mergeCell ref="B10:H10"/>
    <mergeCell ref="G23:H23"/>
    <mergeCell ref="G22:H22"/>
    <mergeCell ref="G21:H21"/>
    <mergeCell ref="G20:H20"/>
    <mergeCell ref="G19:H19"/>
  </mergeCells>
  <printOptions horizontalCentered="1" verticalCentered="1"/>
  <pageMargins left="0.23622047244094491" right="0.23622047244094491" top="0.23622047244094491" bottom="0.23622047244094491" header="0" footer="0"/>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7">
    <tabColor rgb="FFFF0000"/>
  </sheetPr>
  <dimension ref="A1:E39"/>
  <sheetViews>
    <sheetView workbookViewId="0">
      <selection sqref="A1:E1"/>
    </sheetView>
  </sheetViews>
  <sheetFormatPr defaultRowHeight="12.75" x14ac:dyDescent="0.2"/>
  <cols>
    <col min="1" max="1" width="6.7109375" style="117" customWidth="1"/>
    <col min="2" max="2" width="39.140625" style="117" customWidth="1"/>
    <col min="3" max="5" width="17.7109375" style="117" customWidth="1"/>
    <col min="6" max="16384" width="9.140625" style="117"/>
  </cols>
  <sheetData>
    <row r="1" spans="1:5" ht="26.1" customHeight="1" thickBot="1" x14ac:dyDescent="0.25">
      <c r="A1" s="1026" t="s">
        <v>450</v>
      </c>
      <c r="B1" s="1027"/>
      <c r="C1" s="1027"/>
      <c r="D1" s="1027"/>
      <c r="E1" s="1027"/>
    </row>
    <row r="2" spans="1:5" ht="12" customHeight="1" x14ac:dyDescent="0.2">
      <c r="A2" s="916" t="s">
        <v>190</v>
      </c>
      <c r="B2" s="918" t="s">
        <v>189</v>
      </c>
      <c r="C2" s="1023"/>
      <c r="D2" s="922" t="s">
        <v>188</v>
      </c>
      <c r="E2" s="1020"/>
    </row>
    <row r="3" spans="1:5" ht="12" customHeight="1" x14ac:dyDescent="0.2">
      <c r="A3" s="1017"/>
      <c r="B3" s="920"/>
      <c r="C3" s="921"/>
      <c r="D3" s="171" t="s">
        <v>187</v>
      </c>
      <c r="E3" s="172" t="s">
        <v>186</v>
      </c>
    </row>
    <row r="4" spans="1:5" ht="36" customHeight="1" x14ac:dyDescent="0.2">
      <c r="A4" s="152">
        <v>1</v>
      </c>
      <c r="B4" s="842" t="s">
        <v>451</v>
      </c>
      <c r="C4" s="1028"/>
      <c r="D4" s="118"/>
      <c r="E4" s="151"/>
    </row>
    <row r="5" spans="1:5" ht="27" customHeight="1" thickBot="1" x14ac:dyDescent="0.25">
      <c r="A5" s="173">
        <v>2</v>
      </c>
      <c r="B5" s="1024" t="s">
        <v>200</v>
      </c>
      <c r="C5" s="1025"/>
      <c r="D5" s="297" t="s">
        <v>129</v>
      </c>
      <c r="E5" s="298" t="s">
        <v>129</v>
      </c>
    </row>
    <row r="6" spans="1:5" ht="12" customHeight="1" thickBot="1" x14ac:dyDescent="0.25">
      <c r="A6" s="1021" t="s">
        <v>253</v>
      </c>
      <c r="B6" s="1022"/>
      <c r="C6" s="1022"/>
      <c r="D6" s="1022"/>
      <c r="E6" s="1022"/>
    </row>
    <row r="7" spans="1:5" ht="12" customHeight="1" x14ac:dyDescent="0.2">
      <c r="A7" s="916" t="s">
        <v>190</v>
      </c>
      <c r="B7" s="918" t="s">
        <v>189</v>
      </c>
      <c r="C7" s="1023"/>
      <c r="D7" s="922" t="s">
        <v>188</v>
      </c>
      <c r="E7" s="1020"/>
    </row>
    <row r="8" spans="1:5" ht="12" customHeight="1" x14ac:dyDescent="0.2">
      <c r="A8" s="1017"/>
      <c r="B8" s="920"/>
      <c r="C8" s="921"/>
      <c r="D8" s="171" t="s">
        <v>187</v>
      </c>
      <c r="E8" s="172" t="s">
        <v>186</v>
      </c>
    </row>
    <row r="9" spans="1:5" ht="17.100000000000001" customHeight="1" x14ac:dyDescent="0.2">
      <c r="A9" s="175">
        <v>1</v>
      </c>
      <c r="B9" s="848" t="s">
        <v>252</v>
      </c>
      <c r="C9" s="850"/>
      <c r="D9" s="118"/>
      <c r="E9" s="176"/>
    </row>
    <row r="10" spans="1:5" ht="17.100000000000001" customHeight="1" x14ac:dyDescent="0.2">
      <c r="A10" s="175">
        <v>2</v>
      </c>
      <c r="B10" s="848" t="s">
        <v>251</v>
      </c>
      <c r="C10" s="850"/>
      <c r="D10" s="118"/>
      <c r="E10" s="176"/>
    </row>
    <row r="11" spans="1:5" ht="17.100000000000001" customHeight="1" x14ac:dyDescent="0.2">
      <c r="A11" s="177">
        <v>3</v>
      </c>
      <c r="B11" s="848" t="s">
        <v>200</v>
      </c>
      <c r="C11" s="850"/>
      <c r="D11" s="123" t="s">
        <v>129</v>
      </c>
      <c r="E11" s="122" t="s">
        <v>129</v>
      </c>
    </row>
    <row r="12" spans="1:5" ht="17.100000000000001" customHeight="1" x14ac:dyDescent="0.2">
      <c r="A12" s="152">
        <v>4</v>
      </c>
      <c r="B12" s="848" t="s">
        <v>250</v>
      </c>
      <c r="C12" s="850"/>
      <c r="D12" s="118">
        <f>SUM(D9:D10)</f>
        <v>0</v>
      </c>
      <c r="E12" s="151"/>
    </row>
    <row r="13" spans="1:5" ht="17.100000000000001" customHeight="1" thickBot="1" x14ac:dyDescent="0.25">
      <c r="A13" s="173" t="s">
        <v>249</v>
      </c>
      <c r="B13" s="892" t="s">
        <v>248</v>
      </c>
      <c r="C13" s="905"/>
      <c r="D13" s="137"/>
      <c r="E13" s="174"/>
    </row>
    <row r="14" spans="1:5" ht="14.25" thickBot="1" x14ac:dyDescent="0.25">
      <c r="A14" s="1029" t="s">
        <v>247</v>
      </c>
      <c r="B14" s="790"/>
      <c r="C14" s="1030" t="s">
        <v>452</v>
      </c>
      <c r="D14" s="1031"/>
      <c r="E14" s="178"/>
    </row>
    <row r="15" spans="1:5" ht="12" customHeight="1" x14ac:dyDescent="0.2">
      <c r="A15" s="916" t="s">
        <v>190</v>
      </c>
      <c r="B15" s="918" t="s">
        <v>189</v>
      </c>
      <c r="C15" s="1023"/>
      <c r="D15" s="922" t="s">
        <v>188</v>
      </c>
      <c r="E15" s="1020"/>
    </row>
    <row r="16" spans="1:5" ht="12" customHeight="1" x14ac:dyDescent="0.2">
      <c r="A16" s="1017"/>
      <c r="B16" s="920"/>
      <c r="C16" s="921"/>
      <c r="D16" s="171" t="s">
        <v>187</v>
      </c>
      <c r="E16" s="172" t="s">
        <v>186</v>
      </c>
    </row>
    <row r="17" spans="1:5" ht="26.1" customHeight="1" x14ac:dyDescent="0.2">
      <c r="A17" s="177" t="s">
        <v>246</v>
      </c>
      <c r="B17" s="845" t="s">
        <v>245</v>
      </c>
      <c r="C17" s="847"/>
      <c r="D17" s="179"/>
      <c r="E17" s="176"/>
    </row>
    <row r="18" spans="1:5" ht="26.1" customHeight="1" x14ac:dyDescent="0.2">
      <c r="A18" s="177" t="s">
        <v>244</v>
      </c>
      <c r="B18" s="845" t="s">
        <v>243</v>
      </c>
      <c r="C18" s="847"/>
      <c r="D18" s="180"/>
      <c r="E18" s="151"/>
    </row>
    <row r="19" spans="1:5" ht="26.1" customHeight="1" x14ac:dyDescent="0.2">
      <c r="A19" s="177" t="s">
        <v>242</v>
      </c>
      <c r="B19" s="845" t="s">
        <v>241</v>
      </c>
      <c r="C19" s="847"/>
      <c r="D19" s="180"/>
      <c r="E19" s="151"/>
    </row>
    <row r="20" spans="1:5" ht="26.1" customHeight="1" x14ac:dyDescent="0.2">
      <c r="A20" s="177">
        <v>4</v>
      </c>
      <c r="B20" s="845" t="s">
        <v>323</v>
      </c>
      <c r="C20" s="847"/>
      <c r="D20" s="180"/>
      <c r="E20" s="151"/>
    </row>
    <row r="21" spans="1:5" ht="35.1" customHeight="1" thickBot="1" x14ac:dyDescent="0.25">
      <c r="A21" s="177">
        <v>5</v>
      </c>
      <c r="B21" s="845" t="s">
        <v>240</v>
      </c>
      <c r="C21" s="847"/>
      <c r="D21" s="180"/>
      <c r="E21" s="151"/>
    </row>
    <row r="22" spans="1:5" ht="14.25" thickBot="1" x14ac:dyDescent="0.25">
      <c r="A22" s="1021" t="s">
        <v>239</v>
      </c>
      <c r="B22" s="765"/>
      <c r="C22" s="765"/>
      <c r="D22" s="765"/>
      <c r="E22" s="765"/>
    </row>
    <row r="23" spans="1:5" ht="34.5" customHeight="1" x14ac:dyDescent="0.2">
      <c r="A23" s="299" t="s">
        <v>190</v>
      </c>
      <c r="B23" s="300" t="s">
        <v>453</v>
      </c>
      <c r="C23" s="300" t="s">
        <v>454</v>
      </c>
      <c r="D23" s="300" t="s">
        <v>455</v>
      </c>
      <c r="E23" s="301" t="s">
        <v>456</v>
      </c>
    </row>
    <row r="24" spans="1:5" ht="12" customHeight="1" x14ac:dyDescent="0.2">
      <c r="A24" s="175">
        <v>0</v>
      </c>
      <c r="B24" s="181">
        <v>1</v>
      </c>
      <c r="C24" s="181">
        <v>2</v>
      </c>
      <c r="D24" s="181">
        <v>3</v>
      </c>
      <c r="E24" s="147">
        <v>4</v>
      </c>
    </row>
    <row r="25" spans="1:5" ht="17.100000000000001" customHeight="1" x14ac:dyDescent="0.2">
      <c r="A25" s="182">
        <v>1</v>
      </c>
      <c r="B25" s="156" t="s">
        <v>238</v>
      </c>
      <c r="C25" s="123"/>
      <c r="D25" s="123"/>
      <c r="E25" s="122"/>
    </row>
    <row r="26" spans="1:5" ht="26.1" customHeight="1" x14ac:dyDescent="0.2">
      <c r="A26" s="152">
        <v>2</v>
      </c>
      <c r="B26" s="154" t="s">
        <v>457</v>
      </c>
      <c r="C26" s="123"/>
      <c r="D26" s="123"/>
      <c r="E26" s="122"/>
    </row>
    <row r="27" spans="1:5" ht="26.1" customHeight="1" x14ac:dyDescent="0.2">
      <c r="A27" s="152">
        <v>3</v>
      </c>
      <c r="B27" s="162" t="s">
        <v>237</v>
      </c>
      <c r="C27" s="123"/>
      <c r="D27" s="123"/>
      <c r="E27" s="122"/>
    </row>
    <row r="28" spans="1:5" ht="26.1" customHeight="1" x14ac:dyDescent="0.2">
      <c r="A28" s="152">
        <v>4</v>
      </c>
      <c r="B28" s="154" t="s">
        <v>236</v>
      </c>
      <c r="C28" s="123"/>
      <c r="D28" s="123"/>
      <c r="E28" s="122"/>
    </row>
    <row r="29" spans="1:5" ht="26.1" customHeight="1" x14ac:dyDescent="0.2">
      <c r="A29" s="152">
        <v>5</v>
      </c>
      <c r="B29" s="155" t="s">
        <v>235</v>
      </c>
      <c r="C29" s="123"/>
      <c r="D29" s="123"/>
      <c r="E29" s="122"/>
    </row>
    <row r="30" spans="1:5" ht="25.5" customHeight="1" x14ac:dyDescent="0.2">
      <c r="A30" s="175">
        <v>6</v>
      </c>
      <c r="B30" s="155" t="s">
        <v>200</v>
      </c>
      <c r="C30" s="302" t="s">
        <v>129</v>
      </c>
      <c r="D30" s="302" t="s">
        <v>129</v>
      </c>
      <c r="E30" s="303" t="s">
        <v>129</v>
      </c>
    </row>
    <row r="31" spans="1:5" ht="26.1" customHeight="1" x14ac:dyDescent="0.2">
      <c r="A31" s="175">
        <v>7</v>
      </c>
      <c r="B31" s="154" t="s">
        <v>234</v>
      </c>
      <c r="C31" s="123"/>
      <c r="D31" s="123"/>
      <c r="E31" s="122"/>
    </row>
    <row r="32" spans="1:5" ht="25.5" customHeight="1" x14ac:dyDescent="0.2">
      <c r="A32" s="175">
        <v>8</v>
      </c>
      <c r="B32" s="156" t="s">
        <v>200</v>
      </c>
      <c r="C32" s="123" t="s">
        <v>129</v>
      </c>
      <c r="D32" s="123" t="s">
        <v>129</v>
      </c>
      <c r="E32" s="122" t="s">
        <v>129</v>
      </c>
    </row>
    <row r="33" spans="1:5" ht="26.1" customHeight="1" thickBot="1" x14ac:dyDescent="0.25">
      <c r="A33" s="173">
        <v>9</v>
      </c>
      <c r="B33" s="183" t="s">
        <v>458</v>
      </c>
      <c r="C33" s="184"/>
      <c r="D33" s="184"/>
      <c r="E33" s="206"/>
    </row>
    <row r="34" spans="1:5" ht="13.5" thickBot="1" x14ac:dyDescent="0.25">
      <c r="A34" s="185" t="s">
        <v>233</v>
      </c>
      <c r="B34" s="124"/>
      <c r="C34" s="124"/>
      <c r="D34" s="124"/>
      <c r="E34" s="124"/>
    </row>
    <row r="35" spans="1:5" ht="12" customHeight="1" x14ac:dyDescent="0.2">
      <c r="A35" s="916" t="s">
        <v>190</v>
      </c>
      <c r="B35" s="1018" t="s">
        <v>189</v>
      </c>
      <c r="C35" s="186" t="s">
        <v>232</v>
      </c>
      <c r="D35" s="922" t="s">
        <v>231</v>
      </c>
      <c r="E35" s="1020"/>
    </row>
    <row r="36" spans="1:5" ht="12" customHeight="1" x14ac:dyDescent="0.2">
      <c r="A36" s="1017"/>
      <c r="B36" s="1019"/>
      <c r="C36" s="187" t="s">
        <v>230</v>
      </c>
      <c r="D36" s="171" t="s">
        <v>187</v>
      </c>
      <c r="E36" s="172" t="s">
        <v>186</v>
      </c>
    </row>
    <row r="37" spans="1:5" ht="18" customHeight="1" x14ac:dyDescent="0.2">
      <c r="A37" s="135">
        <v>1</v>
      </c>
      <c r="B37" s="188" t="s">
        <v>229</v>
      </c>
      <c r="C37" s="189" t="s">
        <v>228</v>
      </c>
      <c r="D37" s="123">
        <f>ROUND('Přehled údajů k přiznání'!H37,0)</f>
        <v>46362</v>
      </c>
      <c r="E37" s="176"/>
    </row>
    <row r="38" spans="1:5" ht="26.1" customHeight="1" thickBot="1" x14ac:dyDescent="0.25">
      <c r="A38" s="190">
        <v>2</v>
      </c>
      <c r="B38" s="191" t="s">
        <v>227</v>
      </c>
      <c r="C38" s="189" t="s">
        <v>226</v>
      </c>
      <c r="D38" s="184">
        <v>0</v>
      </c>
      <c r="E38" s="192"/>
    </row>
    <row r="39" spans="1:5" ht="12" customHeight="1" x14ac:dyDescent="0.2">
      <c r="A39" s="899">
        <v>6</v>
      </c>
      <c r="B39" s="899"/>
      <c r="C39" s="899"/>
      <c r="D39" s="899"/>
      <c r="E39" s="899"/>
    </row>
  </sheetData>
  <sheetProtection sheet="1" objects="1" scenarios="1"/>
  <mergeCells count="30">
    <mergeCell ref="A15:A16"/>
    <mergeCell ref="B15:C16"/>
    <mergeCell ref="B17:C17"/>
    <mergeCell ref="B5:C5"/>
    <mergeCell ref="A1:E1"/>
    <mergeCell ref="A2:A3"/>
    <mergeCell ref="B2:C3"/>
    <mergeCell ref="D2:E2"/>
    <mergeCell ref="B4:C4"/>
    <mergeCell ref="D15:E15"/>
    <mergeCell ref="B10:C10"/>
    <mergeCell ref="B11:C11"/>
    <mergeCell ref="B12:C12"/>
    <mergeCell ref="B13:C13"/>
    <mergeCell ref="A14:B14"/>
    <mergeCell ref="C14:D14"/>
    <mergeCell ref="A6:E6"/>
    <mergeCell ref="A7:A8"/>
    <mergeCell ref="B7:C8"/>
    <mergeCell ref="D7:E7"/>
    <mergeCell ref="B9:C9"/>
    <mergeCell ref="A35:A36"/>
    <mergeCell ref="B35:B36"/>
    <mergeCell ref="D35:E35"/>
    <mergeCell ref="A39:E39"/>
    <mergeCell ref="B18:C18"/>
    <mergeCell ref="B19:C19"/>
    <mergeCell ref="B20:C20"/>
    <mergeCell ref="A22:E22"/>
    <mergeCell ref="B21:C21"/>
  </mergeCells>
  <conditionalFormatting sqref="D12">
    <cfRule type="cellIs" dxfId="1" priority="1" stopIfTrue="1" operator="equal">
      <formula>0</formula>
    </cfRule>
  </conditionalFormatting>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8">
    <tabColor rgb="FFFF0000"/>
  </sheetPr>
  <dimension ref="A1:D43"/>
  <sheetViews>
    <sheetView workbookViewId="0">
      <selection sqref="A1:A2"/>
    </sheetView>
  </sheetViews>
  <sheetFormatPr defaultRowHeight="12.75" x14ac:dyDescent="0.2"/>
  <cols>
    <col min="1" max="1" width="6.7109375" style="117" customWidth="1"/>
    <col min="2" max="2" width="59.5703125" style="117" customWidth="1"/>
    <col min="3" max="4" width="17.140625" style="117" customWidth="1"/>
    <col min="5" max="16384" width="9.140625" style="117"/>
  </cols>
  <sheetData>
    <row r="1" spans="1:4" s="145" customFormat="1" ht="12" customHeight="1" x14ac:dyDescent="0.2">
      <c r="A1" s="1041" t="s">
        <v>190</v>
      </c>
      <c r="B1" s="1043"/>
      <c r="C1" s="1045" t="s">
        <v>188</v>
      </c>
      <c r="D1" s="1046"/>
    </row>
    <row r="2" spans="1:4" s="145" customFormat="1" ht="12" customHeight="1" x14ac:dyDescent="0.2">
      <c r="A2" s="1042"/>
      <c r="B2" s="1044"/>
      <c r="C2" s="146" t="s">
        <v>187</v>
      </c>
      <c r="D2" s="147" t="s">
        <v>186</v>
      </c>
    </row>
    <row r="3" spans="1:4" ht="68.099999999999994" customHeight="1" x14ac:dyDescent="0.2">
      <c r="A3" s="148">
        <v>200</v>
      </c>
      <c r="B3" s="149" t="s">
        <v>459</v>
      </c>
      <c r="C3" s="150">
        <f>SUM('str 2'!E5,'str 2'!E16,-'str 2'!E32)</f>
        <v>22859</v>
      </c>
      <c r="D3" s="151"/>
    </row>
    <row r="4" spans="1:4" ht="17.100000000000001" customHeight="1" x14ac:dyDescent="0.2">
      <c r="A4" s="152">
        <v>201</v>
      </c>
      <c r="B4" s="153" t="s">
        <v>264</v>
      </c>
      <c r="C4" s="118"/>
      <c r="D4" s="151"/>
    </row>
    <row r="5" spans="1:4" ht="21.95" customHeight="1" x14ac:dyDescent="0.2">
      <c r="A5" s="152" t="s">
        <v>263</v>
      </c>
      <c r="B5" s="154" t="s">
        <v>460</v>
      </c>
      <c r="C5" s="118"/>
      <c r="D5" s="151"/>
    </row>
    <row r="6" spans="1:4" ht="68.099999999999994" customHeight="1" thickBot="1" x14ac:dyDescent="0.25">
      <c r="A6" s="152">
        <v>220</v>
      </c>
      <c r="B6" s="155" t="s">
        <v>461</v>
      </c>
      <c r="C6" s="118">
        <f>C3-C4-C5</f>
        <v>22859</v>
      </c>
      <c r="D6" s="151"/>
    </row>
    <row r="7" spans="1:4" ht="3" customHeight="1" thickBot="1" x14ac:dyDescent="0.25">
      <c r="A7" s="895"/>
      <c r="B7" s="765"/>
      <c r="C7" s="765"/>
      <c r="D7" s="765"/>
    </row>
    <row r="8" spans="1:4" ht="12" customHeight="1" x14ac:dyDescent="0.2">
      <c r="A8" s="1041" t="s">
        <v>190</v>
      </c>
      <c r="B8" s="1043"/>
      <c r="C8" s="1045" t="s">
        <v>188</v>
      </c>
      <c r="D8" s="1046"/>
    </row>
    <row r="9" spans="1:4" ht="12" customHeight="1" x14ac:dyDescent="0.2">
      <c r="A9" s="1042"/>
      <c r="B9" s="1044"/>
      <c r="C9" s="146" t="s">
        <v>187</v>
      </c>
      <c r="D9" s="147" t="s">
        <v>186</v>
      </c>
    </row>
    <row r="10" spans="1:4" ht="15" customHeight="1" x14ac:dyDescent="0.2">
      <c r="A10" s="148">
        <v>230</v>
      </c>
      <c r="B10" s="156" t="s">
        <v>262</v>
      </c>
      <c r="C10" s="150">
        <f>'str 5'!G24</f>
        <v>0</v>
      </c>
      <c r="D10" s="157"/>
    </row>
    <row r="11" spans="1:4" ht="15" customHeight="1" x14ac:dyDescent="0.2">
      <c r="A11" s="152" t="s">
        <v>261</v>
      </c>
      <c r="B11" s="155"/>
      <c r="C11" s="118"/>
      <c r="D11" s="151"/>
    </row>
    <row r="12" spans="1:4" ht="15" customHeight="1" x14ac:dyDescent="0.2">
      <c r="A12" s="152">
        <v>241</v>
      </c>
      <c r="B12" s="153"/>
      <c r="C12" s="118"/>
      <c r="D12" s="151"/>
    </row>
    <row r="13" spans="1:4" ht="36" customHeight="1" x14ac:dyDescent="0.2">
      <c r="A13" s="152">
        <v>242</v>
      </c>
      <c r="B13" s="155" t="s">
        <v>529</v>
      </c>
      <c r="C13" s="503">
        <f>'str 5'!I35</f>
        <v>0</v>
      </c>
      <c r="D13" s="151"/>
    </row>
    <row r="14" spans="1:4" ht="21.95" customHeight="1" x14ac:dyDescent="0.2">
      <c r="A14" s="152">
        <v>243</v>
      </c>
      <c r="B14" s="155" t="s">
        <v>462</v>
      </c>
      <c r="C14" s="503">
        <f>'str 5'!I44</f>
        <v>0</v>
      </c>
      <c r="D14" s="151"/>
    </row>
    <row r="15" spans="1:4" ht="48" customHeight="1" thickBot="1" x14ac:dyDescent="0.25">
      <c r="A15" s="152">
        <v>250</v>
      </c>
      <c r="B15" s="155" t="s">
        <v>463</v>
      </c>
      <c r="C15" s="118">
        <f>MAX(C6-C10-C11-C12-C13-C14,0)</f>
        <v>22859</v>
      </c>
      <c r="D15" s="209"/>
    </row>
    <row r="16" spans="1:4" ht="3" customHeight="1" thickBot="1" x14ac:dyDescent="0.25">
      <c r="A16" s="895"/>
      <c r="B16" s="765"/>
      <c r="C16" s="765"/>
      <c r="D16" s="765"/>
    </row>
    <row r="17" spans="1:4" ht="21.95" customHeight="1" x14ac:dyDescent="0.2">
      <c r="A17" s="158">
        <v>251</v>
      </c>
      <c r="B17" s="159" t="s">
        <v>260</v>
      </c>
      <c r="C17" s="160">
        <f>MIN(C15,IF(C15*0.3&lt;300000,300000,MIN(1000000,FLOOR(C15*0.3,1))))</f>
        <v>22859</v>
      </c>
      <c r="D17" s="161"/>
    </row>
    <row r="18" spans="1:4" ht="21.95" customHeight="1" x14ac:dyDescent="0.2">
      <c r="A18" s="152">
        <v>260</v>
      </c>
      <c r="B18" s="154" t="s">
        <v>464</v>
      </c>
      <c r="C18" s="503">
        <v>0</v>
      </c>
      <c r="D18" s="151"/>
    </row>
    <row r="19" spans="1:4" ht="48" customHeight="1" thickBot="1" x14ac:dyDescent="0.25">
      <c r="A19" s="152">
        <v>270</v>
      </c>
      <c r="B19" s="162" t="s">
        <v>465</v>
      </c>
      <c r="C19" s="118">
        <f>C15-C17-C18</f>
        <v>0</v>
      </c>
      <c r="D19" s="151"/>
    </row>
    <row r="20" spans="1:4" ht="3" customHeight="1" thickBot="1" x14ac:dyDescent="0.25">
      <c r="A20" s="895"/>
      <c r="B20" s="765"/>
      <c r="C20" s="765"/>
      <c r="D20" s="765"/>
    </row>
    <row r="21" spans="1:4" ht="21.95" customHeight="1" x14ac:dyDescent="0.2">
      <c r="A21" s="158">
        <v>280</v>
      </c>
      <c r="B21" s="159" t="s">
        <v>259</v>
      </c>
      <c r="C21" s="163">
        <v>0.19</v>
      </c>
      <c r="D21" s="161"/>
    </row>
    <row r="22" spans="1:4" ht="15" customHeight="1" thickBot="1" x14ac:dyDescent="0.25">
      <c r="A22" s="152">
        <v>290</v>
      </c>
      <c r="B22" s="153" t="s">
        <v>258</v>
      </c>
      <c r="C22" s="118">
        <f>C19*C21</f>
        <v>0</v>
      </c>
      <c r="D22" s="151"/>
    </row>
    <row r="23" spans="1:4" ht="3" customHeight="1" thickBot="1" x14ac:dyDescent="0.25">
      <c r="A23" s="895"/>
      <c r="B23" s="765"/>
      <c r="C23" s="765"/>
      <c r="D23" s="765"/>
    </row>
    <row r="24" spans="1:4" ht="21.95" customHeight="1" x14ac:dyDescent="0.2">
      <c r="A24" s="158">
        <v>300</v>
      </c>
      <c r="B24" s="159" t="s">
        <v>402</v>
      </c>
      <c r="C24" s="160"/>
      <c r="D24" s="161"/>
    </row>
    <row r="25" spans="1:4" ht="15" customHeight="1" x14ac:dyDescent="0.2">
      <c r="A25" s="152">
        <v>301</v>
      </c>
      <c r="B25" s="153"/>
      <c r="C25" s="118"/>
      <c r="D25" s="151"/>
    </row>
    <row r="26" spans="1:4" ht="15" customHeight="1" thickBot="1" x14ac:dyDescent="0.25">
      <c r="A26" s="152">
        <v>310</v>
      </c>
      <c r="B26" s="153" t="s">
        <v>401</v>
      </c>
      <c r="C26" s="118">
        <f>C22-C24</f>
        <v>0</v>
      </c>
      <c r="D26" s="151"/>
    </row>
    <row r="27" spans="1:4" ht="3" customHeight="1" thickBot="1" x14ac:dyDescent="0.25">
      <c r="A27" s="895"/>
      <c r="B27" s="765"/>
      <c r="C27" s="765"/>
      <c r="D27" s="765"/>
    </row>
    <row r="28" spans="1:4" ht="15" customHeight="1" x14ac:dyDescent="0.2">
      <c r="A28" s="158" t="s">
        <v>530</v>
      </c>
      <c r="B28" s="159" t="s">
        <v>544</v>
      </c>
      <c r="C28" s="160"/>
      <c r="D28" s="161"/>
    </row>
    <row r="29" spans="1:4" ht="15" customHeight="1" x14ac:dyDescent="0.2">
      <c r="A29" s="152" t="s">
        <v>543</v>
      </c>
      <c r="B29" s="155" t="s">
        <v>670</v>
      </c>
      <c r="C29" s="118"/>
      <c r="D29" s="151"/>
    </row>
    <row r="30" spans="1:4" ht="21.75" customHeight="1" x14ac:dyDescent="0.2">
      <c r="A30" s="152">
        <v>320</v>
      </c>
      <c r="B30" s="155" t="s">
        <v>545</v>
      </c>
      <c r="C30" s="118"/>
      <c r="D30" s="151"/>
    </row>
    <row r="31" spans="1:4" ht="21.75" customHeight="1" thickBot="1" x14ac:dyDescent="0.25">
      <c r="A31" s="152">
        <v>330</v>
      </c>
      <c r="B31" s="155" t="s">
        <v>546</v>
      </c>
      <c r="C31" s="118">
        <f>C26-C28-C30</f>
        <v>0</v>
      </c>
      <c r="D31" s="151"/>
    </row>
    <row r="32" spans="1:4" ht="3" customHeight="1" thickBot="1" x14ac:dyDescent="0.25">
      <c r="A32" s="895"/>
      <c r="B32" s="765"/>
      <c r="C32" s="765"/>
      <c r="D32" s="765"/>
    </row>
    <row r="33" spans="1:4" ht="15" customHeight="1" x14ac:dyDescent="0.2">
      <c r="A33" s="158" t="s">
        <v>257</v>
      </c>
      <c r="B33" s="164" t="s">
        <v>256</v>
      </c>
      <c r="C33" s="160"/>
      <c r="D33" s="161"/>
    </row>
    <row r="34" spans="1:4" ht="15" customHeight="1" x14ac:dyDescent="0.2">
      <c r="A34" s="152">
        <v>332</v>
      </c>
      <c r="B34" s="165" t="s">
        <v>255</v>
      </c>
      <c r="C34" s="166"/>
      <c r="D34" s="151"/>
    </row>
    <row r="35" spans="1:4" ht="21.95" customHeight="1" x14ac:dyDescent="0.2">
      <c r="A35" s="152">
        <v>333</v>
      </c>
      <c r="B35" s="165" t="s">
        <v>568</v>
      </c>
      <c r="C35" s="503">
        <f>C33*C34</f>
        <v>0</v>
      </c>
      <c r="D35" s="151"/>
    </row>
    <row r="36" spans="1:4" ht="34.5" customHeight="1" x14ac:dyDescent="0.2">
      <c r="A36" s="152">
        <v>334</v>
      </c>
      <c r="B36" s="165" t="s">
        <v>547</v>
      </c>
      <c r="C36" s="118"/>
      <c r="D36" s="151"/>
    </row>
    <row r="37" spans="1:4" ht="21.95" customHeight="1" thickBot="1" x14ac:dyDescent="0.25">
      <c r="A37" s="152">
        <v>335</v>
      </c>
      <c r="B37" s="167" t="s">
        <v>548</v>
      </c>
      <c r="C37" s="503">
        <f>C35-C36</f>
        <v>0</v>
      </c>
      <c r="D37" s="151"/>
    </row>
    <row r="38" spans="1:4" ht="3" customHeight="1" thickBot="1" x14ac:dyDescent="0.25">
      <c r="A38" s="895"/>
      <c r="B38" s="765"/>
      <c r="C38" s="765"/>
      <c r="D38" s="765"/>
    </row>
    <row r="39" spans="1:4" ht="8.4499999999999993" customHeight="1" x14ac:dyDescent="0.2">
      <c r="A39" s="1035">
        <v>340</v>
      </c>
      <c r="B39" s="1037" t="s">
        <v>549</v>
      </c>
      <c r="C39" s="1039">
        <f>C31+C37</f>
        <v>0</v>
      </c>
      <c r="D39" s="1032"/>
    </row>
    <row r="40" spans="1:4" ht="8.4499999999999993" customHeight="1" thickBot="1" x14ac:dyDescent="0.25">
      <c r="A40" s="1036"/>
      <c r="B40" s="1038"/>
      <c r="C40" s="1040"/>
      <c r="D40" s="1033"/>
    </row>
    <row r="41" spans="1:4" ht="3" customHeight="1" thickBot="1" x14ac:dyDescent="0.25">
      <c r="A41" s="895"/>
      <c r="B41" s="765"/>
      <c r="C41" s="765"/>
      <c r="D41" s="765"/>
    </row>
    <row r="42" spans="1:4" ht="21.95" customHeight="1" thickBot="1" x14ac:dyDescent="0.25">
      <c r="A42" s="168">
        <v>360</v>
      </c>
      <c r="B42" s="169" t="s">
        <v>254</v>
      </c>
      <c r="C42" s="150">
        <f>C39-C37</f>
        <v>0</v>
      </c>
      <c r="D42" s="170"/>
    </row>
    <row r="43" spans="1:4" ht="12" customHeight="1" x14ac:dyDescent="0.2">
      <c r="A43" s="899">
        <v>7</v>
      </c>
      <c r="B43" s="1034"/>
      <c r="C43" s="1034"/>
      <c r="D43" s="1034"/>
    </row>
  </sheetData>
  <sheetProtection sheet="1" objects="1" scenarios="1"/>
  <mergeCells count="19">
    <mergeCell ref="A1:A2"/>
    <mergeCell ref="B1:B2"/>
    <mergeCell ref="C1:D1"/>
    <mergeCell ref="A7:D7"/>
    <mergeCell ref="A8:A9"/>
    <mergeCell ref="B8:B9"/>
    <mergeCell ref="C8:D8"/>
    <mergeCell ref="D39:D40"/>
    <mergeCell ref="A41:D41"/>
    <mergeCell ref="A43:D43"/>
    <mergeCell ref="A16:D16"/>
    <mergeCell ref="A20:D20"/>
    <mergeCell ref="A23:D23"/>
    <mergeCell ref="A27:D27"/>
    <mergeCell ref="A32:D32"/>
    <mergeCell ref="A38:D38"/>
    <mergeCell ref="A39:A40"/>
    <mergeCell ref="B39:B40"/>
    <mergeCell ref="C39:C40"/>
  </mergeCells>
  <conditionalFormatting sqref="C13:C14 C18 C35 C37">
    <cfRule type="cellIs" dxfId="0" priority="1" stopIfTrue="1" operator="equal">
      <formula>0</formula>
    </cfRule>
  </conditionalFormatting>
  <printOptions horizontalCentered="1" verticalCentered="1"/>
  <pageMargins left="0.23622047244094491" right="0.23622047244094491" top="0.23622047244094491" bottom="0.23622047244094491" header="0" footer="0"/>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
  <dimension ref="A1:C90"/>
  <sheetViews>
    <sheetView workbookViewId="0">
      <selection activeCell="A2" sqref="A2"/>
    </sheetView>
  </sheetViews>
  <sheetFormatPr defaultRowHeight="12.75" x14ac:dyDescent="0.2"/>
  <cols>
    <col min="1" max="1" width="5.85546875" style="406" bestFit="1" customWidth="1"/>
    <col min="2" max="2" width="10" style="407" customWidth="1"/>
    <col min="3" max="3" width="90.42578125" style="291" bestFit="1" customWidth="1"/>
  </cols>
  <sheetData>
    <row r="1" spans="1:3" x14ac:dyDescent="0.2">
      <c r="A1" s="406" t="s">
        <v>396</v>
      </c>
      <c r="B1" s="407" t="s">
        <v>3</v>
      </c>
      <c r="C1" s="291" t="s">
        <v>397</v>
      </c>
    </row>
    <row r="2" spans="1:3" x14ac:dyDescent="0.2">
      <c r="A2" s="408" t="s">
        <v>3506</v>
      </c>
      <c r="B2" s="409">
        <v>45366</v>
      </c>
      <c r="C2" s="304" t="s">
        <v>3507</v>
      </c>
    </row>
    <row r="3" spans="1:3" x14ac:dyDescent="0.2">
      <c r="C3" s="417" t="s">
        <v>3514</v>
      </c>
    </row>
    <row r="4" spans="1:3" x14ac:dyDescent="0.2">
      <c r="C4" s="417" t="s">
        <v>3517</v>
      </c>
    </row>
    <row r="5" spans="1:3" x14ac:dyDescent="0.2">
      <c r="C5" s="291" t="s">
        <v>3420</v>
      </c>
    </row>
    <row r="6" spans="1:3" x14ac:dyDescent="0.2">
      <c r="A6" s="408"/>
      <c r="B6" s="409"/>
      <c r="C6" s="304"/>
    </row>
    <row r="7" spans="1:3" x14ac:dyDescent="0.2">
      <c r="A7" s="408" t="s">
        <v>3504</v>
      </c>
      <c r="B7" s="409">
        <v>45354</v>
      </c>
      <c r="C7" s="304" t="s">
        <v>3437</v>
      </c>
    </row>
    <row r="8" spans="1:3" x14ac:dyDescent="0.2">
      <c r="C8" s="417" t="s">
        <v>3442</v>
      </c>
    </row>
    <row r="9" spans="1:3" x14ac:dyDescent="0.2">
      <c r="C9" s="291" t="s">
        <v>3448</v>
      </c>
    </row>
    <row r="10" spans="1:3" x14ac:dyDescent="0.2">
      <c r="C10" s="291" t="s">
        <v>3471</v>
      </c>
    </row>
    <row r="11" spans="1:3" x14ac:dyDescent="0.2">
      <c r="C11" s="291" t="s">
        <v>3450</v>
      </c>
    </row>
    <row r="12" spans="1:3" x14ac:dyDescent="0.2">
      <c r="C12" s="291" t="s">
        <v>3452</v>
      </c>
    </row>
    <row r="13" spans="1:3" x14ac:dyDescent="0.2">
      <c r="C13" s="291" t="s">
        <v>3453</v>
      </c>
    </row>
    <row r="14" spans="1:3" x14ac:dyDescent="0.2">
      <c r="C14" s="291" t="s">
        <v>3451</v>
      </c>
    </row>
    <row r="15" spans="1:3" ht="280.5" x14ac:dyDescent="0.2">
      <c r="C15" s="405" t="s">
        <v>3503</v>
      </c>
    </row>
    <row r="17" spans="1:3" x14ac:dyDescent="0.2">
      <c r="A17" s="408" t="s">
        <v>3429</v>
      </c>
      <c r="B17" s="409">
        <v>44995</v>
      </c>
      <c r="C17" s="304" t="s">
        <v>3433</v>
      </c>
    </row>
    <row r="18" spans="1:3" x14ac:dyDescent="0.2">
      <c r="C18" s="291" t="s">
        <v>3436</v>
      </c>
    </row>
    <row r="19" spans="1:3" x14ac:dyDescent="0.2">
      <c r="C19" s="291" t="s">
        <v>3434</v>
      </c>
    </row>
    <row r="20" spans="1:3" x14ac:dyDescent="0.2">
      <c r="C20" s="291" t="s">
        <v>3435</v>
      </c>
    </row>
    <row r="22" spans="1:3" x14ac:dyDescent="0.2">
      <c r="A22" s="408" t="s">
        <v>3382</v>
      </c>
      <c r="B22" s="409">
        <v>44993</v>
      </c>
      <c r="C22" s="304" t="s">
        <v>3282</v>
      </c>
    </row>
    <row r="23" spans="1:3" x14ac:dyDescent="0.2">
      <c r="C23" s="417" t="s">
        <v>3427</v>
      </c>
    </row>
    <row r="24" spans="1:3" x14ac:dyDescent="0.2">
      <c r="A24" s="408"/>
      <c r="B24" s="409"/>
      <c r="C24" s="417" t="s">
        <v>3292</v>
      </c>
    </row>
    <row r="25" spans="1:3" x14ac:dyDescent="0.2">
      <c r="C25" s="291" t="s">
        <v>3287</v>
      </c>
    </row>
    <row r="26" spans="1:3" x14ac:dyDescent="0.2">
      <c r="C26" s="291" t="s">
        <v>3418</v>
      </c>
    </row>
    <row r="27" spans="1:3" x14ac:dyDescent="0.2">
      <c r="C27" s="291" t="s">
        <v>3419</v>
      </c>
    </row>
    <row r="28" spans="1:3" x14ac:dyDescent="0.2">
      <c r="C28" s="291" t="s">
        <v>3420</v>
      </c>
    </row>
    <row r="30" spans="1:3" x14ac:dyDescent="0.2">
      <c r="A30" s="408" t="s">
        <v>3279</v>
      </c>
      <c r="B30" s="409">
        <v>44960</v>
      </c>
      <c r="C30" s="304" t="s">
        <v>3262</v>
      </c>
    </row>
    <row r="31" spans="1:3" x14ac:dyDescent="0.2">
      <c r="C31" s="291" t="s">
        <v>3280</v>
      </c>
    </row>
    <row r="33" spans="1:3" x14ac:dyDescent="0.2">
      <c r="A33" s="408" t="s">
        <v>3260</v>
      </c>
      <c r="B33" s="409">
        <v>44954</v>
      </c>
      <c r="C33" s="304" t="s">
        <v>3262</v>
      </c>
    </row>
    <row r="34" spans="1:3" x14ac:dyDescent="0.2">
      <c r="C34" s="291" t="s">
        <v>3263</v>
      </c>
    </row>
    <row r="36" spans="1:3" x14ac:dyDescent="0.2">
      <c r="A36" s="408" t="s">
        <v>382</v>
      </c>
      <c r="B36" s="409">
        <v>44951</v>
      </c>
      <c r="C36" s="291" t="s">
        <v>656</v>
      </c>
    </row>
    <row r="37" spans="1:3" x14ac:dyDescent="0.2">
      <c r="C37" s="421" t="s">
        <v>3261</v>
      </c>
    </row>
    <row r="38" spans="1:3" x14ac:dyDescent="0.2">
      <c r="C38" s="421" t="s">
        <v>3252</v>
      </c>
    </row>
    <row r="40" spans="1:3" ht="38.25" x14ac:dyDescent="0.2">
      <c r="A40" s="408" t="s">
        <v>652</v>
      </c>
      <c r="B40" s="409">
        <v>44602</v>
      </c>
      <c r="C40" s="405" t="s">
        <v>653</v>
      </c>
    </row>
    <row r="41" spans="1:3" ht="51" x14ac:dyDescent="0.2">
      <c r="A41" s="408"/>
      <c r="B41" s="409"/>
      <c r="C41" s="405" t="s">
        <v>654</v>
      </c>
    </row>
    <row r="42" spans="1:3" x14ac:dyDescent="0.2">
      <c r="A42" s="408"/>
      <c r="B42" s="409"/>
      <c r="C42" s="291" t="s">
        <v>655</v>
      </c>
    </row>
    <row r="44" spans="1:3" x14ac:dyDescent="0.2">
      <c r="A44" s="410">
        <v>9</v>
      </c>
      <c r="B44" s="409">
        <v>44562</v>
      </c>
      <c r="C44" s="291" t="s">
        <v>577</v>
      </c>
    </row>
    <row r="45" spans="1:3" x14ac:dyDescent="0.2">
      <c r="C45" s="291" t="s">
        <v>578</v>
      </c>
    </row>
    <row r="46" spans="1:3" x14ac:dyDescent="0.2">
      <c r="C46" s="291" t="s">
        <v>644</v>
      </c>
    </row>
    <row r="47" spans="1:3" x14ac:dyDescent="0.2">
      <c r="C47" s="291" t="s">
        <v>583</v>
      </c>
    </row>
    <row r="49" spans="1:3" x14ac:dyDescent="0.2">
      <c r="A49" s="410">
        <v>8</v>
      </c>
      <c r="B49" s="409">
        <v>44196</v>
      </c>
      <c r="C49" s="291" t="s">
        <v>553</v>
      </c>
    </row>
    <row r="50" spans="1:3" x14ac:dyDescent="0.2">
      <c r="C50" s="291" t="s">
        <v>550</v>
      </c>
    </row>
    <row r="52" spans="1:3" x14ac:dyDescent="0.2">
      <c r="A52" s="408">
        <v>7</v>
      </c>
      <c r="B52" s="409">
        <v>43849</v>
      </c>
      <c r="C52" s="291" t="s">
        <v>552</v>
      </c>
    </row>
    <row r="53" spans="1:3" x14ac:dyDescent="0.2">
      <c r="A53" s="408"/>
      <c r="B53" s="409"/>
      <c r="C53" s="291" t="s">
        <v>535</v>
      </c>
    </row>
    <row r="54" spans="1:3" x14ac:dyDescent="0.2">
      <c r="A54" s="408"/>
      <c r="B54" s="409"/>
    </row>
    <row r="55" spans="1:3" x14ac:dyDescent="0.2">
      <c r="A55" s="408" t="s">
        <v>404</v>
      </c>
      <c r="B55" s="409">
        <v>43492</v>
      </c>
      <c r="C55" s="291" t="s">
        <v>551</v>
      </c>
    </row>
    <row r="56" spans="1:3" x14ac:dyDescent="0.2">
      <c r="A56" s="408"/>
      <c r="B56" s="409"/>
      <c r="C56" s="304" t="s">
        <v>494</v>
      </c>
    </row>
    <row r="57" spans="1:3" x14ac:dyDescent="0.2">
      <c r="A57" s="408"/>
      <c r="B57" s="409"/>
      <c r="C57" s="291" t="s">
        <v>425</v>
      </c>
    </row>
    <row r="58" spans="1:3" x14ac:dyDescent="0.2">
      <c r="A58" s="408"/>
      <c r="B58" s="409"/>
      <c r="C58" s="291" t="s">
        <v>426</v>
      </c>
    </row>
    <row r="59" spans="1:3" x14ac:dyDescent="0.2">
      <c r="A59" s="408"/>
      <c r="B59" s="409"/>
      <c r="C59" s="291" t="s">
        <v>495</v>
      </c>
    </row>
    <row r="60" spans="1:3" x14ac:dyDescent="0.2">
      <c r="C60" s="304" t="s">
        <v>416</v>
      </c>
    </row>
    <row r="61" spans="1:3" x14ac:dyDescent="0.2">
      <c r="C61" s="304" t="s">
        <v>490</v>
      </c>
    </row>
    <row r="62" spans="1:3" x14ac:dyDescent="0.2">
      <c r="C62" s="291" t="s">
        <v>424</v>
      </c>
    </row>
    <row r="63" spans="1:3" x14ac:dyDescent="0.2">
      <c r="C63" s="304" t="s">
        <v>491</v>
      </c>
    </row>
    <row r="64" spans="1:3" x14ac:dyDescent="0.2">
      <c r="C64" s="291" t="s">
        <v>496</v>
      </c>
    </row>
    <row r="65" spans="1:3" x14ac:dyDescent="0.2">
      <c r="C65" s="291" t="s">
        <v>492</v>
      </c>
    </row>
    <row r="66" spans="1:3" x14ac:dyDescent="0.2">
      <c r="C66" s="291" t="s">
        <v>493</v>
      </c>
    </row>
    <row r="67" spans="1:3" x14ac:dyDescent="0.2">
      <c r="C67" s="304" t="s">
        <v>417</v>
      </c>
    </row>
    <row r="68" spans="1:3" x14ac:dyDescent="0.2">
      <c r="C68" s="291" t="s">
        <v>418</v>
      </c>
    </row>
    <row r="69" spans="1:3" x14ac:dyDescent="0.2">
      <c r="C69" s="291" t="s">
        <v>419</v>
      </c>
    </row>
    <row r="70" spans="1:3" x14ac:dyDescent="0.2">
      <c r="C70" s="291" t="s">
        <v>420</v>
      </c>
    </row>
    <row r="71" spans="1:3" x14ac:dyDescent="0.2">
      <c r="C71" s="291" t="s">
        <v>421</v>
      </c>
    </row>
    <row r="72" spans="1:3" x14ac:dyDescent="0.2">
      <c r="C72" s="291" t="s">
        <v>422</v>
      </c>
    </row>
    <row r="73" spans="1:3" x14ac:dyDescent="0.2">
      <c r="C73" s="304" t="s">
        <v>487</v>
      </c>
    </row>
    <row r="74" spans="1:3" x14ac:dyDescent="0.2">
      <c r="C74" s="291" t="s">
        <v>488</v>
      </c>
    </row>
    <row r="75" spans="1:3" x14ac:dyDescent="0.2">
      <c r="C75" s="291" t="s">
        <v>489</v>
      </c>
    </row>
    <row r="76" spans="1:3" x14ac:dyDescent="0.2">
      <c r="A76" s="408"/>
      <c r="B76" s="409"/>
    </row>
    <row r="77" spans="1:3" x14ac:dyDescent="0.2">
      <c r="A77" s="408">
        <v>5</v>
      </c>
      <c r="B77" s="409">
        <v>43157</v>
      </c>
      <c r="C77" s="291" t="s">
        <v>533</v>
      </c>
    </row>
    <row r="78" spans="1:3" x14ac:dyDescent="0.2">
      <c r="C78" s="304" t="s">
        <v>398</v>
      </c>
    </row>
    <row r="79" spans="1:3" x14ac:dyDescent="0.2">
      <c r="C79" s="291" t="s">
        <v>427</v>
      </c>
    </row>
    <row r="80" spans="1:3" x14ac:dyDescent="0.2">
      <c r="C80" s="291" t="s">
        <v>428</v>
      </c>
    </row>
    <row r="81" spans="3:3" x14ac:dyDescent="0.2">
      <c r="C81" s="291" t="s">
        <v>429</v>
      </c>
    </row>
    <row r="82" spans="3:3" x14ac:dyDescent="0.2">
      <c r="C82" s="291" t="s">
        <v>430</v>
      </c>
    </row>
    <row r="83" spans="3:3" x14ac:dyDescent="0.2">
      <c r="C83" s="291" t="s">
        <v>431</v>
      </c>
    </row>
    <row r="84" spans="3:3" x14ac:dyDescent="0.2">
      <c r="C84" s="291" t="s">
        <v>432</v>
      </c>
    </row>
    <row r="85" spans="3:3" x14ac:dyDescent="0.2">
      <c r="C85" s="304" t="s">
        <v>403</v>
      </c>
    </row>
    <row r="86" spans="3:3" x14ac:dyDescent="0.2">
      <c r="C86" s="291" t="s">
        <v>433</v>
      </c>
    </row>
    <row r="87" spans="3:3" x14ac:dyDescent="0.2">
      <c r="C87" s="291" t="s">
        <v>434</v>
      </c>
    </row>
    <row r="88" spans="3:3" x14ac:dyDescent="0.2">
      <c r="C88" s="291" t="s">
        <v>432</v>
      </c>
    </row>
    <row r="89" spans="3:3" x14ac:dyDescent="0.2">
      <c r="C89" s="291" t="s">
        <v>399</v>
      </c>
    </row>
    <row r="90" spans="3:3" x14ac:dyDescent="0.2">
      <c r="C90" s="291" t="s">
        <v>400</v>
      </c>
    </row>
  </sheetData>
  <sheetProtection sheet="1" objects="1" scenarios="1"/>
  <pageMargins left="0.25" right="0.25" top="0.75" bottom="0.75" header="0.3" footer="0.3"/>
  <pageSetup paperSize="9" orientation="portrait" r:id="rId1"/>
  <ignoredErrors>
    <ignoredError sqref="A5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9">
    <tabColor rgb="FFFF0000"/>
  </sheetPr>
  <dimension ref="A1:G51"/>
  <sheetViews>
    <sheetView workbookViewId="0">
      <selection sqref="A1:G1"/>
    </sheetView>
  </sheetViews>
  <sheetFormatPr defaultRowHeight="12.75" x14ac:dyDescent="0.2"/>
  <cols>
    <col min="1" max="1" width="6.7109375" style="117" customWidth="1"/>
    <col min="2" max="2" width="20.7109375" style="117" customWidth="1"/>
    <col min="3" max="3" width="6.7109375" style="117" customWidth="1"/>
    <col min="4" max="4" width="30.7109375" style="117" customWidth="1"/>
    <col min="5" max="5" width="17.7109375" style="117" customWidth="1"/>
    <col min="6" max="6" width="4.7109375" style="117" customWidth="1"/>
    <col min="7" max="7" width="13.7109375" style="117" customWidth="1"/>
    <col min="8" max="16384" width="9.140625" style="117"/>
  </cols>
  <sheetData>
    <row r="1" spans="1:7" ht="13.5" customHeight="1" x14ac:dyDescent="0.2">
      <c r="A1" s="811" t="s">
        <v>288</v>
      </c>
      <c r="B1" s="754"/>
      <c r="C1" s="754"/>
      <c r="D1" s="754"/>
      <c r="E1" s="754"/>
      <c r="F1" s="754"/>
      <c r="G1" s="754"/>
    </row>
    <row r="2" spans="1:7" ht="13.5" customHeight="1" thickBot="1" x14ac:dyDescent="0.25">
      <c r="A2" s="1123" t="s">
        <v>287</v>
      </c>
      <c r="B2" s="790"/>
      <c r="C2" s="790"/>
      <c r="D2" s="790"/>
      <c r="E2" s="790"/>
      <c r="F2" s="790"/>
      <c r="G2" s="790"/>
    </row>
    <row r="3" spans="1:7" ht="12" customHeight="1" x14ac:dyDescent="0.2">
      <c r="A3" s="916" t="s">
        <v>190</v>
      </c>
      <c r="B3" s="1114" t="s">
        <v>189</v>
      </c>
      <c r="C3" s="1115"/>
      <c r="D3" s="1116"/>
      <c r="E3" s="922" t="s">
        <v>188</v>
      </c>
      <c r="F3" s="1120"/>
      <c r="G3" s="1020"/>
    </row>
    <row r="4" spans="1:7" ht="12" customHeight="1" x14ac:dyDescent="0.2">
      <c r="A4" s="1017"/>
      <c r="B4" s="1117"/>
      <c r="C4" s="1118"/>
      <c r="D4" s="1119"/>
      <c r="E4" s="134" t="s">
        <v>187</v>
      </c>
      <c r="F4" s="1121" t="s">
        <v>186</v>
      </c>
      <c r="G4" s="1122"/>
    </row>
    <row r="5" spans="1:7" ht="15.95" customHeight="1" x14ac:dyDescent="0.2">
      <c r="A5" s="135">
        <v>1</v>
      </c>
      <c r="B5" s="848" t="s">
        <v>286</v>
      </c>
      <c r="C5" s="849"/>
      <c r="D5" s="850"/>
      <c r="E5" s="138"/>
      <c r="F5" s="991"/>
      <c r="G5" s="1083"/>
    </row>
    <row r="6" spans="1:7" ht="15.95" customHeight="1" x14ac:dyDescent="0.2">
      <c r="A6" s="135">
        <v>2</v>
      </c>
      <c r="B6" s="848" t="s">
        <v>285</v>
      </c>
      <c r="C6" s="849"/>
      <c r="D6" s="850"/>
      <c r="E6" s="138"/>
      <c r="F6" s="991"/>
      <c r="G6" s="1083"/>
    </row>
    <row r="7" spans="1:7" ht="15.95" customHeight="1" x14ac:dyDescent="0.2">
      <c r="A7" s="135">
        <v>3</v>
      </c>
      <c r="B7" s="848" t="s">
        <v>284</v>
      </c>
      <c r="C7" s="849"/>
      <c r="D7" s="850"/>
      <c r="E7" s="138"/>
      <c r="F7" s="991"/>
      <c r="G7" s="1083"/>
    </row>
    <row r="8" spans="1:7" ht="15.95" customHeight="1" x14ac:dyDescent="0.2">
      <c r="A8" s="135">
        <v>4</v>
      </c>
      <c r="B8" s="848" t="s">
        <v>283</v>
      </c>
      <c r="C8" s="849"/>
      <c r="D8" s="850"/>
      <c r="E8" s="138"/>
      <c r="F8" s="991"/>
      <c r="G8" s="1083"/>
    </row>
    <row r="9" spans="1:7" ht="15.95" customHeight="1" x14ac:dyDescent="0.2">
      <c r="A9" s="135">
        <v>5</v>
      </c>
      <c r="B9" s="848" t="s">
        <v>282</v>
      </c>
      <c r="C9" s="849"/>
      <c r="D9" s="850"/>
      <c r="E9" s="138"/>
      <c r="F9" s="991"/>
      <c r="G9" s="1083"/>
    </row>
    <row r="10" spans="1:7" ht="15.95" customHeight="1" thickBot="1" x14ac:dyDescent="0.25">
      <c r="A10" s="136">
        <v>6</v>
      </c>
      <c r="B10" s="892" t="s">
        <v>281</v>
      </c>
      <c r="C10" s="1112"/>
      <c r="D10" s="905"/>
      <c r="E10" s="139"/>
      <c r="F10" s="991"/>
      <c r="G10" s="1083"/>
    </row>
    <row r="11" spans="1:7" ht="13.5" customHeight="1" thickBot="1" x14ac:dyDescent="0.25">
      <c r="A11" s="1113" t="s">
        <v>280</v>
      </c>
      <c r="B11" s="765"/>
      <c r="C11" s="765"/>
      <c r="D11" s="765"/>
      <c r="E11" s="765"/>
      <c r="F11" s="765"/>
      <c r="G11" s="765"/>
    </row>
    <row r="12" spans="1:7" ht="12" customHeight="1" x14ac:dyDescent="0.2">
      <c r="A12" s="916" t="s">
        <v>190</v>
      </c>
      <c r="B12" s="1114" t="s">
        <v>189</v>
      </c>
      <c r="C12" s="1115"/>
      <c r="D12" s="1116"/>
      <c r="E12" s="922" t="s">
        <v>188</v>
      </c>
      <c r="F12" s="1120"/>
      <c r="G12" s="1020"/>
    </row>
    <row r="13" spans="1:7" ht="12" customHeight="1" x14ac:dyDescent="0.2">
      <c r="A13" s="1017"/>
      <c r="B13" s="1117"/>
      <c r="C13" s="1118"/>
      <c r="D13" s="1119"/>
      <c r="E13" s="134" t="s">
        <v>187</v>
      </c>
      <c r="F13" s="1121" t="s">
        <v>186</v>
      </c>
      <c r="G13" s="1122"/>
    </row>
    <row r="14" spans="1:7" ht="15.95" customHeight="1" x14ac:dyDescent="0.2">
      <c r="A14" s="140">
        <v>1</v>
      </c>
      <c r="B14" s="848" t="s">
        <v>279</v>
      </c>
      <c r="C14" s="1110"/>
      <c r="D14" s="1111"/>
      <c r="E14" s="138"/>
      <c r="F14" s="991"/>
      <c r="G14" s="1083"/>
    </row>
    <row r="15" spans="1:7" ht="15.95" customHeight="1" x14ac:dyDescent="0.2">
      <c r="A15" s="140" t="s">
        <v>278</v>
      </c>
      <c r="B15" s="848" t="s">
        <v>277</v>
      </c>
      <c r="C15" s="849"/>
      <c r="D15" s="850"/>
      <c r="E15" s="141"/>
      <c r="F15" s="991"/>
      <c r="G15" s="1083"/>
    </row>
    <row r="16" spans="1:7" ht="15.95" customHeight="1" x14ac:dyDescent="0.2">
      <c r="A16" s="140" t="s">
        <v>276</v>
      </c>
      <c r="B16" s="845" t="s">
        <v>671</v>
      </c>
      <c r="C16" s="846"/>
      <c r="D16" s="847"/>
      <c r="E16" s="118"/>
      <c r="F16" s="991"/>
      <c r="G16" s="1083"/>
    </row>
    <row r="17" spans="1:7" ht="11.1" customHeight="1" x14ac:dyDescent="0.2">
      <c r="A17" s="1087">
        <v>4</v>
      </c>
      <c r="B17" s="1089" t="s">
        <v>570</v>
      </c>
      <c r="C17" s="839"/>
      <c r="D17" s="1028"/>
      <c r="E17" s="882">
        <f>IF(EXACT(MID('str 1'!E11,1,1),"d"),0,-'str 7'!C39+'str 8'!E14+'str 8'!E15+'str 8'!E16)</f>
        <v>0</v>
      </c>
      <c r="F17" s="1091"/>
      <c r="G17" s="1086"/>
    </row>
    <row r="18" spans="1:7" ht="11.1" customHeight="1" thickBot="1" x14ac:dyDescent="0.25">
      <c r="A18" s="1088"/>
      <c r="B18" s="1093" t="s">
        <v>569</v>
      </c>
      <c r="C18" s="790"/>
      <c r="D18" s="1094"/>
      <c r="E18" s="1090"/>
      <c r="F18" s="1092"/>
      <c r="G18" s="1062"/>
    </row>
    <row r="19" spans="1:7" ht="18" customHeight="1" thickBot="1" x14ac:dyDescent="0.25">
      <c r="A19" s="1095"/>
      <c r="B19" s="1096"/>
      <c r="C19" s="1096"/>
      <c r="D19" s="1096"/>
      <c r="E19" s="1096"/>
      <c r="F19" s="1096"/>
      <c r="G19" s="1096"/>
    </row>
    <row r="20" spans="1:7" ht="12" customHeight="1" x14ac:dyDescent="0.2">
      <c r="A20" s="1097" t="s">
        <v>275</v>
      </c>
      <c r="B20" s="1098"/>
      <c r="C20" s="869" t="s">
        <v>274</v>
      </c>
      <c r="D20" s="900"/>
      <c r="E20" s="900"/>
      <c r="F20" s="900"/>
      <c r="G20" s="1099"/>
    </row>
    <row r="21" spans="1:7" ht="15.95" customHeight="1" x14ac:dyDescent="0.2">
      <c r="A21" s="1100"/>
      <c r="B21" s="1101"/>
      <c r="C21" s="142"/>
      <c r="D21" s="1102"/>
      <c r="E21" s="753"/>
      <c r="F21" s="753"/>
      <c r="G21" s="1057"/>
    </row>
    <row r="22" spans="1:7" ht="12" customHeight="1" x14ac:dyDescent="0.2">
      <c r="A22" s="1103" t="s">
        <v>273</v>
      </c>
      <c r="B22" s="757"/>
      <c r="C22" s="757"/>
      <c r="D22" s="757"/>
      <c r="E22" s="757"/>
      <c r="F22" s="757"/>
      <c r="G22" s="1057"/>
    </row>
    <row r="23" spans="1:7" ht="15.95" customHeight="1" x14ac:dyDescent="0.2">
      <c r="A23" s="1058"/>
      <c r="B23" s="1059"/>
      <c r="C23" s="1059"/>
      <c r="D23" s="1059"/>
      <c r="E23" s="1059"/>
      <c r="F23" s="1059"/>
      <c r="G23" s="1104"/>
    </row>
    <row r="24" spans="1:7" ht="12" customHeight="1" x14ac:dyDescent="0.2">
      <c r="A24" s="1105" t="s">
        <v>272</v>
      </c>
      <c r="B24" s="1106"/>
      <c r="C24" s="1106"/>
      <c r="D24" s="1106"/>
      <c r="E24" s="1106"/>
      <c r="F24" s="1106"/>
      <c r="G24" s="1104"/>
    </row>
    <row r="25" spans="1:7" ht="15.95" customHeight="1" x14ac:dyDescent="0.2">
      <c r="A25" s="1107"/>
      <c r="B25" s="1108"/>
      <c r="C25" s="1108"/>
      <c r="D25" s="1108"/>
      <c r="E25" s="1108"/>
      <c r="F25" s="1108"/>
      <c r="G25" s="1109"/>
    </row>
    <row r="26" spans="1:7" ht="12" customHeight="1" x14ac:dyDescent="0.2">
      <c r="A26" s="1084" t="s">
        <v>271</v>
      </c>
      <c r="B26" s="1085"/>
      <c r="C26" s="1085"/>
      <c r="D26" s="1085"/>
      <c r="E26" s="1085"/>
      <c r="F26" s="1085"/>
      <c r="G26" s="1086"/>
    </row>
    <row r="27" spans="1:7" ht="12" customHeight="1" x14ac:dyDescent="0.2">
      <c r="A27" s="1056" t="s">
        <v>270</v>
      </c>
      <c r="B27" s="757"/>
      <c r="C27" s="757"/>
      <c r="D27" s="757"/>
      <c r="E27" s="757"/>
      <c r="F27" s="757"/>
      <c r="G27" s="1057"/>
    </row>
    <row r="28" spans="1:7" ht="12" customHeight="1" x14ac:dyDescent="0.2">
      <c r="A28" s="1072" t="s">
        <v>269</v>
      </c>
      <c r="B28" s="1073"/>
      <c r="C28" s="1073"/>
      <c r="D28" s="1073"/>
      <c r="E28" s="1073"/>
      <c r="F28" s="1073"/>
      <c r="G28" s="1074"/>
    </row>
    <row r="29" spans="1:7" ht="15.95" customHeight="1" x14ac:dyDescent="0.2">
      <c r="A29" s="1058" t="str">
        <f>'Základní údaje'!B21&amp;" "&amp;'Základní údaje'!B22&amp;" - "&amp;'Základní údaje'!B23</f>
        <v>Jindřich Groulík - starosta SDH</v>
      </c>
      <c r="B29" s="1059"/>
      <c r="C29" s="1059"/>
      <c r="D29" s="1059"/>
      <c r="E29" s="1059"/>
      <c r="F29" s="1059"/>
      <c r="G29" s="1060"/>
    </row>
    <row r="30" spans="1:7" ht="8.1" customHeight="1" thickBot="1" x14ac:dyDescent="0.25">
      <c r="A30" s="1061"/>
      <c r="B30" s="781"/>
      <c r="C30" s="781"/>
      <c r="D30" s="781"/>
      <c r="E30" s="781"/>
      <c r="F30" s="781"/>
      <c r="G30" s="1062"/>
    </row>
    <row r="31" spans="1:7" ht="8.1" customHeight="1" thickBot="1" x14ac:dyDescent="0.25">
      <c r="A31" s="757"/>
      <c r="B31" s="757"/>
      <c r="C31" s="757"/>
      <c r="D31" s="757"/>
      <c r="E31" s="757"/>
      <c r="F31" s="757"/>
      <c r="G31" s="753"/>
    </row>
    <row r="32" spans="1:7" ht="17.25" customHeight="1" x14ac:dyDescent="0.2">
      <c r="A32" s="1063" t="s">
        <v>268</v>
      </c>
      <c r="B32" s="1064"/>
      <c r="C32" s="1064"/>
      <c r="D32" s="1064"/>
      <c r="E32" s="1064"/>
      <c r="F32" s="1064"/>
      <c r="G32" s="1065"/>
    </row>
    <row r="33" spans="1:7" ht="14.1" customHeight="1" x14ac:dyDescent="0.2">
      <c r="A33" s="1066" t="s">
        <v>3</v>
      </c>
      <c r="B33" s="1067"/>
      <c r="C33" s="1068" t="s">
        <v>267</v>
      </c>
      <c r="D33" s="565"/>
      <c r="E33" s="1069" t="s">
        <v>266</v>
      </c>
      <c r="F33" s="1069"/>
      <c r="G33" s="1070"/>
    </row>
    <row r="34" spans="1:7" ht="15.95" customHeight="1" x14ac:dyDescent="0.2">
      <c r="A34" s="1071" t="str">
        <f>'Základní údaje'!B24</f>
        <v>d.m.rok</v>
      </c>
      <c r="B34" s="760"/>
      <c r="C34" s="565"/>
      <c r="D34" s="565"/>
      <c r="E34" s="1075"/>
      <c r="F34" s="829"/>
      <c r="G34" s="1076"/>
    </row>
    <row r="35" spans="1:7" ht="20.100000000000001" customHeight="1" x14ac:dyDescent="0.2">
      <c r="A35" s="1078"/>
      <c r="B35" s="1079"/>
      <c r="C35" s="565"/>
      <c r="D35" s="565"/>
      <c r="E35" s="834"/>
      <c r="F35" s="835"/>
      <c r="G35" s="1077"/>
    </row>
    <row r="36" spans="1:7" ht="9.9499999999999993" customHeight="1" thickBot="1" x14ac:dyDescent="0.25">
      <c r="A36" s="1080"/>
      <c r="B36" s="1031"/>
      <c r="C36" s="1031"/>
      <c r="D36" s="1031"/>
      <c r="E36" s="1031"/>
      <c r="F36" s="1031"/>
      <c r="G36" s="1062"/>
    </row>
    <row r="37" spans="1:7" ht="8.1" customHeight="1" x14ac:dyDescent="0.2">
      <c r="A37" s="1047"/>
      <c r="B37" s="1047"/>
      <c r="C37" s="1047"/>
      <c r="D37" s="1047"/>
      <c r="E37" s="1047"/>
      <c r="F37" s="1047"/>
      <c r="G37" s="1047"/>
    </row>
    <row r="38" spans="1:7" ht="9" customHeight="1" x14ac:dyDescent="0.2">
      <c r="A38" s="143" t="s">
        <v>265</v>
      </c>
      <c r="B38" s="124"/>
      <c r="C38" s="124"/>
      <c r="D38" s="144"/>
      <c r="E38" s="124"/>
      <c r="F38" s="124"/>
      <c r="G38" s="124"/>
    </row>
    <row r="39" spans="1:7" ht="9" customHeight="1" x14ac:dyDescent="0.2">
      <c r="A39" s="1050" t="s">
        <v>571</v>
      </c>
      <c r="B39" s="1048"/>
      <c r="C39" s="1048"/>
      <c r="D39" s="1081"/>
      <c r="E39" s="1082"/>
      <c r="F39" s="412"/>
      <c r="G39" s="1048"/>
    </row>
    <row r="40" spans="1:7" ht="9" customHeight="1" x14ac:dyDescent="0.2">
      <c r="A40" s="1050" t="s">
        <v>572</v>
      </c>
      <c r="B40" s="1048"/>
      <c r="C40" s="1048"/>
      <c r="D40" s="1082"/>
      <c r="E40" s="1082"/>
      <c r="F40" s="412"/>
      <c r="G40" s="1049"/>
    </row>
    <row r="41" spans="1:7" ht="9" customHeight="1" x14ac:dyDescent="0.2">
      <c r="A41" s="1050" t="s">
        <v>573</v>
      </c>
      <c r="B41" s="1048"/>
      <c r="C41" s="1048"/>
      <c r="D41" s="1048"/>
      <c r="E41" s="1048"/>
      <c r="F41" s="1048"/>
      <c r="G41" s="1048"/>
    </row>
    <row r="42" spans="1:7" ht="9" customHeight="1" x14ac:dyDescent="0.2">
      <c r="A42" s="1050" t="s">
        <v>574</v>
      </c>
      <c r="B42" s="1048"/>
      <c r="C42" s="1048"/>
      <c r="D42" s="1048"/>
      <c r="E42" s="1048"/>
      <c r="F42" s="1048"/>
      <c r="G42" s="1048"/>
    </row>
    <row r="43" spans="1:7" ht="9" customHeight="1" x14ac:dyDescent="0.2">
      <c r="A43" s="1050" t="s">
        <v>575</v>
      </c>
      <c r="B43" s="1048"/>
      <c r="C43" s="1048"/>
      <c r="D43" s="1048"/>
      <c r="E43" s="1048"/>
      <c r="F43" s="1048"/>
      <c r="G43" s="1048"/>
    </row>
    <row r="44" spans="1:7" ht="30" customHeight="1" x14ac:dyDescent="0.2">
      <c r="A44" s="1054" t="s">
        <v>531</v>
      </c>
      <c r="B44" s="1048"/>
      <c r="C44" s="1048"/>
      <c r="D44" s="1048"/>
      <c r="E44" s="1048"/>
      <c r="F44" s="1048"/>
      <c r="G44" s="1048"/>
    </row>
    <row r="45" spans="1:7" ht="50.1" customHeight="1" x14ac:dyDescent="0.2">
      <c r="A45" s="1051" t="s">
        <v>672</v>
      </c>
      <c r="B45" s="1052"/>
      <c r="C45" s="1052"/>
      <c r="D45" s="1052"/>
      <c r="E45" s="1052"/>
      <c r="F45" s="1052"/>
      <c r="G45" s="1052"/>
    </row>
    <row r="46" spans="1:7" ht="30" customHeight="1" x14ac:dyDescent="0.2">
      <c r="A46" s="1055" t="s">
        <v>673</v>
      </c>
      <c r="B46" s="1052"/>
      <c r="C46" s="1052"/>
      <c r="D46" s="1052"/>
      <c r="E46" s="1052"/>
      <c r="F46" s="1052"/>
      <c r="G46" s="1052"/>
    </row>
    <row r="47" spans="1:7" ht="30" customHeight="1" x14ac:dyDescent="0.2">
      <c r="A47" s="1051" t="s">
        <v>532</v>
      </c>
      <c r="B47" s="1052"/>
      <c r="C47" s="1052"/>
      <c r="D47" s="1052"/>
      <c r="E47" s="1052"/>
      <c r="F47" s="1052"/>
      <c r="G47" s="1052"/>
    </row>
    <row r="48" spans="1:7" ht="30" customHeight="1" x14ac:dyDescent="0.2">
      <c r="A48" s="1051" t="s">
        <v>674</v>
      </c>
      <c r="B48" s="1052"/>
      <c r="C48" s="1052"/>
      <c r="D48" s="1052"/>
      <c r="E48" s="1052"/>
      <c r="F48" s="1052"/>
      <c r="G48" s="1052"/>
    </row>
    <row r="49" spans="1:7" ht="9" customHeight="1" x14ac:dyDescent="0.2">
      <c r="A49" s="1051" t="s">
        <v>576</v>
      </c>
      <c r="B49" s="1052"/>
      <c r="C49" s="1052"/>
      <c r="D49" s="1052"/>
      <c r="E49" s="1052"/>
      <c r="F49" s="1052"/>
      <c r="G49" s="1052"/>
    </row>
    <row r="50" spans="1:7" ht="12" customHeight="1" x14ac:dyDescent="0.2">
      <c r="A50" s="1051" t="s">
        <v>675</v>
      </c>
      <c r="B50" s="1052"/>
      <c r="C50" s="1052"/>
      <c r="D50" s="1052"/>
      <c r="E50" s="1052"/>
      <c r="F50" s="1052"/>
      <c r="G50" s="1052"/>
    </row>
    <row r="51" spans="1:7" x14ac:dyDescent="0.2">
      <c r="A51" s="1053">
        <v>8</v>
      </c>
      <c r="B51" s="1053"/>
      <c r="C51" s="1053"/>
      <c r="D51" s="1053"/>
      <c r="E51" s="1053"/>
      <c r="F51" s="1053"/>
      <c r="G51" s="1053"/>
    </row>
  </sheetData>
  <sheetProtection sheet="1" objects="1" scenarios="1"/>
  <mergeCells count="73">
    <mergeCell ref="A1:G1"/>
    <mergeCell ref="A2:G2"/>
    <mergeCell ref="A3:A4"/>
    <mergeCell ref="B3:D4"/>
    <mergeCell ref="E3:G3"/>
    <mergeCell ref="F4:G4"/>
    <mergeCell ref="B5:D5"/>
    <mergeCell ref="F5:G5"/>
    <mergeCell ref="B6:D6"/>
    <mergeCell ref="F6:G6"/>
    <mergeCell ref="B7:D7"/>
    <mergeCell ref="F7:G7"/>
    <mergeCell ref="B16:D16"/>
    <mergeCell ref="F16:G16"/>
    <mergeCell ref="B14:D14"/>
    <mergeCell ref="F14:G14"/>
    <mergeCell ref="B8:D8"/>
    <mergeCell ref="F8:G8"/>
    <mergeCell ref="B9:D9"/>
    <mergeCell ref="F9:G9"/>
    <mergeCell ref="B10:D10"/>
    <mergeCell ref="F10:G10"/>
    <mergeCell ref="A11:G11"/>
    <mergeCell ref="A12:A13"/>
    <mergeCell ref="B12:D13"/>
    <mergeCell ref="E12:G12"/>
    <mergeCell ref="F13:G13"/>
    <mergeCell ref="B15:D15"/>
    <mergeCell ref="F15:G15"/>
    <mergeCell ref="A26:G26"/>
    <mergeCell ref="A17:A18"/>
    <mergeCell ref="B17:D17"/>
    <mergeCell ref="E17:E18"/>
    <mergeCell ref="F17:G18"/>
    <mergeCell ref="B18:D18"/>
    <mergeCell ref="A19:G19"/>
    <mergeCell ref="A20:B20"/>
    <mergeCell ref="C20:G20"/>
    <mergeCell ref="A21:B21"/>
    <mergeCell ref="D21:G21"/>
    <mergeCell ref="A22:G22"/>
    <mergeCell ref="A23:G23"/>
    <mergeCell ref="A24:G24"/>
    <mergeCell ref="A25:G25"/>
    <mergeCell ref="A27:G27"/>
    <mergeCell ref="A41:G41"/>
    <mergeCell ref="A29:G29"/>
    <mergeCell ref="A30:G30"/>
    <mergeCell ref="A31:G31"/>
    <mergeCell ref="A32:G32"/>
    <mergeCell ref="A33:B33"/>
    <mergeCell ref="C33:D35"/>
    <mergeCell ref="E33:G33"/>
    <mergeCell ref="A34:B34"/>
    <mergeCell ref="A28:G28"/>
    <mergeCell ref="E34:G35"/>
    <mergeCell ref="A35:B35"/>
    <mergeCell ref="A36:G36"/>
    <mergeCell ref="A39:C39"/>
    <mergeCell ref="D39:E40"/>
    <mergeCell ref="A51:G51"/>
    <mergeCell ref="A42:G42"/>
    <mergeCell ref="A43:G43"/>
    <mergeCell ref="A44:G44"/>
    <mergeCell ref="A45:G45"/>
    <mergeCell ref="A46:G46"/>
    <mergeCell ref="A47:G47"/>
    <mergeCell ref="A49:G49"/>
    <mergeCell ref="A37:G37"/>
    <mergeCell ref="G39:G40"/>
    <mergeCell ref="A40:C40"/>
    <mergeCell ref="A48:G48"/>
    <mergeCell ref="A50:G50"/>
  </mergeCells>
  <pageMargins left="0.23622047244094491" right="0.23622047244094491" top="0.23622047244094491" bottom="0.23622047244094491" header="0" footer="0"/>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A2792-B4C4-4ECF-A620-503CFEE64AB4}">
  <sheetPr codeName="List20">
    <tabColor theme="1"/>
  </sheetPr>
  <dimension ref="A1:C126"/>
  <sheetViews>
    <sheetView workbookViewId="0"/>
  </sheetViews>
  <sheetFormatPr defaultRowHeight="12.75" x14ac:dyDescent="0.2"/>
  <cols>
    <col min="1" max="1" width="97.85546875" style="291" bestFit="1" customWidth="1"/>
  </cols>
  <sheetData>
    <row r="1" spans="1:1" x14ac:dyDescent="0.2">
      <c r="A1" s="414" t="s">
        <v>676</v>
      </c>
    </row>
    <row r="2" spans="1:1" x14ac:dyDescent="0.2">
      <c r="A2" s="416" t="str">
        <f>"&lt;Pisemnost nazevSW="&amp;CHAR(34)&amp;"PenezniDenikDobraku"&amp;CHAR(34)&amp;" verzeSW="&amp;CHAR(34)&amp;'Historie verzí'!A2&amp;CHAR(34)&amp;"&gt;"</f>
        <v>&lt;Pisemnost nazevSW="PenezniDenikDobraku" verzeSW="11.4"&gt;</v>
      </c>
    </row>
    <row r="3" spans="1:1" x14ac:dyDescent="0.2">
      <c r="A3" s="414" t="s">
        <v>3441</v>
      </c>
    </row>
    <row r="4" spans="1:1" x14ac:dyDescent="0.2">
      <c r="A4" s="417" t="s">
        <v>3238</v>
      </c>
    </row>
    <row r="5" spans="1:1" x14ac:dyDescent="0.2">
      <c r="A5" s="416" t="str">
        <f>"c_nace="&amp;CHAR(34)&amp;VLOOKUP('Základní údaje'!B6,okec,2,FALSE)&amp;CHAR(34)&amp;" "</f>
        <v xml:space="preserve">c_nace="842500" </v>
      </c>
    </row>
    <row r="6" spans="1:1" x14ac:dyDescent="0.2">
      <c r="A6" s="416" t="str">
        <f>"typ_dapdpp="&amp;CHAR(34)&amp;'Základní údaje'!B3&amp;CHAR(34)&amp;" "</f>
        <v xml:space="preserve">typ_dapdpp="A" </v>
      </c>
    </row>
    <row r="7" spans="1:1" x14ac:dyDescent="0.2">
      <c r="A7" s="416" t="s">
        <v>3281</v>
      </c>
    </row>
    <row r="8" spans="1:1" x14ac:dyDescent="0.2">
      <c r="A8" s="419" t="str">
        <f>"sam_pr="&amp;CHAR(34)&amp;'str 1'!L18&amp;CHAR(34)&amp;" "</f>
        <v xml:space="preserve">sam_pr="0" </v>
      </c>
    </row>
    <row r="9" spans="1:1" x14ac:dyDescent="0.2">
      <c r="A9" s="416" t="str">
        <f>"zvl_pr="&amp;CHAR(34)&amp;'str 1'!L16&amp;CHAR(34)&amp;" "</f>
        <v xml:space="preserve">zvl_pr="2" </v>
      </c>
    </row>
    <row r="10" spans="1:1" x14ac:dyDescent="0.2">
      <c r="A10" s="416" t="str">
        <f>"typ_zo="&amp;CHAR(34)&amp;'Základní údaje'!B3&amp;CHAR(34)&amp;" "</f>
        <v xml:space="preserve">typ_zo="A" </v>
      </c>
    </row>
    <row r="11" spans="1:1" x14ac:dyDescent="0.2">
      <c r="A11" s="416" t="str">
        <f>"typ_popldpp="&amp;CHAR(34)&amp;'Základní údaje'!$B$2&amp;CHAR(34)&amp;" "</f>
        <v xml:space="preserve">typ_popldpp="3" </v>
      </c>
    </row>
    <row r="12" spans="1:1" x14ac:dyDescent="0.2">
      <c r="A12" s="414" t="s">
        <v>3272</v>
      </c>
    </row>
    <row r="13" spans="1:1" x14ac:dyDescent="0.2">
      <c r="A13" s="416" t="str">
        <f>"p_pr_2od="&amp;CHAR(34)&amp;'str 1'!L13&amp;CHAR(34)&amp;" "</f>
        <v xml:space="preserve">p_pr_2od="1" </v>
      </c>
    </row>
    <row r="14" spans="1:1" x14ac:dyDescent="0.2">
      <c r="A14" s="416" t="str">
        <f>"c_ufo_cil="&amp;CHAR(34)&amp;VLOOKUP('Základní údaje'!B4,'Povolené hodnoty'!G3:H17,2,FALSE)&amp;CHAR(34)&amp;" "</f>
        <v xml:space="preserve">c_ufo_cil="459" </v>
      </c>
    </row>
    <row r="15" spans="1:1" x14ac:dyDescent="0.2">
      <c r="A15" s="416" t="str">
        <f>"zdobd_od="&amp;CHAR(34)&amp;"01.01."&amp;YEAR(Deník!B6)&amp;CHAR(34)&amp;" "</f>
        <v xml:space="preserve">zdobd_od="01.01.2023" </v>
      </c>
    </row>
    <row r="16" spans="1:1" x14ac:dyDescent="0.2">
      <c r="A16" s="414" t="s">
        <v>3239</v>
      </c>
    </row>
    <row r="17" spans="1:1" x14ac:dyDescent="0.2">
      <c r="A17" s="414" t="s">
        <v>3240</v>
      </c>
    </row>
    <row r="18" spans="1:1" x14ac:dyDescent="0.2">
      <c r="A18" s="416" t="str">
        <f>"kc_v_4="&amp;CHAR(34)&amp;'str 8'!E17&amp;CHAR(34)&amp;" "</f>
        <v xml:space="preserve">kc_v_4="0" </v>
      </c>
    </row>
    <row r="19" spans="1:1" x14ac:dyDescent="0.2">
      <c r="A19" s="416" t="s">
        <v>3241</v>
      </c>
    </row>
    <row r="20" spans="1:1" x14ac:dyDescent="0.2">
      <c r="A20" s="416" t="s">
        <v>3242</v>
      </c>
    </row>
    <row r="21" spans="1:1" x14ac:dyDescent="0.2">
      <c r="A21" s="416" t="s">
        <v>3243</v>
      </c>
    </row>
    <row r="22" spans="1:1" x14ac:dyDescent="0.2">
      <c r="A22" s="416" t="str">
        <f>"zdobd_do="&amp;CHAR(34)&amp;"31.12."&amp;YEAR(Deník!B6)&amp;CHAR(34)&amp;" "</f>
        <v xml:space="preserve">zdobd_do="31.12.2023" </v>
      </c>
    </row>
    <row r="23" spans="1:1" x14ac:dyDescent="0.2">
      <c r="A23" s="416" t="str">
        <f>"d_uv="&amp;CHAR(34)&amp;"31.12."&amp;YEAR(Deník!B6)&amp;CHAR(34)&amp;" "</f>
        <v xml:space="preserve">d_uv="31.12.2023" </v>
      </c>
    </row>
    <row r="24" spans="1:1" x14ac:dyDescent="0.2">
      <c r="A24" s="416" t="s">
        <v>3244</v>
      </c>
    </row>
    <row r="25" spans="1:1" x14ac:dyDescent="0.2">
      <c r="A25" s="416" t="s">
        <v>3245</v>
      </c>
    </row>
    <row r="26" spans="1:1" x14ac:dyDescent="0.2">
      <c r="A26" s="417" t="s">
        <v>3235</v>
      </c>
    </row>
    <row r="27" spans="1:1" x14ac:dyDescent="0.2">
      <c r="A27" s="417" t="s">
        <v>3246</v>
      </c>
    </row>
    <row r="28" spans="1:1" x14ac:dyDescent="0.2">
      <c r="A28" s="416" t="str">
        <f>"psc="&amp;CHAR(34)&amp;'Základní údaje'!B17&amp;CHAR(34)&amp;" "</f>
        <v xml:space="preserve">psc="56967" </v>
      </c>
    </row>
    <row r="29" spans="1:1" x14ac:dyDescent="0.2">
      <c r="A29" s="416" t="str">
        <f>"zkrobchjm="&amp;CHAR(34)&amp;'Základní údaje'!B10&amp;CHAR(34)&amp;" "</f>
        <v xml:space="preserve">zkrobchjm="SH ČMS - Sbor dobrovolných hasičů Osík" </v>
      </c>
    </row>
    <row r="30" spans="1:1" x14ac:dyDescent="0.2">
      <c r="A30" s="416" t="str">
        <f>"dic="&amp;CHAR(34)&amp;'Základní údaje'!B9&amp;CHAR(34)&amp;" "</f>
        <v xml:space="preserve">dic="64211045" </v>
      </c>
    </row>
    <row r="31" spans="1:1" x14ac:dyDescent="0.2">
      <c r="A31" s="416" t="str">
        <f>"naz_obce="&amp;CHAR(34)&amp;'Základní údaje'!B16&amp;CHAR(34)&amp;" "</f>
        <v xml:space="preserve">naz_obce="Osík" </v>
      </c>
    </row>
    <row r="32" spans="1:1" x14ac:dyDescent="0.2">
      <c r="A32" s="416" t="str">
        <f>"c_telef="&amp;CHAR(34)&amp;SUBSTITUTE('Základní údaje'!B19," ","")&amp;CHAR(34)&amp;" "</f>
        <v xml:space="preserve">c_telef="601234567" </v>
      </c>
    </row>
    <row r="33" spans="1:1" x14ac:dyDescent="0.2">
      <c r="A33" s="416" t="str">
        <f>"c_pop="&amp;CHAR(34)&amp;'Základní údaje'!B15&amp;CHAR(34)&amp;" "</f>
        <v xml:space="preserve">c_pop="240" </v>
      </c>
    </row>
    <row r="34" spans="1:1" x14ac:dyDescent="0.2">
      <c r="A34" s="416" t="str">
        <f>"ulice="&amp;CHAR(34)&amp;'Základní údaje'!B14&amp;CHAR(34)&amp;" "</f>
        <v xml:space="preserve">ulice="Osík" </v>
      </c>
    </row>
    <row r="35" spans="1:1" x14ac:dyDescent="0.2">
      <c r="A35" s="416" t="str">
        <f>"opr_jmeno="&amp;CHAR(34)&amp;'Základní údaje'!B21&amp;CHAR(34)&amp;" "</f>
        <v xml:space="preserve">opr_jmeno="Jindřich" </v>
      </c>
    </row>
    <row r="36" spans="1:1" x14ac:dyDescent="0.2">
      <c r="A36" s="416" t="str">
        <f>"c_pracufo="&amp;CHAR(34)&amp;VLOOKUP('Základní údaje'!B5,tab_Pracoviste,2,FALSE)&amp;CHAR(34)&amp;" "</f>
        <v xml:space="preserve">c_pracufo="2805" </v>
      </c>
    </row>
    <row r="37" spans="1:1" x14ac:dyDescent="0.2">
      <c r="A37" s="416" t="str">
        <f>"opr_postaveni="&amp;CHAR(34)&amp;'Základní údaje'!B23&amp;CHAR(34)&amp;" "</f>
        <v xml:space="preserve">opr_postaveni="starosta SDH" </v>
      </c>
    </row>
    <row r="38" spans="1:1" x14ac:dyDescent="0.2">
      <c r="A38" s="416" t="str">
        <f>"opr_prijmeni="&amp;CHAR(34)&amp;'Základní údaje'!B22&amp;CHAR(34)&amp;" "</f>
        <v xml:space="preserve">opr_prijmeni="Groulík" </v>
      </c>
    </row>
    <row r="39" spans="1:1" x14ac:dyDescent="0.2">
      <c r="A39" s="416" t="str">
        <f>"rod_c="&amp;CHAR(34)&amp;'Základní údaje'!B9&amp;CHAR(34)&amp;" "</f>
        <v xml:space="preserve">rod_c="64211045" </v>
      </c>
    </row>
    <row r="40" spans="1:1" x14ac:dyDescent="0.2">
      <c r="A40" s="417" t="s">
        <v>3235</v>
      </c>
    </row>
    <row r="41" spans="1:1" x14ac:dyDescent="0.2">
      <c r="A41" s="417" t="s">
        <v>3247</v>
      </c>
    </row>
    <row r="42" spans="1:1" x14ac:dyDescent="0.2">
      <c r="A42" s="416" t="str">
        <f>"kc_ii_360="&amp;CHAR(34)&amp;'str 7'!C42&amp;CHAR(34)&amp;" "</f>
        <v xml:space="preserve">kc_ii_360="0" </v>
      </c>
    </row>
    <row r="43" spans="1:1" x14ac:dyDescent="0.2">
      <c r="A43" s="416" t="str">
        <f>IF('str 7'!C6&gt;0,"kc_ii_340="&amp;CHAR(34)&amp;'str 7'!C39&amp;CHAR(34)&amp;" ","")</f>
        <v xml:space="preserve">kc_ii_340="0" </v>
      </c>
    </row>
    <row r="44" spans="1:1" x14ac:dyDescent="0.2">
      <c r="A44" s="416" t="str">
        <f>IF('str 7'!C6&gt;0,"kc_ii231_251="&amp;CHAR(34)&amp;'str 7'!C17&amp;CHAR(34)&amp;" ","")</f>
        <v xml:space="preserve">kc_ii231_251="22859" </v>
      </c>
    </row>
    <row r="45" spans="1:1" x14ac:dyDescent="0.2">
      <c r="A45" s="416" t="str">
        <f>IF('str 7'!C6&gt;0,"kc_ii230_250="&amp;CHAR(34)&amp;'str 7'!C15&amp;CHAR(34)&amp;" ","")</f>
        <v xml:space="preserve">kc_ii230_250="22859" </v>
      </c>
    </row>
    <row r="46" spans="1:1" x14ac:dyDescent="0.2">
      <c r="A46" s="416" t="str">
        <f>IF('str 7'!C6&gt;0,"kc_ii270_280="&amp;CHAR(34)&amp;'str 7'!C21*100&amp;CHAR(34)&amp;" ","")</f>
        <v xml:space="preserve">kc_ii270_280="19" </v>
      </c>
    </row>
    <row r="47" spans="1:1" x14ac:dyDescent="0.2">
      <c r="A47" s="416" t="str">
        <f>IF('str 7'!C6&gt;0,"kc_ii260_270="&amp;CHAR(34)&amp;'str 7'!C19&amp;CHAR(34)&amp;" ","")</f>
        <v xml:space="preserve">kc_ii260_270="0" </v>
      </c>
    </row>
    <row r="48" spans="1:1" x14ac:dyDescent="0.2">
      <c r="A48" s="416" t="str">
        <f>IF('str 7'!C6&gt;0,"kc_ii300_310="&amp;CHAR(34)&amp;'str 7'!C26&amp;CHAR(34)&amp;" ","")</f>
        <v xml:space="preserve">kc_ii300_310="0" </v>
      </c>
    </row>
    <row r="49" spans="1:1" x14ac:dyDescent="0.2">
      <c r="A49" s="416" t="str">
        <f>"kc_ii111_101="&amp;CHAR(34)&amp;'str 2'!E19&amp;CHAR(34)&amp;" "</f>
        <v xml:space="preserve">kc_ii111_101="12002" </v>
      </c>
    </row>
    <row r="50" spans="1:1" x14ac:dyDescent="0.2">
      <c r="A50" s="416" t="str">
        <f>"kc_ii50_40="&amp;CHAR(34)&amp;'str 2'!E11&amp;CHAR(34)&amp;" "</f>
        <v xml:space="preserve">kc_ii50_40="33753" </v>
      </c>
    </row>
    <row r="51" spans="1:1" x14ac:dyDescent="0.2">
      <c r="A51" s="416" t="str">
        <f>"kc_ii190_170="&amp;CHAR(34)&amp;'str 2'!E32&amp;CHAR(34)&amp;" "</f>
        <v xml:space="preserve">kc_ii190_170="17102" </v>
      </c>
    </row>
    <row r="52" spans="1:1" x14ac:dyDescent="0.2">
      <c r="A52" s="416" t="str">
        <f>"kc_ii120_110="&amp;CHAR(34)&amp;'str 2'!E21&amp;CHAR(34)&amp;" "</f>
        <v xml:space="preserve">kc_ii120_110="2000" </v>
      </c>
    </row>
    <row r="53" spans="1:1" x14ac:dyDescent="0.2">
      <c r="A53" s="416" t="str">
        <f>"kc_ii130_120="&amp;CHAR(34)&amp;'str 2'!E24&amp;CHAR(34)&amp;" "</f>
        <v xml:space="preserve">kc_ii130_120="99" </v>
      </c>
    </row>
    <row r="54" spans="1:1" x14ac:dyDescent="0.2">
      <c r="A54" s="416" t="str">
        <f>"kc_ii200_200="&amp;CHAR(34)&amp;'str 7'!C3&amp;CHAR(34)&amp;" "</f>
        <v xml:space="preserve">kc_ii200_200="22859" </v>
      </c>
    </row>
    <row r="55" spans="1:1" x14ac:dyDescent="0.2">
      <c r="A55" s="416" t="str">
        <f>IF('str 7'!C6&gt;0,"kc_ii320_330="&amp;CHAR(34)&amp;'str 7'!C31&amp;CHAR(34)&amp;" ","")</f>
        <v xml:space="preserve">kc_ii320_330="0" </v>
      </c>
    </row>
    <row r="56" spans="1:1" x14ac:dyDescent="0.2">
      <c r="A56" s="416"/>
    </row>
    <row r="57" spans="1:1" x14ac:dyDescent="0.2">
      <c r="A57" s="416" t="str">
        <f>IF('str 7'!C6&gt;0,"kc_ii280_290="&amp;CHAR(34)&amp;'str 7'!C22&amp;CHAR(34)&amp;" ","")</f>
        <v xml:space="preserve">kc_ii280_290="0" </v>
      </c>
    </row>
    <row r="58" spans="1:1" x14ac:dyDescent="0.2">
      <c r="A58" s="416" t="str">
        <f>IF('str 7'!C10&gt;0,"kc_ii210_230="&amp;CHAR(34)&amp;'str 7'!C10&amp;CHAR(34)&amp;" ","")</f>
        <v/>
      </c>
    </row>
    <row r="59" spans="1:1" x14ac:dyDescent="0.2">
      <c r="A59" s="416" t="str">
        <f>"kc_ii10_10="&amp;CHAR(34)&amp;'str 2'!E5&amp;CHAR(34)&amp;" "</f>
        <v xml:space="preserve">kc_ii10_10="6208" </v>
      </c>
    </row>
    <row r="60" spans="1:1" x14ac:dyDescent="0.2">
      <c r="A60" s="416" t="str">
        <f>"kc_ii80_70="&amp;CHAR(34)&amp;'str 2'!E16&amp;CHAR(34)&amp;" "</f>
        <v xml:space="preserve">kc_ii80_70="33753" </v>
      </c>
    </row>
    <row r="61" spans="1:1" x14ac:dyDescent="0.2">
      <c r="A61" s="416" t="str">
        <f>"kc_ii_220="&amp;CHAR(34)&amp;'str 7'!C6&amp;CHAR(34)&amp;" "</f>
        <v xml:space="preserve">kc_ii_220="22859" </v>
      </c>
    </row>
    <row r="62" spans="1:1" x14ac:dyDescent="0.2">
      <c r="A62" s="416" t="str">
        <f>"d_hospvysl="&amp;CHAR(34)&amp;'str 1'!H26&amp;CHAR(34)&amp;" "</f>
        <v xml:space="preserve">d_hospvysl="31.12.2023" </v>
      </c>
    </row>
    <row r="63" spans="1:1" x14ac:dyDescent="0.2">
      <c r="A63" s="416" t="str">
        <f>"kc_ii_109="&amp;CHAR(34)&amp;'str 2'!E20&amp;CHAR(34)&amp;" "</f>
        <v xml:space="preserve">kc_ii_109="3001" </v>
      </c>
    </row>
    <row r="64" spans="1:1" x14ac:dyDescent="0.2">
      <c r="A64" s="417" t="s">
        <v>3235</v>
      </c>
    </row>
    <row r="65" spans="1:1" x14ac:dyDescent="0.2">
      <c r="A65" s="417" t="s">
        <v>3250</v>
      </c>
    </row>
    <row r="66" spans="1:1" x14ac:dyDescent="0.2">
      <c r="A66" s="416" t="str">
        <f>"kc_1a="&amp;CHAR(34)&amp;'str 3'!D10&amp;CHAR(34)&amp;" "</f>
        <v xml:space="preserve">kc_1a="33753" </v>
      </c>
    </row>
    <row r="67" spans="1:1" x14ac:dyDescent="0.2">
      <c r="A67" s="416" t="str">
        <f>"naz_uc_skup="&amp;CHAR(34)&amp;'str 3'!B10&amp;CHAR(34)&amp;" "</f>
        <v xml:space="preserve">naz_uc_skup=" Výdaje na nezdaňovanou činnost" </v>
      </c>
    </row>
    <row r="68" spans="1:1" x14ac:dyDescent="0.2">
      <c r="A68" s="417" t="s">
        <v>3235</v>
      </c>
    </row>
    <row r="69" spans="1:1" x14ac:dyDescent="0.2">
      <c r="A69" s="417" t="s">
        <v>3251</v>
      </c>
    </row>
    <row r="70" spans="1:1" x14ac:dyDescent="0.2">
      <c r="A70" s="416" t="str">
        <f>"kc_dpp_a12="&amp;CHAR(34)&amp;'str 3'!D10&amp;CHAR(34)&amp;" "</f>
        <v xml:space="preserve">kc_dpp_a12="33753" </v>
      </c>
    </row>
    <row r="71" spans="1:1" x14ac:dyDescent="0.2">
      <c r="A71" s="417" t="s">
        <v>3235</v>
      </c>
    </row>
    <row r="72" spans="1:1" x14ac:dyDescent="0.2">
      <c r="A72" s="419" t="str">
        <f>IF('str 5'!D16&gt;0,"&lt;VetaV pr1e_sl_4="&amp;CHAR(34)&amp;'str 5'!G16&amp;CHAR(34)&amp;" pr1e_sl_3="&amp;CHAR(34)&amp;'str 5'!E16&amp;CHAR(34)&amp;" pr1e_sl_1_do="&amp;CHAR(34)&amp;TEXT('str 5'!C16,"dd.mm.rrrr")&amp;CHAR(34)&amp;" pr1e_sl_2="&amp;CHAR(34)&amp;'str 5'!D16&amp;CHAR(34)&amp;" pr1e_sl_1_od="&amp;CHAR(34)&amp;TEXT('str 5'!B16,"dd.mm.rrrr")&amp;CHAR(34)&amp;" pr1e_sl_5="&amp;CHAR(34)&amp;'str 5'!I16&amp;CHAR(34)&amp;" /&gt;","")</f>
        <v/>
      </c>
    </row>
    <row r="73" spans="1:1" x14ac:dyDescent="0.2">
      <c r="A73" s="419" t="str">
        <f>IF('str 5'!D17&gt;0,"&lt;VetaV pr1e_sl_4="&amp;CHAR(34)&amp;'str 5'!G17&amp;CHAR(34)&amp;" pr1e_sl_3="&amp;CHAR(34)&amp;'str 5'!E17&amp;CHAR(34)&amp;" pr1e_sl_1_do="&amp;CHAR(34)&amp;TEXT('str 5'!C17,"dd.mm.rrrr")&amp;CHAR(34)&amp;" pr1e_sl_2="&amp;CHAR(34)&amp;'str 5'!D17&amp;CHAR(34)&amp;" pr1e_sl_1_od="&amp;CHAR(34)&amp;TEXT('str 5'!B17,"dd.mm.rrrr")&amp;CHAR(34)&amp;" pr1e_sl_5="&amp;CHAR(34)&amp;'str 5'!I17&amp;CHAR(34)&amp;" /&gt;","")</f>
        <v/>
      </c>
    </row>
    <row r="74" spans="1:1" x14ac:dyDescent="0.2">
      <c r="A74" s="419" t="str">
        <f>IF('str 5'!D18&gt;0,"&lt;VetaV pr1e_sl_4="&amp;CHAR(34)&amp;'str 5'!G18&amp;CHAR(34)&amp;" pr1e_sl_3="&amp;CHAR(34)&amp;'str 5'!E18&amp;CHAR(34)&amp;" pr1e_sl_1_do="&amp;CHAR(34)&amp;TEXT('str 5'!C18,"dd.mm.rrrr")&amp;CHAR(34)&amp;" pr1e_sl_2="&amp;CHAR(34)&amp;'str 5'!D18&amp;CHAR(34)&amp;" pr1e_sl_1_od="&amp;CHAR(34)&amp;TEXT('str 5'!B18,"dd.mm.rrrr")&amp;CHAR(34)&amp;" pr1e_sl_5="&amp;CHAR(34)&amp;'str 5'!I18&amp;CHAR(34)&amp;" /&gt;","")</f>
        <v/>
      </c>
    </row>
    <row r="75" spans="1:1" x14ac:dyDescent="0.2">
      <c r="A75" s="419" t="str">
        <f>IF('str 5'!D19&gt;0,"&lt;VetaV pr1e_sl_4="&amp;CHAR(34)&amp;'str 5'!G19&amp;CHAR(34)&amp;" pr1e_sl_3="&amp;CHAR(34)&amp;'str 5'!E19&amp;CHAR(34)&amp;" pr1e_sl_1_do="&amp;CHAR(34)&amp;TEXT('str 5'!C19,"dd.mm.rrrr")&amp;CHAR(34)&amp;" pr1e_sl_2="&amp;CHAR(34)&amp;'str 5'!D19&amp;CHAR(34)&amp;" pr1e_sl_1_od="&amp;CHAR(34)&amp;TEXT('str 5'!B19,"dd.mm.rrrr")&amp;CHAR(34)&amp;" pr1e_sl_5="&amp;CHAR(34)&amp;'str 5'!I19&amp;CHAR(34)&amp;" /&gt;","")</f>
        <v/>
      </c>
    </row>
    <row r="76" spans="1:1" x14ac:dyDescent="0.2">
      <c r="A76" s="419" t="str">
        <f>IF('str 5'!D20&gt;0,"&lt;VetaV pr1e_sl_4="&amp;CHAR(34)&amp;'str 5'!G20&amp;CHAR(34)&amp;" pr1e_sl_3="&amp;CHAR(34)&amp;'str 5'!E20&amp;CHAR(34)&amp;" pr1e_sl_1_do="&amp;CHAR(34)&amp;TEXT('str 5'!C20,"dd.mm.rrrr")&amp;CHAR(34)&amp;" pr1e_sl_2="&amp;CHAR(34)&amp;'str 5'!D20&amp;CHAR(34)&amp;" pr1e_sl_1_od="&amp;CHAR(34)&amp;TEXT('str 5'!B20,"dd.mm.rrrr")&amp;CHAR(34)&amp;" pr1e_sl_5="&amp;CHAR(34)&amp;'str 5'!I20&amp;CHAR(34)&amp;" /&gt;","")</f>
        <v/>
      </c>
    </row>
    <row r="77" spans="1:1" x14ac:dyDescent="0.2">
      <c r="A77" s="419" t="str">
        <f>IF('str 5'!D21&gt;0,"&lt;VetaV pr1e_sl_4="&amp;CHAR(34)&amp;'str 5'!G21&amp;CHAR(34)&amp;" pr1e_sl_3="&amp;CHAR(34)&amp;'str 5'!E21&amp;CHAR(34)&amp;" pr1e_sl_1_do="&amp;CHAR(34)&amp;TEXT('str 5'!C21,"dd.mm.rrrr")&amp;CHAR(34)&amp;" pr1e_sl_2="&amp;CHAR(34)&amp;'str 5'!D21&amp;CHAR(34)&amp;" pr1e_sl_1_od="&amp;CHAR(34)&amp;TEXT('str 5'!B21,"dd.mm.rrrr")&amp;CHAR(34)&amp;" pr1e_sl_5="&amp;CHAR(34)&amp;'str 5'!I21&amp;CHAR(34)&amp;" /&gt;","")</f>
        <v/>
      </c>
    </row>
    <row r="78" spans="1:1" x14ac:dyDescent="0.2">
      <c r="A78" s="419" t="str">
        <f>IF('str 5'!D22&gt;0,"&lt;VetaV pr1e_sl_4="&amp;CHAR(34)&amp;'str 5'!G22&amp;CHAR(34)&amp;" pr1e_sl_3="&amp;CHAR(34)&amp;'str 5'!E22&amp;CHAR(34)&amp;" pr1e_sl_1_do="&amp;CHAR(34)&amp;TEXT('str 5'!C22,"dd.mm.rrrr")&amp;CHAR(34)&amp;" pr1e_sl_2="&amp;CHAR(34)&amp;'str 5'!D22&amp;CHAR(34)&amp;" pr1e_sl_1_od="&amp;CHAR(34)&amp;TEXT('str 5'!B22,"dd.mm.rrrr")&amp;CHAR(34)&amp;" pr1e_sl_5="&amp;CHAR(34)&amp;'str 5'!I22&amp;CHAR(34)&amp;" /&gt;","")</f>
        <v/>
      </c>
    </row>
    <row r="79" spans="1:1" x14ac:dyDescent="0.2">
      <c r="A79" s="419" t="str">
        <f>IF('str 5'!D23&gt;0,"&lt;VetaV pr1e_sl_4="&amp;CHAR(34)&amp;'str 5'!G23&amp;CHAR(34)&amp;" pr1e_sl_3="&amp;CHAR(34)&amp;'str 5'!E23&amp;CHAR(34)&amp;" pr1e_sl_1_do="&amp;CHAR(34)&amp;TEXT('str 5'!C23,"dd.mm.rrrr")&amp;CHAR(34)&amp;" pr1e_sl_2="&amp;CHAR(34)&amp;'str 5'!D23&amp;CHAR(34)&amp;" pr1e_sl_1_od="&amp;CHAR(34)&amp;TEXT('str 5'!B23,"dd.mm.rrrr")&amp;CHAR(34)&amp;" pr1e_sl_5="&amp;CHAR(34)&amp;'str 5'!I23&amp;CHAR(34)&amp;" /&gt;","")</f>
        <v/>
      </c>
    </row>
    <row r="80" spans="1:1" x14ac:dyDescent="0.2">
      <c r="A80" s="419" t="str">
        <f>IF('str 5'!D16&gt;0,"&lt;VetaI pr1e_sl_4_celk="&amp;CHAR(34)&amp;'str 5'!G24&amp;CHAR(34)&amp;" kc_dppc65_d85="&amp;CHAR(34)&amp;'str 5'!I24&amp;CHAR(34)&amp;" /&gt;","")</f>
        <v/>
      </c>
    </row>
    <row r="81" spans="1:3" x14ac:dyDescent="0.2">
      <c r="A81" s="417" t="s">
        <v>3249</v>
      </c>
    </row>
    <row r="82" spans="1:3" x14ac:dyDescent="0.2">
      <c r="A82" s="416" t="s">
        <v>3248</v>
      </c>
    </row>
    <row r="83" spans="1:3" x14ac:dyDescent="0.2">
      <c r="A83" s="416" t="str">
        <f>"kc_dpp_i1="&amp;CHAR(34)&amp;'str 6'!D37&amp;CHAR(34)&amp;" "</f>
        <v xml:space="preserve">kc_dpp_i1="46362" </v>
      </c>
    </row>
    <row r="84" spans="1:3" x14ac:dyDescent="0.2">
      <c r="A84" s="417" t="s">
        <v>3235</v>
      </c>
    </row>
    <row r="85" spans="1:3" x14ac:dyDescent="0.2">
      <c r="A85" s="417" t="s">
        <v>3236</v>
      </c>
      <c r="B85" t="s">
        <v>3278</v>
      </c>
    </row>
    <row r="86" spans="1:3" x14ac:dyDescent="0.2">
      <c r="A86" s="417" t="s">
        <v>3237</v>
      </c>
      <c r="B86" t="s">
        <v>3278</v>
      </c>
    </row>
    <row r="87" spans="1:3" x14ac:dyDescent="0.2">
      <c r="A87" s="416" t="str">
        <f>IF('Přehled o příjmech a výdajích'!Q12&amp;'Přehled o příjmech a výdajích'!R12&amp;'Přehled o příjmech a výdajích'!S12&amp;'Přehled o příjmech a výdajích'!T12="","","&lt;VetaU1 c_radku="&amp;CHAR(34)&amp;C87&amp;CHAR(34)&amp;IF('Přehled o příjmech a výdajích'!Q12="",""," kc_hlav="&amp;CHAR(34)&amp;'Přehled o příjmech a výdajích'!Q12&amp;CHAR(34))&amp;IF('Přehled o příjmech a výdajích'!R12="",""," kc_hosp="&amp;CHAR(34)&amp;'Přehled o příjmech a výdajích'!R12&amp;CHAR(34))&amp;IF('Přehled o příjmech a výdajích'!S12="",""," kc_hlav_min="&amp;CHAR(34)&amp;'Přehled o příjmech a výdajích'!S12&amp;CHAR(34))&amp;IF('Přehled o příjmech a výdajích'!T12="",""," kc_hosp_min="&amp;CHAR(34)&amp;'Přehled o příjmech a výdajích'!T12&amp;CHAR(34))&amp;" /&gt;")</f>
        <v>&lt;VetaU1 c_radku="1" kc_hlav="42" kc_hosp="6" kc_hlav_min="39" kc_hosp_min="11" /&gt;</v>
      </c>
      <c r="B87" t="s">
        <v>3277</v>
      </c>
      <c r="C87">
        <v>1</v>
      </c>
    </row>
    <row r="88" spans="1:3" x14ac:dyDescent="0.2">
      <c r="A88" s="416" t="str">
        <f>IF('Přehled o příjmech a výdajích'!Q13&amp;'Přehled o příjmech a výdajích'!R13&amp;'Přehled o příjmech a výdajích'!S13&amp;'Přehled o příjmech a výdajích'!T13="","","&lt;VetaU1 c_radku="&amp;CHAR(34)&amp;C88&amp;CHAR(34)&amp;IF('Přehled o příjmech a výdajích'!Q13="",""," kc_hlav="&amp;CHAR(34)&amp;'Přehled o příjmech a výdajích'!Q13&amp;CHAR(34))&amp;IF('Přehled o příjmech a výdajích'!R13="",""," kc_hosp="&amp;CHAR(34)&amp;'Přehled o příjmech a výdajích'!R13&amp;CHAR(34))&amp;IF('Přehled o příjmech a výdajích'!S13="",""," kc_hlav_min="&amp;CHAR(34)&amp;'Přehled o příjmech a výdajích'!S13&amp;CHAR(34))&amp;IF('Přehled o příjmech a výdajích'!T13="",""," kc_hosp_min="&amp;CHAR(34)&amp;'Přehled o příjmech a výdajích'!T13&amp;CHAR(34))&amp;" /&gt;")</f>
        <v>&lt;VetaU1 c_radku="2" kc_hlav="2" kc_hlav_min="1" /&gt;</v>
      </c>
      <c r="B88" t="s">
        <v>3277</v>
      </c>
      <c r="C88">
        <v>2</v>
      </c>
    </row>
    <row r="89" spans="1:3" x14ac:dyDescent="0.2">
      <c r="A89" s="416" t="str">
        <f>IF('Přehled o příjmech a výdajích'!Q14&amp;'Přehled o příjmech a výdajích'!R14&amp;'Přehled o příjmech a výdajích'!S14&amp;'Přehled o příjmech a výdajích'!T14="","","&lt;VetaU1 c_radku="&amp;CHAR(34)&amp;C89&amp;CHAR(34)&amp;IF('Přehled o příjmech a výdajích'!Q14="",""," kc_hlav="&amp;CHAR(34)&amp;'Přehled o příjmech a výdajích'!Q14&amp;CHAR(34))&amp;IF('Přehled o příjmech a výdajích'!R14="",""," kc_hosp="&amp;CHAR(34)&amp;'Přehled o příjmech a výdajích'!R14&amp;CHAR(34))&amp;IF('Přehled o příjmech a výdajích'!S14="",""," kc_hlav_min="&amp;CHAR(34)&amp;'Přehled o příjmech a výdajích'!S14&amp;CHAR(34))&amp;IF('Přehled o příjmech a výdajích'!T14="",""," kc_hosp_min="&amp;CHAR(34)&amp;'Přehled o příjmech a výdajích'!T14&amp;CHAR(34))&amp;" /&gt;")</f>
        <v>&lt;VetaU1 c_radku="3" kc_hlav="23" kc_hosp="5" kc_hlav_min="13" kc_hosp_min="8" /&gt;</v>
      </c>
      <c r="B89" t="s">
        <v>3277</v>
      </c>
      <c r="C89">
        <v>3</v>
      </c>
    </row>
    <row r="90" spans="1:3" x14ac:dyDescent="0.2">
      <c r="A90" s="416" t="str">
        <f>IF('Přehled o příjmech a výdajích'!Q15&amp;'Přehled o příjmech a výdajích'!R15&amp;'Přehled o příjmech a výdajích'!S15&amp;'Přehled o příjmech a výdajích'!T15="","","&lt;VetaU1 c_radku="&amp;CHAR(34)&amp;C90&amp;CHAR(34)&amp;IF('Přehled o příjmech a výdajích'!Q15="",""," kc_hlav="&amp;CHAR(34)&amp;'Přehled o příjmech a výdajích'!Q15&amp;CHAR(34))&amp;IF('Přehled o příjmech a výdajích'!R15="",""," kc_hosp="&amp;CHAR(34)&amp;'Přehled o příjmech a výdajích'!R15&amp;CHAR(34))&amp;IF('Přehled o příjmech a výdajích'!S15="",""," kc_hlav_min="&amp;CHAR(34)&amp;'Přehled o příjmech a výdajích'!S15&amp;CHAR(34))&amp;IF('Přehled o příjmech a výdajích'!T15="",""," kc_hosp_min="&amp;CHAR(34)&amp;'Přehled o příjmech a výdajích'!T15&amp;CHAR(34))&amp;" /&gt;")</f>
        <v>&lt;VetaU1 c_radku="4" kc_hlav_min="15" /&gt;</v>
      </c>
      <c r="B90" t="s">
        <v>3277</v>
      </c>
      <c r="C90">
        <v>4</v>
      </c>
    </row>
    <row r="91" spans="1:3" x14ac:dyDescent="0.2">
      <c r="A91" s="416" t="str">
        <f>IF('Přehled o příjmech a výdajích'!Q16&amp;'Přehled o příjmech a výdajích'!R16&amp;'Přehled o příjmech a výdajích'!S16&amp;'Přehled o příjmech a výdajích'!T16="","","&lt;VetaU1 c_radku="&amp;CHAR(34)&amp;C91&amp;CHAR(34)&amp;IF('Přehled o příjmech a výdajích'!Q16="",""," kc_hlav="&amp;CHAR(34)&amp;'Přehled o příjmech a výdajích'!Q16&amp;CHAR(34))&amp;IF('Přehled o příjmech a výdajích'!R16="",""," kc_hosp="&amp;CHAR(34)&amp;'Přehled o příjmech a výdajích'!R16&amp;CHAR(34))&amp;IF('Přehled o příjmech a výdajích'!S16="",""," kc_hlav_min="&amp;CHAR(34)&amp;'Přehled o příjmech a výdajích'!S16&amp;CHAR(34))&amp;IF('Přehled o příjmech a výdajích'!T16="",""," kc_hosp_min="&amp;CHAR(34)&amp;'Přehled o příjmech a výdajích'!T16&amp;CHAR(34))&amp;" /&gt;")</f>
        <v>&lt;VetaU1 c_radku="5" kc_hlav="3" kc_hlav_min="1" /&gt;</v>
      </c>
      <c r="B91" t="s">
        <v>3277</v>
      </c>
      <c r="C91">
        <v>5</v>
      </c>
    </row>
    <row r="92" spans="1:3" x14ac:dyDescent="0.2">
      <c r="A92" s="416" t="str">
        <f>IF('Přehled o příjmech a výdajích'!Q17&amp;'Přehled o příjmech a výdajích'!R17&amp;'Přehled o příjmech a výdajích'!S17&amp;'Přehled o příjmech a výdajích'!T17="","","&lt;VetaU1 c_radku="&amp;CHAR(34)&amp;C92&amp;CHAR(34)&amp;IF('Přehled o příjmech a výdajích'!Q17="",""," kc_hlav="&amp;CHAR(34)&amp;'Přehled o příjmech a výdajích'!Q17&amp;CHAR(34))&amp;IF('Přehled o příjmech a výdajích'!R17="",""," kc_hosp="&amp;CHAR(34)&amp;'Přehled o příjmech a výdajích'!R17&amp;CHAR(34))&amp;IF('Přehled o příjmech a výdajích'!S17="",""," kc_hlav_min="&amp;CHAR(34)&amp;'Přehled o příjmech a výdajích'!S17&amp;CHAR(34))&amp;IF('Přehled o příjmech a výdajích'!T17="",""," kc_hosp_min="&amp;CHAR(34)&amp;'Přehled o příjmech a výdajích'!T17&amp;CHAR(34))&amp;" /&gt;")</f>
        <v>&lt;VetaU1 c_radku="6" kc_hlav="2" kc_hlav_min="2" /&gt;</v>
      </c>
      <c r="B92" t="s">
        <v>3277</v>
      </c>
      <c r="C92">
        <v>6</v>
      </c>
    </row>
    <row r="93" spans="1:3" x14ac:dyDescent="0.2">
      <c r="A93" s="416" t="str">
        <f>IF('Přehled o příjmech a výdajích'!Q18&amp;'Přehled o příjmech a výdajích'!R18&amp;'Přehled o příjmech a výdajích'!S18&amp;'Přehled o příjmech a výdajích'!T18="","","&lt;VetaU1 c_radku="&amp;CHAR(34)&amp;C93&amp;CHAR(34)&amp;IF('Přehled o příjmech a výdajích'!Q18="",""," kc_hlav="&amp;CHAR(34)&amp;'Přehled o příjmech a výdajích'!Q18&amp;CHAR(34))&amp;IF('Přehled o příjmech a výdajích'!R18="",""," kc_hosp="&amp;CHAR(34)&amp;'Přehled o příjmech a výdajích'!R18&amp;CHAR(34))&amp;IF('Přehled o příjmech a výdajích'!S18="",""," kc_hlav_min="&amp;CHAR(34)&amp;'Přehled o příjmech a výdajích'!S18&amp;CHAR(34))&amp;IF('Přehled o příjmech a výdajích'!T18="",""," kc_hosp_min="&amp;CHAR(34)&amp;'Přehled o příjmech a výdajích'!T18&amp;CHAR(34))&amp;" /&gt;")</f>
        <v>&lt;VetaU1 c_radku="7" kc_hlav="7" kc_hlav_min="3" /&gt;</v>
      </c>
      <c r="B93" t="s">
        <v>3277</v>
      </c>
      <c r="C93">
        <v>7</v>
      </c>
    </row>
    <row r="94" spans="1:3" x14ac:dyDescent="0.2">
      <c r="A94" s="416" t="str">
        <f>IF('Přehled o příjmech a výdajích'!Q19&amp;'Přehled o příjmech a výdajích'!R19&amp;'Přehled o příjmech a výdajích'!S19&amp;'Přehled o příjmech a výdajích'!T19="","","&lt;VetaU1 c_radku="&amp;CHAR(34)&amp;C94&amp;CHAR(34)&amp;IF('Přehled o příjmech a výdajích'!Q19="",""," kc_hlav="&amp;CHAR(34)&amp;'Přehled o příjmech a výdajích'!Q19&amp;CHAR(34))&amp;IF('Přehled o příjmech a výdajích'!R19="",""," kc_hosp="&amp;CHAR(34)&amp;'Přehled o příjmech a výdajích'!R19&amp;CHAR(34))&amp;IF('Přehled o příjmech a výdajích'!S19="",""," kc_hlav_min="&amp;CHAR(34)&amp;'Přehled o příjmech a výdajích'!S19&amp;CHAR(34))&amp;IF('Přehled o příjmech a výdajích'!T19="",""," kc_hosp_min="&amp;CHAR(34)&amp;'Přehled o příjmech a výdajích'!T19&amp;CHAR(34))&amp;" /&gt;")</f>
        <v>&lt;VetaU1 c_radku="8" kc_hlav="5" kc_hosp="1" kc_hlav_min="4" kc_hosp_min="3" /&gt;</v>
      </c>
      <c r="B94" t="s">
        <v>3277</v>
      </c>
      <c r="C94">
        <v>8</v>
      </c>
    </row>
    <row r="95" spans="1:3" x14ac:dyDescent="0.2">
      <c r="A95" s="416" t="str">
        <f>IF('Přehled o příjmech a výdajích'!Q20&amp;'Přehled o příjmech a výdajích'!R20&amp;'Přehled o příjmech a výdajích'!S20&amp;'Přehled o příjmech a výdajích'!T20="","","&lt;VetaU1 c_radku="&amp;CHAR(34)&amp;C95&amp;CHAR(34)&amp;IF('Přehled o příjmech a výdajích'!Q20="",""," kc_hlav="&amp;CHAR(34)&amp;'Přehled o příjmech a výdajích'!Q20&amp;CHAR(34))&amp;IF('Přehled o příjmech a výdajích'!R20="",""," kc_hosp="&amp;CHAR(34)&amp;'Přehled o příjmech a výdajích'!R20&amp;CHAR(34))&amp;IF('Přehled o příjmech a výdajích'!S20="",""," kc_hlav_min="&amp;CHAR(34)&amp;'Přehled o příjmech a výdajích'!S20&amp;CHAR(34))&amp;IF('Přehled o příjmech a výdajích'!T20="",""," kc_hosp_min="&amp;CHAR(34)&amp;'Přehled o příjmech a výdajích'!T20&amp;CHAR(34))&amp;" /&gt;")</f>
        <v/>
      </c>
      <c r="B95" t="s">
        <v>3277</v>
      </c>
      <c r="C95">
        <v>9</v>
      </c>
    </row>
    <row r="96" spans="1:3" x14ac:dyDescent="0.2">
      <c r="A96" s="416" t="str">
        <f>IF('Přehled o příjmech a výdajích'!Q23&amp;'Přehled o příjmech a výdajích'!R23&amp;'Přehled o příjmech a výdajích'!S23&amp;'Přehled o příjmech a výdajích'!T23="","","&lt;VetaU1 c_radku="&amp;CHAR(34)&amp;C96&amp;CHAR(34)&amp;IF('Přehled o příjmech a výdajích'!Q23="",""," kc_hlav="&amp;CHAR(34)&amp;'Přehled o příjmech a výdajích'!Q23&amp;CHAR(34))&amp;IF('Přehled o příjmech a výdajích'!R23="",""," kc_hosp="&amp;CHAR(34)&amp;'Přehled o příjmech a výdajích'!R23&amp;CHAR(34))&amp;IF('Přehled o příjmech a výdajích'!S23="",""," kc_hlav_min="&amp;CHAR(34)&amp;'Přehled o příjmech a výdajích'!S23&amp;CHAR(34))&amp;IF('Přehled o příjmech a výdajích'!T23="",""," kc_hosp_min="&amp;CHAR(34)&amp;'Přehled o příjmech a výdajích'!T23&amp;CHAR(34))&amp;" /&gt;")</f>
        <v>&lt;VetaU1 c_radku="11" kc_hlav="42" kc_hosp="6" kc_hlav_min="39" kc_hosp_min="11" /&gt;</v>
      </c>
      <c r="B96" t="s">
        <v>3277</v>
      </c>
      <c r="C96">
        <v>11</v>
      </c>
    </row>
    <row r="97" spans="1:3" x14ac:dyDescent="0.2">
      <c r="A97" s="416" t="str">
        <f>IF('Přehled o příjmech a výdajích'!Q27&amp;'Přehled o příjmech a výdajích'!R27&amp;'Přehled o příjmech a výdajích'!S27&amp;'Přehled o příjmech a výdajích'!T27="","","&lt;VetaU1 c_radku="&amp;CHAR(34)&amp;C97&amp;CHAR(34)&amp;IF('Přehled o příjmech a výdajích'!Q27="",""," kc_hlav="&amp;CHAR(34)&amp;'Přehled o příjmech a výdajích'!Q27&amp;CHAR(34))&amp;IF('Přehled o příjmech a výdajích'!R27="",""," kc_hosp="&amp;CHAR(34)&amp;'Přehled o příjmech a výdajích'!R27&amp;CHAR(34))&amp;IF('Přehled o příjmech a výdajích'!S27="",""," kc_hlav_min="&amp;CHAR(34)&amp;'Přehled o příjmech a výdajích'!S27&amp;CHAR(34))&amp;IF('Přehled o příjmech a výdajích'!T27="",""," kc_hosp_min="&amp;CHAR(34)&amp;'Přehled o příjmech a výdajích'!T27&amp;CHAR(34))&amp;" /&gt;")</f>
        <v>&lt;VetaU1 c_radku="12" kc_hlav="40" kc_hosp="0" kc_hlav_min="38" kc_hosp_min="1" /&gt;</v>
      </c>
      <c r="B97" t="s">
        <v>3277</v>
      </c>
      <c r="C97">
        <v>12</v>
      </c>
    </row>
    <row r="98" spans="1:3" x14ac:dyDescent="0.2">
      <c r="A98" s="416" t="str">
        <f>IF('Přehled o příjmech a výdajích'!Q28&amp;'Přehled o příjmech a výdajích'!R28&amp;'Přehled o příjmech a výdajích'!S28&amp;'Přehled o příjmech a výdajích'!T28="","","&lt;VetaU1 c_radku="&amp;CHAR(34)&amp;C98&amp;CHAR(34)&amp;IF('Přehled o příjmech a výdajích'!Q28="",""," kc_hlav="&amp;CHAR(34)&amp;'Přehled o příjmech a výdajích'!Q28&amp;CHAR(34))&amp;IF('Přehled o příjmech a výdajích'!R28="",""," kc_hosp="&amp;CHAR(34)&amp;'Přehled o příjmech a výdajích'!R28&amp;CHAR(34))&amp;IF('Přehled o příjmech a výdajích'!S28="",""," kc_hlav_min="&amp;CHAR(34)&amp;'Přehled o příjmech a výdajích'!S28&amp;CHAR(34))&amp;IF('Přehled o příjmech a výdajích'!T28="",""," kc_hosp_min="&amp;CHAR(34)&amp;'Přehled o příjmech a výdajích'!T28&amp;CHAR(34))&amp;" /&gt;")</f>
        <v>&lt;VetaU1 c_radku="13" kc_hlav="0" kc_hlav_min="1" /&gt;</v>
      </c>
      <c r="B98" t="s">
        <v>3277</v>
      </c>
      <c r="C98">
        <v>13</v>
      </c>
    </row>
    <row r="99" spans="1:3" x14ac:dyDescent="0.2">
      <c r="A99" s="416" t="str">
        <f>IF('Přehled o příjmech a výdajích'!Q29&amp;'Přehled o příjmech a výdajích'!R29&amp;'Přehled o příjmech a výdajích'!S29&amp;'Přehled o příjmech a výdajích'!T29="","","&lt;VetaU1 c_radku="&amp;CHAR(34)&amp;C99&amp;CHAR(34)&amp;IF('Přehled o příjmech a výdajích'!Q29="",""," kc_hlav="&amp;CHAR(34)&amp;'Přehled o příjmech a výdajích'!Q29&amp;CHAR(34))&amp;IF('Přehled o příjmech a výdajích'!R29="",""," kc_hosp="&amp;CHAR(34)&amp;'Přehled o příjmech a výdajích'!R29&amp;CHAR(34))&amp;IF('Přehled o příjmech a výdajích'!S29="",""," kc_hlav_min="&amp;CHAR(34)&amp;'Přehled o příjmech a výdajích'!S29&amp;CHAR(34))&amp;IF('Přehled o příjmech a výdajích'!T29="",""," kc_hosp_min="&amp;CHAR(34)&amp;'Přehled o příjmech a výdajích'!T29&amp;CHAR(34))&amp;" /&gt;")</f>
        <v>&lt;VetaU1 c_radku="14" kc_hlav="7" kc_hosp="0" kc_hlav_min="7" kc_hosp_min="1" /&gt;</v>
      </c>
      <c r="B99" t="s">
        <v>3277</v>
      </c>
      <c r="C99">
        <v>14</v>
      </c>
    </row>
    <row r="100" spans="1:3" x14ac:dyDescent="0.2">
      <c r="A100" s="416" t="str">
        <f>IF('Přehled o příjmech a výdajích'!Q30&amp;'Přehled o příjmech a výdajích'!R30&amp;'Přehled o příjmech a výdajích'!S30&amp;'Přehled o příjmech a výdajích'!T30="","","&lt;VetaU1 c_radku="&amp;CHAR(34)&amp;C100&amp;CHAR(34)&amp;IF('Přehled o příjmech a výdajích'!Q30="",""," kc_hlav="&amp;CHAR(34)&amp;'Přehled o příjmech a výdajích'!Q30&amp;CHAR(34))&amp;IF('Přehled o příjmech a výdajích'!R30="",""," kc_hosp="&amp;CHAR(34)&amp;'Přehled o příjmech a výdajích'!R30&amp;CHAR(34))&amp;IF('Přehled o příjmech a výdajích'!S30="",""," kc_hlav_min="&amp;CHAR(34)&amp;'Přehled o příjmech a výdajích'!S30&amp;CHAR(34))&amp;IF('Přehled o příjmech a výdajích'!T30="",""," kc_hosp_min="&amp;CHAR(34)&amp;'Přehled o příjmech a výdajích'!T30&amp;CHAR(34))&amp;" /&gt;")</f>
        <v>&lt;VetaU1 c_radku="15" kc_hlav="1" kc_hlav_min="2" /&gt;</v>
      </c>
      <c r="B100" t="s">
        <v>3277</v>
      </c>
      <c r="C100">
        <v>15</v>
      </c>
    </row>
    <row r="101" spans="1:3" x14ac:dyDescent="0.2">
      <c r="A101" s="416" t="str">
        <f>IF('Přehled o příjmech a výdajích'!Q31&amp;'Přehled o příjmech a výdajích'!R31&amp;'Přehled o příjmech a výdajích'!S31&amp;'Přehled o příjmech a výdajích'!T31="","","&lt;VetaU1 c_radku="&amp;CHAR(34)&amp;C101&amp;CHAR(34)&amp;IF('Přehled o příjmech a výdajích'!Q31="",""," kc_hlav="&amp;CHAR(34)&amp;'Přehled o příjmech a výdajích'!Q31&amp;CHAR(34))&amp;IF('Přehled o příjmech a výdajích'!R31="",""," kc_hosp="&amp;CHAR(34)&amp;'Přehled o příjmech a výdajích'!R31&amp;CHAR(34))&amp;IF('Přehled o příjmech a výdajích'!S31="",""," kc_hlav_min="&amp;CHAR(34)&amp;'Přehled o příjmech a výdajích'!S31&amp;CHAR(34))&amp;IF('Přehled o příjmech a výdajích'!T31="",""," kc_hosp_min="&amp;CHAR(34)&amp;'Přehled o příjmech a výdajích'!T31&amp;CHAR(34))&amp;" /&gt;")</f>
        <v>&lt;VetaU1 c_radku="16" kc_hlav="25" kc_hlav_min="23" /&gt;</v>
      </c>
      <c r="B101" t="s">
        <v>3277</v>
      </c>
      <c r="C101">
        <v>16</v>
      </c>
    </row>
    <row r="102" spans="1:3" x14ac:dyDescent="0.2">
      <c r="A102" s="416" t="str">
        <f>IF('Přehled o příjmech a výdajích'!Q32&amp;'Přehled o příjmech a výdajích'!R32&amp;'Přehled o příjmech a výdajích'!S32&amp;'Přehled o příjmech a výdajích'!T32="","","&lt;VetaU1 c_radku="&amp;CHAR(34)&amp;C102&amp;CHAR(34)&amp;IF('Přehled o příjmech a výdajích'!Q32="",""," kc_hlav="&amp;CHAR(34)&amp;'Přehled o příjmech a výdajích'!Q32&amp;CHAR(34))&amp;IF('Přehled o příjmech a výdajích'!R32="",""," kc_hosp="&amp;CHAR(34)&amp;'Přehled o příjmech a výdajích'!R32&amp;CHAR(34))&amp;IF('Přehled o příjmech a výdajích'!S32="",""," kc_hlav_min="&amp;CHAR(34)&amp;'Přehled o příjmech a výdajích'!S32&amp;CHAR(34))&amp;IF('Přehled o příjmech a výdajích'!T32="",""," kc_hosp_min="&amp;CHAR(34)&amp;'Přehled o příjmech a výdajích'!T32&amp;CHAR(34))&amp;" /&gt;")</f>
        <v/>
      </c>
      <c r="B102" t="s">
        <v>3277</v>
      </c>
      <c r="C102">
        <v>17</v>
      </c>
    </row>
    <row r="103" spans="1:3" x14ac:dyDescent="0.2">
      <c r="A103" s="416" t="str">
        <f>IF('Přehled o příjmech a výdajích'!Q33&amp;'Přehled o příjmech a výdajích'!R33&amp;'Přehled o příjmech a výdajích'!S33&amp;'Přehled o příjmech a výdajích'!T33="","","&lt;VetaU1 c_radku="&amp;CHAR(34)&amp;C103&amp;CHAR(34)&amp;IF('Přehled o příjmech a výdajích'!Q33="",""," kc_hlav="&amp;CHAR(34)&amp;'Přehled o příjmech a výdajích'!Q33&amp;CHAR(34))&amp;IF('Přehled o příjmech a výdajích'!R33="",""," kc_hosp="&amp;CHAR(34)&amp;'Přehled o příjmech a výdajích'!R33&amp;CHAR(34))&amp;IF('Přehled o příjmech a výdajích'!S33="",""," kc_hlav_min="&amp;CHAR(34)&amp;'Přehled o příjmech a výdajích'!S33&amp;CHAR(34))&amp;IF('Přehled o příjmech a výdajích'!T33="",""," kc_hosp_min="&amp;CHAR(34)&amp;'Přehled o příjmech a výdajích'!T33&amp;CHAR(34))&amp;" /&gt;")</f>
        <v/>
      </c>
      <c r="B103" t="s">
        <v>3277</v>
      </c>
      <c r="C103">
        <v>18</v>
      </c>
    </row>
    <row r="104" spans="1:3" x14ac:dyDescent="0.2">
      <c r="A104" s="416" t="str">
        <f>IF('Přehled o příjmech a výdajích'!Q34&amp;'Přehled o příjmech a výdajích'!R34&amp;'Přehled o příjmech a výdajích'!S34&amp;'Přehled o příjmech a výdajích'!T34="","","&lt;VetaU1 c_radku="&amp;CHAR(34)&amp;C104&amp;CHAR(34)&amp;IF('Přehled o příjmech a výdajích'!Q34="",""," kc_hlav="&amp;CHAR(34)&amp;'Přehled o příjmech a výdajích'!Q34&amp;CHAR(34))&amp;IF('Přehled o příjmech a výdajích'!R34="",""," kc_hosp="&amp;CHAR(34)&amp;'Přehled o příjmech a výdajích'!R34&amp;CHAR(34))&amp;IF('Přehled o příjmech a výdajích'!S34="",""," kc_hlav_min="&amp;CHAR(34)&amp;'Přehled o příjmech a výdajích'!S34&amp;CHAR(34))&amp;IF('Přehled o příjmech a výdajích'!T34="",""," kc_hosp_min="&amp;CHAR(34)&amp;'Přehled o příjmech a výdajích'!T34&amp;CHAR(34))&amp;" /&gt;")</f>
        <v>&lt;VetaU1 c_radku="19" kc_hlav="1" kc_hlav_min="2" /&gt;</v>
      </c>
      <c r="B104" t="s">
        <v>3277</v>
      </c>
      <c r="C104">
        <v>19</v>
      </c>
    </row>
    <row r="105" spans="1:3" x14ac:dyDescent="0.2">
      <c r="A105" s="416" t="str">
        <f>IF('Přehled o příjmech a výdajích'!Q35&amp;'Přehled o příjmech a výdajích'!R35&amp;'Přehled o příjmech a výdajích'!S35&amp;'Přehled o příjmech a výdajích'!T35="","","&lt;VetaU1 c_radku="&amp;CHAR(34)&amp;C105&amp;CHAR(34)&amp;IF('Přehled o příjmech a výdajích'!Q35="",""," kc_hlav="&amp;CHAR(34)&amp;'Přehled o příjmech a výdajích'!Q35&amp;CHAR(34))&amp;IF('Přehled o příjmech a výdajích'!R35="",""," kc_hosp="&amp;CHAR(34)&amp;'Přehled o příjmech a výdajích'!R35&amp;CHAR(34))&amp;IF('Přehled o příjmech a výdajích'!S35="",""," kc_hlav_min="&amp;CHAR(34)&amp;'Přehled o příjmech a výdajích'!S35&amp;CHAR(34))&amp;IF('Přehled o příjmech a výdajích'!T35="",""," kc_hosp_min="&amp;CHAR(34)&amp;'Přehled o příjmech a výdajích'!T35&amp;CHAR(34))&amp;" /&gt;")</f>
        <v>&lt;VetaU1 c_radku="20" kc_hlav="6" kc_hlav_min="3" /&gt;</v>
      </c>
      <c r="B105" t="s">
        <v>3277</v>
      </c>
      <c r="C105">
        <v>20</v>
      </c>
    </row>
    <row r="106" spans="1:3" x14ac:dyDescent="0.2">
      <c r="A106" s="416" t="str">
        <f>IF('Přehled o příjmech a výdajích'!Q36&amp;'Přehled o příjmech a výdajích'!R36&amp;'Přehled o příjmech a výdajích'!S36&amp;'Přehled o příjmech a výdajích'!T36="","","&lt;VetaU1 c_radku="&amp;CHAR(34)&amp;C106&amp;CHAR(34)&amp;IF('Přehled o příjmech a výdajích'!Q36="",""," kc_hlav="&amp;CHAR(34)&amp;'Přehled o příjmech a výdajích'!Q36&amp;CHAR(34))&amp;IF('Přehled o příjmech a výdajích'!R36="",""," kc_hosp="&amp;CHAR(34)&amp;'Přehled o příjmech a výdajích'!R36&amp;CHAR(34))&amp;IF('Přehled o příjmech a výdajích'!S36="",""," kc_hlav_min="&amp;CHAR(34)&amp;'Přehled o příjmech a výdajích'!S36&amp;CHAR(34))&amp;IF('Přehled o příjmech a výdajích'!T36="",""," kc_hosp_min="&amp;CHAR(34)&amp;'Přehled o příjmech a výdajích'!T36&amp;CHAR(34))&amp;" /&gt;")</f>
        <v/>
      </c>
      <c r="B106" t="s">
        <v>3277</v>
      </c>
      <c r="C106">
        <v>21</v>
      </c>
    </row>
    <row r="107" spans="1:3" x14ac:dyDescent="0.2">
      <c r="A107" s="416" t="str">
        <f>IF('Přehled o příjmech a výdajích'!Q38&amp;'Přehled o příjmech a výdajích'!R38&amp;'Přehled o příjmech a výdajích'!S38&amp;'Přehled o příjmech a výdajích'!T38="","","&lt;VetaU1 c_radku="&amp;CHAR(34)&amp;C107&amp;CHAR(34)&amp;IF('Přehled o příjmech a výdajích'!Q38="",""," kc_hlav="&amp;CHAR(34)&amp;'Přehled o příjmech a výdajích'!Q38&amp;CHAR(34))&amp;IF('Přehled o příjmech a výdajích'!R38="",""," kc_hosp="&amp;CHAR(34)&amp;'Přehled o příjmech a výdajích'!R38&amp;CHAR(34))&amp;IF('Přehled o příjmech a výdajích'!S38="",""," kc_hlav_min="&amp;CHAR(34)&amp;'Přehled o příjmech a výdajích'!S38&amp;CHAR(34))&amp;IF('Přehled o příjmech a výdajích'!T38="",""," kc_hosp_min="&amp;CHAR(34)&amp;'Přehled o příjmech a výdajích'!T38&amp;CHAR(34))&amp;" /&gt;")</f>
        <v>&lt;VetaU1 c_radku="23" kc_hlav="40" kc_hosp="0" kc_hlav_min="38" kc_hosp_min="1" /&gt;</v>
      </c>
      <c r="B107" t="s">
        <v>3277</v>
      </c>
      <c r="C107">
        <v>23</v>
      </c>
    </row>
    <row r="108" spans="1:3" x14ac:dyDescent="0.2">
      <c r="A108" s="416" t="str">
        <f>IF('Přehled o příjmech a výdajích'!Q40&amp;'Přehled o příjmech a výdajích'!R40&amp;'Přehled o příjmech a výdajích'!S40&amp;'Přehled o příjmech a výdajích'!T40="","","&lt;VetaU1 c_radku="&amp;CHAR(34)&amp;C108&amp;CHAR(34)&amp;IF('Přehled o příjmech a výdajích'!Q40="",""," kc_hlav="&amp;CHAR(34)&amp;'Přehled o příjmech a výdajích'!Q40&amp;CHAR(34))&amp;IF('Přehled o příjmech a výdajích'!R40="",""," kc_hosp="&amp;CHAR(34)&amp;'Přehled o příjmech a výdajích'!R40&amp;CHAR(34))&amp;IF('Přehled o příjmech a výdajích'!S40="",""," kc_hlav_min="&amp;CHAR(34)&amp;'Přehled o příjmech a výdajích'!S40&amp;CHAR(34))&amp;IF('Přehled o příjmech a výdajích'!T40="",""," kc_hosp_min="&amp;CHAR(34)&amp;'Přehled o příjmech a výdajích'!T40&amp;CHAR(34))&amp;" /&gt;")</f>
        <v>&lt;VetaU1 c_radku="24" kc_hlav="2" kc_hosp="6" kc_hlav_min="1" kc_hosp_min="10" /&gt;</v>
      </c>
      <c r="B108" t="s">
        <v>3277</v>
      </c>
      <c r="C108">
        <v>24</v>
      </c>
    </row>
    <row r="109" spans="1:3" x14ac:dyDescent="0.2">
      <c r="A109" s="419" t="str">
        <f>IF('Přehled o majetku a závazcích'!K10&amp;'Přehled o majetku a závazcích'!L10="","","&lt;VetaU2 c_radku="&amp;CHAR(34)&amp;C109&amp;CHAR(34)&amp;IF('Přehled o majetku a závazcích'!L10="",""," kc_rozv="&amp;CHAR(34)&amp;'Přehled o majetku a závazcích'!L10&amp;CHAR(34))&amp;IF('Přehled o majetku a závazcích'!K10="",""," kc_rozv_min="&amp;CHAR(34)&amp;'Přehled o majetku a závazcích'!K10&amp;CHAR(34))&amp;" /&gt;")</f>
        <v>&lt;VetaU2 c_radku="1" kc_rozv="15" kc_rozv_min="8" /&gt;</v>
      </c>
      <c r="B109" t="s">
        <v>3276</v>
      </c>
      <c r="C109">
        <v>1</v>
      </c>
    </row>
    <row r="110" spans="1:3" x14ac:dyDescent="0.2">
      <c r="A110" s="419" t="str">
        <f>IF('Přehled o majetku a závazcích'!K11&amp;'Přehled o majetku a závazcích'!L11="","","&lt;VetaU2 c_radku="&amp;CHAR(34)&amp;C110&amp;CHAR(34)&amp;IF('Přehled o majetku a závazcích'!L11="",""," kc_rozv="&amp;CHAR(34)&amp;'Přehled o majetku a závazcích'!L11&amp;CHAR(34))&amp;IF('Přehled o majetku a závazcích'!K11="",""," kc_rozv_min="&amp;CHAR(34)&amp;'Přehled o majetku a závazcích'!K11&amp;CHAR(34))&amp;" /&gt;")</f>
        <v/>
      </c>
      <c r="B110" t="s">
        <v>3276</v>
      </c>
      <c r="C110">
        <f>'Přehled o majetku a závazcích'!J11</f>
        <v>2</v>
      </c>
    </row>
    <row r="111" spans="1:3" x14ac:dyDescent="0.2">
      <c r="A111" s="419" t="str">
        <f>IF('Přehled o majetku a závazcích'!K12&amp;'Přehled o majetku a závazcích'!L12="","","&lt;VetaU2 c_radku="&amp;CHAR(34)&amp;C111&amp;CHAR(34)&amp;IF('Přehled o majetku a závazcích'!L12="",""," kc_rozv="&amp;CHAR(34)&amp;'Přehled o majetku a závazcích'!L12&amp;CHAR(34))&amp;IF('Přehled o majetku a závazcích'!K12="",""," kc_rozv_min="&amp;CHAR(34)&amp;'Přehled o majetku a závazcích'!K12&amp;CHAR(34))&amp;" /&gt;")</f>
        <v/>
      </c>
      <c r="B111" t="s">
        <v>3276</v>
      </c>
      <c r="C111">
        <f>'Přehled o majetku a závazcích'!J12</f>
        <v>3</v>
      </c>
    </row>
    <row r="112" spans="1:3" x14ac:dyDescent="0.2">
      <c r="A112" s="419" t="str">
        <f>IF('Přehled o majetku a závazcích'!K13&amp;'Přehled o majetku a závazcích'!L13="","","&lt;VetaU2 c_radku="&amp;CHAR(34)&amp;C112&amp;CHAR(34)&amp;IF('Přehled o majetku a závazcích'!L13="",""," kc_rozv="&amp;CHAR(34)&amp;'Přehled o majetku a závazcích'!L13&amp;CHAR(34))&amp;IF('Přehled o majetku a závazcích'!K13="",""," kc_rozv_min="&amp;CHAR(34)&amp;'Přehled o majetku a závazcích'!K13&amp;CHAR(34))&amp;" /&gt;")</f>
        <v/>
      </c>
      <c r="B112" t="s">
        <v>3276</v>
      </c>
      <c r="C112">
        <f>'Přehled o majetku a závazcích'!J13</f>
        <v>4</v>
      </c>
    </row>
    <row r="113" spans="1:3" x14ac:dyDescent="0.2">
      <c r="A113" s="419" t="str">
        <f>IF('Přehled o majetku a závazcích'!K14&amp;'Přehled o majetku a závazcích'!L14="","","&lt;VetaU2 c_radku="&amp;CHAR(34)&amp;C113&amp;CHAR(34)&amp;IF('Přehled o majetku a závazcích'!L14="",""," kc_rozv="&amp;CHAR(34)&amp;'Přehled o majetku a závazcích'!L14&amp;CHAR(34))&amp;IF('Přehled o majetku a závazcích'!K14="",""," kc_rozv_min="&amp;CHAR(34)&amp;'Přehled o majetku a závazcích'!K14&amp;CHAR(34))&amp;" /&gt;")</f>
        <v>&lt;VetaU2 c_radku="5" kc_rozv="4" kc_rozv_min="2" /&gt;</v>
      </c>
      <c r="B113" t="s">
        <v>3276</v>
      </c>
      <c r="C113">
        <f>'Přehled o majetku a závazcích'!J14</f>
        <v>5</v>
      </c>
    </row>
    <row r="114" spans="1:3" x14ac:dyDescent="0.2">
      <c r="A114" s="419" t="str">
        <f>IF('Přehled o majetku a závazcích'!K15&amp;'Přehled o majetku a závazcích'!L15="","","&lt;VetaU2 c_radku="&amp;CHAR(34)&amp;C114&amp;CHAR(34)&amp;IF('Přehled o majetku a závazcích'!L15="",""," kc_rozv="&amp;CHAR(34)&amp;'Přehled o majetku a závazcích'!L15&amp;CHAR(34))&amp;IF('Přehled o majetku a závazcích'!K15="",""," kc_rozv_min="&amp;CHAR(34)&amp;'Přehled o majetku a závazcích'!K15&amp;CHAR(34))&amp;" /&gt;")</f>
        <v>&lt;VetaU2 c_radku="6" kc_rozv="11" kc_rozv_min="6" /&gt;</v>
      </c>
      <c r="B114" t="s">
        <v>3276</v>
      </c>
      <c r="C114">
        <f>'Přehled o majetku a závazcích'!J15</f>
        <v>6</v>
      </c>
    </row>
    <row r="115" spans="1:3" x14ac:dyDescent="0.2">
      <c r="A115" s="419" t="str">
        <f>IF('Přehled o majetku a závazcích'!K16&amp;'Přehled o majetku a závazcích'!L16="","","&lt;VetaU2 c_radku="&amp;CHAR(34)&amp;C115&amp;CHAR(34)&amp;IF('Přehled o majetku a závazcích'!L16="",""," kc_rozv="&amp;CHAR(34)&amp;'Přehled o majetku a závazcích'!L16&amp;CHAR(34))&amp;IF('Přehled o majetku a závazcích'!K16="",""," kc_rozv_min="&amp;CHAR(34)&amp;'Přehled o majetku a závazcích'!K16&amp;CHAR(34))&amp;" /&gt;")</f>
        <v/>
      </c>
      <c r="B115" t="s">
        <v>3276</v>
      </c>
      <c r="C115">
        <f>'Přehled o majetku a závazcích'!J16</f>
        <v>7</v>
      </c>
    </row>
    <row r="116" spans="1:3" x14ac:dyDescent="0.2">
      <c r="A116" s="419" t="str">
        <f>IF('Přehled o majetku a závazcích'!K17&amp;'Přehled o majetku a závazcích'!L17="","","&lt;VetaU2 c_radku="&amp;CHAR(34)&amp;C116&amp;CHAR(34)&amp;IF('Přehled o majetku a závazcích'!L17="",""," kc_rozv="&amp;CHAR(34)&amp;'Přehled o majetku a závazcích'!L17&amp;CHAR(34))&amp;IF('Přehled o majetku a závazcích'!K17="",""," kc_rozv_min="&amp;CHAR(34)&amp;'Přehled o majetku a závazcích'!K17&amp;CHAR(34))&amp;" /&gt;")</f>
        <v/>
      </c>
      <c r="B116" t="s">
        <v>3276</v>
      </c>
      <c r="C116">
        <f>'Přehled o majetku a závazcích'!J17</f>
        <v>8</v>
      </c>
    </row>
    <row r="117" spans="1:3" x14ac:dyDescent="0.2">
      <c r="A117" s="419" t="str">
        <f>IF('Přehled o majetku a závazcích'!K18&amp;'Přehled o majetku a závazcích'!L18="","","&lt;VetaU2 c_radku="&amp;CHAR(34)&amp;C117&amp;CHAR(34)&amp;IF('Přehled o majetku a závazcích'!L18="",""," kc_rozv="&amp;CHAR(34)&amp;'Přehled o majetku a závazcích'!L18&amp;CHAR(34))&amp;IF('Přehled o majetku a závazcích'!K18="",""," kc_rozv_min="&amp;CHAR(34)&amp;'Přehled o majetku a závazcích'!K18&amp;CHAR(34))&amp;" /&gt;")</f>
        <v/>
      </c>
      <c r="B117" t="s">
        <v>3276</v>
      </c>
      <c r="C117">
        <f>'Přehled o majetku a závazcích'!J18</f>
        <v>9</v>
      </c>
    </row>
    <row r="118" spans="1:3" x14ac:dyDescent="0.2">
      <c r="A118" s="419" t="str">
        <f>IF('Přehled o majetku a závazcích'!K19&amp;'Přehled o majetku a závazcích'!L19="","","&lt;VetaU2 c_radku="&amp;CHAR(34)&amp;C118&amp;CHAR(34)&amp;IF('Přehled o majetku a závazcích'!L19="",""," kc_rozv="&amp;CHAR(34)&amp;'Přehled o majetku a závazcích'!L19&amp;CHAR(34))&amp;IF('Přehled o majetku a závazcích'!K19="",""," kc_rozv_min="&amp;CHAR(34)&amp;'Přehled o majetku a závazcích'!K19&amp;CHAR(34))&amp;" /&gt;")</f>
        <v/>
      </c>
      <c r="B118" t="s">
        <v>3276</v>
      </c>
      <c r="C118">
        <f>'Přehled o majetku a závazcích'!J19</f>
        <v>10</v>
      </c>
    </row>
    <row r="119" spans="1:3" x14ac:dyDescent="0.2">
      <c r="A119" s="419" t="str">
        <f>IF('Přehled o majetku a závazcích'!K20&amp;'Přehled o majetku a závazcích'!L20="","","&lt;VetaU2 c_radku="&amp;CHAR(34)&amp;C119&amp;CHAR(34)&amp;IF('Přehled o majetku a závazcích'!L20="",""," kc_rozv="&amp;CHAR(34)&amp;'Přehled o majetku a závazcích'!L20&amp;CHAR(34))&amp;IF('Přehled o majetku a závazcích'!K20="",""," kc_rozv_min="&amp;CHAR(34)&amp;'Přehled o majetku a závazcích'!K20&amp;CHAR(34))&amp;" /&gt;")</f>
        <v>&lt;VetaU2 c_radku="11" kc_rozv="15" kc_rozv_min="8" /&gt;</v>
      </c>
      <c r="B119" t="s">
        <v>3276</v>
      </c>
      <c r="C119">
        <f>'Přehled o majetku a závazcích'!J20</f>
        <v>11</v>
      </c>
    </row>
    <row r="120" spans="1:3" x14ac:dyDescent="0.2">
      <c r="A120" s="419" t="str">
        <f>IF('Přehled o majetku a závazcích'!K23&amp;'Přehled o majetku a závazcích'!L23="","","&lt;VetaU2 c_radku="&amp;CHAR(34)&amp;C120&amp;CHAR(34)&amp;IF('Přehled o majetku a závazcích'!L23="",""," kc_rozv="&amp;CHAR(34)&amp;'Přehled o majetku a závazcích'!L23&amp;CHAR(34))&amp;IF('Přehled o majetku a závazcích'!K23="",""," kc_rozv_min="&amp;CHAR(34)&amp;'Přehled o majetku a závazcích'!K23&amp;CHAR(34))&amp;" /&gt;")</f>
        <v>&lt;VetaU2 c_radku="12" kc_rozv="0" kc_rozv_min="0" /&gt;</v>
      </c>
      <c r="B120" t="s">
        <v>3276</v>
      </c>
      <c r="C120">
        <v>12</v>
      </c>
    </row>
    <row r="121" spans="1:3" x14ac:dyDescent="0.2">
      <c r="A121" s="419" t="str">
        <f>IF('Přehled o majetku a závazcích'!K24&amp;'Přehled o majetku a závazcích'!L24="","","&lt;VetaU2 c_radku="&amp;CHAR(34)&amp;C121&amp;CHAR(34)&amp;IF('Přehled o majetku a závazcích'!L24="",""," kc_rozv="&amp;CHAR(34)&amp;'Přehled o majetku a závazcích'!L24&amp;CHAR(34))&amp;IF('Přehled o majetku a závazcích'!K24="",""," kc_rozv_min="&amp;CHAR(34)&amp;'Přehled o majetku a závazcích'!K24&amp;CHAR(34))&amp;" /&gt;")</f>
        <v/>
      </c>
      <c r="B121" t="s">
        <v>3276</v>
      </c>
      <c r="C121">
        <f>'Přehled o majetku a závazcích'!J24</f>
        <v>13</v>
      </c>
    </row>
    <row r="122" spans="1:3" x14ac:dyDescent="0.2">
      <c r="A122" s="419" t="str">
        <f>IF('Přehled o majetku a závazcích'!K25&amp;'Přehled o majetku a závazcích'!L25="","","&lt;VetaU2 c_radku="&amp;CHAR(34)&amp;C122&amp;CHAR(34)&amp;IF('Přehled o majetku a závazcích'!L25="",""," kc_rozv="&amp;CHAR(34)&amp;'Přehled o majetku a závazcích'!L25&amp;CHAR(34))&amp;IF('Přehled o majetku a závazcích'!K25="",""," kc_rozv_min="&amp;CHAR(34)&amp;'Přehled o majetku a závazcích'!K25&amp;CHAR(34))&amp;" /&gt;")</f>
        <v/>
      </c>
      <c r="B122" t="s">
        <v>3276</v>
      </c>
      <c r="C122">
        <f>'Přehled o majetku a závazcích'!J25</f>
        <v>14</v>
      </c>
    </row>
    <row r="123" spans="1:3" x14ac:dyDescent="0.2">
      <c r="A123" s="419" t="str">
        <f>IF('Přehled o majetku a závazcích'!K26&amp;'Přehled o majetku a závazcích'!L26="","","&lt;VetaU2 c_radku="&amp;CHAR(34)&amp;C123&amp;CHAR(34)&amp;IF('Přehled o majetku a závazcích'!L26="",""," kc_rozv="&amp;CHAR(34)&amp;'Přehled o majetku a závazcích'!L26&amp;CHAR(34))&amp;IF('Přehled o majetku a závazcích'!K26="",""," kc_rozv_min="&amp;CHAR(34)&amp;'Přehled o majetku a závazcích'!K26&amp;CHAR(34))&amp;" /&gt;")</f>
        <v>&lt;VetaU2 c_radku="15" kc_rozv="0" kc_rozv_min="0" /&gt;</v>
      </c>
      <c r="B123" t="s">
        <v>3276</v>
      </c>
      <c r="C123">
        <f>'Přehled o majetku a závazcích'!J26</f>
        <v>15</v>
      </c>
    </row>
    <row r="124" spans="1:3" x14ac:dyDescent="0.2">
      <c r="A124" s="419" t="str">
        <f>IF('Přehled o majetku a závazcích'!K28&amp;'Přehled o majetku a závazcích'!L28="","","&lt;VetaU2 c_radku="&amp;CHAR(34)&amp;C124&amp;CHAR(34)&amp;IF('Přehled o majetku a závazcích'!L28="",""," kc_rozv="&amp;CHAR(34)&amp;'Přehled o majetku a závazcích'!L28&amp;CHAR(34))&amp;IF('Přehled o majetku a závazcích'!K28="",""," kc_rozv_min="&amp;CHAR(34)&amp;'Přehled o majetku a závazcích'!K28&amp;CHAR(34))&amp;" /&gt;")</f>
        <v>&lt;VetaU2 c_radku="16" kc_rozv="15" kc_rozv_min="8" /&gt;</v>
      </c>
      <c r="B124" t="s">
        <v>3276</v>
      </c>
      <c r="C124">
        <f>'Přehled o majetku a závazcích'!J28</f>
        <v>16</v>
      </c>
    </row>
    <row r="125" spans="1:3" x14ac:dyDescent="0.2">
      <c r="A125" s="414" t="s">
        <v>677</v>
      </c>
    </row>
    <row r="126" spans="1:3" x14ac:dyDescent="0.2">
      <c r="A126" s="414" t="s">
        <v>678</v>
      </c>
    </row>
  </sheetData>
  <sheetProtection sheet="1" objects="1" scenarios="1"/>
  <pageMargins left="0.7" right="0.7" top="0.78740157499999996" bottom="0.78740157499999996"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80E83-EFA6-4E0C-89D5-7D6CA805B052}">
  <sheetPr codeName="List21">
    <tabColor theme="1"/>
  </sheetPr>
  <dimension ref="A1:A60"/>
  <sheetViews>
    <sheetView workbookViewId="0">
      <selection sqref="A1:A60"/>
    </sheetView>
  </sheetViews>
  <sheetFormatPr defaultRowHeight="12.75" x14ac:dyDescent="0.2"/>
  <cols>
    <col min="1" max="1" width="75" customWidth="1"/>
  </cols>
  <sheetData>
    <row r="1" spans="1:1" x14ac:dyDescent="0.2">
      <c r="A1" s="291" t="str">
        <f>helper!A1</f>
        <v>&lt;?xml version="1.0" encoding="UTF-8" standalone="yes"?&gt;</v>
      </c>
    </row>
    <row r="2" spans="1:1" x14ac:dyDescent="0.2">
      <c r="A2" s="291" t="str">
        <f>helper!A2</f>
        <v>&lt;Pisemnost nazevSW="PenezniDenikDobraku" verzeSW="11.4"&gt;</v>
      </c>
    </row>
    <row r="3" spans="1:1" x14ac:dyDescent="0.2">
      <c r="A3" s="291" t="str">
        <f>helper!A3</f>
        <v>&lt;DPPDP9 verzePis="03.01"&gt;</v>
      </c>
    </row>
    <row r="4" spans="1:1" x14ac:dyDescent="0.2">
      <c r="A4" t="str">
        <f>helper!A4&amp;helper!A5&amp;helper!A6&amp;helper!A7&amp;helper!A8&amp;helper!A9&amp;helper!A10&amp;helper!A11&amp;helper!A12&amp;helper!A13&amp;helper!A14&amp;helper!A15&amp;helper!A16&amp;helper!A17&amp;helper!A18&amp;helper!A19&amp;helper!A20&amp;helper!A21&amp;helper!A22&amp;helper!A23&amp;helper!A24&amp;helper!A25&amp;helper!A26</f>
        <v>&lt;VetaD c_nace="842500" typ_dapdpp="A" uc_zav="A" sam_pr="0" zvl_pr="2" typ_zo="A" typ_popldpp="3" uv_vyhl="325" p_pr_2od="1" c_ufo_cil="459" zdobd_od="01.01.2023" dokument="DP9" spoj_zahr="N" kc_v_4="0" dapdpp_forma="B" k_uladis="DPP" dan_por="N" zdobd_do="31.12.2023" d_uv="31.12.2023" audit="N" uz_dle_mus="N" /&gt;</v>
      </c>
    </row>
    <row r="5" spans="1:1" x14ac:dyDescent="0.2">
      <c r="A5" t="str">
        <f>helper!A27&amp;helper!A28&amp;helper!A29&amp;helper!A30&amp;helper!A31&amp;helper!A32&amp;helper!A33&amp;helper!A34&amp;helper!A35&amp;helper!A36&amp;helper!A37&amp;helper!A38&amp;helper!A39&amp;helper!A40</f>
        <v>&lt;VetaP psc="56967" zkrobchjm="SH ČMS - Sbor dobrovolných hasičů Osík" dic="64211045" naz_obce="Osík" c_telef="601234567" c_pop="240" ulice="Osík" opr_jmeno="Jindřich" c_pracufo="2805" opr_postaveni="starosta SDH" opr_prijmeni="Groulík" rod_c="64211045" /&gt;</v>
      </c>
    </row>
    <row r="6" spans="1:1" x14ac:dyDescent="0.2">
      <c r="A6" t="str">
        <f>helper!A41&amp;helper!A42&amp;helper!A43&amp;helper!A44&amp;helper!A45&amp;helper!A46&amp;helper!A47&amp;helper!A48&amp;helper!A49&amp;helper!A50&amp;helper!A51&amp;helper!A52&amp;helper!A53&amp;helper!A54&amp;helper!A55&amp;helper!A56&amp;helper!A57&amp;helper!A58&amp;helper!A59&amp;helper!A60&amp;helper!A61&amp;helper!A62&amp;helper!A63&amp;helper!A64</f>
        <v>&lt;VetaO kc_ii_360="0" kc_ii_340="0" kc_ii231_251="22859" kc_ii230_250="22859" kc_ii270_280="19" kc_ii260_270="0" kc_ii300_310="0" kc_ii111_101="12002" kc_ii50_40="33753" kc_ii190_170="17102" kc_ii120_110="2000" kc_ii130_120="99" kc_ii200_200="22859" kc_ii320_330="0" kc_ii280_290="0" kc_ii10_10="6208" kc_ii80_70="33753" kc_ii_220="22859" d_hospvysl="31.12.2023" kc_ii_109="3001" /&gt;</v>
      </c>
    </row>
    <row r="7" spans="1:1" x14ac:dyDescent="0.2">
      <c r="A7" t="str">
        <f>helper!A65&amp;helper!A66&amp;helper!A67&amp;helper!A68</f>
        <v>&lt;VetaU kc_1a="33753" naz_uc_skup=" Výdaje na nezdaňovanou činnost" /&gt;</v>
      </c>
    </row>
    <row r="8" spans="1:1" x14ac:dyDescent="0.2">
      <c r="A8" t="str">
        <f>helper!A69&amp;helper!A70&amp;helper!A71</f>
        <v>&lt;VetaE kc_dpp_a12="33753" /&gt;</v>
      </c>
    </row>
    <row r="9" spans="1:1" x14ac:dyDescent="0.2">
      <c r="A9" t="str">
        <f>helper!A72</f>
        <v/>
      </c>
    </row>
    <row r="10" spans="1:1" x14ac:dyDescent="0.2">
      <c r="A10" t="str">
        <f>helper!A73</f>
        <v/>
      </c>
    </row>
    <row r="11" spans="1:1" x14ac:dyDescent="0.2">
      <c r="A11" t="str">
        <f>helper!A74</f>
        <v/>
      </c>
    </row>
    <row r="12" spans="1:1" x14ac:dyDescent="0.2">
      <c r="A12" t="str">
        <f>helper!A75</f>
        <v/>
      </c>
    </row>
    <row r="13" spans="1:1" x14ac:dyDescent="0.2">
      <c r="A13" t="str">
        <f>helper!A76</f>
        <v/>
      </c>
    </row>
    <row r="14" spans="1:1" x14ac:dyDescent="0.2">
      <c r="A14" t="str">
        <f>helper!A77</f>
        <v/>
      </c>
    </row>
    <row r="15" spans="1:1" x14ac:dyDescent="0.2">
      <c r="A15" t="str">
        <f>helper!A78</f>
        <v/>
      </c>
    </row>
    <row r="16" spans="1:1" x14ac:dyDescent="0.2">
      <c r="A16" t="str">
        <f>helper!A79</f>
        <v/>
      </c>
    </row>
    <row r="17" spans="1:1" x14ac:dyDescent="0.2">
      <c r="A17" t="str">
        <f>helper!A80</f>
        <v/>
      </c>
    </row>
    <row r="18" spans="1:1" x14ac:dyDescent="0.2">
      <c r="A18" t="str">
        <f>helper!A81&amp;helper!A82&amp;helper!A83&amp;helper!A84</f>
        <v>&lt;VetaS poc_zam="0" kc_dpp_i1="46362" /&gt;</v>
      </c>
    </row>
    <row r="19" spans="1:1" x14ac:dyDescent="0.2">
      <c r="A19" t="str">
        <f>IF('str 2'!E20&gt;0,helper!A85,"")</f>
        <v>&lt;VetaR c_radku="109" t_prilohy="Dary přijaté" kod_sekce="2" poradi="1" /&gt;</v>
      </c>
    </row>
    <row r="20" spans="1:1" x14ac:dyDescent="0.2">
      <c r="A20" t="str">
        <f>IF('str 2'!E21&gt;0,helper!A86,"")</f>
        <v>&lt;VetaR c_radku="110" t_prilohy="Členské příspěvky" kod_sekce="2" poradi="1" /&gt;</v>
      </c>
    </row>
    <row r="21" spans="1:1" x14ac:dyDescent="0.2">
      <c r="A21" s="291" t="str">
        <f>helper!A87</f>
        <v>&lt;VetaU1 c_radku="1" kc_hlav="42" kc_hosp="6" kc_hlav_min="39" kc_hosp_min="11" /&gt;</v>
      </c>
    </row>
    <row r="22" spans="1:1" x14ac:dyDescent="0.2">
      <c r="A22" s="291" t="str">
        <f>helper!A88</f>
        <v>&lt;VetaU1 c_radku="2" kc_hlav="2" kc_hlav_min="1" /&gt;</v>
      </c>
    </row>
    <row r="23" spans="1:1" x14ac:dyDescent="0.2">
      <c r="A23" s="291" t="str">
        <f>helper!A89</f>
        <v>&lt;VetaU1 c_radku="3" kc_hlav="23" kc_hosp="5" kc_hlav_min="13" kc_hosp_min="8" /&gt;</v>
      </c>
    </row>
    <row r="24" spans="1:1" x14ac:dyDescent="0.2">
      <c r="A24" s="291" t="str">
        <f>helper!A90</f>
        <v>&lt;VetaU1 c_radku="4" kc_hlav_min="15" /&gt;</v>
      </c>
    </row>
    <row r="25" spans="1:1" x14ac:dyDescent="0.2">
      <c r="A25" s="291" t="str">
        <f>helper!A91</f>
        <v>&lt;VetaU1 c_radku="5" kc_hlav="3" kc_hlav_min="1" /&gt;</v>
      </c>
    </row>
    <row r="26" spans="1:1" x14ac:dyDescent="0.2">
      <c r="A26" s="291" t="str">
        <f>helper!A92</f>
        <v>&lt;VetaU1 c_radku="6" kc_hlav="2" kc_hlav_min="2" /&gt;</v>
      </c>
    </row>
    <row r="27" spans="1:1" x14ac:dyDescent="0.2">
      <c r="A27" s="291" t="str">
        <f>helper!A93</f>
        <v>&lt;VetaU1 c_radku="7" kc_hlav="7" kc_hlav_min="3" /&gt;</v>
      </c>
    </row>
    <row r="28" spans="1:1" x14ac:dyDescent="0.2">
      <c r="A28" s="291" t="str">
        <f>helper!A94</f>
        <v>&lt;VetaU1 c_radku="8" kc_hlav="5" kc_hosp="1" kc_hlav_min="4" kc_hosp_min="3" /&gt;</v>
      </c>
    </row>
    <row r="29" spans="1:1" x14ac:dyDescent="0.2">
      <c r="A29" s="291" t="str">
        <f>helper!A95</f>
        <v/>
      </c>
    </row>
    <row r="30" spans="1:1" x14ac:dyDescent="0.2">
      <c r="A30" s="291" t="str">
        <f>helper!A96</f>
        <v>&lt;VetaU1 c_radku="11" kc_hlav="42" kc_hosp="6" kc_hlav_min="39" kc_hosp_min="11" /&gt;</v>
      </c>
    </row>
    <row r="31" spans="1:1" x14ac:dyDescent="0.2">
      <c r="A31" s="291" t="str">
        <f>helper!A97</f>
        <v>&lt;VetaU1 c_radku="12" kc_hlav="40" kc_hosp="0" kc_hlav_min="38" kc_hosp_min="1" /&gt;</v>
      </c>
    </row>
    <row r="32" spans="1:1" x14ac:dyDescent="0.2">
      <c r="A32" s="291" t="str">
        <f>helper!A98</f>
        <v>&lt;VetaU1 c_radku="13" kc_hlav="0" kc_hlav_min="1" /&gt;</v>
      </c>
    </row>
    <row r="33" spans="1:1" x14ac:dyDescent="0.2">
      <c r="A33" s="291" t="str">
        <f>helper!A99</f>
        <v>&lt;VetaU1 c_radku="14" kc_hlav="7" kc_hosp="0" kc_hlav_min="7" kc_hosp_min="1" /&gt;</v>
      </c>
    </row>
    <row r="34" spans="1:1" x14ac:dyDescent="0.2">
      <c r="A34" s="291" t="str">
        <f>helper!A100</f>
        <v>&lt;VetaU1 c_radku="15" kc_hlav="1" kc_hlav_min="2" /&gt;</v>
      </c>
    </row>
    <row r="35" spans="1:1" x14ac:dyDescent="0.2">
      <c r="A35" s="291" t="str">
        <f>helper!A101</f>
        <v>&lt;VetaU1 c_radku="16" kc_hlav="25" kc_hlav_min="23" /&gt;</v>
      </c>
    </row>
    <row r="36" spans="1:1" x14ac:dyDescent="0.2">
      <c r="A36" s="291" t="str">
        <f>helper!A102</f>
        <v/>
      </c>
    </row>
    <row r="37" spans="1:1" x14ac:dyDescent="0.2">
      <c r="A37" s="291" t="str">
        <f>helper!A103</f>
        <v/>
      </c>
    </row>
    <row r="38" spans="1:1" x14ac:dyDescent="0.2">
      <c r="A38" s="291" t="str">
        <f>helper!A104</f>
        <v>&lt;VetaU1 c_radku="19" kc_hlav="1" kc_hlav_min="2" /&gt;</v>
      </c>
    </row>
    <row r="39" spans="1:1" x14ac:dyDescent="0.2">
      <c r="A39" s="291" t="str">
        <f>helper!A105</f>
        <v>&lt;VetaU1 c_radku="20" kc_hlav="6" kc_hlav_min="3" /&gt;</v>
      </c>
    </row>
    <row r="40" spans="1:1" x14ac:dyDescent="0.2">
      <c r="A40" s="291" t="str">
        <f>helper!A106</f>
        <v/>
      </c>
    </row>
    <row r="41" spans="1:1" x14ac:dyDescent="0.2">
      <c r="A41" s="291" t="str">
        <f>helper!A107</f>
        <v>&lt;VetaU1 c_radku="23" kc_hlav="40" kc_hosp="0" kc_hlav_min="38" kc_hosp_min="1" /&gt;</v>
      </c>
    </row>
    <row r="42" spans="1:1" x14ac:dyDescent="0.2">
      <c r="A42" s="291" t="str">
        <f>helper!A108</f>
        <v>&lt;VetaU1 c_radku="24" kc_hlav="2" kc_hosp="6" kc_hlav_min="1" kc_hosp_min="10" /&gt;</v>
      </c>
    </row>
    <row r="43" spans="1:1" x14ac:dyDescent="0.2">
      <c r="A43" s="291" t="str">
        <f>helper!A109</f>
        <v>&lt;VetaU2 c_radku="1" kc_rozv="15" kc_rozv_min="8" /&gt;</v>
      </c>
    </row>
    <row r="44" spans="1:1" x14ac:dyDescent="0.2">
      <c r="A44" s="291" t="str">
        <f>helper!A110</f>
        <v/>
      </c>
    </row>
    <row r="45" spans="1:1" x14ac:dyDescent="0.2">
      <c r="A45" s="291" t="str">
        <f>helper!A111</f>
        <v/>
      </c>
    </row>
    <row r="46" spans="1:1" x14ac:dyDescent="0.2">
      <c r="A46" s="291" t="str">
        <f>helper!A112</f>
        <v/>
      </c>
    </row>
    <row r="47" spans="1:1" x14ac:dyDescent="0.2">
      <c r="A47" s="291" t="str">
        <f>helper!A113</f>
        <v>&lt;VetaU2 c_radku="5" kc_rozv="4" kc_rozv_min="2" /&gt;</v>
      </c>
    </row>
    <row r="48" spans="1:1" x14ac:dyDescent="0.2">
      <c r="A48" s="291" t="str">
        <f>helper!A114</f>
        <v>&lt;VetaU2 c_radku="6" kc_rozv="11" kc_rozv_min="6" /&gt;</v>
      </c>
    </row>
    <row r="49" spans="1:1" x14ac:dyDescent="0.2">
      <c r="A49" s="291" t="str">
        <f>helper!A115</f>
        <v/>
      </c>
    </row>
    <row r="50" spans="1:1" x14ac:dyDescent="0.2">
      <c r="A50" s="291" t="str">
        <f>helper!A116</f>
        <v/>
      </c>
    </row>
    <row r="51" spans="1:1" x14ac:dyDescent="0.2">
      <c r="A51" s="291" t="str">
        <f>helper!A117</f>
        <v/>
      </c>
    </row>
    <row r="52" spans="1:1" x14ac:dyDescent="0.2">
      <c r="A52" s="291" t="str">
        <f>helper!A118</f>
        <v/>
      </c>
    </row>
    <row r="53" spans="1:1" x14ac:dyDescent="0.2">
      <c r="A53" s="291" t="str">
        <f>helper!A119</f>
        <v>&lt;VetaU2 c_radku="11" kc_rozv="15" kc_rozv_min="8" /&gt;</v>
      </c>
    </row>
    <row r="54" spans="1:1" x14ac:dyDescent="0.2">
      <c r="A54" s="291" t="str">
        <f>helper!A120</f>
        <v>&lt;VetaU2 c_radku="12" kc_rozv="0" kc_rozv_min="0" /&gt;</v>
      </c>
    </row>
    <row r="55" spans="1:1" x14ac:dyDescent="0.2">
      <c r="A55" s="291" t="str">
        <f>helper!A121</f>
        <v/>
      </c>
    </row>
    <row r="56" spans="1:1" x14ac:dyDescent="0.2">
      <c r="A56" s="291" t="str">
        <f>helper!A122</f>
        <v/>
      </c>
    </row>
    <row r="57" spans="1:1" x14ac:dyDescent="0.2">
      <c r="A57" s="291" t="str">
        <f>helper!A123</f>
        <v>&lt;VetaU2 c_radku="15" kc_rozv="0" kc_rozv_min="0" /&gt;</v>
      </c>
    </row>
    <row r="58" spans="1:1" x14ac:dyDescent="0.2">
      <c r="A58" s="291" t="str">
        <f>helper!A124</f>
        <v>&lt;VetaU2 c_radku="16" kc_rozv="15" kc_rozv_min="8" /&gt;</v>
      </c>
    </row>
    <row r="59" spans="1:1" x14ac:dyDescent="0.2">
      <c r="A59" s="291" t="str">
        <f>helper!A125</f>
        <v>&lt;/DPPDP9&gt;</v>
      </c>
    </row>
    <row r="60" spans="1:1" x14ac:dyDescent="0.2">
      <c r="A60" s="291" t="str">
        <f>helper!A126</f>
        <v>&lt;/Pisemnost&gt;</v>
      </c>
    </row>
  </sheetData>
  <sheetProtection sheet="1" objects="1" scenarios="1"/>
  <pageMargins left="0.7" right="0.7" top="0.78740157499999996" bottom="0.78740157499999996"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3">
    <tabColor theme="0" tint="-0.499984740745262"/>
  </sheetPr>
  <dimension ref="B1:P985"/>
  <sheetViews>
    <sheetView workbookViewId="0"/>
  </sheetViews>
  <sheetFormatPr defaultRowHeight="12.75" x14ac:dyDescent="0.2"/>
  <cols>
    <col min="1" max="1" width="2.85546875" style="1" customWidth="1"/>
    <col min="2" max="2" width="24.28515625" style="1" bestFit="1" customWidth="1"/>
    <col min="3" max="3" width="2.85546875" style="1" customWidth="1"/>
    <col min="4" max="4" width="19.42578125" style="1" bestFit="1" customWidth="1"/>
    <col min="5" max="5" width="48" style="1" bestFit="1" customWidth="1"/>
    <col min="6" max="6" width="2.85546875" style="1" customWidth="1"/>
    <col min="7" max="7" width="24" style="1" customWidth="1"/>
    <col min="8" max="8" width="11" style="1" customWidth="1"/>
    <col min="9" max="9" width="9.140625" style="1"/>
    <col min="10" max="10" width="23.85546875" style="1" customWidth="1"/>
    <col min="11" max="11" width="9.85546875" style="1" bestFit="1" customWidth="1"/>
    <col min="12" max="12" width="7" style="1" bestFit="1" customWidth="1"/>
    <col min="13" max="13" width="5.85546875" style="1" bestFit="1" customWidth="1"/>
    <col min="14" max="14" width="9.140625" style="1"/>
    <col min="15" max="15" width="164.85546875" style="1" bestFit="1" customWidth="1"/>
    <col min="16" max="16" width="11.140625" style="418" customWidth="1"/>
    <col min="17" max="16384" width="9.140625" style="1"/>
  </cols>
  <sheetData>
    <row r="1" spans="2:16" x14ac:dyDescent="0.2">
      <c r="G1" s="1" t="s">
        <v>1256</v>
      </c>
      <c r="J1" s="1" t="s">
        <v>1257</v>
      </c>
      <c r="O1" s="1" t="s">
        <v>3228</v>
      </c>
    </row>
    <row r="2" spans="2:16" x14ac:dyDescent="0.2">
      <c r="B2" s="365" t="s">
        <v>41</v>
      </c>
      <c r="D2" s="366" t="s">
        <v>44</v>
      </c>
      <c r="E2" s="367" t="s">
        <v>47</v>
      </c>
      <c r="G2" s="366" t="s">
        <v>705</v>
      </c>
      <c r="H2" s="413" t="s">
        <v>679</v>
      </c>
      <c r="J2" s="366" t="s">
        <v>1258</v>
      </c>
      <c r="K2" s="415" t="s">
        <v>713</v>
      </c>
      <c r="L2" s="415" t="s">
        <v>714</v>
      </c>
      <c r="M2" s="413" t="s">
        <v>679</v>
      </c>
      <c r="O2" s="468" t="s">
        <v>3230</v>
      </c>
      <c r="P2" s="469" t="s">
        <v>3229</v>
      </c>
    </row>
    <row r="3" spans="2:16" x14ac:dyDescent="0.2">
      <c r="B3" s="551" t="s">
        <v>64</v>
      </c>
      <c r="D3" s="545">
        <v>1</v>
      </c>
      <c r="E3" s="547" t="s">
        <v>48</v>
      </c>
      <c r="G3" s="555" t="s">
        <v>706</v>
      </c>
      <c r="H3" s="558" t="s">
        <v>704</v>
      </c>
      <c r="J3" s="555" t="s">
        <v>1056</v>
      </c>
      <c r="K3" s="364" t="s">
        <v>715</v>
      </c>
      <c r="L3" s="364" t="s">
        <v>916</v>
      </c>
      <c r="M3" s="558" t="s">
        <v>700</v>
      </c>
      <c r="O3" s="470" t="s">
        <v>1263</v>
      </c>
      <c r="P3" s="471" t="s">
        <v>1262</v>
      </c>
    </row>
    <row r="4" spans="2:16" x14ac:dyDescent="0.2">
      <c r="B4" s="552" t="s">
        <v>42</v>
      </c>
      <c r="D4" s="546">
        <v>2</v>
      </c>
      <c r="E4" s="548" t="s">
        <v>49</v>
      </c>
      <c r="G4" s="556" t="s">
        <v>680</v>
      </c>
      <c r="H4" s="559" t="s">
        <v>699</v>
      </c>
      <c r="J4" s="556" t="s">
        <v>1107</v>
      </c>
      <c r="K4" s="362" t="s">
        <v>766</v>
      </c>
      <c r="L4" s="362" t="s">
        <v>367</v>
      </c>
      <c r="M4" s="559" t="s">
        <v>699</v>
      </c>
      <c r="O4" s="472" t="s">
        <v>1265</v>
      </c>
      <c r="P4" s="473" t="s">
        <v>1264</v>
      </c>
    </row>
    <row r="5" spans="2:16" x14ac:dyDescent="0.2">
      <c r="B5" s="552" t="s">
        <v>43</v>
      </c>
      <c r="D5" s="546">
        <v>3</v>
      </c>
      <c r="E5" s="548" t="s">
        <v>40</v>
      </c>
      <c r="G5" s="556" t="s">
        <v>681</v>
      </c>
      <c r="H5" s="559" t="s">
        <v>693</v>
      </c>
      <c r="J5" s="556" t="s">
        <v>1156</v>
      </c>
      <c r="K5" s="362" t="s">
        <v>816</v>
      </c>
      <c r="L5" s="362" t="s">
        <v>1000</v>
      </c>
      <c r="M5" s="559" t="s">
        <v>699</v>
      </c>
      <c r="O5" s="472" t="s">
        <v>1267</v>
      </c>
      <c r="P5" s="473" t="s">
        <v>1266</v>
      </c>
    </row>
    <row r="6" spans="2:16" x14ac:dyDescent="0.2">
      <c r="B6" s="554" t="s">
        <v>66</v>
      </c>
      <c r="D6" s="546">
        <v>4</v>
      </c>
      <c r="E6" s="548" t="s">
        <v>50</v>
      </c>
      <c r="G6" s="556" t="s">
        <v>682</v>
      </c>
      <c r="H6" s="559" t="s">
        <v>698</v>
      </c>
      <c r="J6" s="556" t="s">
        <v>1206</v>
      </c>
      <c r="K6" s="362" t="s">
        <v>866</v>
      </c>
      <c r="L6" s="362" t="s">
        <v>995</v>
      </c>
      <c r="M6" s="559" t="s">
        <v>702</v>
      </c>
      <c r="O6" s="472" t="s">
        <v>1269</v>
      </c>
      <c r="P6" s="473" t="s">
        <v>1268</v>
      </c>
    </row>
    <row r="7" spans="2:16" x14ac:dyDescent="0.2">
      <c r="D7" s="546" t="s">
        <v>45</v>
      </c>
      <c r="E7" s="548" t="s">
        <v>51</v>
      </c>
      <c r="G7" s="556" t="s">
        <v>683</v>
      </c>
      <c r="H7" s="559" t="s">
        <v>700</v>
      </c>
      <c r="J7" s="556" t="s">
        <v>1057</v>
      </c>
      <c r="K7" s="362" t="s">
        <v>716</v>
      </c>
      <c r="L7" s="362" t="s">
        <v>917</v>
      </c>
      <c r="M7" s="559" t="s">
        <v>696</v>
      </c>
      <c r="O7" s="472" t="s">
        <v>1271</v>
      </c>
      <c r="P7" s="473" t="s">
        <v>1270</v>
      </c>
    </row>
    <row r="8" spans="2:16" x14ac:dyDescent="0.2">
      <c r="D8" s="546" t="s">
        <v>46</v>
      </c>
      <c r="E8" s="548" t="s">
        <v>52</v>
      </c>
      <c r="G8" s="556" t="s">
        <v>684</v>
      </c>
      <c r="H8" s="559" t="s">
        <v>702</v>
      </c>
      <c r="J8" s="556" t="s">
        <v>1108</v>
      </c>
      <c r="K8" s="362" t="s">
        <v>767</v>
      </c>
      <c r="L8" s="362" t="s">
        <v>959</v>
      </c>
      <c r="M8" s="559" t="s">
        <v>693</v>
      </c>
      <c r="O8" s="472" t="s">
        <v>1273</v>
      </c>
      <c r="P8" s="473" t="s">
        <v>1272</v>
      </c>
    </row>
    <row r="9" spans="2:16" x14ac:dyDescent="0.2">
      <c r="D9" s="546">
        <v>6</v>
      </c>
      <c r="E9" s="548" t="s">
        <v>53</v>
      </c>
      <c r="G9" s="556" t="s">
        <v>685</v>
      </c>
      <c r="H9" s="559" t="s">
        <v>697</v>
      </c>
      <c r="J9" s="556" t="s">
        <v>1157</v>
      </c>
      <c r="K9" s="362" t="s">
        <v>817</v>
      </c>
      <c r="L9" s="362" t="s">
        <v>1001</v>
      </c>
      <c r="M9" s="559" t="s">
        <v>698</v>
      </c>
      <c r="O9" s="472" t="s">
        <v>1275</v>
      </c>
      <c r="P9" s="473" t="s">
        <v>1274</v>
      </c>
    </row>
    <row r="10" spans="2:16" x14ac:dyDescent="0.2">
      <c r="D10" s="546">
        <v>7</v>
      </c>
      <c r="E10" s="548" t="s">
        <v>54</v>
      </c>
      <c r="G10" s="556" t="s">
        <v>686</v>
      </c>
      <c r="H10" s="559" t="s">
        <v>694</v>
      </c>
      <c r="J10" s="556" t="s">
        <v>1207</v>
      </c>
      <c r="K10" s="362" t="s">
        <v>867</v>
      </c>
      <c r="L10" s="362" t="s">
        <v>1004</v>
      </c>
      <c r="M10" s="559" t="s">
        <v>701</v>
      </c>
      <c r="O10" s="472" t="s">
        <v>1277</v>
      </c>
      <c r="P10" s="473" t="s">
        <v>1276</v>
      </c>
    </row>
    <row r="11" spans="2:16" x14ac:dyDescent="0.2">
      <c r="D11" s="546">
        <v>9</v>
      </c>
      <c r="E11" s="548" t="s">
        <v>63</v>
      </c>
      <c r="G11" s="556" t="s">
        <v>289</v>
      </c>
      <c r="H11" s="559" t="s">
        <v>695</v>
      </c>
      <c r="J11" s="556" t="s">
        <v>1058</v>
      </c>
      <c r="K11" s="362" t="s">
        <v>717</v>
      </c>
      <c r="L11" s="362" t="s">
        <v>918</v>
      </c>
      <c r="M11" s="559" t="s">
        <v>696</v>
      </c>
      <c r="O11" s="472" t="s">
        <v>1279</v>
      </c>
      <c r="P11" s="473" t="s">
        <v>1278</v>
      </c>
    </row>
    <row r="12" spans="2:16" x14ac:dyDescent="0.2">
      <c r="B12" s="365" t="s">
        <v>3307</v>
      </c>
      <c r="D12" s="546">
        <v>10</v>
      </c>
      <c r="E12" s="548" t="s">
        <v>57</v>
      </c>
      <c r="G12" s="556" t="s">
        <v>687</v>
      </c>
      <c r="H12" s="559" t="s">
        <v>707</v>
      </c>
      <c r="J12" s="556" t="s">
        <v>1109</v>
      </c>
      <c r="K12" s="362" t="s">
        <v>768</v>
      </c>
      <c r="L12" s="362" t="s">
        <v>963</v>
      </c>
      <c r="M12" s="559" t="s">
        <v>699</v>
      </c>
      <c r="O12" s="472" t="s">
        <v>1281</v>
      </c>
      <c r="P12" s="473" t="s">
        <v>1280</v>
      </c>
    </row>
    <row r="13" spans="2:16" x14ac:dyDescent="0.2">
      <c r="B13" s="551" t="s">
        <v>3308</v>
      </c>
      <c r="D13" s="546">
        <v>11</v>
      </c>
      <c r="E13" s="548" t="s">
        <v>58</v>
      </c>
      <c r="G13" s="556" t="s">
        <v>688</v>
      </c>
      <c r="H13" s="559" t="s">
        <v>696</v>
      </c>
      <c r="J13" s="556" t="s">
        <v>1158</v>
      </c>
      <c r="K13" s="362" t="s">
        <v>818</v>
      </c>
      <c r="L13" s="362" t="s">
        <v>1002</v>
      </c>
      <c r="M13" s="559" t="s">
        <v>696</v>
      </c>
      <c r="O13" s="472" t="s">
        <v>1283</v>
      </c>
      <c r="P13" s="473" t="s">
        <v>1282</v>
      </c>
    </row>
    <row r="14" spans="2:16" x14ac:dyDescent="0.2">
      <c r="B14" s="554" t="s">
        <v>3379</v>
      </c>
      <c r="D14" s="546">
        <v>12</v>
      </c>
      <c r="E14" s="548" t="s">
        <v>59</v>
      </c>
      <c r="G14" s="556" t="s">
        <v>689</v>
      </c>
      <c r="H14" s="559" t="s">
        <v>708</v>
      </c>
      <c r="J14" s="556" t="s">
        <v>1208</v>
      </c>
      <c r="K14" s="362" t="s">
        <v>868</v>
      </c>
      <c r="L14" s="362" t="s">
        <v>1032</v>
      </c>
      <c r="M14" s="559" t="s">
        <v>696</v>
      </c>
      <c r="O14" s="472" t="s">
        <v>1285</v>
      </c>
      <c r="P14" s="473" t="s">
        <v>1284</v>
      </c>
    </row>
    <row r="15" spans="2:16" x14ac:dyDescent="0.2">
      <c r="D15" s="546">
        <v>13</v>
      </c>
      <c r="E15" s="548" t="s">
        <v>60</v>
      </c>
      <c r="G15" s="556" t="s">
        <v>690</v>
      </c>
      <c r="H15" s="559" t="s">
        <v>701</v>
      </c>
      <c r="J15" s="556" t="s">
        <v>1059</v>
      </c>
      <c r="K15" s="362" t="s">
        <v>718</v>
      </c>
      <c r="L15" s="362" t="s">
        <v>919</v>
      </c>
      <c r="M15" s="559" t="s">
        <v>696</v>
      </c>
      <c r="O15" s="472" t="s">
        <v>1287</v>
      </c>
      <c r="P15" s="473" t="s">
        <v>1286</v>
      </c>
    </row>
    <row r="16" spans="2:16" x14ac:dyDescent="0.2">
      <c r="D16" s="549" t="s">
        <v>65</v>
      </c>
      <c r="E16" s="550" t="s">
        <v>66</v>
      </c>
      <c r="G16" s="556" t="s">
        <v>691</v>
      </c>
      <c r="H16" s="559" t="s">
        <v>709</v>
      </c>
      <c r="J16" s="556" t="s">
        <v>1110</v>
      </c>
      <c r="K16" s="362" t="s">
        <v>769</v>
      </c>
      <c r="L16" s="362" t="s">
        <v>964</v>
      </c>
      <c r="M16" s="559" t="s">
        <v>696</v>
      </c>
      <c r="O16" s="472" t="s">
        <v>1289</v>
      </c>
      <c r="P16" s="473" t="s">
        <v>1288</v>
      </c>
    </row>
    <row r="17" spans="5:16" x14ac:dyDescent="0.2">
      <c r="G17" s="561" t="s">
        <v>692</v>
      </c>
      <c r="H17" s="562" t="s">
        <v>703</v>
      </c>
      <c r="J17" s="556" t="s">
        <v>1159</v>
      </c>
      <c r="K17" s="362" t="s">
        <v>819</v>
      </c>
      <c r="L17" s="362" t="s">
        <v>1003</v>
      </c>
      <c r="M17" s="559" t="s">
        <v>696</v>
      </c>
      <c r="O17" s="472" t="s">
        <v>1291</v>
      </c>
      <c r="P17" s="473" t="s">
        <v>1290</v>
      </c>
    </row>
    <row r="18" spans="5:16" x14ac:dyDescent="0.2">
      <c r="E18" s="365" t="s">
        <v>3309</v>
      </c>
      <c r="J18" s="556" t="s">
        <v>1209</v>
      </c>
      <c r="K18" s="362" t="s">
        <v>869</v>
      </c>
      <c r="L18" s="362" t="s">
        <v>940</v>
      </c>
      <c r="M18" s="559" t="s">
        <v>694</v>
      </c>
      <c r="O18" s="472" t="s">
        <v>1293</v>
      </c>
      <c r="P18" s="473" t="s">
        <v>1292</v>
      </c>
    </row>
    <row r="19" spans="5:16" x14ac:dyDescent="0.2">
      <c r="E19" s="551" t="s">
        <v>3310</v>
      </c>
      <c r="J19" s="556" t="s">
        <v>1060</v>
      </c>
      <c r="K19" s="362" t="s">
        <v>719</v>
      </c>
      <c r="L19" s="362" t="s">
        <v>920</v>
      </c>
      <c r="M19" s="559" t="s">
        <v>701</v>
      </c>
      <c r="O19" s="472" t="s">
        <v>1295</v>
      </c>
      <c r="P19" s="473" t="s">
        <v>1294</v>
      </c>
    </row>
    <row r="20" spans="5:16" x14ac:dyDescent="0.2">
      <c r="E20" s="552" t="s">
        <v>3311</v>
      </c>
      <c r="J20" s="556" t="s">
        <v>1111</v>
      </c>
      <c r="K20" s="362" t="s">
        <v>770</v>
      </c>
      <c r="L20" s="362" t="s">
        <v>938</v>
      </c>
      <c r="M20" s="559" t="s">
        <v>696</v>
      </c>
      <c r="O20" s="472" t="s">
        <v>1297</v>
      </c>
      <c r="P20" s="473" t="s">
        <v>1296</v>
      </c>
    </row>
    <row r="21" spans="5:16" x14ac:dyDescent="0.2">
      <c r="E21" s="552" t="s">
        <v>3312</v>
      </c>
      <c r="J21" s="556" t="s">
        <v>1160</v>
      </c>
      <c r="K21" s="362" t="s">
        <v>820</v>
      </c>
      <c r="L21" s="362" t="s">
        <v>952</v>
      </c>
      <c r="M21" s="559" t="s">
        <v>696</v>
      </c>
      <c r="O21" s="472" t="s">
        <v>1299</v>
      </c>
      <c r="P21" s="473" t="s">
        <v>1298</v>
      </c>
    </row>
    <row r="22" spans="5:16" x14ac:dyDescent="0.2">
      <c r="E22" s="553" t="s">
        <v>3313</v>
      </c>
      <c r="J22" s="556" t="s">
        <v>1210</v>
      </c>
      <c r="K22" s="362" t="s">
        <v>870</v>
      </c>
      <c r="L22" s="362" t="s">
        <v>1033</v>
      </c>
      <c r="M22" s="559" t="s">
        <v>707</v>
      </c>
      <c r="O22" s="472" t="s">
        <v>1301</v>
      </c>
      <c r="P22" s="473" t="s">
        <v>1300</v>
      </c>
    </row>
    <row r="23" spans="5:16" x14ac:dyDescent="0.2">
      <c r="E23" s="553" t="s">
        <v>3314</v>
      </c>
      <c r="J23" s="556" t="s">
        <v>1061</v>
      </c>
      <c r="K23" s="362" t="s">
        <v>720</v>
      </c>
      <c r="L23" s="362" t="s">
        <v>921</v>
      </c>
      <c r="M23" s="559" t="s">
        <v>709</v>
      </c>
      <c r="O23" s="472" t="s">
        <v>1303</v>
      </c>
      <c r="P23" s="473" t="s">
        <v>1302</v>
      </c>
    </row>
    <row r="24" spans="5:16" x14ac:dyDescent="0.2">
      <c r="E24" s="553" t="s">
        <v>3315</v>
      </c>
      <c r="J24" s="556" t="s">
        <v>1112</v>
      </c>
      <c r="K24" s="362" t="s">
        <v>771</v>
      </c>
      <c r="L24" s="362" t="s">
        <v>965</v>
      </c>
      <c r="M24" s="559" t="s">
        <v>699</v>
      </c>
      <c r="O24" s="472" t="s">
        <v>1305</v>
      </c>
      <c r="P24" s="473" t="s">
        <v>1304</v>
      </c>
    </row>
    <row r="25" spans="5:16" x14ac:dyDescent="0.2">
      <c r="E25" s="553" t="s">
        <v>3316</v>
      </c>
      <c r="J25" s="556" t="s">
        <v>1161</v>
      </c>
      <c r="K25" s="362" t="s">
        <v>821</v>
      </c>
      <c r="L25" s="362" t="s">
        <v>981</v>
      </c>
      <c r="M25" s="559" t="s">
        <v>697</v>
      </c>
      <c r="O25" s="472" t="s">
        <v>1307</v>
      </c>
      <c r="P25" s="473" t="s">
        <v>1306</v>
      </c>
    </row>
    <row r="26" spans="5:16" x14ac:dyDescent="0.2">
      <c r="E26" s="553" t="s">
        <v>3317</v>
      </c>
      <c r="J26" s="556" t="s">
        <v>1062</v>
      </c>
      <c r="K26" s="362" t="s">
        <v>721</v>
      </c>
      <c r="L26" s="362" t="s">
        <v>922</v>
      </c>
      <c r="M26" s="559" t="s">
        <v>699</v>
      </c>
      <c r="O26" s="472" t="s">
        <v>1309</v>
      </c>
      <c r="P26" s="473" t="s">
        <v>1308</v>
      </c>
    </row>
    <row r="27" spans="5:16" x14ac:dyDescent="0.2">
      <c r="E27" s="553" t="s">
        <v>3318</v>
      </c>
      <c r="J27" s="556" t="s">
        <v>1113</v>
      </c>
      <c r="K27" s="362" t="s">
        <v>772</v>
      </c>
      <c r="L27" s="362" t="s">
        <v>966</v>
      </c>
      <c r="M27" s="559" t="s">
        <v>693</v>
      </c>
      <c r="O27" s="472" t="s">
        <v>1311</v>
      </c>
      <c r="P27" s="473" t="s">
        <v>1310</v>
      </c>
    </row>
    <row r="28" spans="5:16" x14ac:dyDescent="0.2">
      <c r="E28" s="553" t="s">
        <v>3319</v>
      </c>
      <c r="J28" s="556" t="s">
        <v>1162</v>
      </c>
      <c r="K28" s="362" t="s">
        <v>822</v>
      </c>
      <c r="L28" s="362" t="s">
        <v>1004</v>
      </c>
      <c r="M28" s="559" t="s">
        <v>701</v>
      </c>
      <c r="O28" s="472" t="s">
        <v>1313</v>
      </c>
      <c r="P28" s="473" t="s">
        <v>1312</v>
      </c>
    </row>
    <row r="29" spans="5:16" x14ac:dyDescent="0.2">
      <c r="E29" s="553" t="s">
        <v>3320</v>
      </c>
      <c r="J29" s="556" t="s">
        <v>1211</v>
      </c>
      <c r="K29" s="362" t="s">
        <v>871</v>
      </c>
      <c r="L29" s="362" t="s">
        <v>1034</v>
      </c>
      <c r="M29" s="559" t="s">
        <v>693</v>
      </c>
      <c r="O29" s="472" t="s">
        <v>1315</v>
      </c>
      <c r="P29" s="473" t="s">
        <v>1314</v>
      </c>
    </row>
    <row r="30" spans="5:16" x14ac:dyDescent="0.2">
      <c r="E30" s="553" t="s">
        <v>3321</v>
      </c>
      <c r="J30" s="556" t="s">
        <v>1212</v>
      </c>
      <c r="K30" s="362" t="s">
        <v>872</v>
      </c>
      <c r="L30" s="362" t="s">
        <v>1035</v>
      </c>
      <c r="M30" s="559" t="s">
        <v>693</v>
      </c>
      <c r="O30" s="472" t="s">
        <v>1317</v>
      </c>
      <c r="P30" s="473" t="s">
        <v>1316</v>
      </c>
    </row>
    <row r="31" spans="5:16" x14ac:dyDescent="0.2">
      <c r="E31" s="553" t="s">
        <v>3322</v>
      </c>
      <c r="J31" s="556" t="s">
        <v>1063</v>
      </c>
      <c r="K31" s="362" t="s">
        <v>722</v>
      </c>
      <c r="L31" s="362" t="s">
        <v>923</v>
      </c>
      <c r="M31" s="559" t="s">
        <v>702</v>
      </c>
      <c r="O31" s="472" t="s">
        <v>1319</v>
      </c>
      <c r="P31" s="473" t="s">
        <v>1318</v>
      </c>
    </row>
    <row r="32" spans="5:16" x14ac:dyDescent="0.2">
      <c r="E32" s="553" t="s">
        <v>3323</v>
      </c>
      <c r="J32" s="556" t="s">
        <v>1114</v>
      </c>
      <c r="K32" s="362" t="s">
        <v>773</v>
      </c>
      <c r="L32" s="362" t="s">
        <v>967</v>
      </c>
      <c r="M32" s="559" t="s">
        <v>694</v>
      </c>
      <c r="O32" s="472" t="s">
        <v>1321</v>
      </c>
      <c r="P32" s="473" t="s">
        <v>1320</v>
      </c>
    </row>
    <row r="33" spans="5:16" x14ac:dyDescent="0.2">
      <c r="E33" s="553" t="s">
        <v>3324</v>
      </c>
      <c r="J33" s="556" t="s">
        <v>1163</v>
      </c>
      <c r="K33" s="362" t="s">
        <v>823</v>
      </c>
      <c r="L33" s="362" t="s">
        <v>990</v>
      </c>
      <c r="M33" s="559" t="s">
        <v>699</v>
      </c>
      <c r="O33" s="472" t="s">
        <v>1323</v>
      </c>
      <c r="P33" s="473" t="s">
        <v>1322</v>
      </c>
    </row>
    <row r="34" spans="5:16" x14ac:dyDescent="0.2">
      <c r="E34" s="553" t="s">
        <v>3325</v>
      </c>
      <c r="J34" s="556" t="s">
        <v>1213</v>
      </c>
      <c r="K34" s="362" t="s">
        <v>873</v>
      </c>
      <c r="L34" s="362" t="s">
        <v>971</v>
      </c>
      <c r="M34" s="559" t="s">
        <v>698</v>
      </c>
      <c r="O34" s="472" t="s">
        <v>1325</v>
      </c>
      <c r="P34" s="473" t="s">
        <v>1324</v>
      </c>
    </row>
    <row r="35" spans="5:16" x14ac:dyDescent="0.2">
      <c r="E35" s="553" t="s">
        <v>3326</v>
      </c>
      <c r="J35" s="556" t="s">
        <v>1064</v>
      </c>
      <c r="K35" s="362" t="s">
        <v>723</v>
      </c>
      <c r="L35" s="362" t="s">
        <v>924</v>
      </c>
      <c r="M35" s="559" t="s">
        <v>694</v>
      </c>
      <c r="O35" s="472" t="s">
        <v>1327</v>
      </c>
      <c r="P35" s="473" t="s">
        <v>1326</v>
      </c>
    </row>
    <row r="36" spans="5:16" x14ac:dyDescent="0.2">
      <c r="E36" s="554" t="s">
        <v>3516</v>
      </c>
      <c r="J36" s="556" t="s">
        <v>1115</v>
      </c>
      <c r="K36" s="362" t="s">
        <v>774</v>
      </c>
      <c r="L36" s="362" t="s">
        <v>968</v>
      </c>
      <c r="M36" s="559" t="s">
        <v>701</v>
      </c>
      <c r="O36" s="472" t="s">
        <v>1329</v>
      </c>
      <c r="P36" s="473" t="s">
        <v>1328</v>
      </c>
    </row>
    <row r="37" spans="5:16" x14ac:dyDescent="0.2">
      <c r="J37" s="556" t="s">
        <v>1164</v>
      </c>
      <c r="K37" s="362" t="s">
        <v>824</v>
      </c>
      <c r="L37" s="362" t="s">
        <v>1005</v>
      </c>
      <c r="M37" s="559" t="s">
        <v>697</v>
      </c>
      <c r="O37" s="472" t="s">
        <v>1331</v>
      </c>
      <c r="P37" s="473" t="s">
        <v>1330</v>
      </c>
    </row>
    <row r="38" spans="5:16" x14ac:dyDescent="0.2">
      <c r="J38" s="557" t="s">
        <v>1214</v>
      </c>
      <c r="K38" s="363" t="s">
        <v>874</v>
      </c>
      <c r="L38" s="363" t="s">
        <v>968</v>
      </c>
      <c r="M38" s="560" t="s">
        <v>701</v>
      </c>
      <c r="O38" s="472" t="s">
        <v>1333</v>
      </c>
      <c r="P38" s="473" t="s">
        <v>1332</v>
      </c>
    </row>
    <row r="39" spans="5:16" x14ac:dyDescent="0.2">
      <c r="J39" s="556" t="s">
        <v>1065</v>
      </c>
      <c r="K39" s="362" t="s">
        <v>724</v>
      </c>
      <c r="L39" s="362" t="s">
        <v>925</v>
      </c>
      <c r="M39" s="559" t="s">
        <v>701</v>
      </c>
      <c r="O39" s="472" t="s">
        <v>1335</v>
      </c>
      <c r="P39" s="473" t="s">
        <v>1334</v>
      </c>
    </row>
    <row r="40" spans="5:16" x14ac:dyDescent="0.2">
      <c r="J40" s="556" t="s">
        <v>1116</v>
      </c>
      <c r="K40" s="362" t="s">
        <v>775</v>
      </c>
      <c r="L40" s="362" t="s">
        <v>969</v>
      </c>
      <c r="M40" s="559" t="s">
        <v>701</v>
      </c>
      <c r="O40" s="472" t="s">
        <v>1337</v>
      </c>
      <c r="P40" s="473" t="s">
        <v>1336</v>
      </c>
    </row>
    <row r="41" spans="5:16" x14ac:dyDescent="0.2">
      <c r="J41" s="556" t="s">
        <v>1165</v>
      </c>
      <c r="K41" s="362" t="s">
        <v>825</v>
      </c>
      <c r="L41" s="362" t="s">
        <v>976</v>
      </c>
      <c r="M41" s="559" t="s">
        <v>707</v>
      </c>
      <c r="O41" s="472" t="s">
        <v>1339</v>
      </c>
      <c r="P41" s="473" t="s">
        <v>1338</v>
      </c>
    </row>
    <row r="42" spans="5:16" x14ac:dyDescent="0.2">
      <c r="J42" s="556" t="s">
        <v>1215</v>
      </c>
      <c r="K42" s="362" t="s">
        <v>875</v>
      </c>
      <c r="L42" s="362" t="s">
        <v>1036</v>
      </c>
      <c r="M42" s="559" t="s">
        <v>695</v>
      </c>
      <c r="O42" s="472" t="s">
        <v>1341</v>
      </c>
      <c r="P42" s="473" t="s">
        <v>1340</v>
      </c>
    </row>
    <row r="43" spans="5:16" x14ac:dyDescent="0.2">
      <c r="J43" s="556" t="s">
        <v>1066</v>
      </c>
      <c r="K43" s="362" t="s">
        <v>725</v>
      </c>
      <c r="L43" s="362" t="s">
        <v>926</v>
      </c>
      <c r="M43" s="559" t="s">
        <v>701</v>
      </c>
      <c r="O43" s="472" t="s">
        <v>1343</v>
      </c>
      <c r="P43" s="473" t="s">
        <v>1342</v>
      </c>
    </row>
    <row r="44" spans="5:16" x14ac:dyDescent="0.2">
      <c r="J44" s="556" t="s">
        <v>1117</v>
      </c>
      <c r="K44" s="362" t="s">
        <v>776</v>
      </c>
      <c r="L44" s="362" t="s">
        <v>970</v>
      </c>
      <c r="M44" s="559" t="s">
        <v>696</v>
      </c>
      <c r="O44" s="472" t="s">
        <v>1345</v>
      </c>
      <c r="P44" s="473" t="s">
        <v>1344</v>
      </c>
    </row>
    <row r="45" spans="5:16" x14ac:dyDescent="0.2">
      <c r="J45" s="556" t="s">
        <v>1166</v>
      </c>
      <c r="K45" s="362" t="s">
        <v>826</v>
      </c>
      <c r="L45" s="362" t="s">
        <v>921</v>
      </c>
      <c r="M45" s="559" t="s">
        <v>709</v>
      </c>
      <c r="O45" s="472" t="s">
        <v>1347</v>
      </c>
      <c r="P45" s="473" t="s">
        <v>1346</v>
      </c>
    </row>
    <row r="46" spans="5:16" x14ac:dyDescent="0.2">
      <c r="J46" s="556" t="s">
        <v>1216</v>
      </c>
      <c r="K46" s="362" t="s">
        <v>876</v>
      </c>
      <c r="L46" s="362" t="s">
        <v>1016</v>
      </c>
      <c r="M46" s="559" t="s">
        <v>695</v>
      </c>
      <c r="O46" s="472" t="s">
        <v>1349</v>
      </c>
      <c r="P46" s="473" t="s">
        <v>1348</v>
      </c>
    </row>
    <row r="47" spans="5:16" x14ac:dyDescent="0.2">
      <c r="J47" s="556" t="s">
        <v>1067</v>
      </c>
      <c r="K47" s="362" t="s">
        <v>726</v>
      </c>
      <c r="L47" s="362" t="s">
        <v>927</v>
      </c>
      <c r="M47" s="559" t="s">
        <v>698</v>
      </c>
      <c r="O47" s="472" t="s">
        <v>1351</v>
      </c>
      <c r="P47" s="473" t="s">
        <v>1350</v>
      </c>
    </row>
    <row r="48" spans="5:16" x14ac:dyDescent="0.2">
      <c r="J48" s="556" t="s">
        <v>1118</v>
      </c>
      <c r="K48" s="362" t="s">
        <v>777</v>
      </c>
      <c r="L48" s="362" t="s">
        <v>971</v>
      </c>
      <c r="M48" s="559" t="s">
        <v>698</v>
      </c>
      <c r="O48" s="472" t="s">
        <v>1353</v>
      </c>
      <c r="P48" s="473" t="s">
        <v>1352</v>
      </c>
    </row>
    <row r="49" spans="10:16" x14ac:dyDescent="0.2">
      <c r="J49" s="556" t="s">
        <v>1167</v>
      </c>
      <c r="K49" s="362" t="s">
        <v>827</v>
      </c>
      <c r="L49" s="362" t="s">
        <v>930</v>
      </c>
      <c r="M49" s="559" t="s">
        <v>694</v>
      </c>
      <c r="O49" s="472" t="s">
        <v>1355</v>
      </c>
      <c r="P49" s="473" t="s">
        <v>1354</v>
      </c>
    </row>
    <row r="50" spans="10:16" x14ac:dyDescent="0.2">
      <c r="J50" s="556" t="s">
        <v>1217</v>
      </c>
      <c r="K50" s="362" t="s">
        <v>877</v>
      </c>
      <c r="L50" s="362" t="s">
        <v>1037</v>
      </c>
      <c r="M50" s="559" t="s">
        <v>699</v>
      </c>
      <c r="O50" s="472" t="s">
        <v>1357</v>
      </c>
      <c r="P50" s="473" t="s">
        <v>1356</v>
      </c>
    </row>
    <row r="51" spans="10:16" x14ac:dyDescent="0.2">
      <c r="J51" s="556" t="s">
        <v>1068</v>
      </c>
      <c r="K51" s="362" t="s">
        <v>727</v>
      </c>
      <c r="L51" s="362" t="s">
        <v>928</v>
      </c>
      <c r="M51" s="559" t="s">
        <v>694</v>
      </c>
      <c r="O51" s="472" t="s">
        <v>1359</v>
      </c>
      <c r="P51" s="473" t="s">
        <v>1358</v>
      </c>
    </row>
    <row r="52" spans="10:16" x14ac:dyDescent="0.2">
      <c r="J52" s="556" t="s">
        <v>1119</v>
      </c>
      <c r="K52" s="362" t="s">
        <v>778</v>
      </c>
      <c r="L52" s="362" t="s">
        <v>972</v>
      </c>
      <c r="M52" s="559" t="s">
        <v>708</v>
      </c>
      <c r="O52" s="472" t="s">
        <v>1361</v>
      </c>
      <c r="P52" s="473" t="s">
        <v>1360</v>
      </c>
    </row>
    <row r="53" spans="10:16" x14ac:dyDescent="0.2">
      <c r="J53" s="556" t="s">
        <v>1168</v>
      </c>
      <c r="K53" s="362" t="s">
        <v>828</v>
      </c>
      <c r="L53" s="362" t="s">
        <v>1006</v>
      </c>
      <c r="M53" s="559" t="s">
        <v>707</v>
      </c>
      <c r="O53" s="472" t="s">
        <v>1363</v>
      </c>
      <c r="P53" s="473" t="s">
        <v>1362</v>
      </c>
    </row>
    <row r="54" spans="10:16" x14ac:dyDescent="0.2">
      <c r="J54" s="556" t="s">
        <v>1218</v>
      </c>
      <c r="K54" s="362" t="s">
        <v>878</v>
      </c>
      <c r="L54" s="362" t="s">
        <v>1038</v>
      </c>
      <c r="M54" s="559" t="s">
        <v>696</v>
      </c>
      <c r="O54" s="472" t="s">
        <v>1365</v>
      </c>
      <c r="P54" s="473" t="s">
        <v>1364</v>
      </c>
    </row>
    <row r="55" spans="10:16" x14ac:dyDescent="0.2">
      <c r="J55" s="556" t="s">
        <v>1069</v>
      </c>
      <c r="K55" s="362" t="s">
        <v>728</v>
      </c>
      <c r="L55" s="362" t="s">
        <v>916</v>
      </c>
      <c r="M55" s="559" t="s">
        <v>700</v>
      </c>
      <c r="O55" s="472" t="s">
        <v>1367</v>
      </c>
      <c r="P55" s="473" t="s">
        <v>1366</v>
      </c>
    </row>
    <row r="56" spans="10:16" x14ac:dyDescent="0.2">
      <c r="J56" s="556" t="s">
        <v>1120</v>
      </c>
      <c r="K56" s="362" t="s">
        <v>779</v>
      </c>
      <c r="L56" s="362" t="s">
        <v>973</v>
      </c>
      <c r="M56" s="559" t="s">
        <v>702</v>
      </c>
      <c r="O56" s="472" t="s">
        <v>1369</v>
      </c>
      <c r="P56" s="473" t="s">
        <v>1368</v>
      </c>
    </row>
    <row r="57" spans="10:16" x14ac:dyDescent="0.2">
      <c r="J57" s="556" t="s">
        <v>1169</v>
      </c>
      <c r="K57" s="362" t="s">
        <v>829</v>
      </c>
      <c r="L57" s="362" t="s">
        <v>976</v>
      </c>
      <c r="M57" s="559" t="s">
        <v>707</v>
      </c>
      <c r="O57" s="472" t="s">
        <v>1371</v>
      </c>
      <c r="P57" s="473" t="s">
        <v>1370</v>
      </c>
    </row>
    <row r="58" spans="10:16" x14ac:dyDescent="0.2">
      <c r="J58" s="556" t="s">
        <v>1219</v>
      </c>
      <c r="K58" s="362" t="s">
        <v>879</v>
      </c>
      <c r="L58" s="362" t="s">
        <v>1036</v>
      </c>
      <c r="M58" s="559" t="s">
        <v>695</v>
      </c>
      <c r="O58" s="472" t="s">
        <v>1373</v>
      </c>
      <c r="P58" s="473" t="s">
        <v>1372</v>
      </c>
    </row>
    <row r="59" spans="10:16" x14ac:dyDescent="0.2">
      <c r="J59" s="556" t="s">
        <v>1070</v>
      </c>
      <c r="K59" s="362" t="s">
        <v>729</v>
      </c>
      <c r="L59" s="362" t="s">
        <v>929</v>
      </c>
      <c r="M59" s="559" t="s">
        <v>696</v>
      </c>
      <c r="O59" s="472" t="s">
        <v>1375</v>
      </c>
      <c r="P59" s="473" t="s">
        <v>1374</v>
      </c>
    </row>
    <row r="60" spans="10:16" x14ac:dyDescent="0.2">
      <c r="J60" s="556" t="s">
        <v>1121</v>
      </c>
      <c r="K60" s="362" t="s">
        <v>780</v>
      </c>
      <c r="L60" s="362" t="s">
        <v>962</v>
      </c>
      <c r="M60" s="559" t="s">
        <v>697</v>
      </c>
      <c r="O60" s="472" t="s">
        <v>1377</v>
      </c>
      <c r="P60" s="473" t="s">
        <v>1376</v>
      </c>
    </row>
    <row r="61" spans="10:16" x14ac:dyDescent="0.2">
      <c r="J61" s="556" t="s">
        <v>1170</v>
      </c>
      <c r="K61" s="362" t="s">
        <v>830</v>
      </c>
      <c r="L61" s="362" t="s">
        <v>940</v>
      </c>
      <c r="M61" s="559" t="s">
        <v>694</v>
      </c>
      <c r="O61" s="472" t="s">
        <v>1379</v>
      </c>
      <c r="P61" s="473" t="s">
        <v>1378</v>
      </c>
    </row>
    <row r="62" spans="10:16" x14ac:dyDescent="0.2">
      <c r="J62" s="556" t="s">
        <v>1220</v>
      </c>
      <c r="K62" s="362" t="s">
        <v>880</v>
      </c>
      <c r="L62" s="362" t="s">
        <v>1039</v>
      </c>
      <c r="M62" s="559" t="s">
        <v>708</v>
      </c>
      <c r="O62" s="472" t="s">
        <v>1381</v>
      </c>
      <c r="P62" s="473" t="s">
        <v>1380</v>
      </c>
    </row>
    <row r="63" spans="10:16" x14ac:dyDescent="0.2">
      <c r="J63" s="556" t="s">
        <v>1071</v>
      </c>
      <c r="K63" s="362" t="s">
        <v>730</v>
      </c>
      <c r="L63" s="362" t="s">
        <v>930</v>
      </c>
      <c r="M63" s="559" t="s">
        <v>694</v>
      </c>
      <c r="O63" s="472" t="s">
        <v>1383</v>
      </c>
      <c r="P63" s="473" t="s">
        <v>1382</v>
      </c>
    </row>
    <row r="64" spans="10:16" x14ac:dyDescent="0.2">
      <c r="J64" s="556" t="s">
        <v>1122</v>
      </c>
      <c r="K64" s="362" t="s">
        <v>781</v>
      </c>
      <c r="L64" s="362" t="s">
        <v>955</v>
      </c>
      <c r="M64" s="559" t="s">
        <v>707</v>
      </c>
      <c r="O64" s="472" t="s">
        <v>1385</v>
      </c>
      <c r="P64" s="473" t="s">
        <v>1384</v>
      </c>
    </row>
    <row r="65" spans="10:16" x14ac:dyDescent="0.2">
      <c r="J65" s="556" t="s">
        <v>1171</v>
      </c>
      <c r="K65" s="362" t="s">
        <v>831</v>
      </c>
      <c r="L65" s="362" t="s">
        <v>1007</v>
      </c>
      <c r="M65" s="559" t="s">
        <v>697</v>
      </c>
      <c r="O65" s="472" t="s">
        <v>1387</v>
      </c>
      <c r="P65" s="473" t="s">
        <v>1386</v>
      </c>
    </row>
    <row r="66" spans="10:16" x14ac:dyDescent="0.2">
      <c r="J66" s="556" t="s">
        <v>1221</v>
      </c>
      <c r="K66" s="362" t="s">
        <v>881</v>
      </c>
      <c r="L66" s="362" t="s">
        <v>1035</v>
      </c>
      <c r="M66" s="559" t="s">
        <v>693</v>
      </c>
      <c r="O66" s="472" t="s">
        <v>1389</v>
      </c>
      <c r="P66" s="473" t="s">
        <v>1388</v>
      </c>
    </row>
    <row r="67" spans="10:16" x14ac:dyDescent="0.2">
      <c r="J67" s="556" t="s">
        <v>1072</v>
      </c>
      <c r="K67" s="362" t="s">
        <v>731</v>
      </c>
      <c r="L67" s="362" t="s">
        <v>931</v>
      </c>
      <c r="M67" s="559" t="s">
        <v>702</v>
      </c>
      <c r="O67" s="472" t="s">
        <v>1391</v>
      </c>
      <c r="P67" s="473" t="s">
        <v>1390</v>
      </c>
    </row>
    <row r="68" spans="10:16" x14ac:dyDescent="0.2">
      <c r="J68" s="556" t="s">
        <v>1123</v>
      </c>
      <c r="K68" s="362" t="s">
        <v>782</v>
      </c>
      <c r="L68" s="362" t="s">
        <v>966</v>
      </c>
      <c r="M68" s="559" t="s">
        <v>693</v>
      </c>
      <c r="O68" s="472" t="s">
        <v>1393</v>
      </c>
      <c r="P68" s="473" t="s">
        <v>1392</v>
      </c>
    </row>
    <row r="69" spans="10:16" x14ac:dyDescent="0.2">
      <c r="J69" s="556" t="s">
        <v>1172</v>
      </c>
      <c r="K69" s="362" t="s">
        <v>832</v>
      </c>
      <c r="L69" s="362" t="s">
        <v>1008</v>
      </c>
      <c r="M69" s="559" t="s">
        <v>700</v>
      </c>
      <c r="O69" s="472" t="s">
        <v>1395</v>
      </c>
      <c r="P69" s="473" t="s">
        <v>1394</v>
      </c>
    </row>
    <row r="70" spans="10:16" x14ac:dyDescent="0.2">
      <c r="J70" s="556" t="s">
        <v>1222</v>
      </c>
      <c r="K70" s="362" t="s">
        <v>882</v>
      </c>
      <c r="L70" s="362" t="s">
        <v>1004</v>
      </c>
      <c r="M70" s="559" t="s">
        <v>701</v>
      </c>
      <c r="O70" s="472" t="s">
        <v>1397</v>
      </c>
      <c r="P70" s="473" t="s">
        <v>1396</v>
      </c>
    </row>
    <row r="71" spans="10:16" x14ac:dyDescent="0.2">
      <c r="J71" s="556" t="s">
        <v>1073</v>
      </c>
      <c r="K71" s="362" t="s">
        <v>732</v>
      </c>
      <c r="L71" s="362" t="s">
        <v>932</v>
      </c>
      <c r="M71" s="559" t="s">
        <v>699</v>
      </c>
      <c r="O71" s="472" t="s">
        <v>1399</v>
      </c>
      <c r="P71" s="473" t="s">
        <v>1398</v>
      </c>
    </row>
    <row r="72" spans="10:16" x14ac:dyDescent="0.2">
      <c r="J72" s="556" t="s">
        <v>1124</v>
      </c>
      <c r="K72" s="362" t="s">
        <v>783</v>
      </c>
      <c r="L72" s="362" t="s">
        <v>927</v>
      </c>
      <c r="M72" s="559" t="s">
        <v>698</v>
      </c>
      <c r="O72" s="472" t="s">
        <v>1401</v>
      </c>
      <c r="P72" s="473" t="s">
        <v>1400</v>
      </c>
    </row>
    <row r="73" spans="10:16" x14ac:dyDescent="0.2">
      <c r="J73" s="556" t="s">
        <v>1173</v>
      </c>
      <c r="K73" s="362" t="s">
        <v>833</v>
      </c>
      <c r="L73" s="362" t="s">
        <v>1009</v>
      </c>
      <c r="M73" s="559" t="s">
        <v>699</v>
      </c>
      <c r="O73" s="472" t="s">
        <v>1403</v>
      </c>
      <c r="P73" s="473" t="s">
        <v>1402</v>
      </c>
    </row>
    <row r="74" spans="10:16" x14ac:dyDescent="0.2">
      <c r="J74" s="556" t="s">
        <v>1223</v>
      </c>
      <c r="K74" s="362" t="s">
        <v>883</v>
      </c>
      <c r="L74" s="362" t="s">
        <v>989</v>
      </c>
      <c r="M74" s="559" t="s">
        <v>708</v>
      </c>
      <c r="O74" s="472" t="s">
        <v>1405</v>
      </c>
      <c r="P74" s="473" t="s">
        <v>1404</v>
      </c>
    </row>
    <row r="75" spans="10:16" x14ac:dyDescent="0.2">
      <c r="J75" s="556" t="s">
        <v>1074</v>
      </c>
      <c r="K75" s="362" t="s">
        <v>733</v>
      </c>
      <c r="L75" s="362" t="s">
        <v>933</v>
      </c>
      <c r="M75" s="559" t="s">
        <v>701</v>
      </c>
      <c r="O75" s="472" t="s">
        <v>1407</v>
      </c>
      <c r="P75" s="473" t="s">
        <v>1406</v>
      </c>
    </row>
    <row r="76" spans="10:16" x14ac:dyDescent="0.2">
      <c r="J76" s="556" t="s">
        <v>1125</v>
      </c>
      <c r="K76" s="362" t="s">
        <v>784</v>
      </c>
      <c r="L76" s="362" t="s">
        <v>974</v>
      </c>
      <c r="M76" s="559" t="s">
        <v>694</v>
      </c>
      <c r="O76" s="472" t="s">
        <v>1409</v>
      </c>
      <c r="P76" s="473" t="s">
        <v>1408</v>
      </c>
    </row>
    <row r="77" spans="10:16" x14ac:dyDescent="0.2">
      <c r="J77" s="556" t="s">
        <v>1174</v>
      </c>
      <c r="K77" s="362" t="s">
        <v>834</v>
      </c>
      <c r="L77" s="362" t="s">
        <v>1010</v>
      </c>
      <c r="M77" s="559" t="s">
        <v>698</v>
      </c>
      <c r="O77" s="472" t="s">
        <v>1411</v>
      </c>
      <c r="P77" s="473" t="s">
        <v>1410</v>
      </c>
    </row>
    <row r="78" spans="10:16" x14ac:dyDescent="0.2">
      <c r="J78" s="556" t="s">
        <v>1224</v>
      </c>
      <c r="K78" s="362" t="s">
        <v>884</v>
      </c>
      <c r="L78" s="362" t="s">
        <v>1040</v>
      </c>
      <c r="M78" s="559" t="s">
        <v>699</v>
      </c>
      <c r="O78" s="472" t="s">
        <v>1413</v>
      </c>
      <c r="P78" s="473" t="s">
        <v>1412</v>
      </c>
    </row>
    <row r="79" spans="10:16" x14ac:dyDescent="0.2">
      <c r="J79" s="556" t="s">
        <v>1075</v>
      </c>
      <c r="K79" s="362" t="s">
        <v>734</v>
      </c>
      <c r="L79" s="362" t="s">
        <v>934</v>
      </c>
      <c r="M79" s="559" t="s">
        <v>700</v>
      </c>
      <c r="O79" s="472" t="s">
        <v>1415</v>
      </c>
      <c r="P79" s="473" t="s">
        <v>1414</v>
      </c>
    </row>
    <row r="80" spans="10:16" x14ac:dyDescent="0.2">
      <c r="J80" s="556" t="s">
        <v>1126</v>
      </c>
      <c r="K80" s="362" t="s">
        <v>785</v>
      </c>
      <c r="L80" s="362" t="s">
        <v>975</v>
      </c>
      <c r="M80" s="559" t="s">
        <v>701</v>
      </c>
      <c r="O80" s="472" t="s">
        <v>1417</v>
      </c>
      <c r="P80" s="473" t="s">
        <v>1416</v>
      </c>
    </row>
    <row r="81" spans="10:16" x14ac:dyDescent="0.2">
      <c r="J81" s="556" t="s">
        <v>1175</v>
      </c>
      <c r="K81" s="362" t="s">
        <v>835</v>
      </c>
      <c r="L81" s="362" t="s">
        <v>1011</v>
      </c>
      <c r="M81" s="559" t="s">
        <v>709</v>
      </c>
      <c r="O81" s="472" t="s">
        <v>1419</v>
      </c>
      <c r="P81" s="473" t="s">
        <v>1418</v>
      </c>
    </row>
    <row r="82" spans="10:16" x14ac:dyDescent="0.2">
      <c r="J82" s="556" t="s">
        <v>1225</v>
      </c>
      <c r="K82" s="362" t="s">
        <v>885</v>
      </c>
      <c r="L82" s="362" t="s">
        <v>1041</v>
      </c>
      <c r="M82" s="559" t="s">
        <v>699</v>
      </c>
      <c r="O82" s="472" t="s">
        <v>1421</v>
      </c>
      <c r="P82" s="473" t="s">
        <v>1420</v>
      </c>
    </row>
    <row r="83" spans="10:16" x14ac:dyDescent="0.2">
      <c r="J83" s="556" t="s">
        <v>1076</v>
      </c>
      <c r="K83" s="362" t="s">
        <v>735</v>
      </c>
      <c r="L83" s="362" t="s">
        <v>935</v>
      </c>
      <c r="M83" s="559" t="s">
        <v>696</v>
      </c>
      <c r="O83" s="472" t="s">
        <v>1423</v>
      </c>
      <c r="P83" s="473" t="s">
        <v>1422</v>
      </c>
    </row>
    <row r="84" spans="10:16" x14ac:dyDescent="0.2">
      <c r="J84" s="556" t="s">
        <v>1127</v>
      </c>
      <c r="K84" s="362" t="s">
        <v>786</v>
      </c>
      <c r="L84" s="362" t="s">
        <v>976</v>
      </c>
      <c r="M84" s="559" t="s">
        <v>707</v>
      </c>
      <c r="O84" s="472" t="s">
        <v>1425</v>
      </c>
      <c r="P84" s="473" t="s">
        <v>1424</v>
      </c>
    </row>
    <row r="85" spans="10:16" x14ac:dyDescent="0.2">
      <c r="J85" s="556" t="s">
        <v>1176</v>
      </c>
      <c r="K85" s="362" t="s">
        <v>836</v>
      </c>
      <c r="L85" s="362" t="s">
        <v>1005</v>
      </c>
      <c r="M85" s="559" t="s">
        <v>697</v>
      </c>
      <c r="O85" s="472" t="s">
        <v>1427</v>
      </c>
      <c r="P85" s="473" t="s">
        <v>1426</v>
      </c>
    </row>
    <row r="86" spans="10:16" x14ac:dyDescent="0.2">
      <c r="J86" s="556" t="s">
        <v>1226</v>
      </c>
      <c r="K86" s="362" t="s">
        <v>886</v>
      </c>
      <c r="L86" s="362" t="s">
        <v>950</v>
      </c>
      <c r="M86" s="559" t="s">
        <v>702</v>
      </c>
      <c r="O86" s="472" t="s">
        <v>1429</v>
      </c>
      <c r="P86" s="473" t="s">
        <v>1428</v>
      </c>
    </row>
    <row r="87" spans="10:16" x14ac:dyDescent="0.2">
      <c r="J87" s="556" t="s">
        <v>1077</v>
      </c>
      <c r="K87" s="362" t="s">
        <v>736</v>
      </c>
      <c r="L87" s="362" t="s">
        <v>936</v>
      </c>
      <c r="M87" s="559" t="s">
        <v>702</v>
      </c>
      <c r="O87" s="472" t="s">
        <v>1431</v>
      </c>
      <c r="P87" s="473" t="s">
        <v>1430</v>
      </c>
    </row>
    <row r="88" spans="10:16" x14ac:dyDescent="0.2">
      <c r="J88" s="556" t="s">
        <v>290</v>
      </c>
      <c r="K88" s="362" t="s">
        <v>787</v>
      </c>
      <c r="L88" s="362" t="s">
        <v>939</v>
      </c>
      <c r="M88" s="559" t="s">
        <v>695</v>
      </c>
      <c r="O88" s="472" t="s">
        <v>1433</v>
      </c>
      <c r="P88" s="473" t="s">
        <v>1432</v>
      </c>
    </row>
    <row r="89" spans="10:16" x14ac:dyDescent="0.2">
      <c r="J89" s="556" t="s">
        <v>1177</v>
      </c>
      <c r="K89" s="362" t="s">
        <v>837</v>
      </c>
      <c r="L89" s="362" t="s">
        <v>1012</v>
      </c>
      <c r="M89" s="559" t="s">
        <v>708</v>
      </c>
      <c r="O89" s="472" t="s">
        <v>1435</v>
      </c>
      <c r="P89" s="473" t="s">
        <v>1434</v>
      </c>
    </row>
    <row r="90" spans="10:16" x14ac:dyDescent="0.2">
      <c r="J90" s="556" t="s">
        <v>1227</v>
      </c>
      <c r="K90" s="362" t="s">
        <v>887</v>
      </c>
      <c r="L90" s="362" t="s">
        <v>1042</v>
      </c>
      <c r="M90" s="559" t="s">
        <v>702</v>
      </c>
      <c r="O90" s="472" t="s">
        <v>1437</v>
      </c>
      <c r="P90" s="473" t="s">
        <v>1436</v>
      </c>
    </row>
    <row r="91" spans="10:16" x14ac:dyDescent="0.2">
      <c r="J91" s="556" t="s">
        <v>1078</v>
      </c>
      <c r="K91" s="362" t="s">
        <v>737</v>
      </c>
      <c r="L91" s="362" t="s">
        <v>937</v>
      </c>
      <c r="M91" s="559" t="s">
        <v>702</v>
      </c>
      <c r="O91" s="472" t="s">
        <v>1439</v>
      </c>
      <c r="P91" s="473" t="s">
        <v>1438</v>
      </c>
    </row>
    <row r="92" spans="10:16" x14ac:dyDescent="0.2">
      <c r="J92" s="556" t="s">
        <v>1128</v>
      </c>
      <c r="K92" s="362" t="s">
        <v>788</v>
      </c>
      <c r="L92" s="362" t="s">
        <v>977</v>
      </c>
      <c r="M92" s="559" t="s">
        <v>709</v>
      </c>
      <c r="O92" s="472" t="s">
        <v>1441</v>
      </c>
      <c r="P92" s="473" t="s">
        <v>1440</v>
      </c>
    </row>
    <row r="93" spans="10:16" x14ac:dyDescent="0.2">
      <c r="J93" s="556" t="s">
        <v>1178</v>
      </c>
      <c r="K93" s="362" t="s">
        <v>838</v>
      </c>
      <c r="L93" s="362" t="s">
        <v>916</v>
      </c>
      <c r="M93" s="559" t="s">
        <v>700</v>
      </c>
      <c r="O93" s="472" t="s">
        <v>1443</v>
      </c>
      <c r="P93" s="473" t="s">
        <v>1442</v>
      </c>
    </row>
    <row r="94" spans="10:16" x14ac:dyDescent="0.2">
      <c r="J94" s="556" t="s">
        <v>1228</v>
      </c>
      <c r="K94" s="362" t="s">
        <v>888</v>
      </c>
      <c r="L94" s="362" t="s">
        <v>1043</v>
      </c>
      <c r="M94" s="559" t="s">
        <v>699</v>
      </c>
      <c r="O94" s="472" t="s">
        <v>1445</v>
      </c>
      <c r="P94" s="473" t="s">
        <v>1444</v>
      </c>
    </row>
    <row r="95" spans="10:16" x14ac:dyDescent="0.2">
      <c r="J95" s="556" t="s">
        <v>1079</v>
      </c>
      <c r="K95" s="362" t="s">
        <v>738</v>
      </c>
      <c r="L95" s="362" t="s">
        <v>938</v>
      </c>
      <c r="M95" s="559" t="s">
        <v>696</v>
      </c>
      <c r="O95" s="472" t="s">
        <v>1447</v>
      </c>
      <c r="P95" s="473" t="s">
        <v>1446</v>
      </c>
    </row>
    <row r="96" spans="10:16" x14ac:dyDescent="0.2">
      <c r="J96" s="556" t="s">
        <v>1129</v>
      </c>
      <c r="K96" s="362" t="s">
        <v>789</v>
      </c>
      <c r="L96" s="362" t="s">
        <v>978</v>
      </c>
      <c r="M96" s="559" t="s">
        <v>693</v>
      </c>
      <c r="O96" s="472" t="s">
        <v>1449</v>
      </c>
      <c r="P96" s="473" t="s">
        <v>1448</v>
      </c>
    </row>
    <row r="97" spans="10:16" x14ac:dyDescent="0.2">
      <c r="J97" s="556" t="s">
        <v>1179</v>
      </c>
      <c r="K97" s="362" t="s">
        <v>839</v>
      </c>
      <c r="L97" s="362" t="s">
        <v>1013</v>
      </c>
      <c r="M97" s="559" t="s">
        <v>699</v>
      </c>
      <c r="O97" s="472" t="s">
        <v>1451</v>
      </c>
      <c r="P97" s="473" t="s">
        <v>1450</v>
      </c>
    </row>
    <row r="98" spans="10:16" x14ac:dyDescent="0.2">
      <c r="J98" s="556" t="s">
        <v>1229</v>
      </c>
      <c r="K98" s="362" t="s">
        <v>889</v>
      </c>
      <c r="L98" s="362" t="s">
        <v>1044</v>
      </c>
      <c r="M98" s="559" t="s">
        <v>699</v>
      </c>
      <c r="O98" s="472" t="s">
        <v>1453</v>
      </c>
      <c r="P98" s="473" t="s">
        <v>1452</v>
      </c>
    </row>
    <row r="99" spans="10:16" x14ac:dyDescent="0.2">
      <c r="J99" s="556" t="s">
        <v>1080</v>
      </c>
      <c r="K99" s="362" t="s">
        <v>739</v>
      </c>
      <c r="L99" s="362" t="s">
        <v>939</v>
      </c>
      <c r="M99" s="559" t="s">
        <v>695</v>
      </c>
      <c r="O99" s="472" t="s">
        <v>1455</v>
      </c>
      <c r="P99" s="473" t="s">
        <v>1454</v>
      </c>
    </row>
    <row r="100" spans="10:16" x14ac:dyDescent="0.2">
      <c r="J100" s="556" t="s">
        <v>1180</v>
      </c>
      <c r="K100" s="362" t="s">
        <v>840</v>
      </c>
      <c r="L100" s="362" t="s">
        <v>961</v>
      </c>
      <c r="M100" s="559" t="s">
        <v>696</v>
      </c>
      <c r="O100" s="472" t="s">
        <v>1457</v>
      </c>
      <c r="P100" s="473" t="s">
        <v>1456</v>
      </c>
    </row>
    <row r="101" spans="10:16" x14ac:dyDescent="0.2">
      <c r="J101" s="556" t="s">
        <v>1130</v>
      </c>
      <c r="K101" s="362" t="s">
        <v>790</v>
      </c>
      <c r="L101" s="362" t="s">
        <v>979</v>
      </c>
      <c r="M101" s="559" t="s">
        <v>707</v>
      </c>
      <c r="O101" s="472" t="s">
        <v>1459</v>
      </c>
      <c r="P101" s="473" t="s">
        <v>1458</v>
      </c>
    </row>
    <row r="102" spans="10:16" x14ac:dyDescent="0.2">
      <c r="J102" s="556" t="s">
        <v>1230</v>
      </c>
      <c r="K102" s="362" t="s">
        <v>890</v>
      </c>
      <c r="L102" s="362" t="s">
        <v>1045</v>
      </c>
      <c r="M102" s="559" t="s">
        <v>702</v>
      </c>
      <c r="O102" s="472" t="s">
        <v>1461</v>
      </c>
      <c r="P102" s="473" t="s">
        <v>1460</v>
      </c>
    </row>
    <row r="103" spans="10:16" x14ac:dyDescent="0.2">
      <c r="J103" s="556" t="s">
        <v>1081</v>
      </c>
      <c r="K103" s="362" t="s">
        <v>740</v>
      </c>
      <c r="L103" s="362" t="s">
        <v>940</v>
      </c>
      <c r="M103" s="559" t="s">
        <v>694</v>
      </c>
      <c r="O103" s="472" t="s">
        <v>1463</v>
      </c>
      <c r="P103" s="473" t="s">
        <v>1462</v>
      </c>
    </row>
    <row r="104" spans="10:16" x14ac:dyDescent="0.2">
      <c r="J104" s="556" t="s">
        <v>1131</v>
      </c>
      <c r="K104" s="362" t="s">
        <v>791</v>
      </c>
      <c r="L104" s="362" t="s">
        <v>980</v>
      </c>
      <c r="M104" s="559" t="s">
        <v>707</v>
      </c>
      <c r="O104" s="472" t="s">
        <v>1465</v>
      </c>
      <c r="P104" s="473" t="s">
        <v>1464</v>
      </c>
    </row>
    <row r="105" spans="10:16" x14ac:dyDescent="0.2">
      <c r="J105" s="556" t="s">
        <v>1181</v>
      </c>
      <c r="K105" s="362" t="s">
        <v>841</v>
      </c>
      <c r="L105" s="362" t="s">
        <v>1001</v>
      </c>
      <c r="M105" s="559" t="s">
        <v>698</v>
      </c>
      <c r="O105" s="472" t="s">
        <v>1467</v>
      </c>
      <c r="P105" s="473" t="s">
        <v>1466</v>
      </c>
    </row>
    <row r="106" spans="10:16" x14ac:dyDescent="0.2">
      <c r="J106" s="556" t="s">
        <v>1231</v>
      </c>
      <c r="K106" s="362" t="s">
        <v>891</v>
      </c>
      <c r="L106" s="362" t="s">
        <v>1046</v>
      </c>
      <c r="M106" s="559" t="s">
        <v>699</v>
      </c>
      <c r="O106" s="472" t="s">
        <v>1469</v>
      </c>
      <c r="P106" s="473" t="s">
        <v>1468</v>
      </c>
    </row>
    <row r="107" spans="10:16" x14ac:dyDescent="0.2">
      <c r="J107" s="556" t="s">
        <v>1082</v>
      </c>
      <c r="K107" s="362" t="s">
        <v>741</v>
      </c>
      <c r="L107" s="362" t="s">
        <v>711</v>
      </c>
      <c r="M107" s="559" t="s">
        <v>694</v>
      </c>
      <c r="O107" s="472" t="s">
        <v>1471</v>
      </c>
      <c r="P107" s="473" t="s">
        <v>1470</v>
      </c>
    </row>
    <row r="108" spans="10:16" x14ac:dyDescent="0.2">
      <c r="J108" s="556" t="s">
        <v>1132</v>
      </c>
      <c r="K108" s="362" t="s">
        <v>792</v>
      </c>
      <c r="L108" s="362" t="s">
        <v>981</v>
      </c>
      <c r="M108" s="559" t="s">
        <v>697</v>
      </c>
      <c r="O108" s="472" t="s">
        <v>1473</v>
      </c>
      <c r="P108" s="473" t="s">
        <v>1472</v>
      </c>
    </row>
    <row r="109" spans="10:16" x14ac:dyDescent="0.2">
      <c r="J109" s="556" t="s">
        <v>1182</v>
      </c>
      <c r="K109" s="362" t="s">
        <v>842</v>
      </c>
      <c r="L109" s="362" t="s">
        <v>928</v>
      </c>
      <c r="M109" s="559" t="s">
        <v>694</v>
      </c>
      <c r="O109" s="472" t="s">
        <v>1475</v>
      </c>
      <c r="P109" s="473" t="s">
        <v>1474</v>
      </c>
    </row>
    <row r="110" spans="10:16" x14ac:dyDescent="0.2">
      <c r="J110" s="556" t="s">
        <v>1232</v>
      </c>
      <c r="K110" s="362" t="s">
        <v>892</v>
      </c>
      <c r="L110" s="362" t="s">
        <v>925</v>
      </c>
      <c r="M110" s="559" t="s">
        <v>701</v>
      </c>
      <c r="O110" s="472" t="s">
        <v>1477</v>
      </c>
      <c r="P110" s="473" t="s">
        <v>1476</v>
      </c>
    </row>
    <row r="111" spans="10:16" x14ac:dyDescent="0.2">
      <c r="J111" s="556" t="s">
        <v>1083</v>
      </c>
      <c r="K111" s="362" t="s">
        <v>742</v>
      </c>
      <c r="L111" s="362" t="s">
        <v>941</v>
      </c>
      <c r="M111" s="559" t="s">
        <v>699</v>
      </c>
      <c r="O111" s="472" t="s">
        <v>1479</v>
      </c>
      <c r="P111" s="473" t="s">
        <v>1478</v>
      </c>
    </row>
    <row r="112" spans="10:16" x14ac:dyDescent="0.2">
      <c r="J112" s="556" t="s">
        <v>1133</v>
      </c>
      <c r="K112" s="362" t="s">
        <v>793</v>
      </c>
      <c r="L112" s="362" t="s">
        <v>982</v>
      </c>
      <c r="M112" s="559" t="s">
        <v>708</v>
      </c>
      <c r="O112" s="472" t="s">
        <v>1481</v>
      </c>
      <c r="P112" s="473" t="s">
        <v>1480</v>
      </c>
    </row>
    <row r="113" spans="10:16" x14ac:dyDescent="0.2">
      <c r="J113" s="556" t="s">
        <v>1183</v>
      </c>
      <c r="K113" s="362" t="s">
        <v>843</v>
      </c>
      <c r="L113" s="362" t="s">
        <v>1014</v>
      </c>
      <c r="M113" s="559" t="s">
        <v>701</v>
      </c>
      <c r="O113" s="472" t="s">
        <v>1483</v>
      </c>
      <c r="P113" s="473" t="s">
        <v>1482</v>
      </c>
    </row>
    <row r="114" spans="10:16" x14ac:dyDescent="0.2">
      <c r="J114" s="556" t="s">
        <v>1233</v>
      </c>
      <c r="K114" s="362" t="s">
        <v>893</v>
      </c>
      <c r="L114" s="362" t="s">
        <v>1004</v>
      </c>
      <c r="M114" s="559" t="s">
        <v>701</v>
      </c>
      <c r="O114" s="472" t="s">
        <v>1485</v>
      </c>
      <c r="P114" s="473" t="s">
        <v>1484</v>
      </c>
    </row>
    <row r="115" spans="10:16" x14ac:dyDescent="0.2">
      <c r="J115" s="556" t="s">
        <v>1184</v>
      </c>
      <c r="K115" s="362" t="s">
        <v>844</v>
      </c>
      <c r="L115" s="362" t="s">
        <v>1015</v>
      </c>
      <c r="M115" s="559" t="s">
        <v>701</v>
      </c>
      <c r="O115" s="472" t="s">
        <v>1487</v>
      </c>
      <c r="P115" s="473" t="s">
        <v>1486</v>
      </c>
    </row>
    <row r="116" spans="10:16" x14ac:dyDescent="0.2">
      <c r="J116" s="556" t="s">
        <v>1084</v>
      </c>
      <c r="K116" s="362" t="s">
        <v>743</v>
      </c>
      <c r="L116" s="362" t="s">
        <v>942</v>
      </c>
      <c r="M116" s="559" t="s">
        <v>701</v>
      </c>
      <c r="O116" s="472" t="s">
        <v>1489</v>
      </c>
      <c r="P116" s="473" t="s">
        <v>1488</v>
      </c>
    </row>
    <row r="117" spans="10:16" x14ac:dyDescent="0.2">
      <c r="J117" s="556" t="s">
        <v>1134</v>
      </c>
      <c r="K117" s="362" t="s">
        <v>794</v>
      </c>
      <c r="L117" s="362" t="s">
        <v>983</v>
      </c>
      <c r="M117" s="559" t="s">
        <v>701</v>
      </c>
      <c r="O117" s="472" t="s">
        <v>1491</v>
      </c>
      <c r="P117" s="473" t="s">
        <v>1490</v>
      </c>
    </row>
    <row r="118" spans="10:16" x14ac:dyDescent="0.2">
      <c r="J118" s="556" t="s">
        <v>1234</v>
      </c>
      <c r="K118" s="362" t="s">
        <v>894</v>
      </c>
      <c r="L118" s="362" t="s">
        <v>1008</v>
      </c>
      <c r="M118" s="559" t="s">
        <v>700</v>
      </c>
      <c r="O118" s="472" t="s">
        <v>1493</v>
      </c>
      <c r="P118" s="473" t="s">
        <v>1492</v>
      </c>
    </row>
    <row r="119" spans="10:16" x14ac:dyDescent="0.2">
      <c r="J119" s="556" t="s">
        <v>1085</v>
      </c>
      <c r="K119" s="362" t="s">
        <v>744</v>
      </c>
      <c r="L119" s="362" t="s">
        <v>943</v>
      </c>
      <c r="M119" s="559" t="s">
        <v>709</v>
      </c>
      <c r="O119" s="472" t="s">
        <v>1495</v>
      </c>
      <c r="P119" s="473" t="s">
        <v>1494</v>
      </c>
    </row>
    <row r="120" spans="10:16" x14ac:dyDescent="0.2">
      <c r="J120" s="556" t="s">
        <v>1135</v>
      </c>
      <c r="K120" s="362" t="s">
        <v>795</v>
      </c>
      <c r="L120" s="362" t="s">
        <v>984</v>
      </c>
      <c r="M120" s="559" t="s">
        <v>707</v>
      </c>
      <c r="O120" s="472" t="s">
        <v>1497</v>
      </c>
      <c r="P120" s="473" t="s">
        <v>1496</v>
      </c>
    </row>
    <row r="121" spans="10:16" x14ac:dyDescent="0.2">
      <c r="J121" s="556" t="s">
        <v>1185</v>
      </c>
      <c r="K121" s="362" t="s">
        <v>845</v>
      </c>
      <c r="L121" s="362" t="s">
        <v>1016</v>
      </c>
      <c r="M121" s="559" t="s">
        <v>695</v>
      </c>
      <c r="O121" s="472" t="s">
        <v>1499</v>
      </c>
      <c r="P121" s="473" t="s">
        <v>1498</v>
      </c>
    </row>
    <row r="122" spans="10:16" x14ac:dyDescent="0.2">
      <c r="J122" s="556" t="s">
        <v>1235</v>
      </c>
      <c r="K122" s="362" t="s">
        <v>895</v>
      </c>
      <c r="L122" s="362" t="s">
        <v>984</v>
      </c>
      <c r="M122" s="559" t="s">
        <v>707</v>
      </c>
      <c r="O122" s="472" t="s">
        <v>1501</v>
      </c>
      <c r="P122" s="473" t="s">
        <v>1500</v>
      </c>
    </row>
    <row r="123" spans="10:16" x14ac:dyDescent="0.2">
      <c r="J123" s="556" t="s">
        <v>1086</v>
      </c>
      <c r="K123" s="362" t="s">
        <v>745</v>
      </c>
      <c r="L123" s="362" t="s">
        <v>944</v>
      </c>
      <c r="M123" s="559" t="s">
        <v>693</v>
      </c>
      <c r="O123" s="472" t="s">
        <v>1503</v>
      </c>
      <c r="P123" s="473" t="s">
        <v>1502</v>
      </c>
    </row>
    <row r="124" spans="10:16" x14ac:dyDescent="0.2">
      <c r="J124" s="556" t="s">
        <v>1186</v>
      </c>
      <c r="K124" s="362" t="s">
        <v>846</v>
      </c>
      <c r="L124" s="362" t="s">
        <v>1017</v>
      </c>
      <c r="M124" s="559" t="s">
        <v>698</v>
      </c>
      <c r="O124" s="472" t="s">
        <v>1505</v>
      </c>
      <c r="P124" s="473" t="s">
        <v>1504</v>
      </c>
    </row>
    <row r="125" spans="10:16" x14ac:dyDescent="0.2">
      <c r="J125" s="556" t="s">
        <v>1236</v>
      </c>
      <c r="K125" s="362" t="s">
        <v>896</v>
      </c>
      <c r="L125" s="362" t="s">
        <v>1010</v>
      </c>
      <c r="M125" s="559" t="s">
        <v>698</v>
      </c>
      <c r="O125" s="472" t="s">
        <v>1507</v>
      </c>
      <c r="P125" s="473" t="s">
        <v>1506</v>
      </c>
    </row>
    <row r="126" spans="10:16" x14ac:dyDescent="0.2">
      <c r="J126" s="556" t="s">
        <v>1136</v>
      </c>
      <c r="K126" s="362" t="s">
        <v>796</v>
      </c>
      <c r="L126" s="362" t="s">
        <v>985</v>
      </c>
      <c r="M126" s="559" t="s">
        <v>698</v>
      </c>
      <c r="O126" s="472" t="s">
        <v>1509</v>
      </c>
      <c r="P126" s="473" t="s">
        <v>1508</v>
      </c>
    </row>
    <row r="127" spans="10:16" x14ac:dyDescent="0.2">
      <c r="J127" s="556" t="s">
        <v>1087</v>
      </c>
      <c r="K127" s="362" t="s">
        <v>746</v>
      </c>
      <c r="L127" s="362" t="s">
        <v>945</v>
      </c>
      <c r="M127" s="559" t="s">
        <v>702</v>
      </c>
      <c r="O127" s="472" t="s">
        <v>1511</v>
      </c>
      <c r="P127" s="473" t="s">
        <v>1510</v>
      </c>
    </row>
    <row r="128" spans="10:16" x14ac:dyDescent="0.2">
      <c r="J128" s="556" t="s">
        <v>1137</v>
      </c>
      <c r="K128" s="362" t="s">
        <v>797</v>
      </c>
      <c r="L128" s="362" t="s">
        <v>986</v>
      </c>
      <c r="M128" s="559" t="s">
        <v>699</v>
      </c>
      <c r="O128" s="472" t="s">
        <v>1513</v>
      </c>
      <c r="P128" s="473" t="s">
        <v>1512</v>
      </c>
    </row>
    <row r="129" spans="10:16" x14ac:dyDescent="0.2">
      <c r="J129" s="556" t="s">
        <v>1240</v>
      </c>
      <c r="K129" s="362" t="s">
        <v>900</v>
      </c>
      <c r="L129" s="362" t="s">
        <v>963</v>
      </c>
      <c r="M129" s="559" t="s">
        <v>699</v>
      </c>
      <c r="O129" s="472" t="s">
        <v>1515</v>
      </c>
      <c r="P129" s="473" t="s">
        <v>1514</v>
      </c>
    </row>
    <row r="130" spans="10:16" x14ac:dyDescent="0.2">
      <c r="J130" s="556" t="s">
        <v>1187</v>
      </c>
      <c r="K130" s="362" t="s">
        <v>847</v>
      </c>
      <c r="L130" s="362" t="s">
        <v>1018</v>
      </c>
      <c r="M130" s="559" t="s">
        <v>699</v>
      </c>
      <c r="O130" s="472" t="s">
        <v>1517</v>
      </c>
      <c r="P130" s="473" t="s">
        <v>1516</v>
      </c>
    </row>
    <row r="131" spans="10:16" x14ac:dyDescent="0.2">
      <c r="J131" s="556" t="s">
        <v>1140</v>
      </c>
      <c r="K131" s="362" t="s">
        <v>800</v>
      </c>
      <c r="L131" s="362" t="s">
        <v>988</v>
      </c>
      <c r="M131" s="559" t="s">
        <v>704</v>
      </c>
      <c r="O131" s="472" t="s">
        <v>1519</v>
      </c>
      <c r="P131" s="473" t="s">
        <v>1518</v>
      </c>
    </row>
    <row r="132" spans="10:16" x14ac:dyDescent="0.2">
      <c r="J132" s="556" t="s">
        <v>1237</v>
      </c>
      <c r="K132" s="362" t="s">
        <v>897</v>
      </c>
      <c r="L132" s="362" t="s">
        <v>1047</v>
      </c>
      <c r="M132" s="559" t="s">
        <v>704</v>
      </c>
      <c r="O132" s="472" t="s">
        <v>1521</v>
      </c>
      <c r="P132" s="473" t="s">
        <v>1520</v>
      </c>
    </row>
    <row r="133" spans="10:16" x14ac:dyDescent="0.2">
      <c r="J133" s="556" t="s">
        <v>1088</v>
      </c>
      <c r="K133" s="362" t="s">
        <v>747</v>
      </c>
      <c r="L133" s="362" t="s">
        <v>382</v>
      </c>
      <c r="M133" s="559" t="s">
        <v>704</v>
      </c>
      <c r="O133" s="472" t="s">
        <v>1523</v>
      </c>
      <c r="P133" s="473" t="s">
        <v>1522</v>
      </c>
    </row>
    <row r="134" spans="10:16" x14ac:dyDescent="0.2">
      <c r="J134" s="556" t="s">
        <v>1138</v>
      </c>
      <c r="K134" s="362" t="s">
        <v>798</v>
      </c>
      <c r="L134" s="362" t="s">
        <v>987</v>
      </c>
      <c r="M134" s="559" t="s">
        <v>704</v>
      </c>
      <c r="O134" s="472" t="s">
        <v>1525</v>
      </c>
      <c r="P134" s="473" t="s">
        <v>1524</v>
      </c>
    </row>
    <row r="135" spans="10:16" x14ac:dyDescent="0.2">
      <c r="J135" s="556" t="s">
        <v>1188</v>
      </c>
      <c r="K135" s="362" t="s">
        <v>848</v>
      </c>
      <c r="L135" s="362" t="s">
        <v>1019</v>
      </c>
      <c r="M135" s="559" t="s">
        <v>704</v>
      </c>
      <c r="O135" s="472" t="s">
        <v>1527</v>
      </c>
      <c r="P135" s="473" t="s">
        <v>1526</v>
      </c>
    </row>
    <row r="136" spans="10:16" x14ac:dyDescent="0.2">
      <c r="J136" s="556" t="s">
        <v>1238</v>
      </c>
      <c r="K136" s="362" t="s">
        <v>898</v>
      </c>
      <c r="L136" s="362" t="s">
        <v>1048</v>
      </c>
      <c r="M136" s="559" t="s">
        <v>704</v>
      </c>
      <c r="O136" s="472" t="s">
        <v>1529</v>
      </c>
      <c r="P136" s="473" t="s">
        <v>1528</v>
      </c>
    </row>
    <row r="137" spans="10:16" x14ac:dyDescent="0.2">
      <c r="J137" s="556" t="s">
        <v>1089</v>
      </c>
      <c r="K137" s="362" t="s">
        <v>748</v>
      </c>
      <c r="L137" s="362" t="s">
        <v>946</v>
      </c>
      <c r="M137" s="559" t="s">
        <v>704</v>
      </c>
      <c r="O137" s="472" t="s">
        <v>1531</v>
      </c>
      <c r="P137" s="473" t="s">
        <v>1530</v>
      </c>
    </row>
    <row r="138" spans="10:16" x14ac:dyDescent="0.2">
      <c r="J138" s="556" t="s">
        <v>1139</v>
      </c>
      <c r="K138" s="362" t="s">
        <v>799</v>
      </c>
      <c r="L138" s="362" t="s">
        <v>404</v>
      </c>
      <c r="M138" s="559" t="s">
        <v>704</v>
      </c>
      <c r="O138" s="472" t="s">
        <v>1533</v>
      </c>
      <c r="P138" s="473" t="s">
        <v>1532</v>
      </c>
    </row>
    <row r="139" spans="10:16" x14ac:dyDescent="0.2">
      <c r="J139" s="556" t="s">
        <v>1189</v>
      </c>
      <c r="K139" s="362" t="s">
        <v>849</v>
      </c>
      <c r="L139" s="362" t="s">
        <v>1020</v>
      </c>
      <c r="M139" s="559" t="s">
        <v>704</v>
      </c>
      <c r="O139" s="472" t="s">
        <v>1535</v>
      </c>
      <c r="P139" s="473" t="s">
        <v>1534</v>
      </c>
    </row>
    <row r="140" spans="10:16" x14ac:dyDescent="0.2">
      <c r="J140" s="556" t="s">
        <v>1239</v>
      </c>
      <c r="K140" s="362" t="s">
        <v>899</v>
      </c>
      <c r="L140" s="362" t="s">
        <v>1049</v>
      </c>
      <c r="M140" s="559" t="s">
        <v>704</v>
      </c>
      <c r="O140" s="472" t="s">
        <v>1537</v>
      </c>
      <c r="P140" s="473" t="s">
        <v>1536</v>
      </c>
    </row>
    <row r="141" spans="10:16" x14ac:dyDescent="0.2">
      <c r="J141" s="556" t="s">
        <v>1090</v>
      </c>
      <c r="K141" s="362" t="s">
        <v>749</v>
      </c>
      <c r="L141" s="362" t="s">
        <v>947</v>
      </c>
      <c r="M141" s="559" t="s">
        <v>704</v>
      </c>
      <c r="O141" s="472" t="s">
        <v>1539</v>
      </c>
      <c r="P141" s="473" t="s">
        <v>1538</v>
      </c>
    </row>
    <row r="142" spans="10:16" x14ac:dyDescent="0.2">
      <c r="J142" s="556" t="s">
        <v>1091</v>
      </c>
      <c r="K142" s="362" t="s">
        <v>750</v>
      </c>
      <c r="L142" s="362" t="s">
        <v>948</v>
      </c>
      <c r="M142" s="559" t="s">
        <v>693</v>
      </c>
      <c r="O142" s="472" t="s">
        <v>1541</v>
      </c>
      <c r="P142" s="473" t="s">
        <v>1540</v>
      </c>
    </row>
    <row r="143" spans="10:16" x14ac:dyDescent="0.2">
      <c r="J143" s="556" t="s">
        <v>1190</v>
      </c>
      <c r="K143" s="362" t="s">
        <v>850</v>
      </c>
      <c r="L143" s="362" t="s">
        <v>1021</v>
      </c>
      <c r="M143" s="559" t="s">
        <v>704</v>
      </c>
      <c r="O143" s="472" t="s">
        <v>1543</v>
      </c>
      <c r="P143" s="473" t="s">
        <v>1542</v>
      </c>
    </row>
    <row r="144" spans="10:16" x14ac:dyDescent="0.2">
      <c r="J144" s="556" t="s">
        <v>1141</v>
      </c>
      <c r="K144" s="362" t="s">
        <v>801</v>
      </c>
      <c r="L144" s="362" t="s">
        <v>989</v>
      </c>
      <c r="M144" s="559" t="s">
        <v>708</v>
      </c>
      <c r="O144" s="472" t="s">
        <v>1545</v>
      </c>
      <c r="P144" s="473" t="s">
        <v>1544</v>
      </c>
    </row>
    <row r="145" spans="10:16" x14ac:dyDescent="0.2">
      <c r="J145" s="556" t="s">
        <v>1191</v>
      </c>
      <c r="K145" s="362" t="s">
        <v>851</v>
      </c>
      <c r="L145" s="362" t="s">
        <v>1016</v>
      </c>
      <c r="M145" s="559" t="s">
        <v>695</v>
      </c>
      <c r="O145" s="472" t="s">
        <v>1547</v>
      </c>
      <c r="P145" s="473" t="s">
        <v>1546</v>
      </c>
    </row>
    <row r="146" spans="10:16" x14ac:dyDescent="0.2">
      <c r="J146" s="556" t="s">
        <v>1241</v>
      </c>
      <c r="K146" s="362" t="s">
        <v>901</v>
      </c>
      <c r="L146" s="362" t="s">
        <v>1050</v>
      </c>
      <c r="M146" s="559" t="s">
        <v>708</v>
      </c>
      <c r="O146" s="472" t="s">
        <v>1549</v>
      </c>
      <c r="P146" s="473" t="s">
        <v>1548</v>
      </c>
    </row>
    <row r="147" spans="10:16" x14ac:dyDescent="0.2">
      <c r="J147" s="556" t="s">
        <v>1092</v>
      </c>
      <c r="K147" s="362" t="s">
        <v>751</v>
      </c>
      <c r="L147" s="362" t="s">
        <v>949</v>
      </c>
      <c r="M147" s="559" t="s">
        <v>698</v>
      </c>
      <c r="O147" s="472" t="s">
        <v>1551</v>
      </c>
      <c r="P147" s="473" t="s">
        <v>1550</v>
      </c>
    </row>
    <row r="148" spans="10:16" x14ac:dyDescent="0.2">
      <c r="J148" s="556" t="s">
        <v>1142</v>
      </c>
      <c r="K148" s="362" t="s">
        <v>802</v>
      </c>
      <c r="L148" s="362" t="s">
        <v>990</v>
      </c>
      <c r="M148" s="559" t="s">
        <v>699</v>
      </c>
      <c r="O148" s="472" t="s">
        <v>1553</v>
      </c>
      <c r="P148" s="473" t="s">
        <v>1552</v>
      </c>
    </row>
    <row r="149" spans="10:16" x14ac:dyDescent="0.2">
      <c r="J149" s="556" t="s">
        <v>1192</v>
      </c>
      <c r="K149" s="362" t="s">
        <v>852</v>
      </c>
      <c r="L149" s="362" t="s">
        <v>1022</v>
      </c>
      <c r="M149" s="559" t="s">
        <v>699</v>
      </c>
      <c r="O149" s="472" t="s">
        <v>1555</v>
      </c>
      <c r="P149" s="473" t="s">
        <v>1554</v>
      </c>
    </row>
    <row r="150" spans="10:16" x14ac:dyDescent="0.2">
      <c r="J150" s="556" t="s">
        <v>1242</v>
      </c>
      <c r="K150" s="362" t="s">
        <v>902</v>
      </c>
      <c r="L150" s="362" t="s">
        <v>1051</v>
      </c>
      <c r="M150" s="559" t="s">
        <v>698</v>
      </c>
      <c r="O150" s="472" t="s">
        <v>1557</v>
      </c>
      <c r="P150" s="473" t="s">
        <v>1556</v>
      </c>
    </row>
    <row r="151" spans="10:16" x14ac:dyDescent="0.2">
      <c r="J151" s="556" t="s">
        <v>1093</v>
      </c>
      <c r="K151" s="362" t="s">
        <v>752</v>
      </c>
      <c r="L151" s="362" t="s">
        <v>950</v>
      </c>
      <c r="M151" s="559" t="s">
        <v>702</v>
      </c>
      <c r="O151" s="472" t="s">
        <v>1559</v>
      </c>
      <c r="P151" s="473" t="s">
        <v>1558</v>
      </c>
    </row>
    <row r="152" spans="10:16" x14ac:dyDescent="0.2">
      <c r="J152" s="556" t="s">
        <v>1143</v>
      </c>
      <c r="K152" s="362" t="s">
        <v>803</v>
      </c>
      <c r="L152" s="362" t="s">
        <v>991</v>
      </c>
      <c r="M152" s="559" t="s">
        <v>709</v>
      </c>
      <c r="O152" s="472" t="s">
        <v>1561</v>
      </c>
      <c r="P152" s="473" t="s">
        <v>1560</v>
      </c>
    </row>
    <row r="153" spans="10:16" x14ac:dyDescent="0.2">
      <c r="J153" s="556" t="s">
        <v>1193</v>
      </c>
      <c r="K153" s="362" t="s">
        <v>853</v>
      </c>
      <c r="L153" s="362" t="s">
        <v>1023</v>
      </c>
      <c r="M153" s="559" t="s">
        <v>702</v>
      </c>
      <c r="O153" s="472" t="s">
        <v>1563</v>
      </c>
      <c r="P153" s="473" t="s">
        <v>1562</v>
      </c>
    </row>
    <row r="154" spans="10:16" x14ac:dyDescent="0.2">
      <c r="J154" s="556" t="s">
        <v>1243</v>
      </c>
      <c r="K154" s="362" t="s">
        <v>903</v>
      </c>
      <c r="L154" s="362" t="s">
        <v>974</v>
      </c>
      <c r="M154" s="559" t="s">
        <v>694</v>
      </c>
      <c r="O154" s="472" t="s">
        <v>1565</v>
      </c>
      <c r="P154" s="473" t="s">
        <v>1564</v>
      </c>
    </row>
    <row r="155" spans="10:16" x14ac:dyDescent="0.2">
      <c r="J155" s="556" t="s">
        <v>1094</v>
      </c>
      <c r="K155" s="362" t="s">
        <v>753</v>
      </c>
      <c r="L155" s="362" t="s">
        <v>951</v>
      </c>
      <c r="M155" s="559" t="s">
        <v>699</v>
      </c>
      <c r="O155" s="472" t="s">
        <v>1567</v>
      </c>
      <c r="P155" s="473" t="s">
        <v>1566</v>
      </c>
    </row>
    <row r="156" spans="10:16" x14ac:dyDescent="0.2">
      <c r="J156" s="556" t="s">
        <v>1144</v>
      </c>
      <c r="K156" s="362" t="s">
        <v>804</v>
      </c>
      <c r="L156" s="362" t="s">
        <v>992</v>
      </c>
      <c r="M156" s="559" t="s">
        <v>699</v>
      </c>
      <c r="O156" s="472" t="s">
        <v>1569</v>
      </c>
      <c r="P156" s="473" t="s">
        <v>1568</v>
      </c>
    </row>
    <row r="157" spans="10:16" x14ac:dyDescent="0.2">
      <c r="J157" s="556" t="s">
        <v>1194</v>
      </c>
      <c r="K157" s="362" t="s">
        <v>854</v>
      </c>
      <c r="L157" s="362" t="s">
        <v>1024</v>
      </c>
      <c r="M157" s="559" t="s">
        <v>697</v>
      </c>
      <c r="O157" s="472" t="s">
        <v>1571</v>
      </c>
      <c r="P157" s="473" t="s">
        <v>1570</v>
      </c>
    </row>
    <row r="158" spans="10:16" x14ac:dyDescent="0.2">
      <c r="J158" s="556" t="s">
        <v>1244</v>
      </c>
      <c r="K158" s="362" t="s">
        <v>904</v>
      </c>
      <c r="L158" s="362" t="s">
        <v>1052</v>
      </c>
      <c r="M158" s="559" t="s">
        <v>699</v>
      </c>
      <c r="O158" s="472" t="s">
        <v>1573</v>
      </c>
      <c r="P158" s="473" t="s">
        <v>1572</v>
      </c>
    </row>
    <row r="159" spans="10:16" x14ac:dyDescent="0.2">
      <c r="J159" s="556" t="s">
        <v>1095</v>
      </c>
      <c r="K159" s="362" t="s">
        <v>754</v>
      </c>
      <c r="L159" s="362" t="s">
        <v>952</v>
      </c>
      <c r="M159" s="559" t="s">
        <v>696</v>
      </c>
      <c r="O159" s="472" t="s">
        <v>1575</v>
      </c>
      <c r="P159" s="473" t="s">
        <v>1574</v>
      </c>
    </row>
    <row r="160" spans="10:16" x14ac:dyDescent="0.2">
      <c r="J160" s="556" t="s">
        <v>1145</v>
      </c>
      <c r="K160" s="362" t="s">
        <v>805</v>
      </c>
      <c r="L160" s="362" t="s">
        <v>993</v>
      </c>
      <c r="M160" s="559" t="s">
        <v>693</v>
      </c>
      <c r="O160" s="472" t="s">
        <v>1577</v>
      </c>
      <c r="P160" s="473" t="s">
        <v>1576</v>
      </c>
    </row>
    <row r="161" spans="10:16" x14ac:dyDescent="0.2">
      <c r="J161" s="556" t="s">
        <v>1195</v>
      </c>
      <c r="K161" s="362" t="s">
        <v>855</v>
      </c>
      <c r="L161" s="362" t="s">
        <v>934</v>
      </c>
      <c r="M161" s="559" t="s">
        <v>700</v>
      </c>
      <c r="O161" s="472" t="s">
        <v>1579</v>
      </c>
      <c r="P161" s="473" t="s">
        <v>1578</v>
      </c>
    </row>
    <row r="162" spans="10:16" x14ac:dyDescent="0.2">
      <c r="J162" s="556" t="s">
        <v>1245</v>
      </c>
      <c r="K162" s="362" t="s">
        <v>905</v>
      </c>
      <c r="L162" s="362" t="s">
        <v>959</v>
      </c>
      <c r="M162" s="559" t="s">
        <v>693</v>
      </c>
      <c r="O162" s="472" t="s">
        <v>1581</v>
      </c>
      <c r="P162" s="473" t="s">
        <v>1580</v>
      </c>
    </row>
    <row r="163" spans="10:16" x14ac:dyDescent="0.2">
      <c r="J163" s="556" t="s">
        <v>1096</v>
      </c>
      <c r="K163" s="362" t="s">
        <v>755</v>
      </c>
      <c r="L163" s="362" t="s">
        <v>953</v>
      </c>
      <c r="M163" s="559" t="s">
        <v>698</v>
      </c>
      <c r="O163" s="472" t="s">
        <v>1583</v>
      </c>
      <c r="P163" s="473" t="s">
        <v>1582</v>
      </c>
    </row>
    <row r="164" spans="10:16" x14ac:dyDescent="0.2">
      <c r="J164" s="556" t="s">
        <v>1146</v>
      </c>
      <c r="K164" s="362" t="s">
        <v>806</v>
      </c>
      <c r="L164" s="362" t="s">
        <v>927</v>
      </c>
      <c r="M164" s="559" t="s">
        <v>698</v>
      </c>
      <c r="O164" s="472" t="s">
        <v>1585</v>
      </c>
      <c r="P164" s="473" t="s">
        <v>1584</v>
      </c>
    </row>
    <row r="165" spans="10:16" x14ac:dyDescent="0.2">
      <c r="J165" s="556" t="s">
        <v>1196</v>
      </c>
      <c r="K165" s="362" t="s">
        <v>856</v>
      </c>
      <c r="L165" s="362" t="s">
        <v>939</v>
      </c>
      <c r="M165" s="559" t="s">
        <v>695</v>
      </c>
      <c r="O165" s="472" t="s">
        <v>1587</v>
      </c>
      <c r="P165" s="473" t="s">
        <v>1586</v>
      </c>
    </row>
    <row r="166" spans="10:16" x14ac:dyDescent="0.2">
      <c r="J166" s="556" t="s">
        <v>1246</v>
      </c>
      <c r="K166" s="362" t="s">
        <v>906</v>
      </c>
      <c r="L166" s="362" t="s">
        <v>1012</v>
      </c>
      <c r="M166" s="559" t="s">
        <v>708</v>
      </c>
      <c r="O166" s="472" t="s">
        <v>1589</v>
      </c>
      <c r="P166" s="473" t="s">
        <v>1588</v>
      </c>
    </row>
    <row r="167" spans="10:16" x14ac:dyDescent="0.2">
      <c r="J167" s="556" t="s">
        <v>1097</v>
      </c>
      <c r="K167" s="362" t="s">
        <v>756</v>
      </c>
      <c r="L167" s="362" t="s">
        <v>954</v>
      </c>
      <c r="M167" s="559" t="s">
        <v>708</v>
      </c>
      <c r="O167" s="472" t="s">
        <v>1591</v>
      </c>
      <c r="P167" s="473" t="s">
        <v>1590</v>
      </c>
    </row>
    <row r="168" spans="10:16" x14ac:dyDescent="0.2">
      <c r="J168" s="556" t="s">
        <v>1147</v>
      </c>
      <c r="K168" s="362" t="s">
        <v>807</v>
      </c>
      <c r="L168" s="362" t="s">
        <v>994</v>
      </c>
      <c r="M168" s="559" t="s">
        <v>693</v>
      </c>
      <c r="O168" s="472" t="s">
        <v>1593</v>
      </c>
      <c r="P168" s="473" t="s">
        <v>1592</v>
      </c>
    </row>
    <row r="169" spans="10:16" x14ac:dyDescent="0.2">
      <c r="J169" s="556" t="s">
        <v>1197</v>
      </c>
      <c r="K169" s="362" t="s">
        <v>857</v>
      </c>
      <c r="L169" s="362" t="s">
        <v>953</v>
      </c>
      <c r="M169" s="559" t="s">
        <v>698</v>
      </c>
      <c r="O169" s="472" t="s">
        <v>1595</v>
      </c>
      <c r="P169" s="473" t="s">
        <v>1594</v>
      </c>
    </row>
    <row r="170" spans="10:16" x14ac:dyDescent="0.2">
      <c r="J170" s="556" t="s">
        <v>1247</v>
      </c>
      <c r="K170" s="362" t="s">
        <v>907</v>
      </c>
      <c r="L170" s="362" t="s">
        <v>962</v>
      </c>
      <c r="M170" s="559" t="s">
        <v>697</v>
      </c>
      <c r="O170" s="472" t="s">
        <v>1597</v>
      </c>
      <c r="P170" s="473" t="s">
        <v>1596</v>
      </c>
    </row>
    <row r="171" spans="10:16" x14ac:dyDescent="0.2">
      <c r="J171" s="556" t="s">
        <v>1098</v>
      </c>
      <c r="K171" s="362" t="s">
        <v>757</v>
      </c>
      <c r="L171" s="362" t="s">
        <v>955</v>
      </c>
      <c r="M171" s="559" t="s">
        <v>707</v>
      </c>
      <c r="O171" s="472" t="s">
        <v>1599</v>
      </c>
      <c r="P171" s="473" t="s">
        <v>1598</v>
      </c>
    </row>
    <row r="172" spans="10:16" x14ac:dyDescent="0.2">
      <c r="J172" s="556" t="s">
        <v>1148</v>
      </c>
      <c r="K172" s="362" t="s">
        <v>808</v>
      </c>
      <c r="L172" s="362" t="s">
        <v>995</v>
      </c>
      <c r="M172" s="559" t="s">
        <v>702</v>
      </c>
      <c r="O172" s="472" t="s">
        <v>1601</v>
      </c>
      <c r="P172" s="473" t="s">
        <v>1600</v>
      </c>
    </row>
    <row r="173" spans="10:16" x14ac:dyDescent="0.2">
      <c r="J173" s="556" t="s">
        <v>1198</v>
      </c>
      <c r="K173" s="362" t="s">
        <v>858</v>
      </c>
      <c r="L173" s="362" t="s">
        <v>1025</v>
      </c>
      <c r="M173" s="559" t="s">
        <v>696</v>
      </c>
      <c r="O173" s="472" t="s">
        <v>1603</v>
      </c>
      <c r="P173" s="473" t="s">
        <v>1602</v>
      </c>
    </row>
    <row r="174" spans="10:16" x14ac:dyDescent="0.2">
      <c r="J174" s="556" t="s">
        <v>1248</v>
      </c>
      <c r="K174" s="362" t="s">
        <v>908</v>
      </c>
      <c r="L174" s="362" t="s">
        <v>1034</v>
      </c>
      <c r="M174" s="559" t="s">
        <v>693</v>
      </c>
      <c r="O174" s="472" t="s">
        <v>1605</v>
      </c>
      <c r="P174" s="473" t="s">
        <v>1604</v>
      </c>
    </row>
    <row r="175" spans="10:16" x14ac:dyDescent="0.2">
      <c r="J175" s="556" t="s">
        <v>1099</v>
      </c>
      <c r="K175" s="362" t="s">
        <v>758</v>
      </c>
      <c r="L175" s="362" t="s">
        <v>924</v>
      </c>
      <c r="M175" s="559" t="s">
        <v>694</v>
      </c>
      <c r="O175" s="472" t="s">
        <v>1607</v>
      </c>
      <c r="P175" s="473" t="s">
        <v>1606</v>
      </c>
    </row>
    <row r="176" spans="10:16" x14ac:dyDescent="0.2">
      <c r="J176" s="556" t="s">
        <v>1149</v>
      </c>
      <c r="K176" s="362" t="s">
        <v>809</v>
      </c>
      <c r="L176" s="362" t="s">
        <v>980</v>
      </c>
      <c r="M176" s="559" t="s">
        <v>707</v>
      </c>
      <c r="O176" s="472" t="s">
        <v>1609</v>
      </c>
      <c r="P176" s="473" t="s">
        <v>1608</v>
      </c>
    </row>
    <row r="177" spans="10:16" x14ac:dyDescent="0.2">
      <c r="J177" s="556" t="s">
        <v>1199</v>
      </c>
      <c r="K177" s="362" t="s">
        <v>859</v>
      </c>
      <c r="L177" s="362" t="s">
        <v>1026</v>
      </c>
      <c r="M177" s="559" t="s">
        <v>693</v>
      </c>
      <c r="O177" s="472" t="s">
        <v>1611</v>
      </c>
      <c r="P177" s="473" t="s">
        <v>1610</v>
      </c>
    </row>
    <row r="178" spans="10:16" x14ac:dyDescent="0.2">
      <c r="J178" s="556" t="s">
        <v>1249</v>
      </c>
      <c r="K178" s="362" t="s">
        <v>909</v>
      </c>
      <c r="L178" s="362" t="s">
        <v>1053</v>
      </c>
      <c r="M178" s="559" t="s">
        <v>701</v>
      </c>
      <c r="O178" s="472" t="s">
        <v>1613</v>
      </c>
      <c r="P178" s="473" t="s">
        <v>1612</v>
      </c>
    </row>
    <row r="179" spans="10:16" x14ac:dyDescent="0.2">
      <c r="J179" s="556" t="s">
        <v>1100</v>
      </c>
      <c r="K179" s="362" t="s">
        <v>759</v>
      </c>
      <c r="L179" s="362" t="s">
        <v>956</v>
      </c>
      <c r="M179" s="559" t="s">
        <v>697</v>
      </c>
      <c r="O179" s="472" t="s">
        <v>1615</v>
      </c>
      <c r="P179" s="473" t="s">
        <v>1614</v>
      </c>
    </row>
    <row r="180" spans="10:16" x14ac:dyDescent="0.2">
      <c r="J180" s="556" t="s">
        <v>1150</v>
      </c>
      <c r="K180" s="362" t="s">
        <v>810</v>
      </c>
      <c r="L180" s="362" t="s">
        <v>996</v>
      </c>
      <c r="M180" s="559" t="s">
        <v>693</v>
      </c>
      <c r="O180" s="472" t="s">
        <v>1617</v>
      </c>
      <c r="P180" s="473" t="s">
        <v>1616</v>
      </c>
    </row>
    <row r="181" spans="10:16" x14ac:dyDescent="0.2">
      <c r="J181" s="556" t="s">
        <v>1250</v>
      </c>
      <c r="K181" s="362" t="s">
        <v>910</v>
      </c>
      <c r="L181" s="362" t="s">
        <v>1054</v>
      </c>
      <c r="M181" s="559" t="s">
        <v>709</v>
      </c>
      <c r="O181" s="472" t="s">
        <v>1619</v>
      </c>
      <c r="P181" s="473" t="s">
        <v>1618</v>
      </c>
    </row>
    <row r="182" spans="10:16" x14ac:dyDescent="0.2">
      <c r="J182" s="556" t="s">
        <v>1200</v>
      </c>
      <c r="K182" s="362" t="s">
        <v>860</v>
      </c>
      <c r="L182" s="362" t="s">
        <v>1027</v>
      </c>
      <c r="M182" s="559" t="s">
        <v>709</v>
      </c>
      <c r="O182" s="472" t="s">
        <v>1621</v>
      </c>
      <c r="P182" s="473" t="s">
        <v>1620</v>
      </c>
    </row>
    <row r="183" spans="10:16" x14ac:dyDescent="0.2">
      <c r="J183" s="556" t="s">
        <v>1101</v>
      </c>
      <c r="K183" s="362" t="s">
        <v>760</v>
      </c>
      <c r="L183" s="362" t="s">
        <v>957</v>
      </c>
      <c r="M183" s="559" t="s">
        <v>702</v>
      </c>
      <c r="O183" s="472" t="s">
        <v>1623</v>
      </c>
      <c r="P183" s="473" t="s">
        <v>1622</v>
      </c>
    </row>
    <row r="184" spans="10:16" x14ac:dyDescent="0.2">
      <c r="J184" s="556" t="s">
        <v>1151</v>
      </c>
      <c r="K184" s="362" t="s">
        <v>811</v>
      </c>
      <c r="L184" s="362" t="s">
        <v>997</v>
      </c>
      <c r="M184" s="559" t="s">
        <v>695</v>
      </c>
      <c r="O184" s="472" t="s">
        <v>1625</v>
      </c>
      <c r="P184" s="473" t="s">
        <v>1624</v>
      </c>
    </row>
    <row r="185" spans="10:16" x14ac:dyDescent="0.2">
      <c r="J185" s="556" t="s">
        <v>1251</v>
      </c>
      <c r="K185" s="362" t="s">
        <v>911</v>
      </c>
      <c r="L185" s="362" t="s">
        <v>1055</v>
      </c>
      <c r="M185" s="559" t="s">
        <v>709</v>
      </c>
      <c r="O185" s="472" t="s">
        <v>1627</v>
      </c>
      <c r="P185" s="473" t="s">
        <v>1626</v>
      </c>
    </row>
    <row r="186" spans="10:16" x14ac:dyDescent="0.2">
      <c r="J186" s="556" t="s">
        <v>1201</v>
      </c>
      <c r="K186" s="362" t="s">
        <v>861</v>
      </c>
      <c r="L186" s="362" t="s">
        <v>1028</v>
      </c>
      <c r="M186" s="559" t="s">
        <v>709</v>
      </c>
      <c r="O186" s="472" t="s">
        <v>1629</v>
      </c>
      <c r="P186" s="473" t="s">
        <v>1628</v>
      </c>
    </row>
    <row r="187" spans="10:16" x14ac:dyDescent="0.2">
      <c r="J187" s="556" t="s">
        <v>1102</v>
      </c>
      <c r="K187" s="362" t="s">
        <v>761</v>
      </c>
      <c r="L187" s="362" t="s">
        <v>958</v>
      </c>
      <c r="M187" s="559" t="s">
        <v>707</v>
      </c>
      <c r="O187" s="472" t="s">
        <v>1631</v>
      </c>
      <c r="P187" s="473" t="s">
        <v>1630</v>
      </c>
    </row>
    <row r="188" spans="10:16" x14ac:dyDescent="0.2">
      <c r="J188" s="556" t="s">
        <v>1152</v>
      </c>
      <c r="K188" s="362" t="s">
        <v>812</v>
      </c>
      <c r="L188" s="362" t="s">
        <v>998</v>
      </c>
      <c r="M188" s="559" t="s">
        <v>696</v>
      </c>
      <c r="O188" s="472" t="s">
        <v>1633</v>
      </c>
      <c r="P188" s="473" t="s">
        <v>1632</v>
      </c>
    </row>
    <row r="189" spans="10:16" x14ac:dyDescent="0.2">
      <c r="J189" s="556" t="s">
        <v>1202</v>
      </c>
      <c r="K189" s="362" t="s">
        <v>862</v>
      </c>
      <c r="L189" s="362" t="s">
        <v>1029</v>
      </c>
      <c r="M189" s="559" t="s">
        <v>693</v>
      </c>
      <c r="O189" s="472" t="s">
        <v>1635</v>
      </c>
      <c r="P189" s="473" t="s">
        <v>1634</v>
      </c>
    </row>
    <row r="190" spans="10:16" x14ac:dyDescent="0.2">
      <c r="J190" s="556" t="s">
        <v>1252</v>
      </c>
      <c r="K190" s="362" t="s">
        <v>912</v>
      </c>
      <c r="L190" s="362" t="s">
        <v>369</v>
      </c>
      <c r="M190" s="559" t="s">
        <v>699</v>
      </c>
      <c r="O190" s="472" t="s">
        <v>1637</v>
      </c>
      <c r="P190" s="473" t="s">
        <v>1636</v>
      </c>
    </row>
    <row r="191" spans="10:16" x14ac:dyDescent="0.2">
      <c r="J191" s="556" t="s">
        <v>1103</v>
      </c>
      <c r="K191" s="362" t="s">
        <v>762</v>
      </c>
      <c r="L191" s="362" t="s">
        <v>959</v>
      </c>
      <c r="M191" s="559" t="s">
        <v>693</v>
      </c>
      <c r="O191" s="472" t="s">
        <v>1639</v>
      </c>
      <c r="P191" s="473" t="s">
        <v>1638</v>
      </c>
    </row>
    <row r="192" spans="10:16" x14ac:dyDescent="0.2">
      <c r="J192" s="556" t="s">
        <v>1153</v>
      </c>
      <c r="K192" s="362" t="s">
        <v>813</v>
      </c>
      <c r="L192" s="362" t="s">
        <v>367</v>
      </c>
      <c r="M192" s="559" t="s">
        <v>699</v>
      </c>
      <c r="O192" s="472" t="s">
        <v>1641</v>
      </c>
      <c r="P192" s="473" t="s">
        <v>1640</v>
      </c>
    </row>
    <row r="193" spans="10:16" x14ac:dyDescent="0.2">
      <c r="J193" s="556" t="s">
        <v>1203</v>
      </c>
      <c r="K193" s="362" t="s">
        <v>863</v>
      </c>
      <c r="L193" s="362" t="s">
        <v>1030</v>
      </c>
      <c r="M193" s="559" t="s">
        <v>694</v>
      </c>
      <c r="O193" s="472" t="s">
        <v>1643</v>
      </c>
      <c r="P193" s="473" t="s">
        <v>1642</v>
      </c>
    </row>
    <row r="194" spans="10:16" x14ac:dyDescent="0.2">
      <c r="J194" s="556" t="s">
        <v>1253</v>
      </c>
      <c r="K194" s="362" t="s">
        <v>913</v>
      </c>
      <c r="L194" s="362" t="s">
        <v>1028</v>
      </c>
      <c r="M194" s="559" t="s">
        <v>709</v>
      </c>
      <c r="O194" s="472" t="s">
        <v>1645</v>
      </c>
      <c r="P194" s="473" t="s">
        <v>1644</v>
      </c>
    </row>
    <row r="195" spans="10:16" x14ac:dyDescent="0.2">
      <c r="J195" s="556" t="s">
        <v>1104</v>
      </c>
      <c r="K195" s="362" t="s">
        <v>763</v>
      </c>
      <c r="L195" s="362" t="s">
        <v>960</v>
      </c>
      <c r="M195" s="559" t="s">
        <v>695</v>
      </c>
      <c r="O195" s="472" t="s">
        <v>1647</v>
      </c>
      <c r="P195" s="473" t="s">
        <v>1646</v>
      </c>
    </row>
    <row r="196" spans="10:16" x14ac:dyDescent="0.2">
      <c r="J196" s="556" t="s">
        <v>1154</v>
      </c>
      <c r="K196" s="362" t="s">
        <v>814</v>
      </c>
      <c r="L196" s="362" t="s">
        <v>952</v>
      </c>
      <c r="M196" s="559" t="s">
        <v>696</v>
      </c>
      <c r="O196" s="472" t="s">
        <v>1649</v>
      </c>
      <c r="P196" s="473" t="s">
        <v>1648</v>
      </c>
    </row>
    <row r="197" spans="10:16" x14ac:dyDescent="0.2">
      <c r="J197" s="556" t="s">
        <v>1204</v>
      </c>
      <c r="K197" s="362" t="s">
        <v>864</v>
      </c>
      <c r="L197" s="362" t="s">
        <v>1031</v>
      </c>
      <c r="M197" s="559" t="s">
        <v>708</v>
      </c>
      <c r="O197" s="472" t="s">
        <v>1651</v>
      </c>
      <c r="P197" s="473" t="s">
        <v>1650</v>
      </c>
    </row>
    <row r="198" spans="10:16" x14ac:dyDescent="0.2">
      <c r="J198" s="556" t="s">
        <v>1254</v>
      </c>
      <c r="K198" s="362" t="s">
        <v>914</v>
      </c>
      <c r="L198" s="362" t="s">
        <v>977</v>
      </c>
      <c r="M198" s="559" t="s">
        <v>709</v>
      </c>
      <c r="O198" s="472" t="s">
        <v>1653</v>
      </c>
      <c r="P198" s="473" t="s">
        <v>1652</v>
      </c>
    </row>
    <row r="199" spans="10:16" x14ac:dyDescent="0.2">
      <c r="J199" s="556" t="s">
        <v>1105</v>
      </c>
      <c r="K199" s="362" t="s">
        <v>764</v>
      </c>
      <c r="L199" s="362" t="s">
        <v>961</v>
      </c>
      <c r="M199" s="559" t="s">
        <v>696</v>
      </c>
      <c r="O199" s="472" t="s">
        <v>1655</v>
      </c>
      <c r="P199" s="473" t="s">
        <v>1654</v>
      </c>
    </row>
    <row r="200" spans="10:16" x14ac:dyDescent="0.2">
      <c r="J200" s="556" t="s">
        <v>1155</v>
      </c>
      <c r="K200" s="362" t="s">
        <v>815</v>
      </c>
      <c r="L200" s="362" t="s">
        <v>999</v>
      </c>
      <c r="M200" s="559" t="s">
        <v>695</v>
      </c>
      <c r="O200" s="472" t="s">
        <v>1657</v>
      </c>
      <c r="P200" s="473" t="s">
        <v>1656</v>
      </c>
    </row>
    <row r="201" spans="10:16" x14ac:dyDescent="0.2">
      <c r="J201" s="556" t="s">
        <v>1205</v>
      </c>
      <c r="K201" s="362" t="s">
        <v>865</v>
      </c>
      <c r="L201" s="362" t="s">
        <v>945</v>
      </c>
      <c r="M201" s="559" t="s">
        <v>702</v>
      </c>
      <c r="O201" s="472" t="s">
        <v>1659</v>
      </c>
      <c r="P201" s="473" t="s">
        <v>1658</v>
      </c>
    </row>
    <row r="202" spans="10:16" x14ac:dyDescent="0.2">
      <c r="J202" s="556" t="s">
        <v>1255</v>
      </c>
      <c r="K202" s="362" t="s">
        <v>915</v>
      </c>
      <c r="L202" s="362" t="s">
        <v>1033</v>
      </c>
      <c r="M202" s="559" t="s">
        <v>707</v>
      </c>
      <c r="O202" s="472" t="s">
        <v>1661</v>
      </c>
      <c r="P202" s="473" t="s">
        <v>1660</v>
      </c>
    </row>
    <row r="203" spans="10:16" x14ac:dyDescent="0.2">
      <c r="J203" s="561" t="s">
        <v>1106</v>
      </c>
      <c r="K203" s="563" t="s">
        <v>765</v>
      </c>
      <c r="L203" s="563" t="s">
        <v>962</v>
      </c>
      <c r="M203" s="562" t="s">
        <v>697</v>
      </c>
      <c r="O203" s="472" t="s">
        <v>1663</v>
      </c>
      <c r="P203" s="473" t="s">
        <v>1662</v>
      </c>
    </row>
    <row r="204" spans="10:16" x14ac:dyDescent="0.2">
      <c r="O204" s="472" t="s">
        <v>1665</v>
      </c>
      <c r="P204" s="473" t="s">
        <v>1664</v>
      </c>
    </row>
    <row r="205" spans="10:16" x14ac:dyDescent="0.2">
      <c r="O205" s="472" t="s">
        <v>1667</v>
      </c>
      <c r="P205" s="473" t="s">
        <v>1666</v>
      </c>
    </row>
    <row r="206" spans="10:16" x14ac:dyDescent="0.2">
      <c r="O206" s="472" t="s">
        <v>1669</v>
      </c>
      <c r="P206" s="473" t="s">
        <v>1668</v>
      </c>
    </row>
    <row r="207" spans="10:16" x14ac:dyDescent="0.2">
      <c r="O207" s="472" t="s">
        <v>1671</v>
      </c>
      <c r="P207" s="473" t="s">
        <v>1670</v>
      </c>
    </row>
    <row r="208" spans="10:16" x14ac:dyDescent="0.2">
      <c r="O208" s="472" t="s">
        <v>1673</v>
      </c>
      <c r="P208" s="473" t="s">
        <v>1672</v>
      </c>
    </row>
    <row r="209" spans="15:16" x14ac:dyDescent="0.2">
      <c r="O209" s="472" t="s">
        <v>1675</v>
      </c>
      <c r="P209" s="473" t="s">
        <v>1674</v>
      </c>
    </row>
    <row r="210" spans="15:16" x14ac:dyDescent="0.2">
      <c r="O210" s="472" t="s">
        <v>1677</v>
      </c>
      <c r="P210" s="473" t="s">
        <v>1676</v>
      </c>
    </row>
    <row r="211" spans="15:16" x14ac:dyDescent="0.2">
      <c r="O211" s="472" t="s">
        <v>1679</v>
      </c>
      <c r="P211" s="473" t="s">
        <v>1678</v>
      </c>
    </row>
    <row r="212" spans="15:16" x14ac:dyDescent="0.2">
      <c r="O212" s="472" t="s">
        <v>1681</v>
      </c>
      <c r="P212" s="473" t="s">
        <v>1680</v>
      </c>
    </row>
    <row r="213" spans="15:16" x14ac:dyDescent="0.2">
      <c r="O213" s="472" t="s">
        <v>1683</v>
      </c>
      <c r="P213" s="473" t="s">
        <v>1682</v>
      </c>
    </row>
    <row r="214" spans="15:16" x14ac:dyDescent="0.2">
      <c r="O214" s="472" t="s">
        <v>1685</v>
      </c>
      <c r="P214" s="473" t="s">
        <v>1684</v>
      </c>
    </row>
    <row r="215" spans="15:16" x14ac:dyDescent="0.2">
      <c r="O215" s="472" t="s">
        <v>1687</v>
      </c>
      <c r="P215" s="473" t="s">
        <v>1686</v>
      </c>
    </row>
    <row r="216" spans="15:16" x14ac:dyDescent="0.2">
      <c r="O216" s="472" t="s">
        <v>1689</v>
      </c>
      <c r="P216" s="473" t="s">
        <v>1688</v>
      </c>
    </row>
    <row r="217" spans="15:16" x14ac:dyDescent="0.2">
      <c r="O217" s="472" t="s">
        <v>1691</v>
      </c>
      <c r="P217" s="473" t="s">
        <v>1690</v>
      </c>
    </row>
    <row r="218" spans="15:16" x14ac:dyDescent="0.2">
      <c r="O218" s="472" t="s">
        <v>1693</v>
      </c>
      <c r="P218" s="473" t="s">
        <v>1692</v>
      </c>
    </row>
    <row r="219" spans="15:16" x14ac:dyDescent="0.2">
      <c r="O219" s="472" t="s">
        <v>1695</v>
      </c>
      <c r="P219" s="473" t="s">
        <v>1694</v>
      </c>
    </row>
    <row r="220" spans="15:16" x14ac:dyDescent="0.2">
      <c r="O220" s="472" t="s">
        <v>1697</v>
      </c>
      <c r="P220" s="473" t="s">
        <v>1696</v>
      </c>
    </row>
    <row r="221" spans="15:16" x14ac:dyDescent="0.2">
      <c r="O221" s="472" t="s">
        <v>1699</v>
      </c>
      <c r="P221" s="473" t="s">
        <v>1698</v>
      </c>
    </row>
    <row r="222" spans="15:16" x14ac:dyDescent="0.2">
      <c r="O222" s="472" t="s">
        <v>1701</v>
      </c>
      <c r="P222" s="473" t="s">
        <v>1700</v>
      </c>
    </row>
    <row r="223" spans="15:16" x14ac:dyDescent="0.2">
      <c r="O223" s="472" t="s">
        <v>1703</v>
      </c>
      <c r="P223" s="473" t="s">
        <v>1702</v>
      </c>
    </row>
    <row r="224" spans="15:16" x14ac:dyDescent="0.2">
      <c r="O224" s="472" t="s">
        <v>1705</v>
      </c>
      <c r="P224" s="473" t="s">
        <v>1704</v>
      </c>
    </row>
    <row r="225" spans="15:16" x14ac:dyDescent="0.2">
      <c r="O225" s="472" t="s">
        <v>1707</v>
      </c>
      <c r="P225" s="473" t="s">
        <v>1706</v>
      </c>
    </row>
    <row r="226" spans="15:16" x14ac:dyDescent="0.2">
      <c r="O226" s="472" t="s">
        <v>1709</v>
      </c>
      <c r="P226" s="473" t="s">
        <v>1708</v>
      </c>
    </row>
    <row r="227" spans="15:16" x14ac:dyDescent="0.2">
      <c r="O227" s="472" t="s">
        <v>1711</v>
      </c>
      <c r="P227" s="473" t="s">
        <v>1710</v>
      </c>
    </row>
    <row r="228" spans="15:16" x14ac:dyDescent="0.2">
      <c r="O228" s="472" t="s">
        <v>1713</v>
      </c>
      <c r="P228" s="473" t="s">
        <v>1712</v>
      </c>
    </row>
    <row r="229" spans="15:16" x14ac:dyDescent="0.2">
      <c r="O229" s="472" t="s">
        <v>1715</v>
      </c>
      <c r="P229" s="473" t="s">
        <v>1714</v>
      </c>
    </row>
    <row r="230" spans="15:16" x14ac:dyDescent="0.2">
      <c r="O230" s="472" t="s">
        <v>1717</v>
      </c>
      <c r="P230" s="473" t="s">
        <v>1716</v>
      </c>
    </row>
    <row r="231" spans="15:16" x14ac:dyDescent="0.2">
      <c r="O231" s="472" t="s">
        <v>1719</v>
      </c>
      <c r="P231" s="473" t="s">
        <v>1718</v>
      </c>
    </row>
    <row r="232" spans="15:16" x14ac:dyDescent="0.2">
      <c r="O232" s="472" t="s">
        <v>1721</v>
      </c>
      <c r="P232" s="473" t="s">
        <v>1720</v>
      </c>
    </row>
    <row r="233" spans="15:16" x14ac:dyDescent="0.2">
      <c r="O233" s="472" t="s">
        <v>1723</v>
      </c>
      <c r="P233" s="473" t="s">
        <v>1722</v>
      </c>
    </row>
    <row r="234" spans="15:16" x14ac:dyDescent="0.2">
      <c r="O234" s="472" t="s">
        <v>1725</v>
      </c>
      <c r="P234" s="473" t="s">
        <v>1724</v>
      </c>
    </row>
    <row r="235" spans="15:16" x14ac:dyDescent="0.2">
      <c r="O235" s="472" t="s">
        <v>1727</v>
      </c>
      <c r="P235" s="473" t="s">
        <v>1726</v>
      </c>
    </row>
    <row r="236" spans="15:16" x14ac:dyDescent="0.2">
      <c r="O236" s="472" t="s">
        <v>1729</v>
      </c>
      <c r="P236" s="473" t="s">
        <v>1728</v>
      </c>
    </row>
    <row r="237" spans="15:16" x14ac:dyDescent="0.2">
      <c r="O237" s="472" t="s">
        <v>1731</v>
      </c>
      <c r="P237" s="473" t="s">
        <v>1730</v>
      </c>
    </row>
    <row r="238" spans="15:16" x14ac:dyDescent="0.2">
      <c r="O238" s="472" t="s">
        <v>1733</v>
      </c>
      <c r="P238" s="473" t="s">
        <v>1732</v>
      </c>
    </row>
    <row r="239" spans="15:16" x14ac:dyDescent="0.2">
      <c r="O239" s="472" t="s">
        <v>1735</v>
      </c>
      <c r="P239" s="473" t="s">
        <v>1734</v>
      </c>
    </row>
    <row r="240" spans="15:16" x14ac:dyDescent="0.2">
      <c r="O240" s="472" t="s">
        <v>1737</v>
      </c>
      <c r="P240" s="473" t="s">
        <v>1736</v>
      </c>
    </row>
    <row r="241" spans="15:16" x14ac:dyDescent="0.2">
      <c r="O241" s="472" t="s">
        <v>1739</v>
      </c>
      <c r="P241" s="473" t="s">
        <v>1738</v>
      </c>
    </row>
    <row r="242" spans="15:16" x14ac:dyDescent="0.2">
      <c r="O242" s="472" t="s">
        <v>1741</v>
      </c>
      <c r="P242" s="473" t="s">
        <v>1740</v>
      </c>
    </row>
    <row r="243" spans="15:16" x14ac:dyDescent="0.2">
      <c r="O243" s="472" t="s">
        <v>1743</v>
      </c>
      <c r="P243" s="473" t="s">
        <v>1742</v>
      </c>
    </row>
    <row r="244" spans="15:16" x14ac:dyDescent="0.2">
      <c r="O244" s="472" t="s">
        <v>1745</v>
      </c>
      <c r="P244" s="473" t="s">
        <v>1744</v>
      </c>
    </row>
    <row r="245" spans="15:16" x14ac:dyDescent="0.2">
      <c r="O245" s="472" t="s">
        <v>1747</v>
      </c>
      <c r="P245" s="473" t="s">
        <v>1746</v>
      </c>
    </row>
    <row r="246" spans="15:16" x14ac:dyDescent="0.2">
      <c r="O246" s="472" t="s">
        <v>1749</v>
      </c>
      <c r="P246" s="473" t="s">
        <v>1748</v>
      </c>
    </row>
    <row r="247" spans="15:16" x14ac:dyDescent="0.2">
      <c r="O247" s="472" t="s">
        <v>1751</v>
      </c>
      <c r="P247" s="473" t="s">
        <v>1750</v>
      </c>
    </row>
    <row r="248" spans="15:16" x14ac:dyDescent="0.2">
      <c r="O248" s="472" t="s">
        <v>1753</v>
      </c>
      <c r="P248" s="473" t="s">
        <v>1752</v>
      </c>
    </row>
    <row r="249" spans="15:16" x14ac:dyDescent="0.2">
      <c r="O249" s="472" t="s">
        <v>1755</v>
      </c>
      <c r="P249" s="473" t="s">
        <v>1754</v>
      </c>
    </row>
    <row r="250" spans="15:16" x14ac:dyDescent="0.2">
      <c r="O250" s="472" t="s">
        <v>1757</v>
      </c>
      <c r="P250" s="473" t="s">
        <v>1756</v>
      </c>
    </row>
    <row r="251" spans="15:16" x14ac:dyDescent="0.2">
      <c r="O251" s="472" t="s">
        <v>1759</v>
      </c>
      <c r="P251" s="473" t="s">
        <v>1758</v>
      </c>
    </row>
    <row r="252" spans="15:16" x14ac:dyDescent="0.2">
      <c r="O252" s="472" t="s">
        <v>1761</v>
      </c>
      <c r="P252" s="473" t="s">
        <v>1760</v>
      </c>
    </row>
    <row r="253" spans="15:16" x14ac:dyDescent="0.2">
      <c r="O253" s="472" t="s">
        <v>1763</v>
      </c>
      <c r="P253" s="473" t="s">
        <v>1762</v>
      </c>
    </row>
    <row r="254" spans="15:16" x14ac:dyDescent="0.2">
      <c r="O254" s="472" t="s">
        <v>1765</v>
      </c>
      <c r="P254" s="473" t="s">
        <v>1764</v>
      </c>
    </row>
    <row r="255" spans="15:16" x14ac:dyDescent="0.2">
      <c r="O255" s="472" t="s">
        <v>1767</v>
      </c>
      <c r="P255" s="473" t="s">
        <v>1766</v>
      </c>
    </row>
    <row r="256" spans="15:16" x14ac:dyDescent="0.2">
      <c r="O256" s="472" t="s">
        <v>1769</v>
      </c>
      <c r="P256" s="473" t="s">
        <v>1768</v>
      </c>
    </row>
    <row r="257" spans="15:16" x14ac:dyDescent="0.2">
      <c r="O257" s="472" t="s">
        <v>1771</v>
      </c>
      <c r="P257" s="473" t="s">
        <v>1770</v>
      </c>
    </row>
    <row r="258" spans="15:16" x14ac:dyDescent="0.2">
      <c r="O258" s="472" t="s">
        <v>1773</v>
      </c>
      <c r="P258" s="473" t="s">
        <v>1772</v>
      </c>
    </row>
    <row r="259" spans="15:16" x14ac:dyDescent="0.2">
      <c r="O259" s="472" t="s">
        <v>1775</v>
      </c>
      <c r="P259" s="473" t="s">
        <v>1774</v>
      </c>
    </row>
    <row r="260" spans="15:16" x14ac:dyDescent="0.2">
      <c r="O260" s="472" t="s">
        <v>1777</v>
      </c>
      <c r="P260" s="473" t="s">
        <v>1776</v>
      </c>
    </row>
    <row r="261" spans="15:16" x14ac:dyDescent="0.2">
      <c r="O261" s="472" t="s">
        <v>1779</v>
      </c>
      <c r="P261" s="473" t="s">
        <v>1778</v>
      </c>
    </row>
    <row r="262" spans="15:16" x14ac:dyDescent="0.2">
      <c r="O262" s="472" t="s">
        <v>1781</v>
      </c>
      <c r="P262" s="473" t="s">
        <v>1780</v>
      </c>
    </row>
    <row r="263" spans="15:16" x14ac:dyDescent="0.2">
      <c r="O263" s="472" t="s">
        <v>1783</v>
      </c>
      <c r="P263" s="473" t="s">
        <v>1782</v>
      </c>
    </row>
    <row r="264" spans="15:16" x14ac:dyDescent="0.2">
      <c r="O264" s="472" t="s">
        <v>1785</v>
      </c>
      <c r="P264" s="473" t="s">
        <v>1784</v>
      </c>
    </row>
    <row r="265" spans="15:16" x14ac:dyDescent="0.2">
      <c r="O265" s="472" t="s">
        <v>1787</v>
      </c>
      <c r="P265" s="473" t="s">
        <v>1786</v>
      </c>
    </row>
    <row r="266" spans="15:16" x14ac:dyDescent="0.2">
      <c r="O266" s="472" t="s">
        <v>1789</v>
      </c>
      <c r="P266" s="473" t="s">
        <v>1788</v>
      </c>
    </row>
    <row r="267" spans="15:16" x14ac:dyDescent="0.2">
      <c r="O267" s="472" t="s">
        <v>1791</v>
      </c>
      <c r="P267" s="473" t="s">
        <v>1790</v>
      </c>
    </row>
    <row r="268" spans="15:16" x14ac:dyDescent="0.2">
      <c r="O268" s="472" t="s">
        <v>1793</v>
      </c>
      <c r="P268" s="473" t="s">
        <v>1792</v>
      </c>
    </row>
    <row r="269" spans="15:16" x14ac:dyDescent="0.2">
      <c r="O269" s="472" t="s">
        <v>1795</v>
      </c>
      <c r="P269" s="473" t="s">
        <v>1794</v>
      </c>
    </row>
    <row r="270" spans="15:16" x14ac:dyDescent="0.2">
      <c r="O270" s="472" t="s">
        <v>1797</v>
      </c>
      <c r="P270" s="473" t="s">
        <v>1796</v>
      </c>
    </row>
    <row r="271" spans="15:16" x14ac:dyDescent="0.2">
      <c r="O271" s="472" t="s">
        <v>1799</v>
      </c>
      <c r="P271" s="473" t="s">
        <v>1798</v>
      </c>
    </row>
    <row r="272" spans="15:16" x14ac:dyDescent="0.2">
      <c r="O272" s="472" t="s">
        <v>1801</v>
      </c>
      <c r="P272" s="473" t="s">
        <v>1800</v>
      </c>
    </row>
    <row r="273" spans="15:16" x14ac:dyDescent="0.2">
      <c r="O273" s="472" t="s">
        <v>1803</v>
      </c>
      <c r="P273" s="473" t="s">
        <v>1802</v>
      </c>
    </row>
    <row r="274" spans="15:16" x14ac:dyDescent="0.2">
      <c r="O274" s="472" t="s">
        <v>1805</v>
      </c>
      <c r="P274" s="473" t="s">
        <v>1804</v>
      </c>
    </row>
    <row r="275" spans="15:16" x14ac:dyDescent="0.2">
      <c r="O275" s="472" t="s">
        <v>1807</v>
      </c>
      <c r="P275" s="473" t="s">
        <v>1806</v>
      </c>
    </row>
    <row r="276" spans="15:16" x14ac:dyDescent="0.2">
      <c r="O276" s="472" t="s">
        <v>1809</v>
      </c>
      <c r="P276" s="473" t="s">
        <v>1808</v>
      </c>
    </row>
    <row r="277" spans="15:16" x14ac:dyDescent="0.2">
      <c r="O277" s="472" t="s">
        <v>1811</v>
      </c>
      <c r="P277" s="473" t="s">
        <v>1810</v>
      </c>
    </row>
    <row r="278" spans="15:16" x14ac:dyDescent="0.2">
      <c r="O278" s="472" t="s">
        <v>1813</v>
      </c>
      <c r="P278" s="473" t="s">
        <v>1812</v>
      </c>
    </row>
    <row r="279" spans="15:16" x14ac:dyDescent="0.2">
      <c r="O279" s="472" t="s">
        <v>1815</v>
      </c>
      <c r="P279" s="473" t="s">
        <v>1814</v>
      </c>
    </row>
    <row r="280" spans="15:16" x14ac:dyDescent="0.2">
      <c r="O280" s="472" t="s">
        <v>1817</v>
      </c>
      <c r="P280" s="473" t="s">
        <v>1816</v>
      </c>
    </row>
    <row r="281" spans="15:16" x14ac:dyDescent="0.2">
      <c r="O281" s="472" t="s">
        <v>1819</v>
      </c>
      <c r="P281" s="473" t="s">
        <v>1818</v>
      </c>
    </row>
    <row r="282" spans="15:16" x14ac:dyDescent="0.2">
      <c r="O282" s="472" t="s">
        <v>1821</v>
      </c>
      <c r="P282" s="473" t="s">
        <v>1820</v>
      </c>
    </row>
    <row r="283" spans="15:16" x14ac:dyDescent="0.2">
      <c r="O283" s="472" t="s">
        <v>1823</v>
      </c>
      <c r="P283" s="473" t="s">
        <v>1822</v>
      </c>
    </row>
    <row r="284" spans="15:16" x14ac:dyDescent="0.2">
      <c r="O284" s="472" t="s">
        <v>1825</v>
      </c>
      <c r="P284" s="473" t="s">
        <v>1824</v>
      </c>
    </row>
    <row r="285" spans="15:16" x14ac:dyDescent="0.2">
      <c r="O285" s="472" t="s">
        <v>1827</v>
      </c>
      <c r="P285" s="473" t="s">
        <v>1826</v>
      </c>
    </row>
    <row r="286" spans="15:16" x14ac:dyDescent="0.2">
      <c r="O286" s="472" t="s">
        <v>1829</v>
      </c>
      <c r="P286" s="473" t="s">
        <v>1828</v>
      </c>
    </row>
    <row r="287" spans="15:16" x14ac:dyDescent="0.2">
      <c r="O287" s="472" t="s">
        <v>1831</v>
      </c>
      <c r="P287" s="473" t="s">
        <v>1830</v>
      </c>
    </row>
    <row r="288" spans="15:16" x14ac:dyDescent="0.2">
      <c r="O288" s="472" t="s">
        <v>1833</v>
      </c>
      <c r="P288" s="473" t="s">
        <v>1832</v>
      </c>
    </row>
    <row r="289" spans="15:16" x14ac:dyDescent="0.2">
      <c r="O289" s="472" t="s">
        <v>1835</v>
      </c>
      <c r="P289" s="473" t="s">
        <v>1834</v>
      </c>
    </row>
    <row r="290" spans="15:16" x14ac:dyDescent="0.2">
      <c r="O290" s="472" t="s">
        <v>1837</v>
      </c>
      <c r="P290" s="473" t="s">
        <v>1836</v>
      </c>
    </row>
    <row r="291" spans="15:16" x14ac:dyDescent="0.2">
      <c r="O291" s="472" t="s">
        <v>1839</v>
      </c>
      <c r="P291" s="473" t="s">
        <v>1838</v>
      </c>
    </row>
    <row r="292" spans="15:16" x14ac:dyDescent="0.2">
      <c r="O292" s="472" t="s">
        <v>1841</v>
      </c>
      <c r="P292" s="473" t="s">
        <v>1840</v>
      </c>
    </row>
    <row r="293" spans="15:16" x14ac:dyDescent="0.2">
      <c r="O293" s="472" t="s">
        <v>1843</v>
      </c>
      <c r="P293" s="473" t="s">
        <v>1842</v>
      </c>
    </row>
    <row r="294" spans="15:16" x14ac:dyDescent="0.2">
      <c r="O294" s="472" t="s">
        <v>1845</v>
      </c>
      <c r="P294" s="473" t="s">
        <v>1844</v>
      </c>
    </row>
    <row r="295" spans="15:16" x14ac:dyDescent="0.2">
      <c r="O295" s="472" t="s">
        <v>1847</v>
      </c>
      <c r="P295" s="473" t="s">
        <v>1846</v>
      </c>
    </row>
    <row r="296" spans="15:16" x14ac:dyDescent="0.2">
      <c r="O296" s="472" t="s">
        <v>1849</v>
      </c>
      <c r="P296" s="473" t="s">
        <v>1848</v>
      </c>
    </row>
    <row r="297" spans="15:16" x14ac:dyDescent="0.2">
      <c r="O297" s="472" t="s">
        <v>1851</v>
      </c>
      <c r="P297" s="473" t="s">
        <v>1850</v>
      </c>
    </row>
    <row r="298" spans="15:16" x14ac:dyDescent="0.2">
      <c r="O298" s="472" t="s">
        <v>1853</v>
      </c>
      <c r="P298" s="473" t="s">
        <v>1852</v>
      </c>
    </row>
    <row r="299" spans="15:16" x14ac:dyDescent="0.2">
      <c r="O299" s="472" t="s">
        <v>1855</v>
      </c>
      <c r="P299" s="473" t="s">
        <v>1854</v>
      </c>
    </row>
    <row r="300" spans="15:16" x14ac:dyDescent="0.2">
      <c r="O300" s="472" t="s">
        <v>1857</v>
      </c>
      <c r="P300" s="473" t="s">
        <v>1856</v>
      </c>
    </row>
    <row r="301" spans="15:16" x14ac:dyDescent="0.2">
      <c r="O301" s="472" t="s">
        <v>1859</v>
      </c>
      <c r="P301" s="473" t="s">
        <v>1858</v>
      </c>
    </row>
    <row r="302" spans="15:16" x14ac:dyDescent="0.2">
      <c r="O302" s="472" t="s">
        <v>1861</v>
      </c>
      <c r="P302" s="473" t="s">
        <v>1860</v>
      </c>
    </row>
    <row r="303" spans="15:16" x14ac:dyDescent="0.2">
      <c r="O303" s="472" t="s">
        <v>1863</v>
      </c>
      <c r="P303" s="473" t="s">
        <v>1862</v>
      </c>
    </row>
    <row r="304" spans="15:16" x14ac:dyDescent="0.2">
      <c r="O304" s="472" t="s">
        <v>1865</v>
      </c>
      <c r="P304" s="473" t="s">
        <v>1864</v>
      </c>
    </row>
    <row r="305" spans="15:16" x14ac:dyDescent="0.2">
      <c r="O305" s="472" t="s">
        <v>1867</v>
      </c>
      <c r="P305" s="473" t="s">
        <v>1866</v>
      </c>
    </row>
    <row r="306" spans="15:16" x14ac:dyDescent="0.2">
      <c r="O306" s="472" t="s">
        <v>1869</v>
      </c>
      <c r="P306" s="473" t="s">
        <v>1868</v>
      </c>
    </row>
    <row r="307" spans="15:16" x14ac:dyDescent="0.2">
      <c r="O307" s="472" t="s">
        <v>1871</v>
      </c>
      <c r="P307" s="473" t="s">
        <v>1870</v>
      </c>
    </row>
    <row r="308" spans="15:16" x14ac:dyDescent="0.2">
      <c r="O308" s="472" t="s">
        <v>1873</v>
      </c>
      <c r="P308" s="473" t="s">
        <v>1872</v>
      </c>
    </row>
    <row r="309" spans="15:16" x14ac:dyDescent="0.2">
      <c r="O309" s="472" t="s">
        <v>1875</v>
      </c>
      <c r="P309" s="473" t="s">
        <v>1874</v>
      </c>
    </row>
    <row r="310" spans="15:16" x14ac:dyDescent="0.2">
      <c r="O310" s="472" t="s">
        <v>1877</v>
      </c>
      <c r="P310" s="473" t="s">
        <v>1876</v>
      </c>
    </row>
    <row r="311" spans="15:16" x14ac:dyDescent="0.2">
      <c r="O311" s="472" t="s">
        <v>1879</v>
      </c>
      <c r="P311" s="473" t="s">
        <v>1878</v>
      </c>
    </row>
    <row r="312" spans="15:16" x14ac:dyDescent="0.2">
      <c r="O312" s="472" t="s">
        <v>1881</v>
      </c>
      <c r="P312" s="473" t="s">
        <v>1880</v>
      </c>
    </row>
    <row r="313" spans="15:16" x14ac:dyDescent="0.2">
      <c r="O313" s="472" t="s">
        <v>1883</v>
      </c>
      <c r="P313" s="473" t="s">
        <v>1882</v>
      </c>
    </row>
    <row r="314" spans="15:16" x14ac:dyDescent="0.2">
      <c r="O314" s="472" t="s">
        <v>1885</v>
      </c>
      <c r="P314" s="473" t="s">
        <v>1884</v>
      </c>
    </row>
    <row r="315" spans="15:16" x14ac:dyDescent="0.2">
      <c r="O315" s="472" t="s">
        <v>1887</v>
      </c>
      <c r="P315" s="473" t="s">
        <v>1886</v>
      </c>
    </row>
    <row r="316" spans="15:16" x14ac:dyDescent="0.2">
      <c r="O316" s="472" t="s">
        <v>1889</v>
      </c>
      <c r="P316" s="473" t="s">
        <v>1888</v>
      </c>
    </row>
    <row r="317" spans="15:16" x14ac:dyDescent="0.2">
      <c r="O317" s="472" t="s">
        <v>1891</v>
      </c>
      <c r="P317" s="473" t="s">
        <v>1890</v>
      </c>
    </row>
    <row r="318" spans="15:16" x14ac:dyDescent="0.2">
      <c r="O318" s="472" t="s">
        <v>1893</v>
      </c>
      <c r="P318" s="473" t="s">
        <v>1892</v>
      </c>
    </row>
    <row r="319" spans="15:16" x14ac:dyDescent="0.2">
      <c r="O319" s="472" t="s">
        <v>1895</v>
      </c>
      <c r="P319" s="473" t="s">
        <v>1894</v>
      </c>
    </row>
    <row r="320" spans="15:16" x14ac:dyDescent="0.2">
      <c r="O320" s="472" t="s">
        <v>1897</v>
      </c>
      <c r="P320" s="473" t="s">
        <v>1896</v>
      </c>
    </row>
    <row r="321" spans="15:16" x14ac:dyDescent="0.2">
      <c r="O321" s="472" t="s">
        <v>1899</v>
      </c>
      <c r="P321" s="473" t="s">
        <v>1898</v>
      </c>
    </row>
    <row r="322" spans="15:16" x14ac:dyDescent="0.2">
      <c r="O322" s="472" t="s">
        <v>1901</v>
      </c>
      <c r="P322" s="473" t="s">
        <v>1900</v>
      </c>
    </row>
    <row r="323" spans="15:16" x14ac:dyDescent="0.2">
      <c r="O323" s="472" t="s">
        <v>1903</v>
      </c>
      <c r="P323" s="473" t="s">
        <v>1902</v>
      </c>
    </row>
    <row r="324" spans="15:16" x14ac:dyDescent="0.2">
      <c r="O324" s="472" t="s">
        <v>1905</v>
      </c>
      <c r="P324" s="473" t="s">
        <v>1904</v>
      </c>
    </row>
    <row r="325" spans="15:16" x14ac:dyDescent="0.2">
      <c r="O325" s="472" t="s">
        <v>1907</v>
      </c>
      <c r="P325" s="473" t="s">
        <v>1906</v>
      </c>
    </row>
    <row r="326" spans="15:16" x14ac:dyDescent="0.2">
      <c r="O326" s="472" t="s">
        <v>1909</v>
      </c>
      <c r="P326" s="473" t="s">
        <v>1908</v>
      </c>
    </row>
    <row r="327" spans="15:16" x14ac:dyDescent="0.2">
      <c r="O327" s="472" t="s">
        <v>1911</v>
      </c>
      <c r="P327" s="473" t="s">
        <v>1910</v>
      </c>
    </row>
    <row r="328" spans="15:16" x14ac:dyDescent="0.2">
      <c r="O328" s="472" t="s">
        <v>1913</v>
      </c>
      <c r="P328" s="473" t="s">
        <v>1912</v>
      </c>
    </row>
    <row r="329" spans="15:16" x14ac:dyDescent="0.2">
      <c r="O329" s="472" t="s">
        <v>1915</v>
      </c>
      <c r="P329" s="473" t="s">
        <v>1914</v>
      </c>
    </row>
    <row r="330" spans="15:16" x14ac:dyDescent="0.2">
      <c r="O330" s="472" t="s">
        <v>1917</v>
      </c>
      <c r="P330" s="473" t="s">
        <v>1916</v>
      </c>
    </row>
    <row r="331" spans="15:16" x14ac:dyDescent="0.2">
      <c r="O331" s="472" t="s">
        <v>1919</v>
      </c>
      <c r="P331" s="473" t="s">
        <v>1918</v>
      </c>
    </row>
    <row r="332" spans="15:16" x14ac:dyDescent="0.2">
      <c r="O332" s="472" t="s">
        <v>1921</v>
      </c>
      <c r="P332" s="473" t="s">
        <v>1920</v>
      </c>
    </row>
    <row r="333" spans="15:16" x14ac:dyDescent="0.2">
      <c r="O333" s="472" t="s">
        <v>1923</v>
      </c>
      <c r="P333" s="473" t="s">
        <v>1922</v>
      </c>
    </row>
    <row r="334" spans="15:16" x14ac:dyDescent="0.2">
      <c r="O334" s="472" t="s">
        <v>1925</v>
      </c>
      <c r="P334" s="473" t="s">
        <v>1924</v>
      </c>
    </row>
    <row r="335" spans="15:16" x14ac:dyDescent="0.2">
      <c r="O335" s="472" t="s">
        <v>1927</v>
      </c>
      <c r="P335" s="473" t="s">
        <v>1926</v>
      </c>
    </row>
    <row r="336" spans="15:16" x14ac:dyDescent="0.2">
      <c r="O336" s="472" t="s">
        <v>1929</v>
      </c>
      <c r="P336" s="473" t="s">
        <v>1928</v>
      </c>
    </row>
    <row r="337" spans="15:16" x14ac:dyDescent="0.2">
      <c r="O337" s="472" t="s">
        <v>1931</v>
      </c>
      <c r="P337" s="473" t="s">
        <v>1930</v>
      </c>
    </row>
    <row r="338" spans="15:16" x14ac:dyDescent="0.2">
      <c r="O338" s="472" t="s">
        <v>1933</v>
      </c>
      <c r="P338" s="473" t="s">
        <v>1932</v>
      </c>
    </row>
    <row r="339" spans="15:16" x14ac:dyDescent="0.2">
      <c r="O339" s="472" t="s">
        <v>1935</v>
      </c>
      <c r="P339" s="473" t="s">
        <v>1934</v>
      </c>
    </row>
    <row r="340" spans="15:16" x14ac:dyDescent="0.2">
      <c r="O340" s="472" t="s">
        <v>1937</v>
      </c>
      <c r="P340" s="473" t="s">
        <v>1936</v>
      </c>
    </row>
    <row r="341" spans="15:16" x14ac:dyDescent="0.2">
      <c r="O341" s="472" t="s">
        <v>1939</v>
      </c>
      <c r="P341" s="473" t="s">
        <v>1938</v>
      </c>
    </row>
    <row r="342" spans="15:16" x14ac:dyDescent="0.2">
      <c r="O342" s="472" t="s">
        <v>1941</v>
      </c>
      <c r="P342" s="473" t="s">
        <v>1940</v>
      </c>
    </row>
    <row r="343" spans="15:16" x14ac:dyDescent="0.2">
      <c r="O343" s="472" t="s">
        <v>1943</v>
      </c>
      <c r="P343" s="473" t="s">
        <v>1942</v>
      </c>
    </row>
    <row r="344" spans="15:16" x14ac:dyDescent="0.2">
      <c r="O344" s="472" t="s">
        <v>1945</v>
      </c>
      <c r="P344" s="473" t="s">
        <v>1944</v>
      </c>
    </row>
    <row r="345" spans="15:16" x14ac:dyDescent="0.2">
      <c r="O345" s="472" t="s">
        <v>1947</v>
      </c>
      <c r="P345" s="473" t="s">
        <v>1946</v>
      </c>
    </row>
    <row r="346" spans="15:16" x14ac:dyDescent="0.2">
      <c r="O346" s="472" t="s">
        <v>1949</v>
      </c>
      <c r="P346" s="473" t="s">
        <v>1948</v>
      </c>
    </row>
    <row r="347" spans="15:16" x14ac:dyDescent="0.2">
      <c r="O347" s="472" t="s">
        <v>1951</v>
      </c>
      <c r="P347" s="473" t="s">
        <v>1950</v>
      </c>
    </row>
    <row r="348" spans="15:16" x14ac:dyDescent="0.2">
      <c r="O348" s="472" t="s">
        <v>1953</v>
      </c>
      <c r="P348" s="473" t="s">
        <v>1952</v>
      </c>
    </row>
    <row r="349" spans="15:16" x14ac:dyDescent="0.2">
      <c r="O349" s="472" t="s">
        <v>1955</v>
      </c>
      <c r="P349" s="473" t="s">
        <v>1954</v>
      </c>
    </row>
    <row r="350" spans="15:16" x14ac:dyDescent="0.2">
      <c r="O350" s="472" t="s">
        <v>1957</v>
      </c>
      <c r="P350" s="473" t="s">
        <v>1956</v>
      </c>
    </row>
    <row r="351" spans="15:16" x14ac:dyDescent="0.2">
      <c r="O351" s="472" t="s">
        <v>1959</v>
      </c>
      <c r="P351" s="473" t="s">
        <v>1958</v>
      </c>
    </row>
    <row r="352" spans="15:16" x14ac:dyDescent="0.2">
      <c r="O352" s="472" t="s">
        <v>1961</v>
      </c>
      <c r="P352" s="473" t="s">
        <v>1960</v>
      </c>
    </row>
    <row r="353" spans="15:16" x14ac:dyDescent="0.2">
      <c r="O353" s="472" t="s">
        <v>1963</v>
      </c>
      <c r="P353" s="473" t="s">
        <v>1962</v>
      </c>
    </row>
    <row r="354" spans="15:16" x14ac:dyDescent="0.2">
      <c r="O354" s="472" t="s">
        <v>1965</v>
      </c>
      <c r="P354" s="473" t="s">
        <v>1964</v>
      </c>
    </row>
    <row r="355" spans="15:16" x14ac:dyDescent="0.2">
      <c r="O355" s="472" t="s">
        <v>1967</v>
      </c>
      <c r="P355" s="473" t="s">
        <v>1966</v>
      </c>
    </row>
    <row r="356" spans="15:16" x14ac:dyDescent="0.2">
      <c r="O356" s="472" t="s">
        <v>1969</v>
      </c>
      <c r="P356" s="473" t="s">
        <v>1968</v>
      </c>
    </row>
    <row r="357" spans="15:16" x14ac:dyDescent="0.2">
      <c r="O357" s="472" t="s">
        <v>1971</v>
      </c>
      <c r="P357" s="473" t="s">
        <v>1970</v>
      </c>
    </row>
    <row r="358" spans="15:16" x14ac:dyDescent="0.2">
      <c r="O358" s="472" t="s">
        <v>1973</v>
      </c>
      <c r="P358" s="473" t="s">
        <v>1972</v>
      </c>
    </row>
    <row r="359" spans="15:16" x14ac:dyDescent="0.2">
      <c r="O359" s="472" t="s">
        <v>1975</v>
      </c>
      <c r="P359" s="473" t="s">
        <v>1974</v>
      </c>
    </row>
    <row r="360" spans="15:16" x14ac:dyDescent="0.2">
      <c r="O360" s="472" t="s">
        <v>1977</v>
      </c>
      <c r="P360" s="473" t="s">
        <v>1976</v>
      </c>
    </row>
    <row r="361" spans="15:16" x14ac:dyDescent="0.2">
      <c r="O361" s="472" t="s">
        <v>1979</v>
      </c>
      <c r="P361" s="473" t="s">
        <v>1978</v>
      </c>
    </row>
    <row r="362" spans="15:16" x14ac:dyDescent="0.2">
      <c r="O362" s="472" t="s">
        <v>1981</v>
      </c>
      <c r="P362" s="473" t="s">
        <v>1980</v>
      </c>
    </row>
    <row r="363" spans="15:16" x14ac:dyDescent="0.2">
      <c r="O363" s="472" t="s">
        <v>1983</v>
      </c>
      <c r="P363" s="473" t="s">
        <v>1982</v>
      </c>
    </row>
    <row r="364" spans="15:16" x14ac:dyDescent="0.2">
      <c r="O364" s="472" t="s">
        <v>1985</v>
      </c>
      <c r="P364" s="473" t="s">
        <v>1984</v>
      </c>
    </row>
    <row r="365" spans="15:16" x14ac:dyDescent="0.2">
      <c r="O365" s="472" t="s">
        <v>1987</v>
      </c>
      <c r="P365" s="473" t="s">
        <v>1986</v>
      </c>
    </row>
    <row r="366" spans="15:16" x14ac:dyDescent="0.2">
      <c r="O366" s="472" t="s">
        <v>1989</v>
      </c>
      <c r="P366" s="473" t="s">
        <v>1988</v>
      </c>
    </row>
    <row r="367" spans="15:16" x14ac:dyDescent="0.2">
      <c r="O367" s="472" t="s">
        <v>1991</v>
      </c>
      <c r="P367" s="473" t="s">
        <v>1990</v>
      </c>
    </row>
    <row r="368" spans="15:16" x14ac:dyDescent="0.2">
      <c r="O368" s="472" t="s">
        <v>1993</v>
      </c>
      <c r="P368" s="473" t="s">
        <v>1992</v>
      </c>
    </row>
    <row r="369" spans="15:16" x14ac:dyDescent="0.2">
      <c r="O369" s="472" t="s">
        <v>1995</v>
      </c>
      <c r="P369" s="473" t="s">
        <v>1994</v>
      </c>
    </row>
    <row r="370" spans="15:16" x14ac:dyDescent="0.2">
      <c r="O370" s="472" t="s">
        <v>1997</v>
      </c>
      <c r="P370" s="473" t="s">
        <v>1996</v>
      </c>
    </row>
    <row r="371" spans="15:16" x14ac:dyDescent="0.2">
      <c r="O371" s="472" t="s">
        <v>1999</v>
      </c>
      <c r="P371" s="473" t="s">
        <v>1998</v>
      </c>
    </row>
    <row r="372" spans="15:16" x14ac:dyDescent="0.2">
      <c r="O372" s="472" t="s">
        <v>2001</v>
      </c>
      <c r="P372" s="473" t="s">
        <v>2000</v>
      </c>
    </row>
    <row r="373" spans="15:16" x14ac:dyDescent="0.2">
      <c r="O373" s="472" t="s">
        <v>2003</v>
      </c>
      <c r="P373" s="473" t="s">
        <v>2002</v>
      </c>
    </row>
    <row r="374" spans="15:16" x14ac:dyDescent="0.2">
      <c r="O374" s="472" t="s">
        <v>2005</v>
      </c>
      <c r="P374" s="473" t="s">
        <v>2004</v>
      </c>
    </row>
    <row r="375" spans="15:16" x14ac:dyDescent="0.2">
      <c r="O375" s="472" t="s">
        <v>2007</v>
      </c>
      <c r="P375" s="473" t="s">
        <v>2006</v>
      </c>
    </row>
    <row r="376" spans="15:16" x14ac:dyDescent="0.2">
      <c r="O376" s="472" t="s">
        <v>2009</v>
      </c>
      <c r="P376" s="473" t="s">
        <v>2008</v>
      </c>
    </row>
    <row r="377" spans="15:16" x14ac:dyDescent="0.2">
      <c r="O377" s="472" t="s">
        <v>2011</v>
      </c>
      <c r="P377" s="473" t="s">
        <v>2010</v>
      </c>
    </row>
    <row r="378" spans="15:16" x14ac:dyDescent="0.2">
      <c r="O378" s="472" t="s">
        <v>2013</v>
      </c>
      <c r="P378" s="473" t="s">
        <v>2012</v>
      </c>
    </row>
    <row r="379" spans="15:16" x14ac:dyDescent="0.2">
      <c r="O379" s="472" t="s">
        <v>2015</v>
      </c>
      <c r="P379" s="473" t="s">
        <v>2014</v>
      </c>
    </row>
    <row r="380" spans="15:16" x14ac:dyDescent="0.2">
      <c r="O380" s="472" t="s">
        <v>2017</v>
      </c>
      <c r="P380" s="473" t="s">
        <v>2016</v>
      </c>
    </row>
    <row r="381" spans="15:16" x14ac:dyDescent="0.2">
      <c r="O381" s="472" t="s">
        <v>2019</v>
      </c>
      <c r="P381" s="473" t="s">
        <v>2018</v>
      </c>
    </row>
    <row r="382" spans="15:16" x14ac:dyDescent="0.2">
      <c r="O382" s="472" t="s">
        <v>2021</v>
      </c>
      <c r="P382" s="473" t="s">
        <v>2020</v>
      </c>
    </row>
    <row r="383" spans="15:16" x14ac:dyDescent="0.2">
      <c r="O383" s="472" t="s">
        <v>2023</v>
      </c>
      <c r="P383" s="473" t="s">
        <v>2022</v>
      </c>
    </row>
    <row r="384" spans="15:16" x14ac:dyDescent="0.2">
      <c r="O384" s="472" t="s">
        <v>2025</v>
      </c>
      <c r="P384" s="473" t="s">
        <v>2024</v>
      </c>
    </row>
    <row r="385" spans="15:16" x14ac:dyDescent="0.2">
      <c r="O385" s="472" t="s">
        <v>2027</v>
      </c>
      <c r="P385" s="473" t="s">
        <v>2026</v>
      </c>
    </row>
    <row r="386" spans="15:16" x14ac:dyDescent="0.2">
      <c r="O386" s="472" t="s">
        <v>2029</v>
      </c>
      <c r="P386" s="473" t="s">
        <v>2028</v>
      </c>
    </row>
    <row r="387" spans="15:16" x14ac:dyDescent="0.2">
      <c r="O387" s="472" t="s">
        <v>2031</v>
      </c>
      <c r="P387" s="473" t="s">
        <v>2030</v>
      </c>
    </row>
    <row r="388" spans="15:16" x14ac:dyDescent="0.2">
      <c r="O388" s="472" t="s">
        <v>2033</v>
      </c>
      <c r="P388" s="473" t="s">
        <v>2032</v>
      </c>
    </row>
    <row r="389" spans="15:16" x14ac:dyDescent="0.2">
      <c r="O389" s="472" t="s">
        <v>2035</v>
      </c>
      <c r="P389" s="473" t="s">
        <v>2034</v>
      </c>
    </row>
    <row r="390" spans="15:16" x14ac:dyDescent="0.2">
      <c r="O390" s="472" t="s">
        <v>2037</v>
      </c>
      <c r="P390" s="473" t="s">
        <v>2036</v>
      </c>
    </row>
    <row r="391" spans="15:16" x14ac:dyDescent="0.2">
      <c r="O391" s="472" t="s">
        <v>2039</v>
      </c>
      <c r="P391" s="473" t="s">
        <v>2038</v>
      </c>
    </row>
    <row r="392" spans="15:16" x14ac:dyDescent="0.2">
      <c r="O392" s="472" t="s">
        <v>2041</v>
      </c>
      <c r="P392" s="473" t="s">
        <v>2040</v>
      </c>
    </row>
    <row r="393" spans="15:16" x14ac:dyDescent="0.2">
      <c r="O393" s="472" t="s">
        <v>2043</v>
      </c>
      <c r="P393" s="473" t="s">
        <v>2042</v>
      </c>
    </row>
    <row r="394" spans="15:16" x14ac:dyDescent="0.2">
      <c r="O394" s="472" t="s">
        <v>2045</v>
      </c>
      <c r="P394" s="473" t="s">
        <v>2044</v>
      </c>
    </row>
    <row r="395" spans="15:16" x14ac:dyDescent="0.2">
      <c r="O395" s="472" t="s">
        <v>2047</v>
      </c>
      <c r="P395" s="473" t="s">
        <v>2046</v>
      </c>
    </row>
    <row r="396" spans="15:16" x14ac:dyDescent="0.2">
      <c r="O396" s="472" t="s">
        <v>2049</v>
      </c>
      <c r="P396" s="473" t="s">
        <v>2048</v>
      </c>
    </row>
    <row r="397" spans="15:16" x14ac:dyDescent="0.2">
      <c r="O397" s="472" t="s">
        <v>2051</v>
      </c>
      <c r="P397" s="473" t="s">
        <v>2050</v>
      </c>
    </row>
    <row r="398" spans="15:16" x14ac:dyDescent="0.2">
      <c r="O398" s="472" t="s">
        <v>2053</v>
      </c>
      <c r="P398" s="473" t="s">
        <v>2052</v>
      </c>
    </row>
    <row r="399" spans="15:16" x14ac:dyDescent="0.2">
      <c r="O399" s="472" t="s">
        <v>2055</v>
      </c>
      <c r="P399" s="473" t="s">
        <v>2054</v>
      </c>
    </row>
    <row r="400" spans="15:16" x14ac:dyDescent="0.2">
      <c r="O400" s="472" t="s">
        <v>2057</v>
      </c>
      <c r="P400" s="473" t="s">
        <v>2056</v>
      </c>
    </row>
    <row r="401" spans="15:16" x14ac:dyDescent="0.2">
      <c r="O401" s="472" t="s">
        <v>2059</v>
      </c>
      <c r="P401" s="473" t="s">
        <v>2058</v>
      </c>
    </row>
    <row r="402" spans="15:16" x14ac:dyDescent="0.2">
      <c r="O402" s="472" t="s">
        <v>2061</v>
      </c>
      <c r="P402" s="473" t="s">
        <v>2060</v>
      </c>
    </row>
    <row r="403" spans="15:16" x14ac:dyDescent="0.2">
      <c r="O403" s="472" t="s">
        <v>2063</v>
      </c>
      <c r="P403" s="473" t="s">
        <v>2062</v>
      </c>
    </row>
    <row r="404" spans="15:16" x14ac:dyDescent="0.2">
      <c r="O404" s="472" t="s">
        <v>2065</v>
      </c>
      <c r="P404" s="473" t="s">
        <v>2064</v>
      </c>
    </row>
    <row r="405" spans="15:16" x14ac:dyDescent="0.2">
      <c r="O405" s="472" t="s">
        <v>2067</v>
      </c>
      <c r="P405" s="473" t="s">
        <v>2066</v>
      </c>
    </row>
    <row r="406" spans="15:16" x14ac:dyDescent="0.2">
      <c r="O406" s="472" t="s">
        <v>2069</v>
      </c>
      <c r="P406" s="473" t="s">
        <v>2068</v>
      </c>
    </row>
    <row r="407" spans="15:16" x14ac:dyDescent="0.2">
      <c r="O407" s="472" t="s">
        <v>2071</v>
      </c>
      <c r="P407" s="473" t="s">
        <v>2070</v>
      </c>
    </row>
    <row r="408" spans="15:16" x14ac:dyDescent="0.2">
      <c r="O408" s="472" t="s">
        <v>2073</v>
      </c>
      <c r="P408" s="473" t="s">
        <v>2072</v>
      </c>
    </row>
    <row r="409" spans="15:16" x14ac:dyDescent="0.2">
      <c r="O409" s="472" t="s">
        <v>2075</v>
      </c>
      <c r="P409" s="473" t="s">
        <v>2074</v>
      </c>
    </row>
    <row r="410" spans="15:16" x14ac:dyDescent="0.2">
      <c r="O410" s="472" t="s">
        <v>2077</v>
      </c>
      <c r="P410" s="473" t="s">
        <v>2076</v>
      </c>
    </row>
    <row r="411" spans="15:16" x14ac:dyDescent="0.2">
      <c r="O411" s="472" t="s">
        <v>2079</v>
      </c>
      <c r="P411" s="473" t="s">
        <v>2078</v>
      </c>
    </row>
    <row r="412" spans="15:16" x14ac:dyDescent="0.2">
      <c r="O412" s="472" t="s">
        <v>2081</v>
      </c>
      <c r="P412" s="473" t="s">
        <v>2080</v>
      </c>
    </row>
    <row r="413" spans="15:16" x14ac:dyDescent="0.2">
      <c r="O413" s="472" t="s">
        <v>2083</v>
      </c>
      <c r="P413" s="473" t="s">
        <v>2082</v>
      </c>
    </row>
    <row r="414" spans="15:16" x14ac:dyDescent="0.2">
      <c r="O414" s="472" t="s">
        <v>2085</v>
      </c>
      <c r="P414" s="473" t="s">
        <v>2084</v>
      </c>
    </row>
    <row r="415" spans="15:16" x14ac:dyDescent="0.2">
      <c r="O415" s="472" t="s">
        <v>2087</v>
      </c>
      <c r="P415" s="473" t="s">
        <v>2086</v>
      </c>
    </row>
    <row r="416" spans="15:16" x14ac:dyDescent="0.2">
      <c r="O416" s="472" t="s">
        <v>2089</v>
      </c>
      <c r="P416" s="473" t="s">
        <v>2088</v>
      </c>
    </row>
    <row r="417" spans="15:16" x14ac:dyDescent="0.2">
      <c r="O417" s="472" t="s">
        <v>2091</v>
      </c>
      <c r="P417" s="473" t="s">
        <v>2090</v>
      </c>
    </row>
    <row r="418" spans="15:16" x14ac:dyDescent="0.2">
      <c r="O418" s="472" t="s">
        <v>2093</v>
      </c>
      <c r="P418" s="473" t="s">
        <v>2092</v>
      </c>
    </row>
    <row r="419" spans="15:16" x14ac:dyDescent="0.2">
      <c r="O419" s="472" t="s">
        <v>2095</v>
      </c>
      <c r="P419" s="473" t="s">
        <v>2094</v>
      </c>
    </row>
    <row r="420" spans="15:16" x14ac:dyDescent="0.2">
      <c r="O420" s="472" t="s">
        <v>2097</v>
      </c>
      <c r="P420" s="473" t="s">
        <v>2096</v>
      </c>
    </row>
    <row r="421" spans="15:16" x14ac:dyDescent="0.2">
      <c r="O421" s="472" t="s">
        <v>2099</v>
      </c>
      <c r="P421" s="473" t="s">
        <v>2098</v>
      </c>
    </row>
    <row r="422" spans="15:16" x14ac:dyDescent="0.2">
      <c r="O422" s="472" t="s">
        <v>2101</v>
      </c>
      <c r="P422" s="473" t="s">
        <v>2100</v>
      </c>
    </row>
    <row r="423" spans="15:16" x14ac:dyDescent="0.2">
      <c r="O423" s="472" t="s">
        <v>2103</v>
      </c>
      <c r="P423" s="473" t="s">
        <v>2102</v>
      </c>
    </row>
    <row r="424" spans="15:16" x14ac:dyDescent="0.2">
      <c r="O424" s="472" t="s">
        <v>2105</v>
      </c>
      <c r="P424" s="473" t="s">
        <v>2104</v>
      </c>
    </row>
    <row r="425" spans="15:16" x14ac:dyDescent="0.2">
      <c r="O425" s="472" t="s">
        <v>2107</v>
      </c>
      <c r="P425" s="473" t="s">
        <v>2106</v>
      </c>
    </row>
    <row r="426" spans="15:16" x14ac:dyDescent="0.2">
      <c r="O426" s="472" t="s">
        <v>2109</v>
      </c>
      <c r="P426" s="473" t="s">
        <v>2108</v>
      </c>
    </row>
    <row r="427" spans="15:16" x14ac:dyDescent="0.2">
      <c r="O427" s="472" t="s">
        <v>2111</v>
      </c>
      <c r="P427" s="473" t="s">
        <v>2110</v>
      </c>
    </row>
    <row r="428" spans="15:16" x14ac:dyDescent="0.2">
      <c r="O428" s="472" t="s">
        <v>2113</v>
      </c>
      <c r="P428" s="473" t="s">
        <v>2112</v>
      </c>
    </row>
    <row r="429" spans="15:16" x14ac:dyDescent="0.2">
      <c r="O429" s="472" t="s">
        <v>2115</v>
      </c>
      <c r="P429" s="473" t="s">
        <v>2114</v>
      </c>
    </row>
    <row r="430" spans="15:16" x14ac:dyDescent="0.2">
      <c r="O430" s="472" t="s">
        <v>2117</v>
      </c>
      <c r="P430" s="473" t="s">
        <v>2116</v>
      </c>
    </row>
    <row r="431" spans="15:16" x14ac:dyDescent="0.2">
      <c r="O431" s="472" t="s">
        <v>2119</v>
      </c>
      <c r="P431" s="473" t="s">
        <v>2118</v>
      </c>
    </row>
    <row r="432" spans="15:16" x14ac:dyDescent="0.2">
      <c r="O432" s="472" t="s">
        <v>2121</v>
      </c>
      <c r="P432" s="473" t="s">
        <v>2120</v>
      </c>
    </row>
    <row r="433" spans="15:16" x14ac:dyDescent="0.2">
      <c r="O433" s="472" t="s">
        <v>2123</v>
      </c>
      <c r="P433" s="473" t="s">
        <v>2122</v>
      </c>
    </row>
    <row r="434" spans="15:16" x14ac:dyDescent="0.2">
      <c r="O434" s="472" t="s">
        <v>2125</v>
      </c>
      <c r="P434" s="473" t="s">
        <v>2124</v>
      </c>
    </row>
    <row r="435" spans="15:16" x14ac:dyDescent="0.2">
      <c r="O435" s="472" t="s">
        <v>2127</v>
      </c>
      <c r="P435" s="473" t="s">
        <v>2126</v>
      </c>
    </row>
    <row r="436" spans="15:16" x14ac:dyDescent="0.2">
      <c r="O436" s="472" t="s">
        <v>2129</v>
      </c>
      <c r="P436" s="473" t="s">
        <v>2128</v>
      </c>
    </row>
    <row r="437" spans="15:16" x14ac:dyDescent="0.2">
      <c r="O437" s="472" t="s">
        <v>2131</v>
      </c>
      <c r="P437" s="473" t="s">
        <v>2130</v>
      </c>
    </row>
    <row r="438" spans="15:16" x14ac:dyDescent="0.2">
      <c r="O438" s="472" t="s">
        <v>2133</v>
      </c>
      <c r="P438" s="473" t="s">
        <v>2132</v>
      </c>
    </row>
    <row r="439" spans="15:16" x14ac:dyDescent="0.2">
      <c r="O439" s="472" t="s">
        <v>2135</v>
      </c>
      <c r="P439" s="473" t="s">
        <v>2134</v>
      </c>
    </row>
    <row r="440" spans="15:16" x14ac:dyDescent="0.2">
      <c r="O440" s="472" t="s">
        <v>2137</v>
      </c>
      <c r="P440" s="473" t="s">
        <v>2136</v>
      </c>
    </row>
    <row r="441" spans="15:16" x14ac:dyDescent="0.2">
      <c r="O441" s="472" t="s">
        <v>2139</v>
      </c>
      <c r="P441" s="473" t="s">
        <v>2138</v>
      </c>
    </row>
    <row r="442" spans="15:16" x14ac:dyDescent="0.2">
      <c r="O442" s="472" t="s">
        <v>2141</v>
      </c>
      <c r="P442" s="473" t="s">
        <v>2140</v>
      </c>
    </row>
    <row r="443" spans="15:16" x14ac:dyDescent="0.2">
      <c r="O443" s="472" t="s">
        <v>2143</v>
      </c>
      <c r="P443" s="473" t="s">
        <v>2142</v>
      </c>
    </row>
    <row r="444" spans="15:16" x14ac:dyDescent="0.2">
      <c r="O444" s="472" t="s">
        <v>2145</v>
      </c>
      <c r="P444" s="473" t="s">
        <v>2144</v>
      </c>
    </row>
    <row r="445" spans="15:16" x14ac:dyDescent="0.2">
      <c r="O445" s="472" t="s">
        <v>2147</v>
      </c>
      <c r="P445" s="473" t="s">
        <v>2146</v>
      </c>
    </row>
    <row r="446" spans="15:16" x14ac:dyDescent="0.2">
      <c r="O446" s="472" t="s">
        <v>2149</v>
      </c>
      <c r="P446" s="473" t="s">
        <v>2148</v>
      </c>
    </row>
    <row r="447" spans="15:16" x14ac:dyDescent="0.2">
      <c r="O447" s="472" t="s">
        <v>2151</v>
      </c>
      <c r="P447" s="473" t="s">
        <v>2150</v>
      </c>
    </row>
    <row r="448" spans="15:16" x14ac:dyDescent="0.2">
      <c r="O448" s="472" t="s">
        <v>2153</v>
      </c>
      <c r="P448" s="473" t="s">
        <v>2152</v>
      </c>
    </row>
    <row r="449" spans="15:16" x14ac:dyDescent="0.2">
      <c r="O449" s="472" t="s">
        <v>2155</v>
      </c>
      <c r="P449" s="473" t="s">
        <v>2154</v>
      </c>
    </row>
    <row r="450" spans="15:16" x14ac:dyDescent="0.2">
      <c r="O450" s="472" t="s">
        <v>2157</v>
      </c>
      <c r="P450" s="473" t="s">
        <v>2156</v>
      </c>
    </row>
    <row r="451" spans="15:16" x14ac:dyDescent="0.2">
      <c r="O451" s="472" t="s">
        <v>2159</v>
      </c>
      <c r="P451" s="473" t="s">
        <v>2158</v>
      </c>
    </row>
    <row r="452" spans="15:16" x14ac:dyDescent="0.2">
      <c r="O452" s="472" t="s">
        <v>2161</v>
      </c>
      <c r="P452" s="473" t="s">
        <v>2160</v>
      </c>
    </row>
    <row r="453" spans="15:16" x14ac:dyDescent="0.2">
      <c r="O453" s="472" t="s">
        <v>2163</v>
      </c>
      <c r="P453" s="473" t="s">
        <v>2162</v>
      </c>
    </row>
    <row r="454" spans="15:16" x14ac:dyDescent="0.2">
      <c r="O454" s="472" t="s">
        <v>2165</v>
      </c>
      <c r="P454" s="473" t="s">
        <v>2164</v>
      </c>
    </row>
    <row r="455" spans="15:16" x14ac:dyDescent="0.2">
      <c r="O455" s="472" t="s">
        <v>2167</v>
      </c>
      <c r="P455" s="473" t="s">
        <v>2166</v>
      </c>
    </row>
    <row r="456" spans="15:16" x14ac:dyDescent="0.2">
      <c r="O456" s="472" t="s">
        <v>2169</v>
      </c>
      <c r="P456" s="473" t="s">
        <v>2168</v>
      </c>
    </row>
    <row r="457" spans="15:16" x14ac:dyDescent="0.2">
      <c r="O457" s="472" t="s">
        <v>2171</v>
      </c>
      <c r="P457" s="473" t="s">
        <v>2170</v>
      </c>
    </row>
    <row r="458" spans="15:16" x14ac:dyDescent="0.2">
      <c r="O458" s="472" t="s">
        <v>2173</v>
      </c>
      <c r="P458" s="473" t="s">
        <v>2172</v>
      </c>
    </row>
    <row r="459" spans="15:16" x14ac:dyDescent="0.2">
      <c r="O459" s="472" t="s">
        <v>2175</v>
      </c>
      <c r="P459" s="473" t="s">
        <v>2174</v>
      </c>
    </row>
    <row r="460" spans="15:16" x14ac:dyDescent="0.2">
      <c r="O460" s="472" t="s">
        <v>2177</v>
      </c>
      <c r="P460" s="473" t="s">
        <v>2176</v>
      </c>
    </row>
    <row r="461" spans="15:16" x14ac:dyDescent="0.2">
      <c r="O461" s="472" t="s">
        <v>2179</v>
      </c>
      <c r="P461" s="473" t="s">
        <v>2178</v>
      </c>
    </row>
    <row r="462" spans="15:16" x14ac:dyDescent="0.2">
      <c r="O462" s="472" t="s">
        <v>2181</v>
      </c>
      <c r="P462" s="473" t="s">
        <v>2180</v>
      </c>
    </row>
    <row r="463" spans="15:16" x14ac:dyDescent="0.2">
      <c r="O463" s="472" t="s">
        <v>2183</v>
      </c>
      <c r="P463" s="473" t="s">
        <v>2182</v>
      </c>
    </row>
    <row r="464" spans="15:16" x14ac:dyDescent="0.2">
      <c r="O464" s="472" t="s">
        <v>2185</v>
      </c>
      <c r="P464" s="473" t="s">
        <v>2184</v>
      </c>
    </row>
    <row r="465" spans="15:16" x14ac:dyDescent="0.2">
      <c r="O465" s="472" t="s">
        <v>2187</v>
      </c>
      <c r="P465" s="473" t="s">
        <v>2186</v>
      </c>
    </row>
    <row r="466" spans="15:16" x14ac:dyDescent="0.2">
      <c r="O466" s="472" t="s">
        <v>2189</v>
      </c>
      <c r="P466" s="473" t="s">
        <v>2188</v>
      </c>
    </row>
    <row r="467" spans="15:16" x14ac:dyDescent="0.2">
      <c r="O467" s="472" t="s">
        <v>2191</v>
      </c>
      <c r="P467" s="473" t="s">
        <v>2190</v>
      </c>
    </row>
    <row r="468" spans="15:16" x14ac:dyDescent="0.2">
      <c r="O468" s="472" t="s">
        <v>2193</v>
      </c>
      <c r="P468" s="473" t="s">
        <v>2192</v>
      </c>
    </row>
    <row r="469" spans="15:16" x14ac:dyDescent="0.2">
      <c r="O469" s="472" t="s">
        <v>2195</v>
      </c>
      <c r="P469" s="473" t="s">
        <v>2194</v>
      </c>
    </row>
    <row r="470" spans="15:16" x14ac:dyDescent="0.2">
      <c r="O470" s="472" t="s">
        <v>2197</v>
      </c>
      <c r="P470" s="473" t="s">
        <v>2196</v>
      </c>
    </row>
    <row r="471" spans="15:16" x14ac:dyDescent="0.2">
      <c r="O471" s="472" t="s">
        <v>2199</v>
      </c>
      <c r="P471" s="473" t="s">
        <v>2198</v>
      </c>
    </row>
    <row r="472" spans="15:16" x14ac:dyDescent="0.2">
      <c r="O472" s="472" t="s">
        <v>2201</v>
      </c>
      <c r="P472" s="473" t="s">
        <v>2200</v>
      </c>
    </row>
    <row r="473" spans="15:16" x14ac:dyDescent="0.2">
      <c r="O473" s="472" t="s">
        <v>2203</v>
      </c>
      <c r="P473" s="473" t="s">
        <v>2202</v>
      </c>
    </row>
    <row r="474" spans="15:16" x14ac:dyDescent="0.2">
      <c r="O474" s="472" t="s">
        <v>2205</v>
      </c>
      <c r="P474" s="473" t="s">
        <v>2204</v>
      </c>
    </row>
    <row r="475" spans="15:16" x14ac:dyDescent="0.2">
      <c r="O475" s="472" t="s">
        <v>2207</v>
      </c>
      <c r="P475" s="473" t="s">
        <v>2206</v>
      </c>
    </row>
    <row r="476" spans="15:16" x14ac:dyDescent="0.2">
      <c r="O476" s="472" t="s">
        <v>2209</v>
      </c>
      <c r="P476" s="473" t="s">
        <v>2208</v>
      </c>
    </row>
    <row r="477" spans="15:16" x14ac:dyDescent="0.2">
      <c r="O477" s="472" t="s">
        <v>2211</v>
      </c>
      <c r="P477" s="473" t="s">
        <v>2210</v>
      </c>
    </row>
    <row r="478" spans="15:16" x14ac:dyDescent="0.2">
      <c r="O478" s="472" t="s">
        <v>2213</v>
      </c>
      <c r="P478" s="473" t="s">
        <v>2212</v>
      </c>
    </row>
    <row r="479" spans="15:16" x14ac:dyDescent="0.2">
      <c r="O479" s="472" t="s">
        <v>2215</v>
      </c>
      <c r="P479" s="473" t="s">
        <v>2214</v>
      </c>
    </row>
    <row r="480" spans="15:16" x14ac:dyDescent="0.2">
      <c r="O480" s="472" t="s">
        <v>2217</v>
      </c>
      <c r="P480" s="473" t="s">
        <v>2216</v>
      </c>
    </row>
    <row r="481" spans="15:16" x14ac:dyDescent="0.2">
      <c r="O481" s="472" t="s">
        <v>2219</v>
      </c>
      <c r="P481" s="473" t="s">
        <v>2218</v>
      </c>
    </row>
    <row r="482" spans="15:16" x14ac:dyDescent="0.2">
      <c r="O482" s="472" t="s">
        <v>2221</v>
      </c>
      <c r="P482" s="473" t="s">
        <v>2220</v>
      </c>
    </row>
    <row r="483" spans="15:16" x14ac:dyDescent="0.2">
      <c r="O483" s="472" t="s">
        <v>2223</v>
      </c>
      <c r="P483" s="473" t="s">
        <v>2222</v>
      </c>
    </row>
    <row r="484" spans="15:16" x14ac:dyDescent="0.2">
      <c r="O484" s="472" t="s">
        <v>2225</v>
      </c>
      <c r="P484" s="473" t="s">
        <v>2224</v>
      </c>
    </row>
    <row r="485" spans="15:16" x14ac:dyDescent="0.2">
      <c r="O485" s="472" t="s">
        <v>2227</v>
      </c>
      <c r="P485" s="473" t="s">
        <v>2226</v>
      </c>
    </row>
    <row r="486" spans="15:16" x14ac:dyDescent="0.2">
      <c r="O486" s="472" t="s">
        <v>2229</v>
      </c>
      <c r="P486" s="473" t="s">
        <v>2228</v>
      </c>
    </row>
    <row r="487" spans="15:16" x14ac:dyDescent="0.2">
      <c r="O487" s="472" t="s">
        <v>2231</v>
      </c>
      <c r="P487" s="473" t="s">
        <v>2230</v>
      </c>
    </row>
    <row r="488" spans="15:16" x14ac:dyDescent="0.2">
      <c r="O488" s="472" t="s">
        <v>2233</v>
      </c>
      <c r="P488" s="473" t="s">
        <v>2232</v>
      </c>
    </row>
    <row r="489" spans="15:16" x14ac:dyDescent="0.2">
      <c r="O489" s="472" t="s">
        <v>2235</v>
      </c>
      <c r="P489" s="473" t="s">
        <v>2234</v>
      </c>
    </row>
    <row r="490" spans="15:16" x14ac:dyDescent="0.2">
      <c r="O490" s="472" t="s">
        <v>2237</v>
      </c>
      <c r="P490" s="473" t="s">
        <v>2236</v>
      </c>
    </row>
    <row r="491" spans="15:16" x14ac:dyDescent="0.2">
      <c r="O491" s="472" t="s">
        <v>2239</v>
      </c>
      <c r="P491" s="473" t="s">
        <v>2238</v>
      </c>
    </row>
    <row r="492" spans="15:16" x14ac:dyDescent="0.2">
      <c r="O492" s="472" t="s">
        <v>2241</v>
      </c>
      <c r="P492" s="473" t="s">
        <v>2240</v>
      </c>
    </row>
    <row r="493" spans="15:16" x14ac:dyDescent="0.2">
      <c r="O493" s="472" t="s">
        <v>2243</v>
      </c>
      <c r="P493" s="473" t="s">
        <v>2242</v>
      </c>
    </row>
    <row r="494" spans="15:16" x14ac:dyDescent="0.2">
      <c r="O494" s="472" t="s">
        <v>2245</v>
      </c>
      <c r="P494" s="473" t="s">
        <v>2244</v>
      </c>
    </row>
    <row r="495" spans="15:16" x14ac:dyDescent="0.2">
      <c r="O495" s="472" t="s">
        <v>2247</v>
      </c>
      <c r="P495" s="473" t="s">
        <v>2246</v>
      </c>
    </row>
    <row r="496" spans="15:16" x14ac:dyDescent="0.2">
      <c r="O496" s="472" t="s">
        <v>2249</v>
      </c>
      <c r="P496" s="473" t="s">
        <v>2248</v>
      </c>
    </row>
    <row r="497" spans="15:16" x14ac:dyDescent="0.2">
      <c r="O497" s="472" t="s">
        <v>2251</v>
      </c>
      <c r="P497" s="473" t="s">
        <v>2250</v>
      </c>
    </row>
    <row r="498" spans="15:16" x14ac:dyDescent="0.2">
      <c r="O498" s="472" t="s">
        <v>2253</v>
      </c>
      <c r="P498" s="473" t="s">
        <v>2252</v>
      </c>
    </row>
    <row r="499" spans="15:16" x14ac:dyDescent="0.2">
      <c r="O499" s="472" t="s">
        <v>2255</v>
      </c>
      <c r="P499" s="473" t="s">
        <v>2254</v>
      </c>
    </row>
    <row r="500" spans="15:16" x14ac:dyDescent="0.2">
      <c r="O500" s="472" t="s">
        <v>2257</v>
      </c>
      <c r="P500" s="473" t="s">
        <v>2256</v>
      </c>
    </row>
    <row r="501" spans="15:16" x14ac:dyDescent="0.2">
      <c r="O501" s="472" t="s">
        <v>2259</v>
      </c>
      <c r="P501" s="473" t="s">
        <v>2258</v>
      </c>
    </row>
    <row r="502" spans="15:16" x14ac:dyDescent="0.2">
      <c r="O502" s="472" t="s">
        <v>2261</v>
      </c>
      <c r="P502" s="473" t="s">
        <v>2260</v>
      </c>
    </row>
    <row r="503" spans="15:16" x14ac:dyDescent="0.2">
      <c r="O503" s="472" t="s">
        <v>2263</v>
      </c>
      <c r="P503" s="473" t="s">
        <v>2262</v>
      </c>
    </row>
    <row r="504" spans="15:16" x14ac:dyDescent="0.2">
      <c r="O504" s="472" t="s">
        <v>2265</v>
      </c>
      <c r="P504" s="473" t="s">
        <v>2264</v>
      </c>
    </row>
    <row r="505" spans="15:16" x14ac:dyDescent="0.2">
      <c r="O505" s="472" t="s">
        <v>2267</v>
      </c>
      <c r="P505" s="473" t="s">
        <v>2266</v>
      </c>
    </row>
    <row r="506" spans="15:16" x14ac:dyDescent="0.2">
      <c r="O506" s="472" t="s">
        <v>2269</v>
      </c>
      <c r="P506" s="473" t="s">
        <v>2268</v>
      </c>
    </row>
    <row r="507" spans="15:16" x14ac:dyDescent="0.2">
      <c r="O507" s="472" t="s">
        <v>2271</v>
      </c>
      <c r="P507" s="473" t="s">
        <v>2270</v>
      </c>
    </row>
    <row r="508" spans="15:16" x14ac:dyDescent="0.2">
      <c r="O508" s="472" t="s">
        <v>2273</v>
      </c>
      <c r="P508" s="473" t="s">
        <v>2272</v>
      </c>
    </row>
    <row r="509" spans="15:16" x14ac:dyDescent="0.2">
      <c r="O509" s="472" t="s">
        <v>2275</v>
      </c>
      <c r="P509" s="473" t="s">
        <v>2274</v>
      </c>
    </row>
    <row r="510" spans="15:16" x14ac:dyDescent="0.2">
      <c r="O510" s="472" t="s">
        <v>2277</v>
      </c>
      <c r="P510" s="473" t="s">
        <v>2276</v>
      </c>
    </row>
    <row r="511" spans="15:16" x14ac:dyDescent="0.2">
      <c r="O511" s="472" t="s">
        <v>2279</v>
      </c>
      <c r="P511" s="473" t="s">
        <v>2278</v>
      </c>
    </row>
    <row r="512" spans="15:16" x14ac:dyDescent="0.2">
      <c r="O512" s="472" t="s">
        <v>2281</v>
      </c>
      <c r="P512" s="473" t="s">
        <v>2280</v>
      </c>
    </row>
    <row r="513" spans="15:16" x14ac:dyDescent="0.2">
      <c r="O513" s="472" t="s">
        <v>2283</v>
      </c>
      <c r="P513" s="473" t="s">
        <v>2282</v>
      </c>
    </row>
    <row r="514" spans="15:16" x14ac:dyDescent="0.2">
      <c r="O514" s="472" t="s">
        <v>2285</v>
      </c>
      <c r="P514" s="473" t="s">
        <v>2284</v>
      </c>
    </row>
    <row r="515" spans="15:16" x14ac:dyDescent="0.2">
      <c r="O515" s="472" t="s">
        <v>2287</v>
      </c>
      <c r="P515" s="473" t="s">
        <v>2286</v>
      </c>
    </row>
    <row r="516" spans="15:16" x14ac:dyDescent="0.2">
      <c r="O516" s="472" t="s">
        <v>2289</v>
      </c>
      <c r="P516" s="473" t="s">
        <v>2288</v>
      </c>
    </row>
    <row r="517" spans="15:16" x14ac:dyDescent="0.2">
      <c r="O517" s="472" t="s">
        <v>2291</v>
      </c>
      <c r="P517" s="473" t="s">
        <v>2290</v>
      </c>
    </row>
    <row r="518" spans="15:16" x14ac:dyDescent="0.2">
      <c r="O518" s="472" t="s">
        <v>2293</v>
      </c>
      <c r="P518" s="473" t="s">
        <v>2292</v>
      </c>
    </row>
    <row r="519" spans="15:16" x14ac:dyDescent="0.2">
      <c r="O519" s="472" t="s">
        <v>2295</v>
      </c>
      <c r="P519" s="473" t="s">
        <v>2294</v>
      </c>
    </row>
    <row r="520" spans="15:16" x14ac:dyDescent="0.2">
      <c r="O520" s="472" t="s">
        <v>2297</v>
      </c>
      <c r="P520" s="473" t="s">
        <v>2296</v>
      </c>
    </row>
    <row r="521" spans="15:16" x14ac:dyDescent="0.2">
      <c r="O521" s="472" t="s">
        <v>2299</v>
      </c>
      <c r="P521" s="473" t="s">
        <v>2298</v>
      </c>
    </row>
    <row r="522" spans="15:16" x14ac:dyDescent="0.2">
      <c r="O522" s="472" t="s">
        <v>2301</v>
      </c>
      <c r="P522" s="473" t="s">
        <v>2300</v>
      </c>
    </row>
    <row r="523" spans="15:16" x14ac:dyDescent="0.2">
      <c r="O523" s="472" t="s">
        <v>2303</v>
      </c>
      <c r="P523" s="473" t="s">
        <v>2302</v>
      </c>
    </row>
    <row r="524" spans="15:16" x14ac:dyDescent="0.2">
      <c r="O524" s="472" t="s">
        <v>2305</v>
      </c>
      <c r="P524" s="473" t="s">
        <v>2304</v>
      </c>
    </row>
    <row r="525" spans="15:16" x14ac:dyDescent="0.2">
      <c r="O525" s="472" t="s">
        <v>2307</v>
      </c>
      <c r="P525" s="473" t="s">
        <v>2306</v>
      </c>
    </row>
    <row r="526" spans="15:16" x14ac:dyDescent="0.2">
      <c r="O526" s="472" t="s">
        <v>2309</v>
      </c>
      <c r="P526" s="473" t="s">
        <v>2308</v>
      </c>
    </row>
    <row r="527" spans="15:16" x14ac:dyDescent="0.2">
      <c r="O527" s="472" t="s">
        <v>2311</v>
      </c>
      <c r="P527" s="473" t="s">
        <v>2310</v>
      </c>
    </row>
    <row r="528" spans="15:16" x14ac:dyDescent="0.2">
      <c r="O528" s="472" t="s">
        <v>2313</v>
      </c>
      <c r="P528" s="473" t="s">
        <v>2312</v>
      </c>
    </row>
    <row r="529" spans="15:16" x14ac:dyDescent="0.2">
      <c r="O529" s="472" t="s">
        <v>2315</v>
      </c>
      <c r="P529" s="473" t="s">
        <v>2314</v>
      </c>
    </row>
    <row r="530" spans="15:16" x14ac:dyDescent="0.2">
      <c r="O530" s="472" t="s">
        <v>2317</v>
      </c>
      <c r="P530" s="473" t="s">
        <v>2316</v>
      </c>
    </row>
    <row r="531" spans="15:16" x14ac:dyDescent="0.2">
      <c r="O531" s="472" t="s">
        <v>2319</v>
      </c>
      <c r="P531" s="473" t="s">
        <v>2318</v>
      </c>
    </row>
    <row r="532" spans="15:16" x14ac:dyDescent="0.2">
      <c r="O532" s="472" t="s">
        <v>2321</v>
      </c>
      <c r="P532" s="473" t="s">
        <v>2320</v>
      </c>
    </row>
    <row r="533" spans="15:16" x14ac:dyDescent="0.2">
      <c r="O533" s="472" t="s">
        <v>2323</v>
      </c>
      <c r="P533" s="473" t="s">
        <v>2322</v>
      </c>
    </row>
    <row r="534" spans="15:16" x14ac:dyDescent="0.2">
      <c r="O534" s="472" t="s">
        <v>2325</v>
      </c>
      <c r="P534" s="473" t="s">
        <v>2324</v>
      </c>
    </row>
    <row r="535" spans="15:16" x14ac:dyDescent="0.2">
      <c r="O535" s="472" t="s">
        <v>2327</v>
      </c>
      <c r="P535" s="473" t="s">
        <v>2326</v>
      </c>
    </row>
    <row r="536" spans="15:16" x14ac:dyDescent="0.2">
      <c r="O536" s="472" t="s">
        <v>2329</v>
      </c>
      <c r="P536" s="473" t="s">
        <v>2328</v>
      </c>
    </row>
    <row r="537" spans="15:16" x14ac:dyDescent="0.2">
      <c r="O537" s="472" t="s">
        <v>2331</v>
      </c>
      <c r="P537" s="473" t="s">
        <v>2330</v>
      </c>
    </row>
    <row r="538" spans="15:16" x14ac:dyDescent="0.2">
      <c r="O538" s="472" t="s">
        <v>2333</v>
      </c>
      <c r="P538" s="473" t="s">
        <v>2332</v>
      </c>
    </row>
    <row r="539" spans="15:16" x14ac:dyDescent="0.2">
      <c r="O539" s="472" t="s">
        <v>2335</v>
      </c>
      <c r="P539" s="473" t="s">
        <v>2334</v>
      </c>
    </row>
    <row r="540" spans="15:16" x14ac:dyDescent="0.2">
      <c r="O540" s="472" t="s">
        <v>2337</v>
      </c>
      <c r="P540" s="473" t="s">
        <v>2336</v>
      </c>
    </row>
    <row r="541" spans="15:16" x14ac:dyDescent="0.2">
      <c r="O541" s="472" t="s">
        <v>2339</v>
      </c>
      <c r="P541" s="473" t="s">
        <v>2338</v>
      </c>
    </row>
    <row r="542" spans="15:16" x14ac:dyDescent="0.2">
      <c r="O542" s="472" t="s">
        <v>2341</v>
      </c>
      <c r="P542" s="473" t="s">
        <v>2340</v>
      </c>
    </row>
    <row r="543" spans="15:16" x14ac:dyDescent="0.2">
      <c r="O543" s="472" t="s">
        <v>2343</v>
      </c>
      <c r="P543" s="473" t="s">
        <v>2342</v>
      </c>
    </row>
    <row r="544" spans="15:16" x14ac:dyDescent="0.2">
      <c r="O544" s="472" t="s">
        <v>2345</v>
      </c>
      <c r="P544" s="473" t="s">
        <v>2344</v>
      </c>
    </row>
    <row r="545" spans="15:16" x14ac:dyDescent="0.2">
      <c r="O545" s="472" t="s">
        <v>2347</v>
      </c>
      <c r="P545" s="473" t="s">
        <v>2346</v>
      </c>
    </row>
    <row r="546" spans="15:16" x14ac:dyDescent="0.2">
      <c r="O546" s="472" t="s">
        <v>2349</v>
      </c>
      <c r="P546" s="473" t="s">
        <v>2348</v>
      </c>
    </row>
    <row r="547" spans="15:16" x14ac:dyDescent="0.2">
      <c r="O547" s="472" t="s">
        <v>2351</v>
      </c>
      <c r="P547" s="473" t="s">
        <v>2350</v>
      </c>
    </row>
    <row r="548" spans="15:16" x14ac:dyDescent="0.2">
      <c r="O548" s="472" t="s">
        <v>2353</v>
      </c>
      <c r="P548" s="473" t="s">
        <v>2352</v>
      </c>
    </row>
    <row r="549" spans="15:16" x14ac:dyDescent="0.2">
      <c r="O549" s="472" t="s">
        <v>2355</v>
      </c>
      <c r="P549" s="473" t="s">
        <v>2354</v>
      </c>
    </row>
    <row r="550" spans="15:16" x14ac:dyDescent="0.2">
      <c r="O550" s="472" t="s">
        <v>2357</v>
      </c>
      <c r="P550" s="473" t="s">
        <v>2356</v>
      </c>
    </row>
    <row r="551" spans="15:16" x14ac:dyDescent="0.2">
      <c r="O551" s="472" t="s">
        <v>2359</v>
      </c>
      <c r="P551" s="473" t="s">
        <v>2358</v>
      </c>
    </row>
    <row r="552" spans="15:16" x14ac:dyDescent="0.2">
      <c r="O552" s="472" t="s">
        <v>2361</v>
      </c>
      <c r="P552" s="473" t="s">
        <v>2360</v>
      </c>
    </row>
    <row r="553" spans="15:16" x14ac:dyDescent="0.2">
      <c r="O553" s="472" t="s">
        <v>2363</v>
      </c>
      <c r="P553" s="473" t="s">
        <v>2362</v>
      </c>
    </row>
    <row r="554" spans="15:16" x14ac:dyDescent="0.2">
      <c r="O554" s="472" t="s">
        <v>2365</v>
      </c>
      <c r="P554" s="473" t="s">
        <v>2364</v>
      </c>
    </row>
    <row r="555" spans="15:16" x14ac:dyDescent="0.2">
      <c r="O555" s="472" t="s">
        <v>2367</v>
      </c>
      <c r="P555" s="473" t="s">
        <v>2366</v>
      </c>
    </row>
    <row r="556" spans="15:16" x14ac:dyDescent="0.2">
      <c r="O556" s="472" t="s">
        <v>2369</v>
      </c>
      <c r="P556" s="473" t="s">
        <v>2368</v>
      </c>
    </row>
    <row r="557" spans="15:16" x14ac:dyDescent="0.2">
      <c r="O557" s="472" t="s">
        <v>2371</v>
      </c>
      <c r="P557" s="473" t="s">
        <v>2370</v>
      </c>
    </row>
    <row r="558" spans="15:16" x14ac:dyDescent="0.2">
      <c r="O558" s="472" t="s">
        <v>2373</v>
      </c>
      <c r="P558" s="473" t="s">
        <v>2372</v>
      </c>
    </row>
    <row r="559" spans="15:16" x14ac:dyDescent="0.2">
      <c r="O559" s="472" t="s">
        <v>2375</v>
      </c>
      <c r="P559" s="473" t="s">
        <v>2374</v>
      </c>
    </row>
    <row r="560" spans="15:16" x14ac:dyDescent="0.2">
      <c r="O560" s="472" t="s">
        <v>2377</v>
      </c>
      <c r="P560" s="473" t="s">
        <v>2376</v>
      </c>
    </row>
    <row r="561" spans="15:16" x14ac:dyDescent="0.2">
      <c r="O561" s="472" t="s">
        <v>2379</v>
      </c>
      <c r="P561" s="473" t="s">
        <v>2378</v>
      </c>
    </row>
    <row r="562" spans="15:16" x14ac:dyDescent="0.2">
      <c r="O562" s="472" t="s">
        <v>2381</v>
      </c>
      <c r="P562" s="473" t="s">
        <v>2380</v>
      </c>
    </row>
    <row r="563" spans="15:16" x14ac:dyDescent="0.2">
      <c r="O563" s="472" t="s">
        <v>2383</v>
      </c>
      <c r="P563" s="473" t="s">
        <v>2382</v>
      </c>
    </row>
    <row r="564" spans="15:16" x14ac:dyDescent="0.2">
      <c r="O564" s="472" t="s">
        <v>2385</v>
      </c>
      <c r="P564" s="473" t="s">
        <v>2384</v>
      </c>
    </row>
    <row r="565" spans="15:16" x14ac:dyDescent="0.2">
      <c r="O565" s="472" t="s">
        <v>2387</v>
      </c>
      <c r="P565" s="473" t="s">
        <v>2386</v>
      </c>
    </row>
    <row r="566" spans="15:16" x14ac:dyDescent="0.2">
      <c r="O566" s="472" t="s">
        <v>2389</v>
      </c>
      <c r="P566" s="473" t="s">
        <v>2388</v>
      </c>
    </row>
    <row r="567" spans="15:16" x14ac:dyDescent="0.2">
      <c r="O567" s="472" t="s">
        <v>2391</v>
      </c>
      <c r="P567" s="473" t="s">
        <v>2390</v>
      </c>
    </row>
    <row r="568" spans="15:16" x14ac:dyDescent="0.2">
      <c r="O568" s="472" t="s">
        <v>2393</v>
      </c>
      <c r="P568" s="473" t="s">
        <v>2392</v>
      </c>
    </row>
    <row r="569" spans="15:16" x14ac:dyDescent="0.2">
      <c r="O569" s="472" t="s">
        <v>2395</v>
      </c>
      <c r="P569" s="473" t="s">
        <v>2394</v>
      </c>
    </row>
    <row r="570" spans="15:16" x14ac:dyDescent="0.2">
      <c r="O570" s="472" t="s">
        <v>2397</v>
      </c>
      <c r="P570" s="473" t="s">
        <v>2396</v>
      </c>
    </row>
    <row r="571" spans="15:16" x14ac:dyDescent="0.2">
      <c r="O571" s="472" t="s">
        <v>2399</v>
      </c>
      <c r="P571" s="473" t="s">
        <v>2398</v>
      </c>
    </row>
    <row r="572" spans="15:16" x14ac:dyDescent="0.2">
      <c r="O572" s="472" t="s">
        <v>2401</v>
      </c>
      <c r="P572" s="473" t="s">
        <v>2400</v>
      </c>
    </row>
    <row r="573" spans="15:16" x14ac:dyDescent="0.2">
      <c r="O573" s="472" t="s">
        <v>2403</v>
      </c>
      <c r="P573" s="473" t="s">
        <v>2402</v>
      </c>
    </row>
    <row r="574" spans="15:16" x14ac:dyDescent="0.2">
      <c r="O574" s="472" t="s">
        <v>2405</v>
      </c>
      <c r="P574" s="473" t="s">
        <v>2404</v>
      </c>
    </row>
    <row r="575" spans="15:16" x14ac:dyDescent="0.2">
      <c r="O575" s="472" t="s">
        <v>2407</v>
      </c>
      <c r="P575" s="473" t="s">
        <v>2406</v>
      </c>
    </row>
    <row r="576" spans="15:16" x14ac:dyDescent="0.2">
      <c r="O576" s="472" t="s">
        <v>2409</v>
      </c>
      <c r="P576" s="473" t="s">
        <v>2408</v>
      </c>
    </row>
    <row r="577" spans="15:16" x14ac:dyDescent="0.2">
      <c r="O577" s="472" t="s">
        <v>2411</v>
      </c>
      <c r="P577" s="473" t="s">
        <v>2410</v>
      </c>
    </row>
    <row r="578" spans="15:16" x14ac:dyDescent="0.2">
      <c r="O578" s="472" t="s">
        <v>2413</v>
      </c>
      <c r="P578" s="473" t="s">
        <v>2412</v>
      </c>
    </row>
    <row r="579" spans="15:16" x14ac:dyDescent="0.2">
      <c r="O579" s="472" t="s">
        <v>2415</v>
      </c>
      <c r="P579" s="473" t="s">
        <v>2414</v>
      </c>
    </row>
    <row r="580" spans="15:16" x14ac:dyDescent="0.2">
      <c r="O580" s="472" t="s">
        <v>2417</v>
      </c>
      <c r="P580" s="473" t="s">
        <v>2416</v>
      </c>
    </row>
    <row r="581" spans="15:16" x14ac:dyDescent="0.2">
      <c r="O581" s="472" t="s">
        <v>2419</v>
      </c>
      <c r="P581" s="473" t="s">
        <v>2418</v>
      </c>
    </row>
    <row r="582" spans="15:16" x14ac:dyDescent="0.2">
      <c r="O582" s="472" t="s">
        <v>2421</v>
      </c>
      <c r="P582" s="473" t="s">
        <v>2420</v>
      </c>
    </row>
    <row r="583" spans="15:16" x14ac:dyDescent="0.2">
      <c r="O583" s="472" t="s">
        <v>2423</v>
      </c>
      <c r="P583" s="473" t="s">
        <v>2422</v>
      </c>
    </row>
    <row r="584" spans="15:16" x14ac:dyDescent="0.2">
      <c r="O584" s="472" t="s">
        <v>2425</v>
      </c>
      <c r="P584" s="473" t="s">
        <v>2424</v>
      </c>
    </row>
    <row r="585" spans="15:16" x14ac:dyDescent="0.2">
      <c r="O585" s="472" t="s">
        <v>2427</v>
      </c>
      <c r="P585" s="473" t="s">
        <v>2426</v>
      </c>
    </row>
    <row r="586" spans="15:16" x14ac:dyDescent="0.2">
      <c r="O586" s="472" t="s">
        <v>2429</v>
      </c>
      <c r="P586" s="473" t="s">
        <v>2428</v>
      </c>
    </row>
    <row r="587" spans="15:16" x14ac:dyDescent="0.2">
      <c r="O587" s="472" t="s">
        <v>2431</v>
      </c>
      <c r="P587" s="473" t="s">
        <v>2430</v>
      </c>
    </row>
    <row r="588" spans="15:16" x14ac:dyDescent="0.2">
      <c r="O588" s="472" t="s">
        <v>2433</v>
      </c>
      <c r="P588" s="473" t="s">
        <v>2432</v>
      </c>
    </row>
    <row r="589" spans="15:16" x14ac:dyDescent="0.2">
      <c r="O589" s="472" t="s">
        <v>2435</v>
      </c>
      <c r="P589" s="473" t="s">
        <v>2434</v>
      </c>
    </row>
    <row r="590" spans="15:16" x14ac:dyDescent="0.2">
      <c r="O590" s="472" t="s">
        <v>2437</v>
      </c>
      <c r="P590" s="473" t="s">
        <v>2436</v>
      </c>
    </row>
    <row r="591" spans="15:16" x14ac:dyDescent="0.2">
      <c r="O591" s="472" t="s">
        <v>2439</v>
      </c>
      <c r="P591" s="473" t="s">
        <v>2438</v>
      </c>
    </row>
    <row r="592" spans="15:16" x14ac:dyDescent="0.2">
      <c r="O592" s="472" t="s">
        <v>2441</v>
      </c>
      <c r="P592" s="473" t="s">
        <v>2440</v>
      </c>
    </row>
    <row r="593" spans="15:16" x14ac:dyDescent="0.2">
      <c r="O593" s="472" t="s">
        <v>2443</v>
      </c>
      <c r="P593" s="473" t="s">
        <v>2442</v>
      </c>
    </row>
    <row r="594" spans="15:16" x14ac:dyDescent="0.2">
      <c r="O594" s="472" t="s">
        <v>2445</v>
      </c>
      <c r="P594" s="473" t="s">
        <v>2444</v>
      </c>
    </row>
    <row r="595" spans="15:16" x14ac:dyDescent="0.2">
      <c r="O595" s="472" t="s">
        <v>2447</v>
      </c>
      <c r="P595" s="473" t="s">
        <v>2446</v>
      </c>
    </row>
    <row r="596" spans="15:16" x14ac:dyDescent="0.2">
      <c r="O596" s="472" t="s">
        <v>2449</v>
      </c>
      <c r="P596" s="473" t="s">
        <v>2448</v>
      </c>
    </row>
    <row r="597" spans="15:16" x14ac:dyDescent="0.2">
      <c r="O597" s="472" t="s">
        <v>2451</v>
      </c>
      <c r="P597" s="473" t="s">
        <v>2450</v>
      </c>
    </row>
    <row r="598" spans="15:16" x14ac:dyDescent="0.2">
      <c r="O598" s="472" t="s">
        <v>2453</v>
      </c>
      <c r="P598" s="473" t="s">
        <v>2452</v>
      </c>
    </row>
    <row r="599" spans="15:16" x14ac:dyDescent="0.2">
      <c r="O599" s="472" t="s">
        <v>2455</v>
      </c>
      <c r="P599" s="473" t="s">
        <v>2454</v>
      </c>
    </row>
    <row r="600" spans="15:16" x14ac:dyDescent="0.2">
      <c r="O600" s="472" t="s">
        <v>2457</v>
      </c>
      <c r="P600" s="473" t="s">
        <v>2456</v>
      </c>
    </row>
    <row r="601" spans="15:16" x14ac:dyDescent="0.2">
      <c r="O601" s="472" t="s">
        <v>2459</v>
      </c>
      <c r="P601" s="473" t="s">
        <v>2458</v>
      </c>
    </row>
    <row r="602" spans="15:16" x14ac:dyDescent="0.2">
      <c r="O602" s="472" t="s">
        <v>2461</v>
      </c>
      <c r="P602" s="473" t="s">
        <v>2460</v>
      </c>
    </row>
    <row r="603" spans="15:16" x14ac:dyDescent="0.2">
      <c r="O603" s="472" t="s">
        <v>2463</v>
      </c>
      <c r="P603" s="473" t="s">
        <v>2462</v>
      </c>
    </row>
    <row r="604" spans="15:16" x14ac:dyDescent="0.2">
      <c r="O604" s="472" t="s">
        <v>2465</v>
      </c>
      <c r="P604" s="473" t="s">
        <v>2464</v>
      </c>
    </row>
    <row r="605" spans="15:16" x14ac:dyDescent="0.2">
      <c r="O605" s="472" t="s">
        <v>2467</v>
      </c>
      <c r="P605" s="473" t="s">
        <v>2466</v>
      </c>
    </row>
    <row r="606" spans="15:16" x14ac:dyDescent="0.2">
      <c r="O606" s="472" t="s">
        <v>2469</v>
      </c>
      <c r="P606" s="473" t="s">
        <v>2468</v>
      </c>
    </row>
    <row r="607" spans="15:16" x14ac:dyDescent="0.2">
      <c r="O607" s="472" t="s">
        <v>2471</v>
      </c>
      <c r="P607" s="473" t="s">
        <v>2470</v>
      </c>
    </row>
    <row r="608" spans="15:16" x14ac:dyDescent="0.2">
      <c r="O608" s="472" t="s">
        <v>2473</v>
      </c>
      <c r="P608" s="473" t="s">
        <v>2472</v>
      </c>
    </row>
    <row r="609" spans="15:16" x14ac:dyDescent="0.2">
      <c r="O609" s="472" t="s">
        <v>2475</v>
      </c>
      <c r="P609" s="473" t="s">
        <v>2474</v>
      </c>
    </row>
    <row r="610" spans="15:16" x14ac:dyDescent="0.2">
      <c r="O610" s="472" t="s">
        <v>2477</v>
      </c>
      <c r="P610" s="473" t="s">
        <v>2476</v>
      </c>
    </row>
    <row r="611" spans="15:16" x14ac:dyDescent="0.2">
      <c r="O611" s="472" t="s">
        <v>2479</v>
      </c>
      <c r="P611" s="473" t="s">
        <v>2478</v>
      </c>
    </row>
    <row r="612" spans="15:16" x14ac:dyDescent="0.2">
      <c r="O612" s="472" t="s">
        <v>2481</v>
      </c>
      <c r="P612" s="473" t="s">
        <v>2480</v>
      </c>
    </row>
    <row r="613" spans="15:16" x14ac:dyDescent="0.2">
      <c r="O613" s="472" t="s">
        <v>2483</v>
      </c>
      <c r="P613" s="473" t="s">
        <v>2482</v>
      </c>
    </row>
    <row r="614" spans="15:16" x14ac:dyDescent="0.2">
      <c r="O614" s="472" t="s">
        <v>2485</v>
      </c>
      <c r="P614" s="473" t="s">
        <v>2484</v>
      </c>
    </row>
    <row r="615" spans="15:16" x14ac:dyDescent="0.2">
      <c r="O615" s="472" t="s">
        <v>2487</v>
      </c>
      <c r="P615" s="473" t="s">
        <v>2486</v>
      </c>
    </row>
    <row r="616" spans="15:16" x14ac:dyDescent="0.2">
      <c r="O616" s="472" t="s">
        <v>2489</v>
      </c>
      <c r="P616" s="473" t="s">
        <v>2488</v>
      </c>
    </row>
    <row r="617" spans="15:16" x14ac:dyDescent="0.2">
      <c r="O617" s="472" t="s">
        <v>2491</v>
      </c>
      <c r="P617" s="473" t="s">
        <v>2490</v>
      </c>
    </row>
    <row r="618" spans="15:16" x14ac:dyDescent="0.2">
      <c r="O618" s="472" t="s">
        <v>2493</v>
      </c>
      <c r="P618" s="473" t="s">
        <v>2492</v>
      </c>
    </row>
    <row r="619" spans="15:16" x14ac:dyDescent="0.2">
      <c r="O619" s="472" t="s">
        <v>2495</v>
      </c>
      <c r="P619" s="473" t="s">
        <v>2494</v>
      </c>
    </row>
    <row r="620" spans="15:16" x14ac:dyDescent="0.2">
      <c r="O620" s="472" t="s">
        <v>2497</v>
      </c>
      <c r="P620" s="473" t="s">
        <v>2496</v>
      </c>
    </row>
    <row r="621" spans="15:16" x14ac:dyDescent="0.2">
      <c r="O621" s="472" t="s">
        <v>2499</v>
      </c>
      <c r="P621" s="473" t="s">
        <v>2498</v>
      </c>
    </row>
    <row r="622" spans="15:16" x14ac:dyDescent="0.2">
      <c r="O622" s="472" t="s">
        <v>2501</v>
      </c>
      <c r="P622" s="473" t="s">
        <v>2500</v>
      </c>
    </row>
    <row r="623" spans="15:16" x14ac:dyDescent="0.2">
      <c r="O623" s="472" t="s">
        <v>2503</v>
      </c>
      <c r="P623" s="473" t="s">
        <v>2502</v>
      </c>
    </row>
    <row r="624" spans="15:16" x14ac:dyDescent="0.2">
      <c r="O624" s="472" t="s">
        <v>2505</v>
      </c>
      <c r="P624" s="473" t="s">
        <v>2504</v>
      </c>
    </row>
    <row r="625" spans="15:16" x14ac:dyDescent="0.2">
      <c r="O625" s="472" t="s">
        <v>2507</v>
      </c>
      <c r="P625" s="473" t="s">
        <v>2506</v>
      </c>
    </row>
    <row r="626" spans="15:16" x14ac:dyDescent="0.2">
      <c r="O626" s="472" t="s">
        <v>2509</v>
      </c>
      <c r="P626" s="473" t="s">
        <v>2508</v>
      </c>
    </row>
    <row r="627" spans="15:16" x14ac:dyDescent="0.2">
      <c r="O627" s="472" t="s">
        <v>2511</v>
      </c>
      <c r="P627" s="473" t="s">
        <v>2510</v>
      </c>
    </row>
    <row r="628" spans="15:16" x14ac:dyDescent="0.2">
      <c r="O628" s="472" t="s">
        <v>2513</v>
      </c>
      <c r="P628" s="473" t="s">
        <v>2512</v>
      </c>
    </row>
    <row r="629" spans="15:16" x14ac:dyDescent="0.2">
      <c r="O629" s="472" t="s">
        <v>2515</v>
      </c>
      <c r="P629" s="473" t="s">
        <v>2514</v>
      </c>
    </row>
    <row r="630" spans="15:16" x14ac:dyDescent="0.2">
      <c r="O630" s="472" t="s">
        <v>2517</v>
      </c>
      <c r="P630" s="473" t="s">
        <v>2516</v>
      </c>
    </row>
    <row r="631" spans="15:16" x14ac:dyDescent="0.2">
      <c r="O631" s="472" t="s">
        <v>2519</v>
      </c>
      <c r="P631" s="473" t="s">
        <v>2518</v>
      </c>
    </row>
    <row r="632" spans="15:16" x14ac:dyDescent="0.2">
      <c r="O632" s="472" t="s">
        <v>2521</v>
      </c>
      <c r="P632" s="473" t="s">
        <v>2520</v>
      </c>
    </row>
    <row r="633" spans="15:16" x14ac:dyDescent="0.2">
      <c r="O633" s="472" t="s">
        <v>2523</v>
      </c>
      <c r="P633" s="473" t="s">
        <v>2522</v>
      </c>
    </row>
    <row r="634" spans="15:16" x14ac:dyDescent="0.2">
      <c r="O634" s="472" t="s">
        <v>2525</v>
      </c>
      <c r="P634" s="473" t="s">
        <v>2524</v>
      </c>
    </row>
    <row r="635" spans="15:16" x14ac:dyDescent="0.2">
      <c r="O635" s="472" t="s">
        <v>2527</v>
      </c>
      <c r="P635" s="473" t="s">
        <v>2526</v>
      </c>
    </row>
    <row r="636" spans="15:16" x14ac:dyDescent="0.2">
      <c r="O636" s="472" t="s">
        <v>2529</v>
      </c>
      <c r="P636" s="473" t="s">
        <v>2528</v>
      </c>
    </row>
    <row r="637" spans="15:16" x14ac:dyDescent="0.2">
      <c r="O637" s="472" t="s">
        <v>2531</v>
      </c>
      <c r="P637" s="473" t="s">
        <v>2530</v>
      </c>
    </row>
    <row r="638" spans="15:16" x14ac:dyDescent="0.2">
      <c r="O638" s="472" t="s">
        <v>2533</v>
      </c>
      <c r="P638" s="473" t="s">
        <v>2532</v>
      </c>
    </row>
    <row r="639" spans="15:16" x14ac:dyDescent="0.2">
      <c r="O639" s="472" t="s">
        <v>2535</v>
      </c>
      <c r="P639" s="473" t="s">
        <v>2534</v>
      </c>
    </row>
    <row r="640" spans="15:16" x14ac:dyDescent="0.2">
      <c r="O640" s="472" t="s">
        <v>2537</v>
      </c>
      <c r="P640" s="473" t="s">
        <v>2536</v>
      </c>
    </row>
    <row r="641" spans="15:16" x14ac:dyDescent="0.2">
      <c r="O641" s="472" t="s">
        <v>2539</v>
      </c>
      <c r="P641" s="473" t="s">
        <v>2538</v>
      </c>
    </row>
    <row r="642" spans="15:16" x14ac:dyDescent="0.2">
      <c r="O642" s="472" t="s">
        <v>2541</v>
      </c>
      <c r="P642" s="473" t="s">
        <v>2540</v>
      </c>
    </row>
    <row r="643" spans="15:16" x14ac:dyDescent="0.2">
      <c r="O643" s="472" t="s">
        <v>2543</v>
      </c>
      <c r="P643" s="473" t="s">
        <v>2542</v>
      </c>
    </row>
    <row r="644" spans="15:16" x14ac:dyDescent="0.2">
      <c r="O644" s="472" t="s">
        <v>2545</v>
      </c>
      <c r="P644" s="473" t="s">
        <v>2544</v>
      </c>
    </row>
    <row r="645" spans="15:16" x14ac:dyDescent="0.2">
      <c r="O645" s="472" t="s">
        <v>2547</v>
      </c>
      <c r="P645" s="473" t="s">
        <v>2546</v>
      </c>
    </row>
    <row r="646" spans="15:16" x14ac:dyDescent="0.2">
      <c r="O646" s="472" t="s">
        <v>2549</v>
      </c>
      <c r="P646" s="473" t="s">
        <v>2548</v>
      </c>
    </row>
    <row r="647" spans="15:16" x14ac:dyDescent="0.2">
      <c r="O647" s="472" t="s">
        <v>2551</v>
      </c>
      <c r="P647" s="473" t="s">
        <v>2550</v>
      </c>
    </row>
    <row r="648" spans="15:16" x14ac:dyDescent="0.2">
      <c r="O648" s="472" t="s">
        <v>2553</v>
      </c>
      <c r="P648" s="473" t="s">
        <v>2552</v>
      </c>
    </row>
    <row r="649" spans="15:16" x14ac:dyDescent="0.2">
      <c r="O649" s="472" t="s">
        <v>2555</v>
      </c>
      <c r="P649" s="473" t="s">
        <v>2554</v>
      </c>
    </row>
    <row r="650" spans="15:16" x14ac:dyDescent="0.2">
      <c r="O650" s="472" t="s">
        <v>2557</v>
      </c>
      <c r="P650" s="473" t="s">
        <v>2556</v>
      </c>
    </row>
    <row r="651" spans="15:16" x14ac:dyDescent="0.2">
      <c r="O651" s="472" t="s">
        <v>2559</v>
      </c>
      <c r="P651" s="473" t="s">
        <v>2558</v>
      </c>
    </row>
    <row r="652" spans="15:16" x14ac:dyDescent="0.2">
      <c r="O652" s="472" t="s">
        <v>2561</v>
      </c>
      <c r="P652" s="473" t="s">
        <v>2560</v>
      </c>
    </row>
    <row r="653" spans="15:16" x14ac:dyDescent="0.2">
      <c r="O653" s="472" t="s">
        <v>2563</v>
      </c>
      <c r="P653" s="473" t="s">
        <v>2562</v>
      </c>
    </row>
    <row r="654" spans="15:16" x14ac:dyDescent="0.2">
      <c r="O654" s="472" t="s">
        <v>2565</v>
      </c>
      <c r="P654" s="473" t="s">
        <v>2564</v>
      </c>
    </row>
    <row r="655" spans="15:16" x14ac:dyDescent="0.2">
      <c r="O655" s="472" t="s">
        <v>2567</v>
      </c>
      <c r="P655" s="473" t="s">
        <v>2566</v>
      </c>
    </row>
    <row r="656" spans="15:16" x14ac:dyDescent="0.2">
      <c r="O656" s="472" t="s">
        <v>2569</v>
      </c>
      <c r="P656" s="473" t="s">
        <v>2568</v>
      </c>
    </row>
    <row r="657" spans="15:16" x14ac:dyDescent="0.2">
      <c r="O657" s="472" t="s">
        <v>2571</v>
      </c>
      <c r="P657" s="473" t="s">
        <v>2570</v>
      </c>
    </row>
    <row r="658" spans="15:16" x14ac:dyDescent="0.2">
      <c r="O658" s="472" t="s">
        <v>2573</v>
      </c>
      <c r="P658" s="473" t="s">
        <v>2572</v>
      </c>
    </row>
    <row r="659" spans="15:16" x14ac:dyDescent="0.2">
      <c r="O659" s="472" t="s">
        <v>2575</v>
      </c>
      <c r="P659" s="473" t="s">
        <v>2574</v>
      </c>
    </row>
    <row r="660" spans="15:16" x14ac:dyDescent="0.2">
      <c r="O660" s="472" t="s">
        <v>2577</v>
      </c>
      <c r="P660" s="473" t="s">
        <v>2576</v>
      </c>
    </row>
    <row r="661" spans="15:16" x14ac:dyDescent="0.2">
      <c r="O661" s="472" t="s">
        <v>2579</v>
      </c>
      <c r="P661" s="473" t="s">
        <v>2578</v>
      </c>
    </row>
    <row r="662" spans="15:16" x14ac:dyDescent="0.2">
      <c r="O662" s="472" t="s">
        <v>2581</v>
      </c>
      <c r="P662" s="473" t="s">
        <v>2580</v>
      </c>
    </row>
    <row r="663" spans="15:16" x14ac:dyDescent="0.2">
      <c r="O663" s="472" t="s">
        <v>2583</v>
      </c>
      <c r="P663" s="473" t="s">
        <v>2582</v>
      </c>
    </row>
    <row r="664" spans="15:16" x14ac:dyDescent="0.2">
      <c r="O664" s="472" t="s">
        <v>2585</v>
      </c>
      <c r="P664" s="473" t="s">
        <v>2584</v>
      </c>
    </row>
    <row r="665" spans="15:16" x14ac:dyDescent="0.2">
      <c r="O665" s="472" t="s">
        <v>2587</v>
      </c>
      <c r="P665" s="473" t="s">
        <v>2586</v>
      </c>
    </row>
    <row r="666" spans="15:16" x14ac:dyDescent="0.2">
      <c r="O666" s="472" t="s">
        <v>2589</v>
      </c>
      <c r="P666" s="473" t="s">
        <v>2588</v>
      </c>
    </row>
    <row r="667" spans="15:16" x14ac:dyDescent="0.2">
      <c r="O667" s="472" t="s">
        <v>2591</v>
      </c>
      <c r="P667" s="473" t="s">
        <v>2590</v>
      </c>
    </row>
    <row r="668" spans="15:16" x14ac:dyDescent="0.2">
      <c r="O668" s="472" t="s">
        <v>2593</v>
      </c>
      <c r="P668" s="473" t="s">
        <v>2592</v>
      </c>
    </row>
    <row r="669" spans="15:16" x14ac:dyDescent="0.2">
      <c r="O669" s="472" t="s">
        <v>2595</v>
      </c>
      <c r="P669" s="473" t="s">
        <v>2594</v>
      </c>
    </row>
    <row r="670" spans="15:16" x14ac:dyDescent="0.2">
      <c r="O670" s="472" t="s">
        <v>2597</v>
      </c>
      <c r="P670" s="473" t="s">
        <v>2596</v>
      </c>
    </row>
    <row r="671" spans="15:16" x14ac:dyDescent="0.2">
      <c r="O671" s="472" t="s">
        <v>2599</v>
      </c>
      <c r="P671" s="473" t="s">
        <v>2598</v>
      </c>
    </row>
    <row r="672" spans="15:16" x14ac:dyDescent="0.2">
      <c r="O672" s="472" t="s">
        <v>2601</v>
      </c>
      <c r="P672" s="473" t="s">
        <v>2600</v>
      </c>
    </row>
    <row r="673" spans="15:16" x14ac:dyDescent="0.2">
      <c r="O673" s="472" t="s">
        <v>2603</v>
      </c>
      <c r="P673" s="473" t="s">
        <v>2602</v>
      </c>
    </row>
    <row r="674" spans="15:16" x14ac:dyDescent="0.2">
      <c r="O674" s="472" t="s">
        <v>2605</v>
      </c>
      <c r="P674" s="473" t="s">
        <v>2604</v>
      </c>
    </row>
    <row r="675" spans="15:16" x14ac:dyDescent="0.2">
      <c r="O675" s="472" t="s">
        <v>2607</v>
      </c>
      <c r="P675" s="473" t="s">
        <v>2606</v>
      </c>
    </row>
    <row r="676" spans="15:16" x14ac:dyDescent="0.2">
      <c r="O676" s="472" t="s">
        <v>2609</v>
      </c>
      <c r="P676" s="473" t="s">
        <v>2608</v>
      </c>
    </row>
    <row r="677" spans="15:16" x14ac:dyDescent="0.2">
      <c r="O677" s="472" t="s">
        <v>2611</v>
      </c>
      <c r="P677" s="473" t="s">
        <v>2610</v>
      </c>
    </row>
    <row r="678" spans="15:16" x14ac:dyDescent="0.2">
      <c r="O678" s="472" t="s">
        <v>2613</v>
      </c>
      <c r="P678" s="473" t="s">
        <v>2612</v>
      </c>
    </row>
    <row r="679" spans="15:16" x14ac:dyDescent="0.2">
      <c r="O679" s="472" t="s">
        <v>2615</v>
      </c>
      <c r="P679" s="473" t="s">
        <v>2614</v>
      </c>
    </row>
    <row r="680" spans="15:16" x14ac:dyDescent="0.2">
      <c r="O680" s="472" t="s">
        <v>2617</v>
      </c>
      <c r="P680" s="473" t="s">
        <v>2616</v>
      </c>
    </row>
    <row r="681" spans="15:16" x14ac:dyDescent="0.2">
      <c r="O681" s="472" t="s">
        <v>2619</v>
      </c>
      <c r="P681" s="473" t="s">
        <v>2618</v>
      </c>
    </row>
    <row r="682" spans="15:16" x14ac:dyDescent="0.2">
      <c r="O682" s="472" t="s">
        <v>2621</v>
      </c>
      <c r="P682" s="473" t="s">
        <v>2620</v>
      </c>
    </row>
    <row r="683" spans="15:16" x14ac:dyDescent="0.2">
      <c r="O683" s="472" t="s">
        <v>2623</v>
      </c>
      <c r="P683" s="473" t="s">
        <v>2622</v>
      </c>
    </row>
    <row r="684" spans="15:16" x14ac:dyDescent="0.2">
      <c r="O684" s="472" t="s">
        <v>2625</v>
      </c>
      <c r="P684" s="473" t="s">
        <v>2624</v>
      </c>
    </row>
    <row r="685" spans="15:16" x14ac:dyDescent="0.2">
      <c r="O685" s="472" t="s">
        <v>2627</v>
      </c>
      <c r="P685" s="473" t="s">
        <v>2626</v>
      </c>
    </row>
    <row r="686" spans="15:16" x14ac:dyDescent="0.2">
      <c r="O686" s="472" t="s">
        <v>2629</v>
      </c>
      <c r="P686" s="473" t="s">
        <v>2628</v>
      </c>
    </row>
    <row r="687" spans="15:16" x14ac:dyDescent="0.2">
      <c r="O687" s="472" t="s">
        <v>2631</v>
      </c>
      <c r="P687" s="473" t="s">
        <v>2630</v>
      </c>
    </row>
    <row r="688" spans="15:16" x14ac:dyDescent="0.2">
      <c r="O688" s="472" t="s">
        <v>2633</v>
      </c>
      <c r="P688" s="473" t="s">
        <v>2632</v>
      </c>
    </row>
    <row r="689" spans="15:16" x14ac:dyDescent="0.2">
      <c r="O689" s="472" t="s">
        <v>2635</v>
      </c>
      <c r="P689" s="473" t="s">
        <v>2634</v>
      </c>
    </row>
    <row r="690" spans="15:16" x14ac:dyDescent="0.2">
      <c r="O690" s="472" t="s">
        <v>2637</v>
      </c>
      <c r="P690" s="473" t="s">
        <v>2636</v>
      </c>
    </row>
    <row r="691" spans="15:16" x14ac:dyDescent="0.2">
      <c r="O691" s="472" t="s">
        <v>2639</v>
      </c>
      <c r="P691" s="473" t="s">
        <v>2638</v>
      </c>
    </row>
    <row r="692" spans="15:16" x14ac:dyDescent="0.2">
      <c r="O692" s="472" t="s">
        <v>2641</v>
      </c>
      <c r="P692" s="473" t="s">
        <v>2640</v>
      </c>
    </row>
    <row r="693" spans="15:16" x14ac:dyDescent="0.2">
      <c r="O693" s="472" t="s">
        <v>2643</v>
      </c>
      <c r="P693" s="473" t="s">
        <v>2642</v>
      </c>
    </row>
    <row r="694" spans="15:16" x14ac:dyDescent="0.2">
      <c r="O694" s="472" t="s">
        <v>2645</v>
      </c>
      <c r="P694" s="473" t="s">
        <v>2644</v>
      </c>
    </row>
    <row r="695" spans="15:16" x14ac:dyDescent="0.2">
      <c r="O695" s="472" t="s">
        <v>2647</v>
      </c>
      <c r="P695" s="473" t="s">
        <v>2646</v>
      </c>
    </row>
    <row r="696" spans="15:16" x14ac:dyDescent="0.2">
      <c r="O696" s="472" t="s">
        <v>2649</v>
      </c>
      <c r="P696" s="473" t="s">
        <v>2648</v>
      </c>
    </row>
    <row r="697" spans="15:16" x14ac:dyDescent="0.2">
      <c r="O697" s="472" t="s">
        <v>2651</v>
      </c>
      <c r="P697" s="473" t="s">
        <v>2650</v>
      </c>
    </row>
    <row r="698" spans="15:16" x14ac:dyDescent="0.2">
      <c r="O698" s="472" t="s">
        <v>2653</v>
      </c>
      <c r="P698" s="473" t="s">
        <v>2652</v>
      </c>
    </row>
    <row r="699" spans="15:16" x14ac:dyDescent="0.2">
      <c r="O699" s="472" t="s">
        <v>2655</v>
      </c>
      <c r="P699" s="473" t="s">
        <v>2654</v>
      </c>
    </row>
    <row r="700" spans="15:16" x14ac:dyDescent="0.2">
      <c r="O700" s="472" t="s">
        <v>2657</v>
      </c>
      <c r="P700" s="473" t="s">
        <v>2656</v>
      </c>
    </row>
    <row r="701" spans="15:16" x14ac:dyDescent="0.2">
      <c r="O701" s="472" t="s">
        <v>2659</v>
      </c>
      <c r="P701" s="473" t="s">
        <v>2658</v>
      </c>
    </row>
    <row r="702" spans="15:16" x14ac:dyDescent="0.2">
      <c r="O702" s="472" t="s">
        <v>2661</v>
      </c>
      <c r="P702" s="473" t="s">
        <v>2660</v>
      </c>
    </row>
    <row r="703" spans="15:16" x14ac:dyDescent="0.2">
      <c r="O703" s="472" t="s">
        <v>2663</v>
      </c>
      <c r="P703" s="473" t="s">
        <v>2662</v>
      </c>
    </row>
    <row r="704" spans="15:16" x14ac:dyDescent="0.2">
      <c r="O704" s="472" t="s">
        <v>2665</v>
      </c>
      <c r="P704" s="473" t="s">
        <v>2664</v>
      </c>
    </row>
    <row r="705" spans="15:16" x14ac:dyDescent="0.2">
      <c r="O705" s="472" t="s">
        <v>2667</v>
      </c>
      <c r="P705" s="473" t="s">
        <v>2666</v>
      </c>
    </row>
    <row r="706" spans="15:16" x14ac:dyDescent="0.2">
      <c r="O706" s="472" t="s">
        <v>2669</v>
      </c>
      <c r="P706" s="473" t="s">
        <v>2668</v>
      </c>
    </row>
    <row r="707" spans="15:16" x14ac:dyDescent="0.2">
      <c r="O707" s="472" t="s">
        <v>2671</v>
      </c>
      <c r="P707" s="473" t="s">
        <v>2670</v>
      </c>
    </row>
    <row r="708" spans="15:16" x14ac:dyDescent="0.2">
      <c r="O708" s="472" t="s">
        <v>2673</v>
      </c>
      <c r="P708" s="473" t="s">
        <v>2672</v>
      </c>
    </row>
    <row r="709" spans="15:16" x14ac:dyDescent="0.2">
      <c r="O709" s="472" t="s">
        <v>2675</v>
      </c>
      <c r="P709" s="473" t="s">
        <v>2674</v>
      </c>
    </row>
    <row r="710" spans="15:16" x14ac:dyDescent="0.2">
      <c r="O710" s="472" t="s">
        <v>2677</v>
      </c>
      <c r="P710" s="473" t="s">
        <v>2676</v>
      </c>
    </row>
    <row r="711" spans="15:16" x14ac:dyDescent="0.2">
      <c r="O711" s="472" t="s">
        <v>2679</v>
      </c>
      <c r="P711" s="473" t="s">
        <v>2678</v>
      </c>
    </row>
    <row r="712" spans="15:16" x14ac:dyDescent="0.2">
      <c r="O712" s="472" t="s">
        <v>2681</v>
      </c>
      <c r="P712" s="473" t="s">
        <v>2680</v>
      </c>
    </row>
    <row r="713" spans="15:16" x14ac:dyDescent="0.2">
      <c r="O713" s="472" t="s">
        <v>2683</v>
      </c>
      <c r="P713" s="473" t="s">
        <v>2682</v>
      </c>
    </row>
    <row r="714" spans="15:16" x14ac:dyDescent="0.2">
      <c r="O714" s="472" t="s">
        <v>2685</v>
      </c>
      <c r="P714" s="473" t="s">
        <v>2684</v>
      </c>
    </row>
    <row r="715" spans="15:16" x14ac:dyDescent="0.2">
      <c r="O715" s="472" t="s">
        <v>2687</v>
      </c>
      <c r="P715" s="473" t="s">
        <v>2686</v>
      </c>
    </row>
    <row r="716" spans="15:16" x14ac:dyDescent="0.2">
      <c r="O716" s="472" t="s">
        <v>2689</v>
      </c>
      <c r="P716" s="473" t="s">
        <v>2688</v>
      </c>
    </row>
    <row r="717" spans="15:16" x14ac:dyDescent="0.2">
      <c r="O717" s="472" t="s">
        <v>2691</v>
      </c>
      <c r="P717" s="473" t="s">
        <v>2690</v>
      </c>
    </row>
    <row r="718" spans="15:16" x14ac:dyDescent="0.2">
      <c r="O718" s="472" t="s">
        <v>2693</v>
      </c>
      <c r="P718" s="473" t="s">
        <v>2692</v>
      </c>
    </row>
    <row r="719" spans="15:16" x14ac:dyDescent="0.2">
      <c r="O719" s="472" t="s">
        <v>2695</v>
      </c>
      <c r="P719" s="473" t="s">
        <v>2694</v>
      </c>
    </row>
    <row r="720" spans="15:16" x14ac:dyDescent="0.2">
      <c r="O720" s="472" t="s">
        <v>2697</v>
      </c>
      <c r="P720" s="473" t="s">
        <v>2696</v>
      </c>
    </row>
    <row r="721" spans="15:16" x14ac:dyDescent="0.2">
      <c r="O721" s="472" t="s">
        <v>2699</v>
      </c>
      <c r="P721" s="473" t="s">
        <v>2698</v>
      </c>
    </row>
    <row r="722" spans="15:16" x14ac:dyDescent="0.2">
      <c r="O722" s="472" t="s">
        <v>2701</v>
      </c>
      <c r="P722" s="473" t="s">
        <v>2700</v>
      </c>
    </row>
    <row r="723" spans="15:16" x14ac:dyDescent="0.2">
      <c r="O723" s="472" t="s">
        <v>2703</v>
      </c>
      <c r="P723" s="473" t="s">
        <v>2702</v>
      </c>
    </row>
    <row r="724" spans="15:16" x14ac:dyDescent="0.2">
      <c r="O724" s="472" t="s">
        <v>2705</v>
      </c>
      <c r="P724" s="473" t="s">
        <v>2704</v>
      </c>
    </row>
    <row r="725" spans="15:16" x14ac:dyDescent="0.2">
      <c r="O725" s="472" t="s">
        <v>2707</v>
      </c>
      <c r="P725" s="473" t="s">
        <v>2706</v>
      </c>
    </row>
    <row r="726" spans="15:16" x14ac:dyDescent="0.2">
      <c r="O726" s="472" t="s">
        <v>2709</v>
      </c>
      <c r="P726" s="473" t="s">
        <v>2708</v>
      </c>
    </row>
    <row r="727" spans="15:16" x14ac:dyDescent="0.2">
      <c r="O727" s="472" t="s">
        <v>2711</v>
      </c>
      <c r="P727" s="473" t="s">
        <v>2710</v>
      </c>
    </row>
    <row r="728" spans="15:16" x14ac:dyDescent="0.2">
      <c r="O728" s="472" t="s">
        <v>2713</v>
      </c>
      <c r="P728" s="473" t="s">
        <v>2712</v>
      </c>
    </row>
    <row r="729" spans="15:16" x14ac:dyDescent="0.2">
      <c r="O729" s="472" t="s">
        <v>2715</v>
      </c>
      <c r="P729" s="473" t="s">
        <v>2714</v>
      </c>
    </row>
    <row r="730" spans="15:16" x14ac:dyDescent="0.2">
      <c r="O730" s="472" t="s">
        <v>2717</v>
      </c>
      <c r="P730" s="473" t="s">
        <v>2716</v>
      </c>
    </row>
    <row r="731" spans="15:16" x14ac:dyDescent="0.2">
      <c r="O731" s="472" t="s">
        <v>2719</v>
      </c>
      <c r="P731" s="473" t="s">
        <v>2718</v>
      </c>
    </row>
    <row r="732" spans="15:16" x14ac:dyDescent="0.2">
      <c r="O732" s="472" t="s">
        <v>2721</v>
      </c>
      <c r="P732" s="473" t="s">
        <v>2720</v>
      </c>
    </row>
    <row r="733" spans="15:16" x14ac:dyDescent="0.2">
      <c r="O733" s="472" t="s">
        <v>2723</v>
      </c>
      <c r="P733" s="473" t="s">
        <v>2722</v>
      </c>
    </row>
    <row r="734" spans="15:16" x14ac:dyDescent="0.2">
      <c r="O734" s="472" t="s">
        <v>2725</v>
      </c>
      <c r="P734" s="473" t="s">
        <v>2724</v>
      </c>
    </row>
    <row r="735" spans="15:16" x14ac:dyDescent="0.2">
      <c r="O735" s="472" t="s">
        <v>2727</v>
      </c>
      <c r="P735" s="473" t="s">
        <v>2726</v>
      </c>
    </row>
    <row r="736" spans="15:16" x14ac:dyDescent="0.2">
      <c r="O736" s="472" t="s">
        <v>2729</v>
      </c>
      <c r="P736" s="473" t="s">
        <v>2728</v>
      </c>
    </row>
    <row r="737" spans="15:16" x14ac:dyDescent="0.2">
      <c r="O737" s="472" t="s">
        <v>2731</v>
      </c>
      <c r="P737" s="473" t="s">
        <v>2730</v>
      </c>
    </row>
    <row r="738" spans="15:16" x14ac:dyDescent="0.2">
      <c r="O738" s="472" t="s">
        <v>2733</v>
      </c>
      <c r="P738" s="473" t="s">
        <v>2732</v>
      </c>
    </row>
    <row r="739" spans="15:16" x14ac:dyDescent="0.2">
      <c r="O739" s="472" t="s">
        <v>2735</v>
      </c>
      <c r="P739" s="473" t="s">
        <v>2734</v>
      </c>
    </row>
    <row r="740" spans="15:16" x14ac:dyDescent="0.2">
      <c r="O740" s="472" t="s">
        <v>2737</v>
      </c>
      <c r="P740" s="473" t="s">
        <v>2736</v>
      </c>
    </row>
    <row r="741" spans="15:16" x14ac:dyDescent="0.2">
      <c r="O741" s="472" t="s">
        <v>2739</v>
      </c>
      <c r="P741" s="473" t="s">
        <v>2738</v>
      </c>
    </row>
    <row r="742" spans="15:16" x14ac:dyDescent="0.2">
      <c r="O742" s="472" t="s">
        <v>2741</v>
      </c>
      <c r="P742" s="473" t="s">
        <v>2740</v>
      </c>
    </row>
    <row r="743" spans="15:16" x14ac:dyDescent="0.2">
      <c r="O743" s="472" t="s">
        <v>2743</v>
      </c>
      <c r="P743" s="473" t="s">
        <v>2742</v>
      </c>
    </row>
    <row r="744" spans="15:16" x14ac:dyDescent="0.2">
      <c r="O744" s="472" t="s">
        <v>2745</v>
      </c>
      <c r="P744" s="473" t="s">
        <v>2744</v>
      </c>
    </row>
    <row r="745" spans="15:16" x14ac:dyDescent="0.2">
      <c r="O745" s="472" t="s">
        <v>2747</v>
      </c>
      <c r="P745" s="473" t="s">
        <v>2746</v>
      </c>
    </row>
    <row r="746" spans="15:16" x14ac:dyDescent="0.2">
      <c r="O746" s="472" t="s">
        <v>2749</v>
      </c>
      <c r="P746" s="473" t="s">
        <v>2748</v>
      </c>
    </row>
    <row r="747" spans="15:16" x14ac:dyDescent="0.2">
      <c r="O747" s="472" t="s">
        <v>2751</v>
      </c>
      <c r="P747" s="473" t="s">
        <v>2750</v>
      </c>
    </row>
    <row r="748" spans="15:16" x14ac:dyDescent="0.2">
      <c r="O748" s="472" t="s">
        <v>2753</v>
      </c>
      <c r="P748" s="473" t="s">
        <v>2752</v>
      </c>
    </row>
    <row r="749" spans="15:16" x14ac:dyDescent="0.2">
      <c r="O749" s="472" t="s">
        <v>2755</v>
      </c>
      <c r="P749" s="473" t="s">
        <v>2754</v>
      </c>
    </row>
    <row r="750" spans="15:16" x14ac:dyDescent="0.2">
      <c r="O750" s="472" t="s">
        <v>2757</v>
      </c>
      <c r="P750" s="473" t="s">
        <v>2756</v>
      </c>
    </row>
    <row r="751" spans="15:16" x14ac:dyDescent="0.2">
      <c r="O751" s="472" t="s">
        <v>2759</v>
      </c>
      <c r="P751" s="473" t="s">
        <v>2758</v>
      </c>
    </row>
    <row r="752" spans="15:16" x14ac:dyDescent="0.2">
      <c r="O752" s="472" t="s">
        <v>2761</v>
      </c>
      <c r="P752" s="473" t="s">
        <v>2760</v>
      </c>
    </row>
    <row r="753" spans="15:16" x14ac:dyDescent="0.2">
      <c r="O753" s="472" t="s">
        <v>2763</v>
      </c>
      <c r="P753" s="473" t="s">
        <v>2762</v>
      </c>
    </row>
    <row r="754" spans="15:16" x14ac:dyDescent="0.2">
      <c r="O754" s="472" t="s">
        <v>2765</v>
      </c>
      <c r="P754" s="473" t="s">
        <v>2764</v>
      </c>
    </row>
    <row r="755" spans="15:16" x14ac:dyDescent="0.2">
      <c r="O755" s="472" t="s">
        <v>2767</v>
      </c>
      <c r="P755" s="473" t="s">
        <v>2766</v>
      </c>
    </row>
    <row r="756" spans="15:16" x14ac:dyDescent="0.2">
      <c r="O756" s="472" t="s">
        <v>2769</v>
      </c>
      <c r="P756" s="473" t="s">
        <v>2768</v>
      </c>
    </row>
    <row r="757" spans="15:16" x14ac:dyDescent="0.2">
      <c r="O757" s="472" t="s">
        <v>2771</v>
      </c>
      <c r="P757" s="473" t="s">
        <v>2770</v>
      </c>
    </row>
    <row r="758" spans="15:16" x14ac:dyDescent="0.2">
      <c r="O758" s="472" t="s">
        <v>2773</v>
      </c>
      <c r="P758" s="473" t="s">
        <v>2772</v>
      </c>
    </row>
    <row r="759" spans="15:16" x14ac:dyDescent="0.2">
      <c r="O759" s="472" t="s">
        <v>2775</v>
      </c>
      <c r="P759" s="473" t="s">
        <v>2774</v>
      </c>
    </row>
    <row r="760" spans="15:16" x14ac:dyDescent="0.2">
      <c r="O760" s="472" t="s">
        <v>2777</v>
      </c>
      <c r="P760" s="473" t="s">
        <v>2776</v>
      </c>
    </row>
    <row r="761" spans="15:16" x14ac:dyDescent="0.2">
      <c r="O761" s="472" t="s">
        <v>2779</v>
      </c>
      <c r="P761" s="473" t="s">
        <v>2778</v>
      </c>
    </row>
    <row r="762" spans="15:16" x14ac:dyDescent="0.2">
      <c r="O762" s="472" t="s">
        <v>2781</v>
      </c>
      <c r="P762" s="473" t="s">
        <v>2780</v>
      </c>
    </row>
    <row r="763" spans="15:16" x14ac:dyDescent="0.2">
      <c r="O763" s="472" t="s">
        <v>2783</v>
      </c>
      <c r="P763" s="473" t="s">
        <v>2782</v>
      </c>
    </row>
    <row r="764" spans="15:16" x14ac:dyDescent="0.2">
      <c r="O764" s="472" t="s">
        <v>2785</v>
      </c>
      <c r="P764" s="473" t="s">
        <v>2784</v>
      </c>
    </row>
    <row r="765" spans="15:16" x14ac:dyDescent="0.2">
      <c r="O765" s="472" t="s">
        <v>2787</v>
      </c>
      <c r="P765" s="473" t="s">
        <v>2786</v>
      </c>
    </row>
    <row r="766" spans="15:16" x14ac:dyDescent="0.2">
      <c r="O766" s="472" t="s">
        <v>2789</v>
      </c>
      <c r="P766" s="473" t="s">
        <v>2788</v>
      </c>
    </row>
    <row r="767" spans="15:16" x14ac:dyDescent="0.2">
      <c r="O767" s="472" t="s">
        <v>2791</v>
      </c>
      <c r="P767" s="473" t="s">
        <v>2790</v>
      </c>
    </row>
    <row r="768" spans="15:16" x14ac:dyDescent="0.2">
      <c r="O768" s="472" t="s">
        <v>2793</v>
      </c>
      <c r="P768" s="473" t="s">
        <v>2792</v>
      </c>
    </row>
    <row r="769" spans="15:16" x14ac:dyDescent="0.2">
      <c r="O769" s="472" t="s">
        <v>2795</v>
      </c>
      <c r="P769" s="473" t="s">
        <v>2794</v>
      </c>
    </row>
    <row r="770" spans="15:16" x14ac:dyDescent="0.2">
      <c r="O770" s="472" t="s">
        <v>2797</v>
      </c>
      <c r="P770" s="473" t="s">
        <v>2796</v>
      </c>
    </row>
    <row r="771" spans="15:16" x14ac:dyDescent="0.2">
      <c r="O771" s="472" t="s">
        <v>2799</v>
      </c>
      <c r="P771" s="473" t="s">
        <v>2798</v>
      </c>
    </row>
    <row r="772" spans="15:16" x14ac:dyDescent="0.2">
      <c r="O772" s="472" t="s">
        <v>2801</v>
      </c>
      <c r="P772" s="473" t="s">
        <v>2800</v>
      </c>
    </row>
    <row r="773" spans="15:16" x14ac:dyDescent="0.2">
      <c r="O773" s="472" t="s">
        <v>2803</v>
      </c>
      <c r="P773" s="473" t="s">
        <v>2802</v>
      </c>
    </row>
    <row r="774" spans="15:16" x14ac:dyDescent="0.2">
      <c r="O774" s="472" t="s">
        <v>2805</v>
      </c>
      <c r="P774" s="473" t="s">
        <v>2804</v>
      </c>
    </row>
    <row r="775" spans="15:16" x14ac:dyDescent="0.2">
      <c r="O775" s="472" t="s">
        <v>2807</v>
      </c>
      <c r="P775" s="473" t="s">
        <v>2806</v>
      </c>
    </row>
    <row r="776" spans="15:16" x14ac:dyDescent="0.2">
      <c r="O776" s="472" t="s">
        <v>2809</v>
      </c>
      <c r="P776" s="473" t="s">
        <v>2808</v>
      </c>
    </row>
    <row r="777" spans="15:16" x14ac:dyDescent="0.2">
      <c r="O777" s="472" t="s">
        <v>2811</v>
      </c>
      <c r="P777" s="473" t="s">
        <v>2810</v>
      </c>
    </row>
    <row r="778" spans="15:16" x14ac:dyDescent="0.2">
      <c r="O778" s="472" t="s">
        <v>2813</v>
      </c>
      <c r="P778" s="473" t="s">
        <v>2812</v>
      </c>
    </row>
    <row r="779" spans="15:16" x14ac:dyDescent="0.2">
      <c r="O779" s="472" t="s">
        <v>2815</v>
      </c>
      <c r="P779" s="473" t="s">
        <v>2814</v>
      </c>
    </row>
    <row r="780" spans="15:16" x14ac:dyDescent="0.2">
      <c r="O780" s="472" t="s">
        <v>2817</v>
      </c>
      <c r="P780" s="473" t="s">
        <v>2816</v>
      </c>
    </row>
    <row r="781" spans="15:16" x14ac:dyDescent="0.2">
      <c r="O781" s="472" t="s">
        <v>2819</v>
      </c>
      <c r="P781" s="473" t="s">
        <v>2818</v>
      </c>
    </row>
    <row r="782" spans="15:16" x14ac:dyDescent="0.2">
      <c r="O782" s="472" t="s">
        <v>2821</v>
      </c>
      <c r="P782" s="473" t="s">
        <v>2820</v>
      </c>
    </row>
    <row r="783" spans="15:16" x14ac:dyDescent="0.2">
      <c r="O783" s="472" t="s">
        <v>2823</v>
      </c>
      <c r="P783" s="473" t="s">
        <v>2822</v>
      </c>
    </row>
    <row r="784" spans="15:16" x14ac:dyDescent="0.2">
      <c r="O784" s="472" t="s">
        <v>2825</v>
      </c>
      <c r="P784" s="473" t="s">
        <v>2824</v>
      </c>
    </row>
    <row r="785" spans="15:16" x14ac:dyDescent="0.2">
      <c r="O785" s="472" t="s">
        <v>2827</v>
      </c>
      <c r="P785" s="473" t="s">
        <v>2826</v>
      </c>
    </row>
    <row r="786" spans="15:16" x14ac:dyDescent="0.2">
      <c r="O786" s="472" t="s">
        <v>2829</v>
      </c>
      <c r="P786" s="473" t="s">
        <v>2828</v>
      </c>
    </row>
    <row r="787" spans="15:16" x14ac:dyDescent="0.2">
      <c r="O787" s="472" t="s">
        <v>2831</v>
      </c>
      <c r="P787" s="473" t="s">
        <v>2830</v>
      </c>
    </row>
    <row r="788" spans="15:16" x14ac:dyDescent="0.2">
      <c r="O788" s="472" t="s">
        <v>2833</v>
      </c>
      <c r="P788" s="473" t="s">
        <v>2832</v>
      </c>
    </row>
    <row r="789" spans="15:16" x14ac:dyDescent="0.2">
      <c r="O789" s="472" t="s">
        <v>2835</v>
      </c>
      <c r="P789" s="473" t="s">
        <v>2834</v>
      </c>
    </row>
    <row r="790" spans="15:16" x14ac:dyDescent="0.2">
      <c r="O790" s="472" t="s">
        <v>2837</v>
      </c>
      <c r="P790" s="473" t="s">
        <v>2836</v>
      </c>
    </row>
    <row r="791" spans="15:16" x14ac:dyDescent="0.2">
      <c r="O791" s="472" t="s">
        <v>2839</v>
      </c>
      <c r="P791" s="473" t="s">
        <v>2838</v>
      </c>
    </row>
    <row r="792" spans="15:16" x14ac:dyDescent="0.2">
      <c r="O792" s="472" t="s">
        <v>2841</v>
      </c>
      <c r="P792" s="473" t="s">
        <v>2840</v>
      </c>
    </row>
    <row r="793" spans="15:16" x14ac:dyDescent="0.2">
      <c r="O793" s="472" t="s">
        <v>2843</v>
      </c>
      <c r="P793" s="473" t="s">
        <v>2842</v>
      </c>
    </row>
    <row r="794" spans="15:16" x14ac:dyDescent="0.2">
      <c r="O794" s="472" t="s">
        <v>2845</v>
      </c>
      <c r="P794" s="473" t="s">
        <v>2844</v>
      </c>
    </row>
    <row r="795" spans="15:16" x14ac:dyDescent="0.2">
      <c r="O795" s="472" t="s">
        <v>2847</v>
      </c>
      <c r="P795" s="473" t="s">
        <v>2846</v>
      </c>
    </row>
    <row r="796" spans="15:16" x14ac:dyDescent="0.2">
      <c r="O796" s="472" t="s">
        <v>2849</v>
      </c>
      <c r="P796" s="473" t="s">
        <v>2848</v>
      </c>
    </row>
    <row r="797" spans="15:16" x14ac:dyDescent="0.2">
      <c r="O797" s="472" t="s">
        <v>2851</v>
      </c>
      <c r="P797" s="473" t="s">
        <v>2850</v>
      </c>
    </row>
    <row r="798" spans="15:16" x14ac:dyDescent="0.2">
      <c r="O798" s="472" t="s">
        <v>2853</v>
      </c>
      <c r="P798" s="473" t="s">
        <v>2852</v>
      </c>
    </row>
    <row r="799" spans="15:16" x14ac:dyDescent="0.2">
      <c r="O799" s="472" t="s">
        <v>2855</v>
      </c>
      <c r="P799" s="473" t="s">
        <v>2854</v>
      </c>
    </row>
    <row r="800" spans="15:16" x14ac:dyDescent="0.2">
      <c r="O800" s="472" t="s">
        <v>2857</v>
      </c>
      <c r="P800" s="473" t="s">
        <v>2856</v>
      </c>
    </row>
    <row r="801" spans="15:16" x14ac:dyDescent="0.2">
      <c r="O801" s="472" t="s">
        <v>2859</v>
      </c>
      <c r="P801" s="473" t="s">
        <v>2858</v>
      </c>
    </row>
    <row r="802" spans="15:16" x14ac:dyDescent="0.2">
      <c r="O802" s="472" t="s">
        <v>2861</v>
      </c>
      <c r="P802" s="473" t="s">
        <v>2860</v>
      </c>
    </row>
    <row r="803" spans="15:16" x14ac:dyDescent="0.2">
      <c r="O803" s="472" t="s">
        <v>2863</v>
      </c>
      <c r="P803" s="473" t="s">
        <v>2862</v>
      </c>
    </row>
    <row r="804" spans="15:16" x14ac:dyDescent="0.2">
      <c r="O804" s="472" t="s">
        <v>2865</v>
      </c>
      <c r="P804" s="473" t="s">
        <v>2864</v>
      </c>
    </row>
    <row r="805" spans="15:16" x14ac:dyDescent="0.2">
      <c r="O805" s="472" t="s">
        <v>2867</v>
      </c>
      <c r="P805" s="473" t="s">
        <v>2866</v>
      </c>
    </row>
    <row r="806" spans="15:16" x14ac:dyDescent="0.2">
      <c r="O806" s="472" t="s">
        <v>2869</v>
      </c>
      <c r="P806" s="473" t="s">
        <v>2868</v>
      </c>
    </row>
    <row r="807" spans="15:16" x14ac:dyDescent="0.2">
      <c r="O807" s="472" t="s">
        <v>2871</v>
      </c>
      <c r="P807" s="473" t="s">
        <v>2870</v>
      </c>
    </row>
    <row r="808" spans="15:16" x14ac:dyDescent="0.2">
      <c r="O808" s="472" t="s">
        <v>2873</v>
      </c>
      <c r="P808" s="473" t="s">
        <v>2872</v>
      </c>
    </row>
    <row r="809" spans="15:16" x14ac:dyDescent="0.2">
      <c r="O809" s="472" t="s">
        <v>2875</v>
      </c>
      <c r="P809" s="473" t="s">
        <v>2874</v>
      </c>
    </row>
    <row r="810" spans="15:16" x14ac:dyDescent="0.2">
      <c r="O810" s="472" t="s">
        <v>2877</v>
      </c>
      <c r="P810" s="473" t="s">
        <v>2876</v>
      </c>
    </row>
    <row r="811" spans="15:16" x14ac:dyDescent="0.2">
      <c r="O811" s="472" t="s">
        <v>2879</v>
      </c>
      <c r="P811" s="473" t="s">
        <v>2878</v>
      </c>
    </row>
    <row r="812" spans="15:16" x14ac:dyDescent="0.2">
      <c r="O812" s="472" t="s">
        <v>2881</v>
      </c>
      <c r="P812" s="473" t="s">
        <v>2880</v>
      </c>
    </row>
    <row r="813" spans="15:16" x14ac:dyDescent="0.2">
      <c r="O813" s="472" t="s">
        <v>2883</v>
      </c>
      <c r="P813" s="473" t="s">
        <v>2882</v>
      </c>
    </row>
    <row r="814" spans="15:16" x14ac:dyDescent="0.2">
      <c r="O814" s="472" t="s">
        <v>2885</v>
      </c>
      <c r="P814" s="473" t="s">
        <v>2884</v>
      </c>
    </row>
    <row r="815" spans="15:16" x14ac:dyDescent="0.2">
      <c r="O815" s="472" t="s">
        <v>2887</v>
      </c>
      <c r="P815" s="473" t="s">
        <v>2886</v>
      </c>
    </row>
    <row r="816" spans="15:16" x14ac:dyDescent="0.2">
      <c r="O816" s="472" t="s">
        <v>2889</v>
      </c>
      <c r="P816" s="473" t="s">
        <v>2888</v>
      </c>
    </row>
    <row r="817" spans="15:16" x14ac:dyDescent="0.2">
      <c r="O817" s="472" t="s">
        <v>2891</v>
      </c>
      <c r="P817" s="473" t="s">
        <v>2890</v>
      </c>
    </row>
    <row r="818" spans="15:16" x14ac:dyDescent="0.2">
      <c r="O818" s="472" t="s">
        <v>2893</v>
      </c>
      <c r="P818" s="473" t="s">
        <v>2892</v>
      </c>
    </row>
    <row r="819" spans="15:16" x14ac:dyDescent="0.2">
      <c r="O819" s="472" t="s">
        <v>2895</v>
      </c>
      <c r="P819" s="473" t="s">
        <v>2894</v>
      </c>
    </row>
    <row r="820" spans="15:16" x14ac:dyDescent="0.2">
      <c r="O820" s="472" t="s">
        <v>2897</v>
      </c>
      <c r="P820" s="473" t="s">
        <v>2896</v>
      </c>
    </row>
    <row r="821" spans="15:16" x14ac:dyDescent="0.2">
      <c r="O821" s="472" t="s">
        <v>2899</v>
      </c>
      <c r="P821" s="473" t="s">
        <v>2898</v>
      </c>
    </row>
    <row r="822" spans="15:16" x14ac:dyDescent="0.2">
      <c r="O822" s="472" t="s">
        <v>2901</v>
      </c>
      <c r="P822" s="473" t="s">
        <v>2900</v>
      </c>
    </row>
    <row r="823" spans="15:16" x14ac:dyDescent="0.2">
      <c r="O823" s="472" t="s">
        <v>2903</v>
      </c>
      <c r="P823" s="473" t="s">
        <v>2902</v>
      </c>
    </row>
    <row r="824" spans="15:16" x14ac:dyDescent="0.2">
      <c r="O824" s="472" t="s">
        <v>2905</v>
      </c>
      <c r="P824" s="473" t="s">
        <v>2904</v>
      </c>
    </row>
    <row r="825" spans="15:16" x14ac:dyDescent="0.2">
      <c r="O825" s="472" t="s">
        <v>2907</v>
      </c>
      <c r="P825" s="473" t="s">
        <v>2906</v>
      </c>
    </row>
    <row r="826" spans="15:16" x14ac:dyDescent="0.2">
      <c r="O826" s="472" t="s">
        <v>2909</v>
      </c>
      <c r="P826" s="473" t="s">
        <v>2908</v>
      </c>
    </row>
    <row r="827" spans="15:16" x14ac:dyDescent="0.2">
      <c r="O827" s="472" t="s">
        <v>2911</v>
      </c>
      <c r="P827" s="473" t="s">
        <v>2910</v>
      </c>
    </row>
    <row r="828" spans="15:16" x14ac:dyDescent="0.2">
      <c r="O828" s="472" t="s">
        <v>2913</v>
      </c>
      <c r="P828" s="473" t="s">
        <v>2912</v>
      </c>
    </row>
    <row r="829" spans="15:16" x14ac:dyDescent="0.2">
      <c r="O829" s="472" t="s">
        <v>2915</v>
      </c>
      <c r="P829" s="473" t="s">
        <v>2914</v>
      </c>
    </row>
    <row r="830" spans="15:16" x14ac:dyDescent="0.2">
      <c r="O830" s="472" t="s">
        <v>2917</v>
      </c>
      <c r="P830" s="473" t="s">
        <v>2916</v>
      </c>
    </row>
    <row r="831" spans="15:16" x14ac:dyDescent="0.2">
      <c r="O831" s="472" t="s">
        <v>2919</v>
      </c>
      <c r="P831" s="473" t="s">
        <v>2918</v>
      </c>
    </row>
    <row r="832" spans="15:16" x14ac:dyDescent="0.2">
      <c r="O832" s="472" t="s">
        <v>2921</v>
      </c>
      <c r="P832" s="473" t="s">
        <v>2920</v>
      </c>
    </row>
    <row r="833" spans="15:16" x14ac:dyDescent="0.2">
      <c r="O833" s="472" t="s">
        <v>2923</v>
      </c>
      <c r="P833" s="473" t="s">
        <v>2922</v>
      </c>
    </row>
    <row r="834" spans="15:16" x14ac:dyDescent="0.2">
      <c r="O834" s="472" t="s">
        <v>2925</v>
      </c>
      <c r="P834" s="473" t="s">
        <v>2924</v>
      </c>
    </row>
    <row r="835" spans="15:16" x14ac:dyDescent="0.2">
      <c r="O835" s="472" t="s">
        <v>2927</v>
      </c>
      <c r="P835" s="473" t="s">
        <v>2926</v>
      </c>
    </row>
    <row r="836" spans="15:16" x14ac:dyDescent="0.2">
      <c r="O836" s="472" t="s">
        <v>2929</v>
      </c>
      <c r="P836" s="473" t="s">
        <v>2928</v>
      </c>
    </row>
    <row r="837" spans="15:16" x14ac:dyDescent="0.2">
      <c r="O837" s="472" t="s">
        <v>2931</v>
      </c>
      <c r="P837" s="473" t="s">
        <v>2930</v>
      </c>
    </row>
    <row r="838" spans="15:16" x14ac:dyDescent="0.2">
      <c r="O838" s="472" t="s">
        <v>2933</v>
      </c>
      <c r="P838" s="473" t="s">
        <v>2932</v>
      </c>
    </row>
    <row r="839" spans="15:16" x14ac:dyDescent="0.2">
      <c r="O839" s="472" t="s">
        <v>2935</v>
      </c>
      <c r="P839" s="473" t="s">
        <v>2934</v>
      </c>
    </row>
    <row r="840" spans="15:16" x14ac:dyDescent="0.2">
      <c r="O840" s="472" t="s">
        <v>2937</v>
      </c>
      <c r="P840" s="473" t="s">
        <v>2936</v>
      </c>
    </row>
    <row r="841" spans="15:16" x14ac:dyDescent="0.2">
      <c r="O841" s="472" t="s">
        <v>2939</v>
      </c>
      <c r="P841" s="473" t="s">
        <v>2938</v>
      </c>
    </row>
    <row r="842" spans="15:16" x14ac:dyDescent="0.2">
      <c r="O842" s="472" t="s">
        <v>2941</v>
      </c>
      <c r="P842" s="473" t="s">
        <v>2940</v>
      </c>
    </row>
    <row r="843" spans="15:16" x14ac:dyDescent="0.2">
      <c r="O843" s="472" t="s">
        <v>2943</v>
      </c>
      <c r="P843" s="473" t="s">
        <v>2942</v>
      </c>
    </row>
    <row r="844" spans="15:16" x14ac:dyDescent="0.2">
      <c r="O844" s="472" t="s">
        <v>2945</v>
      </c>
      <c r="P844" s="473" t="s">
        <v>2944</v>
      </c>
    </row>
    <row r="845" spans="15:16" x14ac:dyDescent="0.2">
      <c r="O845" s="472" t="s">
        <v>2947</v>
      </c>
      <c r="P845" s="473" t="s">
        <v>2946</v>
      </c>
    </row>
    <row r="846" spans="15:16" x14ac:dyDescent="0.2">
      <c r="O846" s="472" t="s">
        <v>2949</v>
      </c>
      <c r="P846" s="473" t="s">
        <v>2948</v>
      </c>
    </row>
    <row r="847" spans="15:16" x14ac:dyDescent="0.2">
      <c r="O847" s="472" t="s">
        <v>2951</v>
      </c>
      <c r="P847" s="473" t="s">
        <v>2950</v>
      </c>
    </row>
    <row r="848" spans="15:16" x14ac:dyDescent="0.2">
      <c r="O848" s="472" t="s">
        <v>2953</v>
      </c>
      <c r="P848" s="473" t="s">
        <v>2952</v>
      </c>
    </row>
    <row r="849" spans="15:16" x14ac:dyDescent="0.2">
      <c r="O849" s="472" t="s">
        <v>2955</v>
      </c>
      <c r="P849" s="473" t="s">
        <v>2954</v>
      </c>
    </row>
    <row r="850" spans="15:16" x14ac:dyDescent="0.2">
      <c r="O850" s="472" t="s">
        <v>2957</v>
      </c>
      <c r="P850" s="473" t="s">
        <v>2956</v>
      </c>
    </row>
    <row r="851" spans="15:16" x14ac:dyDescent="0.2">
      <c r="O851" s="472" t="s">
        <v>2959</v>
      </c>
      <c r="P851" s="473" t="s">
        <v>2958</v>
      </c>
    </row>
    <row r="852" spans="15:16" x14ac:dyDescent="0.2">
      <c r="O852" s="472" t="s">
        <v>2961</v>
      </c>
      <c r="P852" s="473" t="s">
        <v>2960</v>
      </c>
    </row>
    <row r="853" spans="15:16" x14ac:dyDescent="0.2">
      <c r="O853" s="472" t="s">
        <v>2963</v>
      </c>
      <c r="P853" s="473" t="s">
        <v>2962</v>
      </c>
    </row>
    <row r="854" spans="15:16" x14ac:dyDescent="0.2">
      <c r="O854" s="472" t="s">
        <v>2965</v>
      </c>
      <c r="P854" s="473" t="s">
        <v>2964</v>
      </c>
    </row>
    <row r="855" spans="15:16" x14ac:dyDescent="0.2">
      <c r="O855" s="472" t="s">
        <v>2967</v>
      </c>
      <c r="P855" s="473" t="s">
        <v>2966</v>
      </c>
    </row>
    <row r="856" spans="15:16" x14ac:dyDescent="0.2">
      <c r="O856" s="472" t="s">
        <v>2969</v>
      </c>
      <c r="P856" s="473" t="s">
        <v>2968</v>
      </c>
    </row>
    <row r="857" spans="15:16" x14ac:dyDescent="0.2">
      <c r="O857" s="472" t="s">
        <v>2971</v>
      </c>
      <c r="P857" s="473" t="s">
        <v>2970</v>
      </c>
    </row>
    <row r="858" spans="15:16" x14ac:dyDescent="0.2">
      <c r="O858" s="472" t="s">
        <v>2973</v>
      </c>
      <c r="P858" s="473" t="s">
        <v>2972</v>
      </c>
    </row>
    <row r="859" spans="15:16" x14ac:dyDescent="0.2">
      <c r="O859" s="472" t="s">
        <v>2975</v>
      </c>
      <c r="P859" s="473" t="s">
        <v>2974</v>
      </c>
    </row>
    <row r="860" spans="15:16" x14ac:dyDescent="0.2">
      <c r="O860" s="472" t="s">
        <v>2977</v>
      </c>
      <c r="P860" s="473" t="s">
        <v>2976</v>
      </c>
    </row>
    <row r="861" spans="15:16" x14ac:dyDescent="0.2">
      <c r="O861" s="472" t="s">
        <v>2979</v>
      </c>
      <c r="P861" s="473" t="s">
        <v>2978</v>
      </c>
    </row>
    <row r="862" spans="15:16" x14ac:dyDescent="0.2">
      <c r="O862" s="472" t="s">
        <v>2981</v>
      </c>
      <c r="P862" s="473" t="s">
        <v>2980</v>
      </c>
    </row>
    <row r="863" spans="15:16" x14ac:dyDescent="0.2">
      <c r="O863" s="472" t="s">
        <v>2983</v>
      </c>
      <c r="P863" s="473" t="s">
        <v>2982</v>
      </c>
    </row>
    <row r="864" spans="15:16" x14ac:dyDescent="0.2">
      <c r="O864" s="472" t="s">
        <v>2985</v>
      </c>
      <c r="P864" s="473" t="s">
        <v>2984</v>
      </c>
    </row>
    <row r="865" spans="15:16" x14ac:dyDescent="0.2">
      <c r="O865" s="472" t="s">
        <v>2987</v>
      </c>
      <c r="P865" s="473" t="s">
        <v>2986</v>
      </c>
    </row>
    <row r="866" spans="15:16" x14ac:dyDescent="0.2">
      <c r="O866" s="472" t="s">
        <v>2989</v>
      </c>
      <c r="P866" s="473" t="s">
        <v>2988</v>
      </c>
    </row>
    <row r="867" spans="15:16" x14ac:dyDescent="0.2">
      <c r="O867" s="472" t="s">
        <v>2991</v>
      </c>
      <c r="P867" s="473" t="s">
        <v>2990</v>
      </c>
    </row>
    <row r="868" spans="15:16" x14ac:dyDescent="0.2">
      <c r="O868" s="472" t="s">
        <v>2993</v>
      </c>
      <c r="P868" s="473" t="s">
        <v>2992</v>
      </c>
    </row>
    <row r="869" spans="15:16" x14ac:dyDescent="0.2">
      <c r="O869" s="472" t="s">
        <v>2995</v>
      </c>
      <c r="P869" s="473" t="s">
        <v>2994</v>
      </c>
    </row>
    <row r="870" spans="15:16" x14ac:dyDescent="0.2">
      <c r="O870" s="472" t="s">
        <v>2997</v>
      </c>
      <c r="P870" s="473" t="s">
        <v>2996</v>
      </c>
    </row>
    <row r="871" spans="15:16" x14ac:dyDescent="0.2">
      <c r="O871" s="472" t="s">
        <v>2999</v>
      </c>
      <c r="P871" s="473" t="s">
        <v>2998</v>
      </c>
    </row>
    <row r="872" spans="15:16" x14ac:dyDescent="0.2">
      <c r="O872" s="472" t="s">
        <v>3001</v>
      </c>
      <c r="P872" s="473" t="s">
        <v>3000</v>
      </c>
    </row>
    <row r="873" spans="15:16" x14ac:dyDescent="0.2">
      <c r="O873" s="472" t="s">
        <v>3003</v>
      </c>
      <c r="P873" s="473" t="s">
        <v>3002</v>
      </c>
    </row>
    <row r="874" spans="15:16" x14ac:dyDescent="0.2">
      <c r="O874" s="472" t="s">
        <v>3005</v>
      </c>
      <c r="P874" s="473" t="s">
        <v>3004</v>
      </c>
    </row>
    <row r="875" spans="15:16" x14ac:dyDescent="0.2">
      <c r="O875" s="472" t="s">
        <v>3007</v>
      </c>
      <c r="P875" s="473" t="s">
        <v>3006</v>
      </c>
    </row>
    <row r="876" spans="15:16" x14ac:dyDescent="0.2">
      <c r="O876" s="472" t="s">
        <v>3009</v>
      </c>
      <c r="P876" s="473" t="s">
        <v>3008</v>
      </c>
    </row>
    <row r="877" spans="15:16" x14ac:dyDescent="0.2">
      <c r="O877" s="472" t="s">
        <v>3011</v>
      </c>
      <c r="P877" s="473" t="s">
        <v>3010</v>
      </c>
    </row>
    <row r="878" spans="15:16" x14ac:dyDescent="0.2">
      <c r="O878" s="472" t="s">
        <v>3013</v>
      </c>
      <c r="P878" s="473" t="s">
        <v>3012</v>
      </c>
    </row>
    <row r="879" spans="15:16" x14ac:dyDescent="0.2">
      <c r="O879" s="472" t="s">
        <v>3015</v>
      </c>
      <c r="P879" s="473" t="s">
        <v>3014</v>
      </c>
    </row>
    <row r="880" spans="15:16" x14ac:dyDescent="0.2">
      <c r="O880" s="472" t="s">
        <v>3017</v>
      </c>
      <c r="P880" s="473" t="s">
        <v>3016</v>
      </c>
    </row>
    <row r="881" spans="15:16" x14ac:dyDescent="0.2">
      <c r="O881" s="472" t="s">
        <v>3019</v>
      </c>
      <c r="P881" s="473" t="s">
        <v>3018</v>
      </c>
    </row>
    <row r="882" spans="15:16" x14ac:dyDescent="0.2">
      <c r="O882" s="472" t="s">
        <v>3021</v>
      </c>
      <c r="P882" s="473" t="s">
        <v>3020</v>
      </c>
    </row>
    <row r="883" spans="15:16" x14ac:dyDescent="0.2">
      <c r="O883" s="472" t="s">
        <v>3023</v>
      </c>
      <c r="P883" s="473" t="s">
        <v>3022</v>
      </c>
    </row>
    <row r="884" spans="15:16" x14ac:dyDescent="0.2">
      <c r="O884" s="472" t="s">
        <v>3025</v>
      </c>
      <c r="P884" s="473" t="s">
        <v>3024</v>
      </c>
    </row>
    <row r="885" spans="15:16" x14ac:dyDescent="0.2">
      <c r="O885" s="472" t="s">
        <v>3027</v>
      </c>
      <c r="P885" s="473" t="s">
        <v>3026</v>
      </c>
    </row>
    <row r="886" spans="15:16" x14ac:dyDescent="0.2">
      <c r="O886" s="472" t="s">
        <v>3029</v>
      </c>
      <c r="P886" s="473" t="s">
        <v>3028</v>
      </c>
    </row>
    <row r="887" spans="15:16" x14ac:dyDescent="0.2">
      <c r="O887" s="472" t="s">
        <v>3031</v>
      </c>
      <c r="P887" s="473" t="s">
        <v>3030</v>
      </c>
    </row>
    <row r="888" spans="15:16" x14ac:dyDescent="0.2">
      <c r="O888" s="472" t="s">
        <v>3033</v>
      </c>
      <c r="P888" s="473" t="s">
        <v>3032</v>
      </c>
    </row>
    <row r="889" spans="15:16" x14ac:dyDescent="0.2">
      <c r="O889" s="472" t="s">
        <v>3035</v>
      </c>
      <c r="P889" s="473" t="s">
        <v>3034</v>
      </c>
    </row>
    <row r="890" spans="15:16" x14ac:dyDescent="0.2">
      <c r="O890" s="472" t="s">
        <v>3037</v>
      </c>
      <c r="P890" s="473" t="s">
        <v>3036</v>
      </c>
    </row>
    <row r="891" spans="15:16" x14ac:dyDescent="0.2">
      <c r="O891" s="472" t="s">
        <v>3039</v>
      </c>
      <c r="P891" s="473" t="s">
        <v>3038</v>
      </c>
    </row>
    <row r="892" spans="15:16" x14ac:dyDescent="0.2">
      <c r="O892" s="472" t="s">
        <v>3041</v>
      </c>
      <c r="P892" s="473" t="s">
        <v>3040</v>
      </c>
    </row>
    <row r="893" spans="15:16" x14ac:dyDescent="0.2">
      <c r="O893" s="472" t="s">
        <v>3043</v>
      </c>
      <c r="P893" s="473" t="s">
        <v>3042</v>
      </c>
    </row>
    <row r="894" spans="15:16" x14ac:dyDescent="0.2">
      <c r="O894" s="472" t="s">
        <v>3045</v>
      </c>
      <c r="P894" s="473" t="s">
        <v>3044</v>
      </c>
    </row>
    <row r="895" spans="15:16" x14ac:dyDescent="0.2">
      <c r="O895" s="472" t="s">
        <v>3047</v>
      </c>
      <c r="P895" s="473" t="s">
        <v>3046</v>
      </c>
    </row>
    <row r="896" spans="15:16" x14ac:dyDescent="0.2">
      <c r="O896" s="472" t="s">
        <v>3049</v>
      </c>
      <c r="P896" s="473" t="s">
        <v>3048</v>
      </c>
    </row>
    <row r="897" spans="15:16" x14ac:dyDescent="0.2">
      <c r="O897" s="472" t="s">
        <v>3051</v>
      </c>
      <c r="P897" s="473" t="s">
        <v>3050</v>
      </c>
    </row>
    <row r="898" spans="15:16" x14ac:dyDescent="0.2">
      <c r="O898" s="472" t="s">
        <v>3053</v>
      </c>
      <c r="P898" s="473" t="s">
        <v>3052</v>
      </c>
    </row>
    <row r="899" spans="15:16" x14ac:dyDescent="0.2">
      <c r="O899" s="472" t="s">
        <v>3055</v>
      </c>
      <c r="P899" s="473" t="s">
        <v>3054</v>
      </c>
    </row>
    <row r="900" spans="15:16" x14ac:dyDescent="0.2">
      <c r="O900" s="472" t="s">
        <v>3057</v>
      </c>
      <c r="P900" s="473" t="s">
        <v>3056</v>
      </c>
    </row>
    <row r="901" spans="15:16" x14ac:dyDescent="0.2">
      <c r="O901" s="472" t="s">
        <v>3059</v>
      </c>
      <c r="P901" s="473" t="s">
        <v>3058</v>
      </c>
    </row>
    <row r="902" spans="15:16" x14ac:dyDescent="0.2">
      <c r="O902" s="472" t="s">
        <v>3061</v>
      </c>
      <c r="P902" s="473" t="s">
        <v>3060</v>
      </c>
    </row>
    <row r="903" spans="15:16" x14ac:dyDescent="0.2">
      <c r="O903" s="472" t="s">
        <v>3063</v>
      </c>
      <c r="P903" s="473" t="s">
        <v>3062</v>
      </c>
    </row>
    <row r="904" spans="15:16" x14ac:dyDescent="0.2">
      <c r="O904" s="472" t="s">
        <v>3065</v>
      </c>
      <c r="P904" s="473" t="s">
        <v>3064</v>
      </c>
    </row>
    <row r="905" spans="15:16" x14ac:dyDescent="0.2">
      <c r="O905" s="472" t="s">
        <v>3067</v>
      </c>
      <c r="P905" s="473" t="s">
        <v>3066</v>
      </c>
    </row>
    <row r="906" spans="15:16" x14ac:dyDescent="0.2">
      <c r="O906" s="472" t="s">
        <v>3069</v>
      </c>
      <c r="P906" s="473" t="s">
        <v>3068</v>
      </c>
    </row>
    <row r="907" spans="15:16" x14ac:dyDescent="0.2">
      <c r="O907" s="472" t="s">
        <v>3071</v>
      </c>
      <c r="P907" s="473" t="s">
        <v>3070</v>
      </c>
    </row>
    <row r="908" spans="15:16" x14ac:dyDescent="0.2">
      <c r="O908" s="472" t="s">
        <v>3073</v>
      </c>
      <c r="P908" s="473" t="s">
        <v>3072</v>
      </c>
    </row>
    <row r="909" spans="15:16" x14ac:dyDescent="0.2">
      <c r="O909" s="472" t="s">
        <v>3075</v>
      </c>
      <c r="P909" s="473" t="s">
        <v>3074</v>
      </c>
    </row>
    <row r="910" spans="15:16" x14ac:dyDescent="0.2">
      <c r="O910" s="472" t="s">
        <v>3077</v>
      </c>
      <c r="P910" s="473" t="s">
        <v>3076</v>
      </c>
    </row>
    <row r="911" spans="15:16" x14ac:dyDescent="0.2">
      <c r="O911" s="472" t="s">
        <v>3079</v>
      </c>
      <c r="P911" s="473" t="s">
        <v>3078</v>
      </c>
    </row>
    <row r="912" spans="15:16" x14ac:dyDescent="0.2">
      <c r="O912" s="472" t="s">
        <v>3081</v>
      </c>
      <c r="P912" s="473" t="s">
        <v>3080</v>
      </c>
    </row>
    <row r="913" spans="15:16" x14ac:dyDescent="0.2">
      <c r="O913" s="472" t="s">
        <v>3083</v>
      </c>
      <c r="P913" s="473" t="s">
        <v>3082</v>
      </c>
    </row>
    <row r="914" spans="15:16" x14ac:dyDescent="0.2">
      <c r="O914" s="472" t="s">
        <v>3085</v>
      </c>
      <c r="P914" s="473" t="s">
        <v>3084</v>
      </c>
    </row>
    <row r="915" spans="15:16" x14ac:dyDescent="0.2">
      <c r="O915" s="472" t="s">
        <v>3087</v>
      </c>
      <c r="P915" s="473" t="s">
        <v>3086</v>
      </c>
    </row>
    <row r="916" spans="15:16" x14ac:dyDescent="0.2">
      <c r="O916" s="472" t="s">
        <v>3089</v>
      </c>
      <c r="P916" s="473" t="s">
        <v>3088</v>
      </c>
    </row>
    <row r="917" spans="15:16" x14ac:dyDescent="0.2">
      <c r="O917" s="472" t="s">
        <v>3091</v>
      </c>
      <c r="P917" s="473" t="s">
        <v>3090</v>
      </c>
    </row>
    <row r="918" spans="15:16" x14ac:dyDescent="0.2">
      <c r="O918" s="472" t="s">
        <v>3093</v>
      </c>
      <c r="P918" s="473" t="s">
        <v>3092</v>
      </c>
    </row>
    <row r="919" spans="15:16" x14ac:dyDescent="0.2">
      <c r="O919" s="472" t="s">
        <v>3095</v>
      </c>
      <c r="P919" s="473" t="s">
        <v>3094</v>
      </c>
    </row>
    <row r="920" spans="15:16" x14ac:dyDescent="0.2">
      <c r="O920" s="472" t="s">
        <v>3097</v>
      </c>
      <c r="P920" s="473" t="s">
        <v>3096</v>
      </c>
    </row>
    <row r="921" spans="15:16" x14ac:dyDescent="0.2">
      <c r="O921" s="472" t="s">
        <v>3099</v>
      </c>
      <c r="P921" s="473" t="s">
        <v>3098</v>
      </c>
    </row>
    <row r="922" spans="15:16" x14ac:dyDescent="0.2">
      <c r="O922" s="472" t="s">
        <v>3101</v>
      </c>
      <c r="P922" s="473" t="s">
        <v>3100</v>
      </c>
    </row>
    <row r="923" spans="15:16" x14ac:dyDescent="0.2">
      <c r="O923" s="472" t="s">
        <v>3103</v>
      </c>
      <c r="P923" s="473" t="s">
        <v>3102</v>
      </c>
    </row>
    <row r="924" spans="15:16" x14ac:dyDescent="0.2">
      <c r="O924" s="472" t="s">
        <v>3105</v>
      </c>
      <c r="P924" s="473" t="s">
        <v>3104</v>
      </c>
    </row>
    <row r="925" spans="15:16" x14ac:dyDescent="0.2">
      <c r="O925" s="472" t="s">
        <v>3107</v>
      </c>
      <c r="P925" s="473" t="s">
        <v>3106</v>
      </c>
    </row>
    <row r="926" spans="15:16" x14ac:dyDescent="0.2">
      <c r="O926" s="472" t="s">
        <v>3109</v>
      </c>
      <c r="P926" s="473" t="s">
        <v>3108</v>
      </c>
    </row>
    <row r="927" spans="15:16" x14ac:dyDescent="0.2">
      <c r="O927" s="472" t="s">
        <v>3111</v>
      </c>
      <c r="P927" s="473" t="s">
        <v>3110</v>
      </c>
    </row>
    <row r="928" spans="15:16" x14ac:dyDescent="0.2">
      <c r="O928" s="472" t="s">
        <v>3113</v>
      </c>
      <c r="P928" s="473" t="s">
        <v>3112</v>
      </c>
    </row>
    <row r="929" spans="15:16" x14ac:dyDescent="0.2">
      <c r="O929" s="472" t="s">
        <v>3115</v>
      </c>
      <c r="P929" s="473" t="s">
        <v>3114</v>
      </c>
    </row>
    <row r="930" spans="15:16" x14ac:dyDescent="0.2">
      <c r="O930" s="472" t="s">
        <v>3117</v>
      </c>
      <c r="P930" s="473" t="s">
        <v>3116</v>
      </c>
    </row>
    <row r="931" spans="15:16" x14ac:dyDescent="0.2">
      <c r="O931" s="472" t="s">
        <v>3119</v>
      </c>
      <c r="P931" s="473" t="s">
        <v>3118</v>
      </c>
    </row>
    <row r="932" spans="15:16" x14ac:dyDescent="0.2">
      <c r="O932" s="472" t="s">
        <v>3121</v>
      </c>
      <c r="P932" s="473" t="s">
        <v>3120</v>
      </c>
    </row>
    <row r="933" spans="15:16" x14ac:dyDescent="0.2">
      <c r="O933" s="472" t="s">
        <v>3123</v>
      </c>
      <c r="P933" s="473" t="s">
        <v>3122</v>
      </c>
    </row>
    <row r="934" spans="15:16" x14ac:dyDescent="0.2">
      <c r="O934" s="472" t="s">
        <v>3125</v>
      </c>
      <c r="P934" s="473" t="s">
        <v>3124</v>
      </c>
    </row>
    <row r="935" spans="15:16" x14ac:dyDescent="0.2">
      <c r="O935" s="472" t="s">
        <v>3127</v>
      </c>
      <c r="P935" s="473" t="s">
        <v>3126</v>
      </c>
    </row>
    <row r="936" spans="15:16" x14ac:dyDescent="0.2">
      <c r="O936" s="472" t="s">
        <v>3129</v>
      </c>
      <c r="P936" s="473" t="s">
        <v>3128</v>
      </c>
    </row>
    <row r="937" spans="15:16" x14ac:dyDescent="0.2">
      <c r="O937" s="472" t="s">
        <v>3131</v>
      </c>
      <c r="P937" s="473" t="s">
        <v>3130</v>
      </c>
    </row>
    <row r="938" spans="15:16" x14ac:dyDescent="0.2">
      <c r="O938" s="472" t="s">
        <v>3133</v>
      </c>
      <c r="P938" s="473" t="s">
        <v>3132</v>
      </c>
    </row>
    <row r="939" spans="15:16" x14ac:dyDescent="0.2">
      <c r="O939" s="472" t="s">
        <v>3135</v>
      </c>
      <c r="P939" s="473" t="s">
        <v>3134</v>
      </c>
    </row>
    <row r="940" spans="15:16" x14ac:dyDescent="0.2">
      <c r="O940" s="472" t="s">
        <v>3137</v>
      </c>
      <c r="P940" s="473" t="s">
        <v>3136</v>
      </c>
    </row>
    <row r="941" spans="15:16" x14ac:dyDescent="0.2">
      <c r="O941" s="472" t="s">
        <v>3139</v>
      </c>
      <c r="P941" s="473" t="s">
        <v>3138</v>
      </c>
    </row>
    <row r="942" spans="15:16" x14ac:dyDescent="0.2">
      <c r="O942" s="472" t="s">
        <v>3141</v>
      </c>
      <c r="P942" s="473" t="s">
        <v>3140</v>
      </c>
    </row>
    <row r="943" spans="15:16" x14ac:dyDescent="0.2">
      <c r="O943" s="472" t="s">
        <v>3143</v>
      </c>
      <c r="P943" s="473" t="s">
        <v>3142</v>
      </c>
    </row>
    <row r="944" spans="15:16" x14ac:dyDescent="0.2">
      <c r="O944" s="472" t="s">
        <v>3145</v>
      </c>
      <c r="P944" s="473" t="s">
        <v>3144</v>
      </c>
    </row>
    <row r="945" spans="15:16" x14ac:dyDescent="0.2">
      <c r="O945" s="472" t="s">
        <v>3147</v>
      </c>
      <c r="P945" s="473" t="s">
        <v>3146</v>
      </c>
    </row>
    <row r="946" spans="15:16" x14ac:dyDescent="0.2">
      <c r="O946" s="472" t="s">
        <v>3149</v>
      </c>
      <c r="P946" s="473" t="s">
        <v>3148</v>
      </c>
    </row>
    <row r="947" spans="15:16" x14ac:dyDescent="0.2">
      <c r="O947" s="472" t="s">
        <v>3151</v>
      </c>
      <c r="P947" s="473" t="s">
        <v>3150</v>
      </c>
    </row>
    <row r="948" spans="15:16" x14ac:dyDescent="0.2">
      <c r="O948" s="472" t="s">
        <v>3153</v>
      </c>
      <c r="P948" s="473" t="s">
        <v>3152</v>
      </c>
    </row>
    <row r="949" spans="15:16" x14ac:dyDescent="0.2">
      <c r="O949" s="472" t="s">
        <v>3155</v>
      </c>
      <c r="P949" s="473" t="s">
        <v>3154</v>
      </c>
    </row>
    <row r="950" spans="15:16" x14ac:dyDescent="0.2">
      <c r="O950" s="472" t="s">
        <v>3157</v>
      </c>
      <c r="P950" s="473" t="s">
        <v>3156</v>
      </c>
    </row>
    <row r="951" spans="15:16" x14ac:dyDescent="0.2">
      <c r="O951" s="472" t="s">
        <v>3159</v>
      </c>
      <c r="P951" s="473" t="s">
        <v>3158</v>
      </c>
    </row>
    <row r="952" spans="15:16" x14ac:dyDescent="0.2">
      <c r="O952" s="472" t="s">
        <v>3161</v>
      </c>
      <c r="P952" s="473" t="s">
        <v>3160</v>
      </c>
    </row>
    <row r="953" spans="15:16" x14ac:dyDescent="0.2">
      <c r="O953" s="472" t="s">
        <v>3163</v>
      </c>
      <c r="P953" s="473" t="s">
        <v>3162</v>
      </c>
    </row>
    <row r="954" spans="15:16" x14ac:dyDescent="0.2">
      <c r="O954" s="472" t="s">
        <v>3165</v>
      </c>
      <c r="P954" s="473" t="s">
        <v>3164</v>
      </c>
    </row>
    <row r="955" spans="15:16" x14ac:dyDescent="0.2">
      <c r="O955" s="472" t="s">
        <v>3167</v>
      </c>
      <c r="P955" s="473" t="s">
        <v>3166</v>
      </c>
    </row>
    <row r="956" spans="15:16" x14ac:dyDescent="0.2">
      <c r="O956" s="472" t="s">
        <v>3169</v>
      </c>
      <c r="P956" s="473" t="s">
        <v>3168</v>
      </c>
    </row>
    <row r="957" spans="15:16" x14ac:dyDescent="0.2">
      <c r="O957" s="472" t="s">
        <v>3171</v>
      </c>
      <c r="P957" s="473" t="s">
        <v>3170</v>
      </c>
    </row>
    <row r="958" spans="15:16" x14ac:dyDescent="0.2">
      <c r="O958" s="472" t="s">
        <v>3173</v>
      </c>
      <c r="P958" s="473" t="s">
        <v>3172</v>
      </c>
    </row>
    <row r="959" spans="15:16" x14ac:dyDescent="0.2">
      <c r="O959" s="472" t="s">
        <v>3175</v>
      </c>
      <c r="P959" s="473" t="s">
        <v>3174</v>
      </c>
    </row>
    <row r="960" spans="15:16" x14ac:dyDescent="0.2">
      <c r="O960" s="472" t="s">
        <v>3177</v>
      </c>
      <c r="P960" s="473" t="s">
        <v>3176</v>
      </c>
    </row>
    <row r="961" spans="15:16" x14ac:dyDescent="0.2">
      <c r="O961" s="472" t="s">
        <v>3179</v>
      </c>
      <c r="P961" s="473" t="s">
        <v>3178</v>
      </c>
    </row>
    <row r="962" spans="15:16" x14ac:dyDescent="0.2">
      <c r="O962" s="472" t="s">
        <v>3181</v>
      </c>
      <c r="P962" s="473" t="s">
        <v>3180</v>
      </c>
    </row>
    <row r="963" spans="15:16" x14ac:dyDescent="0.2">
      <c r="O963" s="472" t="s">
        <v>3183</v>
      </c>
      <c r="P963" s="473" t="s">
        <v>3182</v>
      </c>
    </row>
    <row r="964" spans="15:16" x14ac:dyDescent="0.2">
      <c r="O964" s="472" t="s">
        <v>3185</v>
      </c>
      <c r="P964" s="473" t="s">
        <v>3184</v>
      </c>
    </row>
    <row r="965" spans="15:16" x14ac:dyDescent="0.2">
      <c r="O965" s="472" t="s">
        <v>3187</v>
      </c>
      <c r="P965" s="473" t="s">
        <v>3186</v>
      </c>
    </row>
    <row r="966" spans="15:16" x14ac:dyDescent="0.2">
      <c r="O966" s="472" t="s">
        <v>3189</v>
      </c>
      <c r="P966" s="473" t="s">
        <v>3188</v>
      </c>
    </row>
    <row r="967" spans="15:16" x14ac:dyDescent="0.2">
      <c r="O967" s="472" t="s">
        <v>3191</v>
      </c>
      <c r="P967" s="473" t="s">
        <v>3190</v>
      </c>
    </row>
    <row r="968" spans="15:16" x14ac:dyDescent="0.2">
      <c r="O968" s="472" t="s">
        <v>3193</v>
      </c>
      <c r="P968" s="473" t="s">
        <v>3192</v>
      </c>
    </row>
    <row r="969" spans="15:16" x14ac:dyDescent="0.2">
      <c r="O969" s="472" t="s">
        <v>3195</v>
      </c>
      <c r="P969" s="473" t="s">
        <v>3194</v>
      </c>
    </row>
    <row r="970" spans="15:16" x14ac:dyDescent="0.2">
      <c r="O970" s="472" t="s">
        <v>3197</v>
      </c>
      <c r="P970" s="473" t="s">
        <v>3196</v>
      </c>
    </row>
    <row r="971" spans="15:16" x14ac:dyDescent="0.2">
      <c r="O971" s="472" t="s">
        <v>3199</v>
      </c>
      <c r="P971" s="473" t="s">
        <v>3198</v>
      </c>
    </row>
    <row r="972" spans="15:16" x14ac:dyDescent="0.2">
      <c r="O972" s="472" t="s">
        <v>3201</v>
      </c>
      <c r="P972" s="473" t="s">
        <v>3200</v>
      </c>
    </row>
    <row r="973" spans="15:16" x14ac:dyDescent="0.2">
      <c r="O973" s="472" t="s">
        <v>3203</v>
      </c>
      <c r="P973" s="473" t="s">
        <v>3202</v>
      </c>
    </row>
    <row r="974" spans="15:16" x14ac:dyDescent="0.2">
      <c r="O974" s="472" t="s">
        <v>3205</v>
      </c>
      <c r="P974" s="473" t="s">
        <v>3204</v>
      </c>
    </row>
    <row r="975" spans="15:16" x14ac:dyDescent="0.2">
      <c r="O975" s="472" t="s">
        <v>3207</v>
      </c>
      <c r="P975" s="473" t="s">
        <v>3206</v>
      </c>
    </row>
    <row r="976" spans="15:16" x14ac:dyDescent="0.2">
      <c r="O976" s="472" t="s">
        <v>3209</v>
      </c>
      <c r="P976" s="473" t="s">
        <v>3208</v>
      </c>
    </row>
    <row r="977" spans="15:16" x14ac:dyDescent="0.2">
      <c r="O977" s="472" t="s">
        <v>3211</v>
      </c>
      <c r="P977" s="473" t="s">
        <v>3210</v>
      </c>
    </row>
    <row r="978" spans="15:16" x14ac:dyDescent="0.2">
      <c r="O978" s="472" t="s">
        <v>3213</v>
      </c>
      <c r="P978" s="473" t="s">
        <v>3212</v>
      </c>
    </row>
    <row r="979" spans="15:16" x14ac:dyDescent="0.2">
      <c r="O979" s="472" t="s">
        <v>3215</v>
      </c>
      <c r="P979" s="473" t="s">
        <v>3214</v>
      </c>
    </row>
    <row r="980" spans="15:16" x14ac:dyDescent="0.2">
      <c r="O980" s="472" t="s">
        <v>3217</v>
      </c>
      <c r="P980" s="473" t="s">
        <v>3216</v>
      </c>
    </row>
    <row r="981" spans="15:16" x14ac:dyDescent="0.2">
      <c r="O981" s="472" t="s">
        <v>3219</v>
      </c>
      <c r="P981" s="473" t="s">
        <v>3218</v>
      </c>
    </row>
    <row r="982" spans="15:16" x14ac:dyDescent="0.2">
      <c r="O982" s="472" t="s">
        <v>3221</v>
      </c>
      <c r="P982" s="473" t="s">
        <v>3220</v>
      </c>
    </row>
    <row r="983" spans="15:16" x14ac:dyDescent="0.2">
      <c r="O983" s="472" t="s">
        <v>3223</v>
      </c>
      <c r="P983" s="473" t="s">
        <v>3222</v>
      </c>
    </row>
    <row r="984" spans="15:16" x14ac:dyDescent="0.2">
      <c r="O984" s="472" t="s">
        <v>3225</v>
      </c>
      <c r="P984" s="473" t="s">
        <v>3224</v>
      </c>
    </row>
    <row r="985" spans="15:16" x14ac:dyDescent="0.2">
      <c r="O985" s="474" t="s">
        <v>3227</v>
      </c>
      <c r="P985" s="475" t="s">
        <v>3226</v>
      </c>
    </row>
  </sheetData>
  <sheetProtection sheet="1" objects="1" scenarios="1"/>
  <pageMargins left="0.7" right="0.7" top="0.78740157499999996" bottom="0.78740157499999996"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6">
    <tabColor rgb="FF0070C0"/>
  </sheetPr>
  <dimension ref="A1:C28"/>
  <sheetViews>
    <sheetView workbookViewId="0">
      <selection sqref="A1:B1"/>
    </sheetView>
  </sheetViews>
  <sheetFormatPr defaultRowHeight="12.75" x14ac:dyDescent="0.2"/>
  <cols>
    <col min="1" max="1" width="35.5703125" style="129" bestFit="1" customWidth="1"/>
    <col min="2" max="2" width="53.5703125" style="130" bestFit="1" customWidth="1"/>
    <col min="3" max="3" width="15.7109375" style="124" bestFit="1" customWidth="1"/>
    <col min="4" max="16384" width="9.140625" style="124"/>
  </cols>
  <sheetData>
    <row r="1" spans="1:3" ht="27" customHeight="1" x14ac:dyDescent="0.2">
      <c r="A1" s="564" t="s">
        <v>335</v>
      </c>
      <c r="B1" s="564"/>
    </row>
    <row r="2" spans="1:3" ht="18.75" customHeight="1" x14ac:dyDescent="0.2">
      <c r="A2" s="127" t="s">
        <v>1259</v>
      </c>
      <c r="B2" s="259" t="s">
        <v>1019</v>
      </c>
    </row>
    <row r="3" spans="1:3" ht="18.75" customHeight="1" x14ac:dyDescent="0.2">
      <c r="A3" s="127" t="s">
        <v>1260</v>
      </c>
      <c r="B3" s="259" t="s">
        <v>1261</v>
      </c>
    </row>
    <row r="4" spans="1:3" ht="18.75" customHeight="1" x14ac:dyDescent="0.2">
      <c r="A4" s="126" t="s">
        <v>325</v>
      </c>
      <c r="B4" s="259" t="s">
        <v>289</v>
      </c>
      <c r="C4" s="124" t="str">
        <f>IF(ISNA(VLOOKUP('Základní údaje'!B4,tab_FinUrad,1,FALSE)),"chybná hodnota","")</f>
        <v/>
      </c>
    </row>
    <row r="5" spans="1:3" ht="18.75" customHeight="1" x14ac:dyDescent="0.2">
      <c r="A5" s="127" t="s">
        <v>326</v>
      </c>
      <c r="B5" s="259" t="s">
        <v>290</v>
      </c>
      <c r="C5" s="124" t="str">
        <f>IF(ISNA(VLOOKUP(B5,tab_Pracoviste,1,FALSE)),"chybná hodnota","")</f>
        <v/>
      </c>
    </row>
    <row r="6" spans="1:3" ht="18.75" customHeight="1" x14ac:dyDescent="0.2">
      <c r="A6" s="127" t="s">
        <v>17</v>
      </c>
      <c r="B6" s="259" t="s">
        <v>2935</v>
      </c>
      <c r="C6" s="124" t="str">
        <f>IF(ISNA(VLOOKUP(B6,okec,2,FALSE)),"chybná hodnota","")</f>
        <v/>
      </c>
    </row>
    <row r="7" spans="1:3" ht="18.75" customHeight="1" x14ac:dyDescent="0.2">
      <c r="A7" s="565" t="str">
        <f>IF(OR(C4="chybná hodnota",C5="chybná hodnota",IF(B4="",0,VLOOKUP(B4,'Povolené hodnoty'!G3:H17,2,FALSE))=IF(B5="",0,VLOOKUP(B5,'Povolené hodnoty'!J3:M203,4,FALSE))),"","Územní pracoviště nespadá pod vybraný Finanční úřad")</f>
        <v/>
      </c>
      <c r="B7" s="565"/>
    </row>
    <row r="8" spans="1:3" ht="18.75" customHeight="1" x14ac:dyDescent="0.2">
      <c r="A8" s="127"/>
      <c r="B8" s="131" t="s">
        <v>334</v>
      </c>
    </row>
    <row r="9" spans="1:3" ht="18.75" customHeight="1" x14ac:dyDescent="0.2">
      <c r="A9" s="127" t="s">
        <v>327</v>
      </c>
      <c r="B9" s="259">
        <v>64211045</v>
      </c>
    </row>
    <row r="10" spans="1:3" ht="18.75" customHeight="1" x14ac:dyDescent="0.2">
      <c r="A10" s="127" t="s">
        <v>405</v>
      </c>
      <c r="B10" s="259" t="s">
        <v>409</v>
      </c>
    </row>
    <row r="11" spans="1:3" ht="18.75" customHeight="1" x14ac:dyDescent="0.2">
      <c r="A11" s="127" t="s">
        <v>406</v>
      </c>
      <c r="B11" s="259" t="s">
        <v>407</v>
      </c>
    </row>
    <row r="12" spans="1:3" ht="18.75" customHeight="1" x14ac:dyDescent="0.2">
      <c r="A12" s="127" t="s">
        <v>408</v>
      </c>
      <c r="B12" s="259" t="s">
        <v>377</v>
      </c>
    </row>
    <row r="13" spans="1:3" ht="18.75" customHeight="1" x14ac:dyDescent="0.2">
      <c r="A13" s="128"/>
      <c r="B13" s="132" t="s">
        <v>296</v>
      </c>
    </row>
    <row r="14" spans="1:3" ht="18.75" customHeight="1" x14ac:dyDescent="0.2">
      <c r="A14" s="126" t="s">
        <v>712</v>
      </c>
      <c r="B14" s="259" t="s">
        <v>295</v>
      </c>
    </row>
    <row r="15" spans="1:3" ht="18.75" customHeight="1" x14ac:dyDescent="0.2">
      <c r="A15" s="126" t="s">
        <v>710</v>
      </c>
      <c r="B15" s="259" t="s">
        <v>711</v>
      </c>
    </row>
    <row r="16" spans="1:3" ht="18.75" customHeight="1" x14ac:dyDescent="0.2">
      <c r="A16" s="126" t="s">
        <v>328</v>
      </c>
      <c r="B16" s="259" t="s">
        <v>295</v>
      </c>
    </row>
    <row r="17" spans="1:3" ht="18.75" customHeight="1" x14ac:dyDescent="0.2">
      <c r="A17" s="126" t="s">
        <v>329</v>
      </c>
      <c r="B17" s="259" t="s">
        <v>330</v>
      </c>
      <c r="C17" s="124" t="str">
        <f>IF(ISERROR(VALUE(B17)),"chybná hodnota","")</f>
        <v/>
      </c>
    </row>
    <row r="18" spans="1:3" ht="18.75" customHeight="1" x14ac:dyDescent="0.2">
      <c r="A18" s="128"/>
      <c r="B18" s="132" t="s">
        <v>337</v>
      </c>
    </row>
    <row r="19" spans="1:3" ht="18.75" customHeight="1" x14ac:dyDescent="0.2">
      <c r="A19" s="126" t="s">
        <v>331</v>
      </c>
      <c r="B19" s="259" t="s">
        <v>534</v>
      </c>
    </row>
    <row r="20" spans="1:3" ht="18.75" customHeight="1" x14ac:dyDescent="0.2">
      <c r="A20" s="128"/>
      <c r="B20" s="133" t="s">
        <v>336</v>
      </c>
    </row>
    <row r="21" spans="1:3" ht="18.75" customHeight="1" x14ac:dyDescent="0.2">
      <c r="A21" s="126" t="s">
        <v>3231</v>
      </c>
      <c r="B21" s="259" t="s">
        <v>3234</v>
      </c>
    </row>
    <row r="22" spans="1:3" ht="18.75" customHeight="1" x14ac:dyDescent="0.2">
      <c r="A22" s="126" t="s">
        <v>3232</v>
      </c>
      <c r="B22" s="259" t="s">
        <v>3233</v>
      </c>
    </row>
    <row r="23" spans="1:3" ht="18.75" customHeight="1" x14ac:dyDescent="0.2">
      <c r="A23" s="126" t="s">
        <v>332</v>
      </c>
      <c r="B23" s="259" t="s">
        <v>324</v>
      </c>
    </row>
    <row r="24" spans="1:3" ht="18.75" customHeight="1" x14ac:dyDescent="0.2">
      <c r="A24" s="126" t="s">
        <v>333</v>
      </c>
      <c r="B24" s="259" t="s">
        <v>3254</v>
      </c>
    </row>
    <row r="25" spans="1:3" ht="18.75" customHeight="1" x14ac:dyDescent="0.2">
      <c r="A25" s="128"/>
      <c r="B25" s="133" t="s">
        <v>3288</v>
      </c>
    </row>
    <row r="26" spans="1:3" ht="18.75" customHeight="1" x14ac:dyDescent="0.2">
      <c r="A26" s="126" t="s">
        <v>3289</v>
      </c>
      <c r="B26" s="259" t="s">
        <v>3293</v>
      </c>
    </row>
    <row r="27" spans="1:3" ht="18.75" customHeight="1" x14ac:dyDescent="0.2">
      <c r="A27" s="126" t="s">
        <v>3290</v>
      </c>
      <c r="B27" s="259" t="s">
        <v>3294</v>
      </c>
    </row>
    <row r="28" spans="1:3" ht="18.75" customHeight="1" x14ac:dyDescent="0.2">
      <c r="A28" s="126" t="s">
        <v>3291</v>
      </c>
      <c r="B28" s="259" t="s">
        <v>3295</v>
      </c>
    </row>
  </sheetData>
  <sheetProtection sheet="1" objects="1" scenarios="1"/>
  <dataConsolidate/>
  <mergeCells count="2">
    <mergeCell ref="A1:B1"/>
    <mergeCell ref="A7:B7"/>
  </mergeCells>
  <conditionalFormatting sqref="A7">
    <cfRule type="cellIs" dxfId="22" priority="3" stopIfTrue="1" operator="notEqual">
      <formula>""</formula>
    </cfRule>
  </conditionalFormatting>
  <conditionalFormatting sqref="C4:C6">
    <cfRule type="cellIs" dxfId="21" priority="2" stopIfTrue="1" operator="equal">
      <formula>"chybná hodnota"</formula>
    </cfRule>
  </conditionalFormatting>
  <conditionalFormatting sqref="C17">
    <cfRule type="cellIs" dxfId="20" priority="1" stopIfTrue="1" operator="equal">
      <formula>"chybná hodnota"</formula>
    </cfRule>
  </conditionalFormatting>
  <dataValidations count="3">
    <dataValidation type="list" allowBlank="1" showErrorMessage="1" errorTitle="Nedovolená hodnota" error="Finanční úřad lze vybrat ze seznamu povolených hodnot._x000a_" sqref="B4" xr:uid="{00000000-0002-0000-0200-000000000000}">
      <formula1>financi_urad</formula1>
    </dataValidation>
    <dataValidation type="list" allowBlank="1" showInputMessage="1" showErrorMessage="1" sqref="B5" xr:uid="{1AC0EA25-2AD7-415A-9396-ECCC842D8E25}">
      <formula1>nazev_pracoviste</formula1>
    </dataValidation>
    <dataValidation type="list" allowBlank="1" showInputMessage="1" showErrorMessage="1" sqref="B6" xr:uid="{98B6B88D-BE38-4784-A745-26D1DB4B9546}">
      <formula1>nazev_okec</formula1>
    </dataValidation>
  </dataValidations>
  <pageMargins left="0.7" right="0.7" top="0.78740157499999996" bottom="0.78740157499999996"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E4AE-280D-4183-AB1F-8BAEE04E25C0}">
  <sheetPr>
    <tabColor rgb="FFFF0000"/>
  </sheetPr>
  <dimension ref="A1:C7"/>
  <sheetViews>
    <sheetView workbookViewId="0">
      <selection sqref="A1:B1"/>
    </sheetView>
  </sheetViews>
  <sheetFormatPr defaultRowHeight="12.75" x14ac:dyDescent="0.2"/>
  <cols>
    <col min="1" max="1" width="34.5703125" customWidth="1"/>
    <col min="2" max="2" width="15" style="504" customWidth="1"/>
    <col min="3" max="3" width="5.7109375" customWidth="1"/>
  </cols>
  <sheetData>
    <row r="1" spans="1:3" s="507" customFormat="1" ht="30" customHeight="1" x14ac:dyDescent="0.2">
      <c r="A1" s="566" t="s">
        <v>3449</v>
      </c>
      <c r="B1" s="566"/>
    </row>
    <row r="2" spans="1:3" s="507" customFormat="1" ht="30" customHeight="1" x14ac:dyDescent="0.2">
      <c r="A2" s="505" t="s">
        <v>3447</v>
      </c>
      <c r="B2" s="506" t="str">
        <f>IF(AND('Základní údaje'!C4="",'Základní údaje'!C5="",'Základní údaje'!C6="",'Základní údaje'!A7="",'Základní údaje'!C17=""),"ok","chyba")</f>
        <v>ok</v>
      </c>
    </row>
    <row r="3" spans="1:3" s="507" customFormat="1" ht="30" customHeight="1" x14ac:dyDescent="0.2">
      <c r="A3" s="505" t="s">
        <v>3444</v>
      </c>
      <c r="B3" s="506" t="str">
        <f>IF(OR(Deník!BO6:BO605),"chyba","ok")</f>
        <v>ok</v>
      </c>
    </row>
    <row r="4" spans="1:3" s="507" customFormat="1" ht="30" customHeight="1" x14ac:dyDescent="0.2">
      <c r="A4" s="505" t="s">
        <v>3445</v>
      </c>
      <c r="B4" s="506" t="str">
        <f>IF(OR(Deník!BP6:BP605),"chyba","ok")</f>
        <v>ok</v>
      </c>
    </row>
    <row r="5" spans="1:3" s="507" customFormat="1" ht="30" customHeight="1" x14ac:dyDescent="0.2">
      <c r="A5" s="505" t="s">
        <v>3342</v>
      </c>
      <c r="B5" s="506" t="str">
        <f>IF(Deník!BR5,"chyba","ok")</f>
        <v>ok</v>
      </c>
    </row>
    <row r="6" spans="1:3" s="507" customFormat="1" ht="30" customHeight="1" x14ac:dyDescent="0.2">
      <c r="A6" s="505" t="s">
        <v>3446</v>
      </c>
      <c r="B6" s="506" t="str">
        <f>IF(Deník!E607&lt;&gt;"Rozdíl příjmů a výdajů !!!","ok","chyba")</f>
        <v>ok</v>
      </c>
    </row>
    <row r="7" spans="1:3" s="507" customFormat="1" ht="30" customHeight="1" x14ac:dyDescent="0.2">
      <c r="A7" s="505" t="s">
        <v>3469</v>
      </c>
      <c r="B7" s="506" t="str">
        <f>IF(OR(ISERR(C7),ISNA(C7)),"chyba","ok")</f>
        <v>ok</v>
      </c>
      <c r="C7" s="544" t="str">
        <f>xml_export!A1&amp;xml_export!A2&amp;xml_export!A3&amp;xml_export!A4&amp;xml_export!A5&amp;xml_export!A6&amp;xml_export!A7&amp;xml_export!A8&amp;xml_export!A9&amp;xml_export!A10&amp;xml_export!A11&amp;xml_export!A12&amp;xml_export!A13&amp;xml_export!A14&amp;xml_export!A15&amp;xml_export!A16&amp;xml_export!A17&amp;xml_export!A18&amp;xml_export!A19&amp;xml_export!A20&amp;xml_export!A21&amp;xml_export!A22&amp;xml_export!A23&amp;xml_export!A24&amp;xml_export!A25&amp;xml_export!A26&amp;xml_export!A27&amp;xml_export!A28&amp;xml_export!A29&amp;xml_export!A30&amp;xml_export!A31&amp;xml_export!A32&amp;xml_export!A33&amp;xml_export!A34&amp;xml_export!A35&amp;xml_export!A36&amp;xml_export!A37&amp;xml_export!A38&amp;xml_export!A39&amp;xml_export!A40&amp;xml_export!A41&amp;xml_export!A42&amp;xml_export!A43&amp;xml_export!A44&amp;xml_export!A45&amp;xml_export!A46&amp;xml_export!A47&amp;xml_export!A48&amp;xml_export!A49&amp;xml_export!A50&amp;xml_export!A51&amp;xml_export!A52&amp;xml_export!A53&amp;xml_export!A54&amp;xml_export!A55&amp;xml_export!A56&amp;xml_export!A57&amp;xml_export!A58&amp;xml_export!A59&amp;xml_export!A60</f>
        <v>&lt;?xml version="1.0" encoding="UTF-8" standalone="yes"?&gt;&lt;Pisemnost nazevSW="PenezniDenikDobraku" verzeSW="11.4"&gt;&lt;DPPDP9 verzePis="03.01"&gt;&lt;VetaD c_nace="842500" typ_dapdpp="A" uc_zav="A" sam_pr="0" zvl_pr="2" typ_zo="A" typ_popldpp="3" uv_vyhl="325" p_pr_2od="1" c_ufo_cil="459" zdobd_od="01.01.2023" dokument="DP9" spoj_zahr="N" kc_v_4="0" dapdpp_forma="B" k_uladis="DPP" dan_por="N" zdobd_do="31.12.2023" d_uv="31.12.2023" audit="N" uz_dle_mus="N" /&gt;&lt;VetaP psc="56967" zkrobchjm="SH ČMS - Sbor dobrovolných hasičů Osík" dic="64211045" naz_obce="Osík" c_telef="601234567" c_pop="240" ulice="Osík" opr_jmeno="Jindřich" c_pracufo="2805" opr_postaveni="starosta SDH" opr_prijmeni="Groulík" rod_c="64211045" /&gt;&lt;VetaO kc_ii_360="0" kc_ii_340="0" kc_ii231_251="22859" kc_ii230_250="22859" kc_ii270_280="19" kc_ii260_270="0" kc_ii300_310="0" kc_ii111_101="12002" kc_ii50_40="33753" kc_ii190_170="17102" kc_ii120_110="2000" kc_ii130_120="99" kc_ii200_200="22859" kc_ii320_330="0" kc_ii280_290="0" kc_ii10_10="6208" kc_ii80_70="33753" kc_ii_220="22859" d_hospvysl="31.12.2023" kc_ii_109="3001" /&gt;&lt;VetaU kc_1a="33753" naz_uc_skup=" Výdaje na nezdaňovanou činnost" /&gt;&lt;VetaE kc_dpp_a12="33753" /&gt;&lt;VetaS poc_zam="0" kc_dpp_i1="46362" /&gt;&lt;VetaR c_radku="109" t_prilohy="Dary přijaté" kod_sekce="2" poradi="1" /&gt;&lt;VetaR c_radku="110" t_prilohy="Členské příspěvky" kod_sekce="2" poradi="1" /&gt;&lt;VetaU1 c_radku="1" kc_hlav="42" kc_hosp="6" kc_hlav_min="39" kc_hosp_min="11" /&gt;&lt;VetaU1 c_radku="2" kc_hlav="2" kc_hlav_min="1" /&gt;&lt;VetaU1 c_radku="3" kc_hlav="23" kc_hosp="5" kc_hlav_min="13" kc_hosp_min="8" /&gt;&lt;VetaU1 c_radku="4" kc_hlav_min="15" /&gt;&lt;VetaU1 c_radku="5" kc_hlav="3" kc_hlav_min="1" /&gt;&lt;VetaU1 c_radku="6" kc_hlav="2" kc_hlav_min="2" /&gt;&lt;VetaU1 c_radku="7" kc_hlav="7" kc_hlav_min="3" /&gt;&lt;VetaU1 c_radku="8" kc_hlav="5" kc_hosp="1" kc_hlav_min="4" kc_hosp_min="3" /&gt;&lt;VetaU1 c_radku="11" kc_hlav="42" kc_hosp="6" kc_hlav_min="39" kc_hosp_min="11" /&gt;&lt;VetaU1 c_radku="12" kc_hlav="40" kc_hosp="0" kc_hlav_min="38" kc_hosp_min="1" /&gt;&lt;VetaU1 c_radku="13" kc_hlav="0" kc_hlav_min="1" /&gt;&lt;VetaU1 c_radku="14" kc_hlav="7" kc_hosp="0" kc_hlav_min="7" kc_hosp_min="1" /&gt;&lt;VetaU1 c_radku="15" kc_hlav="1" kc_hlav_min="2" /&gt;&lt;VetaU1 c_radku="16" kc_hlav="25" kc_hlav_min="23" /&gt;&lt;VetaU1 c_radku="19" kc_hlav="1" kc_hlav_min="2" /&gt;&lt;VetaU1 c_radku="20" kc_hlav="6" kc_hlav_min="3" /&gt;&lt;VetaU1 c_radku="23" kc_hlav="40" kc_hosp="0" kc_hlav_min="38" kc_hosp_min="1" /&gt;&lt;VetaU1 c_radku="24" kc_hlav="2" kc_hosp="6" kc_hlav_min="1" kc_hosp_min="10" /&gt;&lt;VetaU2 c_radku="1" kc_rozv="15" kc_rozv_min="8" /&gt;&lt;VetaU2 c_radku="5" kc_rozv="4" kc_rozv_min="2" /&gt;&lt;VetaU2 c_radku="6" kc_rozv="11" kc_rozv_min="6" /&gt;&lt;VetaU2 c_radku="11" kc_rozv="15" kc_rozv_min="8" /&gt;&lt;VetaU2 c_radku="12" kc_rozv="0" kc_rozv_min="0" /&gt;&lt;VetaU2 c_radku="15" kc_rozv="0" kc_rozv_min="0" /&gt;&lt;VetaU2 c_radku="16" kc_rozv="15" kc_rozv_min="8" /&gt;&lt;/DPPDP9&gt;&lt;/Pisemnost&gt;</v>
      </c>
    </row>
  </sheetData>
  <sheetProtection sheet="1" objects="1" scenarios="1"/>
  <mergeCells count="1">
    <mergeCell ref="A1:B1"/>
  </mergeCells>
  <conditionalFormatting sqref="B2:B7">
    <cfRule type="cellIs" dxfId="19" priority="1" stopIfTrue="1" operator="notEqual">
      <formula>"ok"</formula>
    </cfRule>
    <cfRule type="cellIs" dxfId="18" priority="2" stopIfTrue="1" operator="equal">
      <formula>"ok"</formula>
    </cfRule>
  </conditionalFormatting>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2">
    <tabColor rgb="FF00B050"/>
  </sheetPr>
  <dimension ref="A1:CU631"/>
  <sheetViews>
    <sheetView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RowHeight="12.75" x14ac:dyDescent="0.2"/>
  <cols>
    <col min="1" max="1" width="3.42578125" style="3" customWidth="1"/>
    <col min="2" max="2" width="5.28515625" style="3" customWidth="1"/>
    <col min="3" max="3" width="6.140625" style="3" customWidth="1"/>
    <col min="4" max="4" width="38.85546875" style="3" customWidth="1"/>
    <col min="5" max="5" width="16" style="3" customWidth="1"/>
    <col min="6" max="6" width="9" style="18" customWidth="1"/>
    <col min="7" max="7" width="11.42578125" style="18" bestFit="1" customWidth="1"/>
    <col min="8" max="8" width="40.28515625" style="18" bestFit="1" customWidth="1"/>
    <col min="9" max="11" width="9.140625" style="8"/>
    <col min="12" max="20" width="10" style="8" customWidth="1"/>
    <col min="21" max="21" width="29.85546875" style="8" bestFit="1" customWidth="1"/>
    <col min="22" max="22" width="5.5703125" style="7" customWidth="1"/>
    <col min="23" max="23" width="10.42578125" style="8" customWidth="1"/>
    <col min="24" max="24" width="9.7109375" style="8" customWidth="1"/>
    <col min="25" max="25" width="10.42578125" style="8" customWidth="1"/>
    <col min="26" max="26" width="9.7109375" style="8" customWidth="1"/>
    <col min="27" max="33" width="8.5703125" style="8" customWidth="1"/>
    <col min="34" max="34" width="8.85546875" style="8" customWidth="1"/>
    <col min="35" max="35" width="9.140625" style="8"/>
    <col min="36" max="36" width="11.140625" style="8" customWidth="1"/>
    <col min="37" max="37" width="9.140625" style="8"/>
    <col min="38" max="65" width="8.85546875" style="8" customWidth="1"/>
    <col min="66" max="66" width="2" style="8" customWidth="1"/>
    <col min="67" max="67" width="9.28515625" style="18" customWidth="1"/>
    <col min="68" max="68" width="14.85546875" style="18" bestFit="1" customWidth="1"/>
    <col min="69" max="71" width="9.140625" style="18"/>
    <col min="72" max="72" width="11" style="18" bestFit="1" customWidth="1"/>
    <col min="73" max="73" width="2" style="3" customWidth="1"/>
    <col min="74" max="99" width="8.85546875" style="8" customWidth="1"/>
    <col min="100" max="16384" width="9.140625" style="3"/>
  </cols>
  <sheetData>
    <row r="1" spans="1:99" ht="15" x14ac:dyDescent="0.25">
      <c r="A1" s="573" t="s">
        <v>15</v>
      </c>
      <c r="B1" s="574"/>
      <c r="C1" s="574"/>
      <c r="D1" s="575"/>
      <c r="E1" s="576" t="s">
        <v>13</v>
      </c>
      <c r="F1" s="577"/>
      <c r="G1" s="590" t="s">
        <v>3372</v>
      </c>
      <c r="H1" s="591"/>
      <c r="I1" s="568" t="s">
        <v>0</v>
      </c>
      <c r="J1" s="567"/>
      <c r="K1" s="567"/>
      <c r="L1" s="567"/>
      <c r="M1" s="567"/>
      <c r="N1" s="567"/>
      <c r="O1" s="567"/>
      <c r="P1" s="567"/>
      <c r="Q1" s="567"/>
      <c r="R1" s="567"/>
      <c r="S1" s="567"/>
      <c r="T1" s="569"/>
      <c r="U1" s="433" t="s">
        <v>3285</v>
      </c>
      <c r="V1" s="2"/>
      <c r="W1" s="589" t="s">
        <v>77</v>
      </c>
      <c r="X1" s="569"/>
      <c r="Y1" s="589" t="s">
        <v>76</v>
      </c>
      <c r="Z1" s="569"/>
      <c r="AA1" s="568" t="s">
        <v>19</v>
      </c>
      <c r="AB1" s="567"/>
      <c r="AC1" s="567"/>
      <c r="AD1" s="567"/>
      <c r="AE1" s="567"/>
      <c r="AF1" s="567"/>
      <c r="AG1" s="569"/>
      <c r="AH1" s="568" t="s">
        <v>74</v>
      </c>
      <c r="AI1" s="567"/>
      <c r="AJ1" s="567"/>
      <c r="AK1" s="569"/>
      <c r="AL1" s="568" t="s">
        <v>3362</v>
      </c>
      <c r="AM1" s="567"/>
      <c r="AN1" s="567"/>
      <c r="AO1" s="567"/>
      <c r="AP1" s="567"/>
      <c r="AQ1" s="567"/>
      <c r="AR1" s="567"/>
      <c r="AS1" s="569"/>
      <c r="AT1" s="568" t="s">
        <v>3363</v>
      </c>
      <c r="AU1" s="567"/>
      <c r="AV1" s="569"/>
      <c r="AW1" s="568" t="s">
        <v>3364</v>
      </c>
      <c r="AX1" s="567"/>
      <c r="AY1" s="567"/>
      <c r="AZ1" s="567"/>
      <c r="BA1" s="567"/>
      <c r="BB1" s="567"/>
      <c r="BC1" s="567"/>
      <c r="BD1" s="567"/>
      <c r="BE1" s="569"/>
      <c r="BF1" s="568" t="s">
        <v>3371</v>
      </c>
      <c r="BG1" s="567"/>
      <c r="BH1" s="567"/>
      <c r="BI1" s="567"/>
      <c r="BJ1" s="567"/>
      <c r="BK1" s="567"/>
      <c r="BL1" s="567"/>
      <c r="BM1" s="569"/>
      <c r="BN1" s="88"/>
      <c r="BO1" s="601" t="s">
        <v>388</v>
      </c>
      <c r="BP1" s="601"/>
      <c r="BQ1" s="601"/>
      <c r="BR1" s="601"/>
      <c r="BS1" s="601"/>
      <c r="BT1" s="601"/>
      <c r="BV1" s="568" t="s">
        <v>3465</v>
      </c>
      <c r="BW1" s="567"/>
      <c r="BX1" s="567"/>
      <c r="BY1" s="567"/>
      <c r="BZ1" s="567"/>
      <c r="CA1" s="567"/>
      <c r="CB1" s="567"/>
      <c r="CC1" s="568" t="s">
        <v>3466</v>
      </c>
      <c r="CD1" s="567"/>
      <c r="CE1" s="569"/>
      <c r="CF1" s="568" t="s">
        <v>3467</v>
      </c>
      <c r="CG1" s="567"/>
      <c r="CH1" s="567"/>
      <c r="CI1" s="567"/>
      <c r="CJ1" s="567"/>
      <c r="CK1" s="567"/>
      <c r="CL1" s="567"/>
      <c r="CM1" s="567"/>
      <c r="CN1" s="568" t="s">
        <v>3468</v>
      </c>
      <c r="CO1" s="567"/>
      <c r="CP1" s="567"/>
      <c r="CQ1" s="567"/>
      <c r="CR1" s="567"/>
      <c r="CS1" s="567"/>
      <c r="CT1" s="567"/>
      <c r="CU1" s="569"/>
    </row>
    <row r="2" spans="1:99" ht="13.5" customHeight="1" thickBot="1" x14ac:dyDescent="0.25">
      <c r="A2" s="4" t="str">
        <f>"Rok: "&amp;YEAR(B6)</f>
        <v>Rok: 2023</v>
      </c>
      <c r="B2" s="5"/>
      <c r="C2" s="5"/>
      <c r="D2" s="5" t="s">
        <v>37</v>
      </c>
      <c r="E2" s="585" t="s">
        <v>78</v>
      </c>
      <c r="F2" s="587" t="s">
        <v>79</v>
      </c>
      <c r="G2" s="464" t="s">
        <v>3304</v>
      </c>
      <c r="H2" s="465" t="s">
        <v>3304</v>
      </c>
      <c r="I2" s="582" t="s">
        <v>16</v>
      </c>
      <c r="J2" s="583"/>
      <c r="K2" s="584"/>
      <c r="L2" s="582" t="str">
        <f>'Základní údaje'!B26</f>
        <v>Bankovní účet A</v>
      </c>
      <c r="M2" s="583"/>
      <c r="N2" s="584"/>
      <c r="O2" s="582" t="str">
        <f>'Základní údaje'!B27</f>
        <v>Bankovní účet B</v>
      </c>
      <c r="P2" s="583"/>
      <c r="Q2" s="584"/>
      <c r="R2" s="582" t="str">
        <f>'Základní údaje'!B28</f>
        <v>Bankovní účet C</v>
      </c>
      <c r="S2" s="583"/>
      <c r="T2" s="584"/>
      <c r="U2" s="434" t="s">
        <v>3286</v>
      </c>
      <c r="V2" s="6"/>
      <c r="W2" s="582"/>
      <c r="X2" s="584"/>
      <c r="Y2" s="582"/>
      <c r="Z2" s="584"/>
      <c r="AA2" s="578" t="s">
        <v>68</v>
      </c>
      <c r="AB2" s="580" t="s">
        <v>69</v>
      </c>
      <c r="AC2" s="580" t="s">
        <v>75</v>
      </c>
      <c r="AD2" s="595" t="s">
        <v>71</v>
      </c>
      <c r="AE2" s="596"/>
      <c r="AF2" s="580" t="s">
        <v>70</v>
      </c>
      <c r="AG2" s="593" t="s">
        <v>2</v>
      </c>
      <c r="AH2" s="578" t="s">
        <v>68</v>
      </c>
      <c r="AI2" s="580" t="s">
        <v>72</v>
      </c>
      <c r="AJ2" s="580" t="s">
        <v>73</v>
      </c>
      <c r="AK2" s="593" t="s">
        <v>2</v>
      </c>
      <c r="AL2" s="466" t="s">
        <v>3351</v>
      </c>
      <c r="AM2" s="467" t="s">
        <v>3351</v>
      </c>
      <c r="AN2" s="467" t="s">
        <v>3354</v>
      </c>
      <c r="AO2" s="467" t="s">
        <v>3356</v>
      </c>
      <c r="AP2" s="467" t="s">
        <v>3357</v>
      </c>
      <c r="AQ2" s="467"/>
      <c r="AR2" s="467"/>
      <c r="AS2" s="479" t="s">
        <v>3360</v>
      </c>
      <c r="AT2" s="466" t="s">
        <v>3351</v>
      </c>
      <c r="AU2" s="467" t="s">
        <v>3351</v>
      </c>
      <c r="AV2" s="479"/>
      <c r="AW2" s="466" t="s">
        <v>3365</v>
      </c>
      <c r="AX2" s="467"/>
      <c r="AY2" s="467"/>
      <c r="AZ2" s="467"/>
      <c r="BA2" s="467"/>
      <c r="BB2" s="467" t="s">
        <v>3367</v>
      </c>
      <c r="BC2" s="467" t="s">
        <v>3369</v>
      </c>
      <c r="BD2" s="467"/>
      <c r="BE2" s="479" t="s">
        <v>3360</v>
      </c>
      <c r="BF2" s="466" t="s">
        <v>3365</v>
      </c>
      <c r="BG2" s="467"/>
      <c r="BH2" s="467"/>
      <c r="BI2" s="467"/>
      <c r="BJ2" s="467"/>
      <c r="BK2" s="467" t="s">
        <v>3367</v>
      </c>
      <c r="BL2" s="467" t="s">
        <v>3369</v>
      </c>
      <c r="BM2" s="479"/>
      <c r="BN2" s="7"/>
      <c r="BO2" s="18" t="s">
        <v>390</v>
      </c>
      <c r="BP2" s="18" t="s">
        <v>3373</v>
      </c>
      <c r="BQ2" s="18" t="s">
        <v>392</v>
      </c>
      <c r="BR2" s="18" t="s">
        <v>394</v>
      </c>
      <c r="BS2" s="18" t="s">
        <v>3374</v>
      </c>
      <c r="BT2" s="18" t="s">
        <v>3374</v>
      </c>
      <c r="BV2" s="466" t="s">
        <v>3351</v>
      </c>
      <c r="BW2" s="467" t="s">
        <v>3351</v>
      </c>
      <c r="BX2" s="467" t="s">
        <v>3354</v>
      </c>
      <c r="BY2" s="467" t="s">
        <v>3356</v>
      </c>
      <c r="BZ2" s="467" t="s">
        <v>3357</v>
      </c>
      <c r="CA2" s="467"/>
      <c r="CB2" s="467"/>
      <c r="CC2" s="466" t="s">
        <v>3351</v>
      </c>
      <c r="CD2" s="467" t="s">
        <v>3351</v>
      </c>
      <c r="CE2" s="479"/>
      <c r="CF2" s="466" t="s">
        <v>3365</v>
      </c>
      <c r="CG2" s="467"/>
      <c r="CH2" s="467"/>
      <c r="CI2" s="467"/>
      <c r="CJ2" s="467"/>
      <c r="CK2" s="467" t="s">
        <v>3367</v>
      </c>
      <c r="CL2" s="467" t="s">
        <v>3369</v>
      </c>
      <c r="CM2" s="467"/>
      <c r="CN2" s="466" t="s">
        <v>3365</v>
      </c>
      <c r="CO2" s="467"/>
      <c r="CP2" s="467"/>
      <c r="CQ2" s="467"/>
      <c r="CR2" s="467"/>
      <c r="CS2" s="467" t="s">
        <v>3367</v>
      </c>
      <c r="CT2" s="467" t="s">
        <v>3369</v>
      </c>
      <c r="CU2" s="479"/>
    </row>
    <row r="3" spans="1:99" ht="13.5" thickBot="1" x14ac:dyDescent="0.25">
      <c r="A3" s="9" t="s">
        <v>134</v>
      </c>
      <c r="B3" s="78" t="s">
        <v>3</v>
      </c>
      <c r="C3" s="78" t="s">
        <v>4</v>
      </c>
      <c r="D3" s="10" t="s">
        <v>5</v>
      </c>
      <c r="E3" s="586"/>
      <c r="F3" s="588"/>
      <c r="G3" s="18" t="s">
        <v>3305</v>
      </c>
      <c r="H3" s="18" t="s">
        <v>3327</v>
      </c>
      <c r="I3" s="22" t="s">
        <v>6</v>
      </c>
      <c r="J3" s="23" t="s">
        <v>7</v>
      </c>
      <c r="K3" s="24" t="s">
        <v>8</v>
      </c>
      <c r="L3" s="22" t="s">
        <v>6</v>
      </c>
      <c r="M3" s="23" t="s">
        <v>7</v>
      </c>
      <c r="N3" s="24" t="s">
        <v>8</v>
      </c>
      <c r="O3" s="22" t="s">
        <v>6</v>
      </c>
      <c r="P3" s="23" t="s">
        <v>7</v>
      </c>
      <c r="Q3" s="24" t="s">
        <v>8</v>
      </c>
      <c r="R3" s="22" t="s">
        <v>6</v>
      </c>
      <c r="S3" s="23" t="s">
        <v>7</v>
      </c>
      <c r="T3" s="24" t="s">
        <v>8</v>
      </c>
      <c r="U3" s="435" t="s">
        <v>3284</v>
      </c>
      <c r="V3" s="6" t="s">
        <v>134</v>
      </c>
      <c r="W3" s="22" t="s">
        <v>17</v>
      </c>
      <c r="X3" s="24" t="s">
        <v>2</v>
      </c>
      <c r="Y3" s="22" t="s">
        <v>17</v>
      </c>
      <c r="Z3" s="24" t="s">
        <v>2</v>
      </c>
      <c r="AA3" s="579"/>
      <c r="AB3" s="581"/>
      <c r="AC3" s="581"/>
      <c r="AD3" s="597"/>
      <c r="AE3" s="598"/>
      <c r="AF3" s="581"/>
      <c r="AG3" s="594"/>
      <c r="AH3" s="579"/>
      <c r="AI3" s="581"/>
      <c r="AJ3" s="581"/>
      <c r="AK3" s="594"/>
      <c r="AL3" s="480" t="s">
        <v>3352</v>
      </c>
      <c r="AM3" s="481" t="s">
        <v>3353</v>
      </c>
      <c r="AN3" s="481" t="s">
        <v>3355</v>
      </c>
      <c r="AO3" s="481" t="s">
        <v>3355</v>
      </c>
      <c r="AP3" s="481" t="s">
        <v>3358</v>
      </c>
      <c r="AQ3" s="481" t="s">
        <v>3359</v>
      </c>
      <c r="AR3" s="481" t="s">
        <v>2</v>
      </c>
      <c r="AS3" s="482" t="s">
        <v>3361</v>
      </c>
      <c r="AT3" s="480" t="s">
        <v>3352</v>
      </c>
      <c r="AU3" s="481" t="s">
        <v>3353</v>
      </c>
      <c r="AV3" s="482" t="s">
        <v>2</v>
      </c>
      <c r="AW3" s="480" t="s">
        <v>3366</v>
      </c>
      <c r="AX3" s="481" t="s">
        <v>3345</v>
      </c>
      <c r="AY3" s="481" t="s">
        <v>3346</v>
      </c>
      <c r="AZ3" s="481" t="s">
        <v>3347</v>
      </c>
      <c r="BA3" s="481" t="s">
        <v>3348</v>
      </c>
      <c r="BB3" s="481" t="s">
        <v>3368</v>
      </c>
      <c r="BC3" s="481" t="s">
        <v>3370</v>
      </c>
      <c r="BD3" s="481" t="s">
        <v>2</v>
      </c>
      <c r="BE3" s="482" t="s">
        <v>3361</v>
      </c>
      <c r="BF3" s="480" t="s">
        <v>3366</v>
      </c>
      <c r="BG3" s="481" t="s">
        <v>3345</v>
      </c>
      <c r="BH3" s="481" t="s">
        <v>3346</v>
      </c>
      <c r="BI3" s="481" t="s">
        <v>3347</v>
      </c>
      <c r="BJ3" s="481" t="s">
        <v>3348</v>
      </c>
      <c r="BK3" s="481" t="s">
        <v>3368</v>
      </c>
      <c r="BL3" s="481" t="s">
        <v>3370</v>
      </c>
      <c r="BM3" s="482" t="s">
        <v>2</v>
      </c>
      <c r="BN3" s="7"/>
      <c r="BO3" s="18" t="s">
        <v>391</v>
      </c>
      <c r="BP3" s="18" t="s">
        <v>389</v>
      </c>
      <c r="BQ3" s="18" t="s">
        <v>393</v>
      </c>
      <c r="BR3" s="18" t="s">
        <v>395</v>
      </c>
      <c r="BS3" s="18" t="s">
        <v>3304</v>
      </c>
      <c r="BT3" s="18" t="s">
        <v>3375</v>
      </c>
      <c r="BV3" s="480" t="s">
        <v>3352</v>
      </c>
      <c r="BW3" s="481" t="s">
        <v>3353</v>
      </c>
      <c r="BX3" s="481" t="s">
        <v>3355</v>
      </c>
      <c r="BY3" s="481" t="s">
        <v>3355</v>
      </c>
      <c r="BZ3" s="481" t="s">
        <v>3358</v>
      </c>
      <c r="CA3" s="481" t="s">
        <v>3359</v>
      </c>
      <c r="CB3" s="481" t="s">
        <v>2</v>
      </c>
      <c r="CC3" s="480" t="s">
        <v>3352</v>
      </c>
      <c r="CD3" s="481" t="s">
        <v>3353</v>
      </c>
      <c r="CE3" s="482" t="s">
        <v>2</v>
      </c>
      <c r="CF3" s="480" t="s">
        <v>3366</v>
      </c>
      <c r="CG3" s="481" t="s">
        <v>3345</v>
      </c>
      <c r="CH3" s="481" t="s">
        <v>3346</v>
      </c>
      <c r="CI3" s="481" t="s">
        <v>3347</v>
      </c>
      <c r="CJ3" s="481" t="s">
        <v>3348</v>
      </c>
      <c r="CK3" s="481" t="s">
        <v>3368</v>
      </c>
      <c r="CL3" s="481" t="s">
        <v>3370</v>
      </c>
      <c r="CM3" s="481" t="s">
        <v>2</v>
      </c>
      <c r="CN3" s="480" t="s">
        <v>3366</v>
      </c>
      <c r="CO3" s="481" t="s">
        <v>3345</v>
      </c>
      <c r="CP3" s="481" t="s">
        <v>3346</v>
      </c>
      <c r="CQ3" s="481" t="s">
        <v>3347</v>
      </c>
      <c r="CR3" s="481" t="s">
        <v>3348</v>
      </c>
      <c r="CS3" s="481" t="s">
        <v>3368</v>
      </c>
      <c r="CT3" s="481" t="s">
        <v>3370</v>
      </c>
      <c r="CU3" s="482" t="s">
        <v>2</v>
      </c>
    </row>
    <row r="4" spans="1:99" s="12" customFormat="1" ht="12" thickBot="1" x14ac:dyDescent="0.25">
      <c r="A4" s="9" t="s">
        <v>9</v>
      </c>
      <c r="B4" s="97" t="s">
        <v>10</v>
      </c>
      <c r="C4" s="97" t="s">
        <v>11</v>
      </c>
      <c r="D4" s="98" t="s">
        <v>12</v>
      </c>
      <c r="E4" s="99" t="s">
        <v>35</v>
      </c>
      <c r="F4" s="100" t="s">
        <v>36</v>
      </c>
      <c r="G4" s="98" t="s">
        <v>3306</v>
      </c>
      <c r="H4" s="98" t="s">
        <v>3328</v>
      </c>
      <c r="I4" s="101">
        <v>1</v>
      </c>
      <c r="J4" s="102">
        <v>2</v>
      </c>
      <c r="K4" s="27">
        <v>3</v>
      </c>
      <c r="L4" s="101">
        <v>4</v>
      </c>
      <c r="M4" s="102">
        <v>5</v>
      </c>
      <c r="N4" s="27">
        <v>6</v>
      </c>
      <c r="O4" s="101">
        <v>7</v>
      </c>
      <c r="P4" s="102">
        <v>8</v>
      </c>
      <c r="Q4" s="27">
        <v>9</v>
      </c>
      <c r="R4" s="101">
        <v>10</v>
      </c>
      <c r="S4" s="102">
        <v>11</v>
      </c>
      <c r="T4" s="27">
        <v>12</v>
      </c>
      <c r="U4" s="438">
        <v>13</v>
      </c>
      <c r="V4" s="11" t="s">
        <v>9</v>
      </c>
      <c r="W4" s="25" t="s">
        <v>22</v>
      </c>
      <c r="X4" s="27" t="s">
        <v>21</v>
      </c>
      <c r="Y4" s="25" t="s">
        <v>23</v>
      </c>
      <c r="Z4" s="27" t="s">
        <v>25</v>
      </c>
      <c r="AA4" s="25" t="s">
        <v>26</v>
      </c>
      <c r="AB4" s="26" t="s">
        <v>18</v>
      </c>
      <c r="AC4" s="26" t="s">
        <v>27</v>
      </c>
      <c r="AD4" s="26" t="s">
        <v>645</v>
      </c>
      <c r="AE4" s="26" t="s">
        <v>28</v>
      </c>
      <c r="AF4" s="26" t="s">
        <v>29</v>
      </c>
      <c r="AG4" s="27" t="s">
        <v>30</v>
      </c>
      <c r="AH4" s="25" t="s">
        <v>24</v>
      </c>
      <c r="AI4" s="26" t="s">
        <v>31</v>
      </c>
      <c r="AJ4" s="26" t="s">
        <v>32</v>
      </c>
      <c r="AK4" s="27" t="s">
        <v>33</v>
      </c>
      <c r="AL4" s="460" t="str">
        <f>'Povolené hodnoty'!$E$19</f>
        <v>P Prodej zboží</v>
      </c>
      <c r="AM4" s="461" t="str">
        <f>'Povolené hodnoty'!$E$20</f>
        <v>P Prodej výrobků a služeb</v>
      </c>
      <c r="AN4" s="461" t="str">
        <f>'Povolené hodnoty'!$E$21</f>
        <v>P Příjmy z veřejných sbírek</v>
      </c>
      <c r="AO4" s="461" t="str">
        <f>'Povolené hodnoty'!$E$22</f>
        <v>P Přijaté peněžní dary mimo veřejné sbírky</v>
      </c>
      <c r="AP4" s="461" t="str">
        <f>'Povolené hodnoty'!$E$23</f>
        <v>P Přijaté členské příspěvky</v>
      </c>
      <c r="AQ4" s="462" t="str">
        <f>'Povolené hodnoty'!$E$24</f>
        <v>P Dotace a příspěvky přijaté z veřejných rozpočtů</v>
      </c>
      <c r="AR4" s="462" t="str">
        <f>'Povolené hodnoty'!$E$25</f>
        <v>P Ostatní</v>
      </c>
      <c r="AS4" s="463" t="str">
        <f>'Povolené hodnoty'!$E$26</f>
        <v>P Průběžné položky</v>
      </c>
      <c r="AT4" s="460" t="str">
        <f>'Povolené hodnoty'!$E$19</f>
        <v>P Prodej zboží</v>
      </c>
      <c r="AU4" s="461" t="str">
        <f>'Povolené hodnoty'!$E$20</f>
        <v>P Prodej výrobků a služeb</v>
      </c>
      <c r="AV4" s="27" t="str">
        <f>'Povolené hodnoty'!$E$25</f>
        <v>P Ostatní</v>
      </c>
      <c r="AW4" s="460" t="str">
        <f>'Povolené hodnoty'!$E$27</f>
        <v>V Dlouhodobý nehmotný a hmotný majetek</v>
      </c>
      <c r="AX4" s="461" t="str">
        <f>'Povolené hodnoty'!$E$28</f>
        <v>V Materiál</v>
      </c>
      <c r="AY4" s="461" t="str">
        <f>'Povolené hodnoty'!$E$29</f>
        <v>V Zboží</v>
      </c>
      <c r="AZ4" s="461" t="str">
        <f>'Povolené hodnoty'!$E$30</f>
        <v>V Služby</v>
      </c>
      <c r="BA4" s="461" t="str">
        <f>'Povolené hodnoty'!$E$31</f>
        <v>V Mzdy</v>
      </c>
      <c r="BB4" s="462" t="str">
        <f>'Povolené hodnoty'!$E$32</f>
        <v>V Pojistné za zaměstnance a zaměstnavatele</v>
      </c>
      <c r="BC4" s="462" t="str">
        <f>'Povolené hodnoty'!$E$33</f>
        <v>V Ostatní osobní výdaje</v>
      </c>
      <c r="BD4" s="462" t="str">
        <f>'Povolené hodnoty'!$E$34</f>
        <v>V Ostatní</v>
      </c>
      <c r="BE4" s="463" t="str">
        <f>'Povolené hodnoty'!$E$35</f>
        <v>V Průběžné položky</v>
      </c>
      <c r="BF4" s="460" t="s">
        <v>3318</v>
      </c>
      <c r="BG4" s="461" t="s">
        <v>3319</v>
      </c>
      <c r="BH4" s="461" t="s">
        <v>3320</v>
      </c>
      <c r="BI4" s="461" t="s">
        <v>3321</v>
      </c>
      <c r="BJ4" s="461" t="s">
        <v>3322</v>
      </c>
      <c r="BK4" s="462" t="s">
        <v>3323</v>
      </c>
      <c r="BL4" s="462" t="s">
        <v>3324</v>
      </c>
      <c r="BM4" s="463" t="s">
        <v>3325</v>
      </c>
      <c r="BN4" s="7"/>
      <c r="BV4" s="460" t="s">
        <v>3310</v>
      </c>
      <c r="BW4" s="461" t="s">
        <v>3311</v>
      </c>
      <c r="BX4" s="461" t="s">
        <v>3312</v>
      </c>
      <c r="BY4" s="461" t="s">
        <v>3313</v>
      </c>
      <c r="BZ4" s="461" t="s">
        <v>3314</v>
      </c>
      <c r="CA4" s="462" t="s">
        <v>3315</v>
      </c>
      <c r="CB4" s="462" t="s">
        <v>3316</v>
      </c>
      <c r="CC4" s="460" t="s">
        <v>3310</v>
      </c>
      <c r="CD4" s="461" t="s">
        <v>3311</v>
      </c>
      <c r="CE4" s="27" t="s">
        <v>3316</v>
      </c>
      <c r="CF4" s="460" t="s">
        <v>3318</v>
      </c>
      <c r="CG4" s="461" t="s">
        <v>3319</v>
      </c>
      <c r="CH4" s="461" t="s">
        <v>3320</v>
      </c>
      <c r="CI4" s="461" t="s">
        <v>3321</v>
      </c>
      <c r="CJ4" s="461" t="s">
        <v>3322</v>
      </c>
      <c r="CK4" s="462" t="s">
        <v>3323</v>
      </c>
      <c r="CL4" s="462" t="s">
        <v>3324</v>
      </c>
      <c r="CM4" s="462" t="s">
        <v>3325</v>
      </c>
      <c r="CN4" s="460" t="s">
        <v>3318</v>
      </c>
      <c r="CO4" s="461" t="s">
        <v>3319</v>
      </c>
      <c r="CP4" s="461" t="s">
        <v>3320</v>
      </c>
      <c r="CQ4" s="461" t="s">
        <v>3321</v>
      </c>
      <c r="CR4" s="461" t="s">
        <v>3322</v>
      </c>
      <c r="CS4" s="462" t="s">
        <v>3323</v>
      </c>
      <c r="CT4" s="462" t="s">
        <v>3324</v>
      </c>
      <c r="CU4" s="463" t="s">
        <v>3325</v>
      </c>
    </row>
    <row r="5" spans="1:99" s="13" customFormat="1" x14ac:dyDescent="0.2">
      <c r="A5" s="76">
        <v>0</v>
      </c>
      <c r="B5" s="79"/>
      <c r="C5" s="80" t="s">
        <v>1</v>
      </c>
      <c r="D5" s="32" t="str">
        <f>"Stav k 1.1."&amp;YEAR(B6)</f>
        <v>Stav k 1.1.2023</v>
      </c>
      <c r="E5" s="33" t="s">
        <v>1</v>
      </c>
      <c r="F5" s="34" t="s">
        <v>1</v>
      </c>
      <c r="G5" s="442" t="s">
        <v>1</v>
      </c>
      <c r="H5" s="442" t="s">
        <v>1</v>
      </c>
      <c r="I5" s="35" t="s">
        <v>1</v>
      </c>
      <c r="J5" s="36" t="s">
        <v>1</v>
      </c>
      <c r="K5" s="103">
        <v>2000</v>
      </c>
      <c r="L5" s="35" t="s">
        <v>1</v>
      </c>
      <c r="M5" s="36" t="s">
        <v>1</v>
      </c>
      <c r="N5" s="114">
        <v>6000</v>
      </c>
      <c r="O5" s="35" t="s">
        <v>1</v>
      </c>
      <c r="P5" s="36" t="s">
        <v>1</v>
      </c>
      <c r="Q5" s="114">
        <v>0</v>
      </c>
      <c r="R5" s="35" t="s">
        <v>1</v>
      </c>
      <c r="S5" s="36" t="s">
        <v>1</v>
      </c>
      <c r="T5" s="114">
        <v>0</v>
      </c>
      <c r="U5" s="36" t="s">
        <v>1</v>
      </c>
      <c r="V5" s="37">
        <f t="shared" ref="V5:V68" si="0">A5</f>
        <v>0</v>
      </c>
      <c r="W5" s="35" t="s">
        <v>1</v>
      </c>
      <c r="X5" s="38" t="s">
        <v>1</v>
      </c>
      <c r="Y5" s="35" t="s">
        <v>1</v>
      </c>
      <c r="Z5" s="38" t="s">
        <v>1</v>
      </c>
      <c r="AA5" s="35" t="s">
        <v>1</v>
      </c>
      <c r="AB5" s="36" t="s">
        <v>1</v>
      </c>
      <c r="AC5" s="36" t="s">
        <v>1</v>
      </c>
      <c r="AD5" s="36" t="s">
        <v>1</v>
      </c>
      <c r="AE5" s="36" t="s">
        <v>1</v>
      </c>
      <c r="AF5" s="36" t="s">
        <v>1</v>
      </c>
      <c r="AG5" s="38" t="s">
        <v>1</v>
      </c>
      <c r="AH5" s="35" t="s">
        <v>1</v>
      </c>
      <c r="AI5" s="36" t="s">
        <v>1</v>
      </c>
      <c r="AJ5" s="36" t="s">
        <v>1</v>
      </c>
      <c r="AK5" s="38" t="s">
        <v>1</v>
      </c>
      <c r="AL5" s="35" t="s">
        <v>1</v>
      </c>
      <c r="AM5" s="36" t="s">
        <v>1</v>
      </c>
      <c r="AN5" s="36" t="s">
        <v>1</v>
      </c>
      <c r="AO5" s="36" t="s">
        <v>1</v>
      </c>
      <c r="AP5" s="36" t="s">
        <v>1</v>
      </c>
      <c r="AQ5" s="36" t="s">
        <v>1</v>
      </c>
      <c r="AR5" s="36" t="s">
        <v>1</v>
      </c>
      <c r="AS5" s="38" t="s">
        <v>1</v>
      </c>
      <c r="AT5" s="35" t="s">
        <v>1</v>
      </c>
      <c r="AU5" s="36" t="s">
        <v>1</v>
      </c>
      <c r="AV5" s="38" t="s">
        <v>1</v>
      </c>
      <c r="AW5" s="35" t="s">
        <v>1</v>
      </c>
      <c r="AX5" s="36" t="s">
        <v>1</v>
      </c>
      <c r="AY5" s="36" t="s">
        <v>1</v>
      </c>
      <c r="AZ5" s="36" t="s">
        <v>1</v>
      </c>
      <c r="BA5" s="36" t="s">
        <v>1</v>
      </c>
      <c r="BB5" s="36" t="s">
        <v>1</v>
      </c>
      <c r="BC5" s="36" t="s">
        <v>1</v>
      </c>
      <c r="BD5" s="36" t="s">
        <v>1</v>
      </c>
      <c r="BE5" s="38" t="s">
        <v>1</v>
      </c>
      <c r="BF5" s="35" t="s">
        <v>1</v>
      </c>
      <c r="BG5" s="36" t="s">
        <v>1</v>
      </c>
      <c r="BH5" s="36" t="s">
        <v>1</v>
      </c>
      <c r="BI5" s="36" t="s">
        <v>1</v>
      </c>
      <c r="BJ5" s="36" t="s">
        <v>1</v>
      </c>
      <c r="BK5" s="36" t="s">
        <v>1</v>
      </c>
      <c r="BL5" s="36" t="s">
        <v>1</v>
      </c>
      <c r="BM5" s="38" t="s">
        <v>1</v>
      </c>
      <c r="BN5" s="457"/>
      <c r="BO5" s="290"/>
      <c r="BP5" s="18"/>
      <c r="BQ5" s="290"/>
      <c r="BR5" s="18" t="b">
        <f>(ABS(SUMIF($E$6:$E$605,"Průběžná položka",Deník!$I$6:$I$605)+SUMIF($E$6:$E$605,"Průběžná položka",Deník!$L$6:$L$605)+SUMIF($E$6:$E$605,"Průběžná položka",Deník!$O$6:$O$605)+SUMIF($E$6:$E$605,"Průběžná položka",Deník!$R$6:$R$605)-SUMIF($E$6:$E$605,"Průběžná položka",Deník!$J$6:$J$605)-SUMIF($E$6:$E$605,"Průběžná položka",Deník!$M$6:$M$605)-SUMIF($E$6:$E$605,"Průběžná položka",Deník!$P$6:$P$605)-SUMIF($E$6:$E$605,"Průběžná položka",Deník!$S$6:$S$605))&gt;0.000001)</f>
        <v>0</v>
      </c>
      <c r="BS5" s="290"/>
      <c r="BT5" s="290"/>
      <c r="BV5" s="35" t="s">
        <v>1</v>
      </c>
      <c r="BW5" s="36" t="s">
        <v>1</v>
      </c>
      <c r="BX5" s="36" t="s">
        <v>1</v>
      </c>
      <c r="BY5" s="36" t="s">
        <v>1</v>
      </c>
      <c r="BZ5" s="36" t="s">
        <v>1</v>
      </c>
      <c r="CA5" s="36" t="s">
        <v>1</v>
      </c>
      <c r="CB5" s="36" t="s">
        <v>1</v>
      </c>
      <c r="CC5" s="35" t="s">
        <v>1</v>
      </c>
      <c r="CD5" s="36" t="s">
        <v>1</v>
      </c>
      <c r="CE5" s="38" t="s">
        <v>1</v>
      </c>
      <c r="CF5" s="35" t="s">
        <v>1</v>
      </c>
      <c r="CG5" s="36" t="s">
        <v>1</v>
      </c>
      <c r="CH5" s="36" t="s">
        <v>1</v>
      </c>
      <c r="CI5" s="36" t="s">
        <v>1</v>
      </c>
      <c r="CJ5" s="36" t="s">
        <v>1</v>
      </c>
      <c r="CK5" s="36" t="s">
        <v>1</v>
      </c>
      <c r="CL5" s="36" t="s">
        <v>1</v>
      </c>
      <c r="CM5" s="36" t="s">
        <v>1</v>
      </c>
      <c r="CN5" s="35" t="s">
        <v>1</v>
      </c>
      <c r="CO5" s="36" t="s">
        <v>1</v>
      </c>
      <c r="CP5" s="36" t="s">
        <v>1</v>
      </c>
      <c r="CQ5" s="36" t="s">
        <v>1</v>
      </c>
      <c r="CR5" s="36" t="s">
        <v>1</v>
      </c>
      <c r="CS5" s="36" t="s">
        <v>1</v>
      </c>
      <c r="CT5" s="36" t="s">
        <v>1</v>
      </c>
      <c r="CU5" s="38" t="s">
        <v>1</v>
      </c>
    </row>
    <row r="6" spans="1:99" x14ac:dyDescent="0.2">
      <c r="A6" s="77">
        <f>A5+1</f>
        <v>1</v>
      </c>
      <c r="B6" s="81">
        <v>44941</v>
      </c>
      <c r="C6" s="82" t="s">
        <v>497</v>
      </c>
      <c r="D6" s="71" t="s">
        <v>3378</v>
      </c>
      <c r="E6" s="72" t="s">
        <v>64</v>
      </c>
      <c r="F6" s="73">
        <v>3</v>
      </c>
      <c r="G6" s="443" t="s">
        <v>3308</v>
      </c>
      <c r="H6" s="443" t="s">
        <v>3314</v>
      </c>
      <c r="I6" s="74">
        <v>2000</v>
      </c>
      <c r="J6" s="75"/>
      <c r="K6" s="41">
        <f>K5+I6-J6</f>
        <v>4000</v>
      </c>
      <c r="L6" s="104"/>
      <c r="M6" s="105"/>
      <c r="N6" s="106">
        <f>N5+L6-M6</f>
        <v>6000</v>
      </c>
      <c r="O6" s="104"/>
      <c r="P6" s="105"/>
      <c r="Q6" s="106">
        <f>Q5+O6-P6</f>
        <v>0</v>
      </c>
      <c r="R6" s="104"/>
      <c r="S6" s="105"/>
      <c r="T6" s="106">
        <f>T5+R6-S6</f>
        <v>0</v>
      </c>
      <c r="U6" s="439" t="s">
        <v>3283</v>
      </c>
      <c r="V6" s="42">
        <f t="shared" si="0"/>
        <v>1</v>
      </c>
      <c r="W6" s="39" t="str">
        <f>IF(AND(E6='Povolené hodnoty'!$B$4,F6=2),I6+L6+O6+R6,"")</f>
        <v/>
      </c>
      <c r="X6" s="41" t="str">
        <f>IF(AND(E6='Povolené hodnoty'!$B$4,F6=1),I6+L6+O6+R6,"")</f>
        <v/>
      </c>
      <c r="Y6" s="39" t="str">
        <f>IF(AND(E6='Povolené hodnoty'!$B$4,F6=10),J6+M6+P6+S6,"")</f>
        <v/>
      </c>
      <c r="Z6" s="41" t="str">
        <f>IF(AND(E6='Povolené hodnoty'!$B$4,F6=9),J6+M6+P6+S6,"")</f>
        <v/>
      </c>
      <c r="AA6" s="39" t="str">
        <f>IF(AND(E6&lt;&gt;'Povolené hodnoty'!$B$4,F6=2),I6+L6+O6+R6,"")</f>
        <v/>
      </c>
      <c r="AB6" s="40">
        <f>IF(AND(E6&lt;&gt;'Povolené hodnoty'!$B$4,F6=3),I6+L6+O6+R6,"")</f>
        <v>2000</v>
      </c>
      <c r="AC6" s="40" t="str">
        <f>IF(AND(E6&lt;&gt;'Povolené hodnoty'!$B$4,F6=4),I6+L6+O6+R6,"")</f>
        <v/>
      </c>
      <c r="AD6" s="40" t="str">
        <f>IF(AND(E6&lt;&gt;'Povolené hodnoty'!$B$4,F6="5a"),I6-J6+L6-M6+O6-P6+R6-S6,"")</f>
        <v/>
      </c>
      <c r="AE6" s="40" t="str">
        <f>IF(AND(E6&lt;&gt;'Povolené hodnoty'!$B$4,F6="5b"),I6-J6+L6-M6+O6-P6+R6-S6,"")</f>
        <v/>
      </c>
      <c r="AF6" s="40" t="str">
        <f>IF(AND(E6&lt;&gt;'Povolené hodnoty'!$B$4,F6=6),I6+L6+O6+R6,"")</f>
        <v/>
      </c>
      <c r="AG6" s="41" t="str">
        <f>IF(AND(E6&lt;&gt;'Povolené hodnoty'!$B$4,F6=7),I6+L6+O6+R6,"")</f>
        <v/>
      </c>
      <c r="AH6" s="39" t="str">
        <f>IF(AND(E6&lt;&gt;'Povolené hodnoty'!$B$4,F6=10),J6+M6+P6+S6,"")</f>
        <v/>
      </c>
      <c r="AI6" s="40" t="str">
        <f>IF(AND(E6&lt;&gt;'Povolené hodnoty'!$B$4,F6=11),J6+M6+P6+S6,"")</f>
        <v/>
      </c>
      <c r="AJ6" s="40" t="str">
        <f>IF(AND(E6&lt;&gt;'Povolené hodnoty'!$B$4,F6=12),J6+M6+P6+S6,"")</f>
        <v/>
      </c>
      <c r="AK6" s="41" t="str">
        <f>IF(AND(E6&lt;&gt;'Povolené hodnoty'!$B$4,F6=13),J6+M6+P6+S6,"")</f>
        <v/>
      </c>
      <c r="AL6" s="39" t="str">
        <f>IF(AND($G6='Povolené hodnoty'!$B$13,$H6=AL$4),SUM($I6,$L6,$O6,$R6),"")</f>
        <v/>
      </c>
      <c r="AM6" s="458" t="str">
        <f>IF(AND($G6='Povolené hodnoty'!$B$13,$H6=AM$4),SUM($I6,$L6,$O6,$R6),"")</f>
        <v/>
      </c>
      <c r="AN6" s="458" t="str">
        <f>IF(AND($G6='Povolené hodnoty'!$B$13,$H6=AN$4),SUM($I6,$L6,$O6,$R6),"")</f>
        <v/>
      </c>
      <c r="AO6" s="458" t="str">
        <f>IF(AND($G6='Povolené hodnoty'!$B$13,$H6=AO$4),SUM($I6,$L6,$O6,$R6),"")</f>
        <v/>
      </c>
      <c r="AP6" s="458">
        <f>IF(AND($G6='Povolené hodnoty'!$B$13,$H6=AP$4),SUM($I6,$L6,$O6,$R6),"")</f>
        <v>2000</v>
      </c>
      <c r="AQ6" s="40" t="str">
        <f>IF(AND($G6='Povolené hodnoty'!$B$13,OR($H6=AQ$4,$H6='Povolené hodnoty'!$E$36)),SUM($I6,-$J6,$L6,-$M6,$O6,-$P6,$R6,-$S6),"")</f>
        <v/>
      </c>
      <c r="AR6" s="40" t="str">
        <f>IF(AND($G6='Povolené hodnoty'!$B$13,$H6=AR$4),SUM($I6,$L6,$O6,$R6),"")</f>
        <v/>
      </c>
      <c r="AS6" s="41" t="str">
        <f>IF(AND($G6='Povolené hodnoty'!$B$13,$H6=AS$4),SUM($I6,$L6,$O6,$R6),"")</f>
        <v/>
      </c>
      <c r="AT6" s="39" t="str">
        <f>IF(AND($G6='Povolené hodnoty'!$B$14,$H6=AT$4),SUM($I6,$L6,$O6,$R6),"")</f>
        <v/>
      </c>
      <c r="AU6" s="458" t="str">
        <f>IF(AND($G6='Povolené hodnoty'!$B$14,$H6=AU$4),SUM($I6,$L6,$O6,$R6),"")</f>
        <v/>
      </c>
      <c r="AV6" s="41" t="str">
        <f>IF(AND($G6='Povolené hodnoty'!$B$14,$H6=AV$4),SUM($I6,$L6,$O6,$R6),"")</f>
        <v/>
      </c>
      <c r="AW6" s="39" t="str">
        <f>IF(AND($G6='Povolené hodnoty'!$B$13,$H6=AW$4),SUM($J6,$M6,$P6,$S6),"")</f>
        <v/>
      </c>
      <c r="AX6" s="458" t="str">
        <f>IF(AND($G6='Povolené hodnoty'!$B$13,$H6=AX$4),SUM($J6,$M6,$P6,$S6),"")</f>
        <v/>
      </c>
      <c r="AY6" s="458" t="str">
        <f>IF(AND($G6='Povolené hodnoty'!$B$13,$H6=AY$4),SUM($J6,$M6,$P6,$S6),"")</f>
        <v/>
      </c>
      <c r="AZ6" s="458" t="str">
        <f>IF(AND($G6='Povolené hodnoty'!$B$13,$H6=AZ$4),SUM($J6,$M6,$P6,$S6),"")</f>
        <v/>
      </c>
      <c r="BA6" s="458" t="str">
        <f>IF(AND($G6='Povolené hodnoty'!$B$13,$H6=BA$4),SUM($J6,$M6,$P6,$S6),"")</f>
        <v/>
      </c>
      <c r="BB6" s="40" t="str">
        <f>IF(AND($G6='Povolené hodnoty'!$B$13,$H6=BB$4),SUM($J6,$M6,$P6,$S6),"")</f>
        <v/>
      </c>
      <c r="BC6" s="40" t="str">
        <f>IF(AND($G6='Povolené hodnoty'!$B$13,$H6=BC$4),SUM($J6,$M6,$P6,$S6),"")</f>
        <v/>
      </c>
      <c r="BD6" s="40" t="str">
        <f>IF(AND($G6='Povolené hodnoty'!$B$13,$H6=BD$4),SUM($J6,$M6,$P6,$S6),"")</f>
        <v/>
      </c>
      <c r="BE6" s="41" t="str">
        <f>IF(AND($G6='Povolené hodnoty'!$B$13,$H6=BE$4),SUM($J6,$M6,$P6,$S6),"")</f>
        <v/>
      </c>
      <c r="BF6" s="39" t="str">
        <f>IF(AND($G6='Povolené hodnoty'!$B$14,$H6=BF$4),SUM($J6,$M6,$P6,$S6),"")</f>
        <v/>
      </c>
      <c r="BG6" s="458" t="str">
        <f>IF(AND($G6='Povolené hodnoty'!$B$14,$H6=BG$4),SUM($J6,$M6,$P6,$S6),"")</f>
        <v/>
      </c>
      <c r="BH6" s="458" t="str">
        <f>IF(AND($G6='Povolené hodnoty'!$B$14,$H6=BH$4),SUM($J6,$M6,$P6,$S6),"")</f>
        <v/>
      </c>
      <c r="BI6" s="458" t="str">
        <f>IF(AND($G6='Povolené hodnoty'!$B$14,$H6=BI$4),SUM($J6,$M6,$P6,$S6),"")</f>
        <v/>
      </c>
      <c r="BJ6" s="458" t="str">
        <f>IF(AND($G6='Povolené hodnoty'!$B$14,$H6=BJ$4),SUM($J6,$M6,$P6,$S6),"")</f>
        <v/>
      </c>
      <c r="BK6" s="40" t="str">
        <f>IF(AND($G6='Povolené hodnoty'!$B$14,$H6=BK$4),SUM($J6,$M6,$P6,$S6),"")</f>
        <v/>
      </c>
      <c r="BL6" s="40" t="str">
        <f>IF(AND($G6='Povolené hodnoty'!$B$14,$H6=BL$4),SUM($J6,$M6,$P6,$S6),"")</f>
        <v/>
      </c>
      <c r="BM6" s="41" t="str">
        <f>IF(AND($G6='Povolené hodnoty'!$B$14,$H6=BM$4),SUM($J6,$M6,$P6,$S6),"")</f>
        <v/>
      </c>
      <c r="BO6" s="18" t="b">
        <f>OR(BP6:BT6)</f>
        <v>0</v>
      </c>
      <c r="BP6" s="18" t="b">
        <f t="shared" ref="BP6:BP69" si="1">COUNT(I6:J6,L6:M6,O6:P6,R6:S6)&gt;1</f>
        <v>0</v>
      </c>
      <c r="BQ6" s="18" t="b">
        <f>AND(E6&lt;&gt;'Povolené hodnoty'!$B$6,F6&lt;&gt;'Povolené hodnoty'!$D$7,F6&lt;&gt;'Povolené hodnoty'!$D$8,OR(SUM(I6,L6,O6,R6)&lt;&gt;SUM(W6:X6,AA6:AG6),SUM(J6,M6,P6,S6)&lt;&gt;SUM(Y6:Z6,AH6:AK6),COUNT(I6:J6,L6:M6,O6:P6,R6:S6)&lt;&gt;COUNT(W6:AK6)))</f>
        <v>0</v>
      </c>
      <c r="BR6" s="18" t="b">
        <f>OR(AND(E6='Povolené hodnoty'!$B$6,$BR$5),AND(E6='Povolené hodnoty'!$B$6,H6&lt;&gt;'Povolené hodnoty'!$E$26,H6&lt;&gt;'Povolené hodnoty'!$E$35),AND(E6&lt;&gt;'Povolené hodnoty'!$B$6,OR(H6='Povolené hodnoty'!$E$26,H6='Povolené hodnoty'!$E$35)))</f>
        <v>0</v>
      </c>
      <c r="BS6" s="18" t="b">
        <f>OR(AND(G6&lt;&gt;'Povolené hodnoty'!$B$13,OR(H6='Povolené hodnoty'!$E$21,H6='Povolené hodnoty'!$E$22,H6='Povolené hodnoty'!$E$23,H6='Povolené hodnoty'!$E$24,H6='Povolené hodnoty'!$E$26,H6='Povolené hodnoty'!$E$36)),COUNT(I6:J6,L6:M6,O6:P6,R6:S6)&lt;&gt;COUNT(AL6:BM6))</f>
        <v>0</v>
      </c>
      <c r="BT6" s="18" t="b">
        <f t="shared" ref="BT6:BT69" si="2">OR(AND(LEFT(H6,1)="V",COUNT(I6,L6,O6,R6)&gt;0),AND(LEFT(H6,1)="P",COUNT(J6,M6,P6,S6)&gt;0))</f>
        <v>0</v>
      </c>
      <c r="BV6" s="39" t="str">
        <f t="shared" ref="BV6:BV69" si="3">IF(SUM($W6:$X6)=AL6,AL6,"")</f>
        <v/>
      </c>
      <c r="BW6" s="458" t="str">
        <f t="shared" ref="BW6:BW69" si="4">IF(SUM($W6:$X6)=AM6,AM6,"")</f>
        <v/>
      </c>
      <c r="BX6" s="458" t="str">
        <f t="shared" ref="BX6:BX69" si="5">IF(SUM($W6:$X6)=AN6,AN6,"")</f>
        <v/>
      </c>
      <c r="BY6" s="458" t="str">
        <f t="shared" ref="BY6:BY69" si="6">IF(SUM($W6:$X6)=AO6,AO6,"")</f>
        <v/>
      </c>
      <c r="BZ6" s="458" t="str">
        <f t="shared" ref="BZ6:BZ69" si="7">IF(SUM($W6:$X6)=AP6,AP6,"")</f>
        <v/>
      </c>
      <c r="CA6" s="40" t="str">
        <f t="shared" ref="CA6:CA69" si="8">IF(SUM($W6:$X6)=AQ6,AQ6,"")</f>
        <v/>
      </c>
      <c r="CB6" s="40" t="str">
        <f t="shared" ref="CB6:CB69" si="9">IF(SUM($W6:$X6)=AR6,AR6,"")</f>
        <v/>
      </c>
      <c r="CC6" s="39" t="str">
        <f t="shared" ref="CC6:CC69" si="10">IF(SUM($W6:$X6)=AT6,AT6,"")</f>
        <v/>
      </c>
      <c r="CD6" s="458" t="str">
        <f t="shared" ref="CD6:CD69" si="11">IF(SUM($W6:$X6)=AU6,AU6,"")</f>
        <v/>
      </c>
      <c r="CE6" s="41" t="str">
        <f t="shared" ref="CE6:CE69" si="12">IF(SUM($W6:$X6)=AV6,AV6,"")</f>
        <v/>
      </c>
      <c r="CF6" s="39" t="str">
        <f t="shared" ref="CF6:CF69" si="13">IF(SUM($Y6:$Z6)=AW6,AW6,"")</f>
        <v/>
      </c>
      <c r="CG6" s="458" t="str">
        <f t="shared" ref="CG6:CG69" si="14">IF(SUM($Y6:$Z6)=AX6,AX6,"")</f>
        <v/>
      </c>
      <c r="CH6" s="458" t="str">
        <f t="shared" ref="CH6:CH69" si="15">IF(SUM($Y6:$Z6)=AY6,AY6,"")</f>
        <v/>
      </c>
      <c r="CI6" s="458" t="str">
        <f t="shared" ref="CI6:CI69" si="16">IF(SUM($Y6:$Z6)=AZ6,AZ6,"")</f>
        <v/>
      </c>
      <c r="CJ6" s="458" t="str">
        <f t="shared" ref="CJ6:CJ69" si="17">IF(SUM($Y6:$Z6)=BA6,BA6,"")</f>
        <v/>
      </c>
      <c r="CK6" s="40" t="str">
        <f t="shared" ref="CK6:CK69" si="18">IF(SUM($Y6:$Z6)=BB6,BB6,"")</f>
        <v/>
      </c>
      <c r="CL6" s="40" t="str">
        <f t="shared" ref="CL6:CL69" si="19">IF(SUM($Y6:$Z6)=BC6,BC6,"")</f>
        <v/>
      </c>
      <c r="CM6" s="40" t="str">
        <f t="shared" ref="CM6:CM69" si="20">IF(SUM($Y6:$Z6)=BD6,BD6,"")</f>
        <v/>
      </c>
      <c r="CN6" s="39" t="str">
        <f t="shared" ref="CN6:CN69" si="21">IF(SUM($Y6:$Z6)=BF6,BF6,"")</f>
        <v/>
      </c>
      <c r="CO6" s="458" t="str">
        <f t="shared" ref="CO6:CO69" si="22">IF(SUM($Y6:$Z6)=BG6,BG6,"")</f>
        <v/>
      </c>
      <c r="CP6" s="458" t="str">
        <f t="shared" ref="CP6:CP69" si="23">IF(SUM($Y6:$Z6)=BH6,BH6,"")</f>
        <v/>
      </c>
      <c r="CQ6" s="458" t="str">
        <f t="shared" ref="CQ6:CQ69" si="24">IF(SUM($Y6:$Z6)=BI6,BI6,"")</f>
        <v/>
      </c>
      <c r="CR6" s="458" t="str">
        <f t="shared" ref="CR6:CR69" si="25">IF(SUM($Y6:$Z6)=BJ6,BJ6,"")</f>
        <v/>
      </c>
      <c r="CS6" s="40" t="str">
        <f t="shared" ref="CS6:CS69" si="26">IF(SUM($Y6:$Z6)=BK6,BK6,"")</f>
        <v/>
      </c>
      <c r="CT6" s="40" t="str">
        <f t="shared" ref="CT6:CT69" si="27">IF(SUM($Y6:$Z6)=BL6,BL6,"")</f>
        <v/>
      </c>
      <c r="CU6" s="41" t="str">
        <f t="shared" ref="CU6:CU69" si="28">IF(SUM($Y6:$Z6)=BM6,BM6,"")</f>
        <v/>
      </c>
    </row>
    <row r="7" spans="1:99" x14ac:dyDescent="0.2">
      <c r="A7" s="77">
        <f t="shared" ref="A7:A70" si="29">A6+1</f>
        <v>2</v>
      </c>
      <c r="B7" s="81">
        <v>44941</v>
      </c>
      <c r="C7" s="82" t="s">
        <v>498</v>
      </c>
      <c r="D7" s="71" t="s">
        <v>3472</v>
      </c>
      <c r="E7" s="72" t="s">
        <v>43</v>
      </c>
      <c r="F7" s="73">
        <v>10</v>
      </c>
      <c r="G7" s="443" t="s">
        <v>3308</v>
      </c>
      <c r="H7" s="443" t="s">
        <v>3319</v>
      </c>
      <c r="I7" s="74"/>
      <c r="J7" s="75">
        <v>400</v>
      </c>
      <c r="K7" s="41">
        <f>K6+I7-J7</f>
        <v>3600</v>
      </c>
      <c r="L7" s="104"/>
      <c r="M7" s="105"/>
      <c r="N7" s="106">
        <f t="shared" ref="N7:N31" si="30">N6+L7-M7</f>
        <v>6000</v>
      </c>
      <c r="O7" s="104"/>
      <c r="P7" s="105"/>
      <c r="Q7" s="106">
        <f t="shared" ref="Q7" si="31">Q6+O7-P7</f>
        <v>0</v>
      </c>
      <c r="R7" s="104"/>
      <c r="S7" s="105"/>
      <c r="T7" s="106">
        <f t="shared" ref="T7" si="32">T6+R7-S7</f>
        <v>0</v>
      </c>
      <c r="U7" s="439"/>
      <c r="V7" s="42">
        <f t="shared" si="0"/>
        <v>2</v>
      </c>
      <c r="W7" s="39" t="str">
        <f>IF(AND(E7='Povolené hodnoty'!$B$4,F7=2),I7+L7+O7+R7,"")</f>
        <v/>
      </c>
      <c r="X7" s="41" t="str">
        <f>IF(AND(E7='Povolené hodnoty'!$B$4,F7=1),I7+L7+O7+R7,"")</f>
        <v/>
      </c>
      <c r="Y7" s="39" t="str">
        <f>IF(AND(E7='Povolené hodnoty'!$B$4,F7=10),J7+M7+P7+S7,"")</f>
        <v/>
      </c>
      <c r="Z7" s="41" t="str">
        <f>IF(AND(E7='Povolené hodnoty'!$B$4,F7=9),J7+M7+P7+S7,"")</f>
        <v/>
      </c>
      <c r="AA7" s="39" t="str">
        <f>IF(AND(E7&lt;&gt;'Povolené hodnoty'!$B$4,F7=2),I7+L7+O7+R7,"")</f>
        <v/>
      </c>
      <c r="AB7" s="40" t="str">
        <f>IF(AND(E7&lt;&gt;'Povolené hodnoty'!$B$4,F7=3),I7+L7+O7+R7,"")</f>
        <v/>
      </c>
      <c r="AC7" s="40" t="str">
        <f>IF(AND(E7&lt;&gt;'Povolené hodnoty'!$B$4,F7=4),I7+L7+O7+R7,"")</f>
        <v/>
      </c>
      <c r="AD7" s="40" t="str">
        <f>IF(AND(E7&lt;&gt;'Povolené hodnoty'!$B$4,F7="5a"),I7-J7+L7-M7+O7-P7+R7-S7,"")</f>
        <v/>
      </c>
      <c r="AE7" s="40" t="str">
        <f>IF(AND(E7&lt;&gt;'Povolené hodnoty'!$B$4,F7="5b"),I7-J7+L7-M7+O7-P7+R7-S7,"")</f>
        <v/>
      </c>
      <c r="AF7" s="40" t="str">
        <f>IF(AND(E7&lt;&gt;'Povolené hodnoty'!$B$4,F7=6),I7+L7+O7+R7,"")</f>
        <v/>
      </c>
      <c r="AG7" s="41" t="str">
        <f>IF(AND(E7&lt;&gt;'Povolené hodnoty'!$B$4,F7=7),I7+L7+O7+R7,"")</f>
        <v/>
      </c>
      <c r="AH7" s="39">
        <f>IF(AND(E7&lt;&gt;'Povolené hodnoty'!$B$4,F7=10),J7+M7+P7+S7,"")</f>
        <v>400</v>
      </c>
      <c r="AI7" s="40" t="str">
        <f>IF(AND(E7&lt;&gt;'Povolené hodnoty'!$B$4,F7=11),J7+M7+P7+S7,"")</f>
        <v/>
      </c>
      <c r="AJ7" s="40" t="str">
        <f>IF(AND(E7&lt;&gt;'Povolené hodnoty'!$B$4,F7=12),J7+M7+P7+S7,"")</f>
        <v/>
      </c>
      <c r="AK7" s="41" t="str">
        <f>IF(AND(E7&lt;&gt;'Povolené hodnoty'!$B$4,F7=13),J7+M7+P7+S7,"")</f>
        <v/>
      </c>
      <c r="AL7" s="39" t="str">
        <f>IF(AND($G7='Povolené hodnoty'!$B$13,$H7=AL$4),SUM($I7,$L7,$O7,$R7),"")</f>
        <v/>
      </c>
      <c r="AM7" s="458" t="str">
        <f>IF(AND($G7='Povolené hodnoty'!$B$13,$H7=AM$4),SUM($I7,$L7,$O7,$R7),"")</f>
        <v/>
      </c>
      <c r="AN7" s="458" t="str">
        <f>IF(AND($G7='Povolené hodnoty'!$B$13,$H7=AN$4),SUM($I7,$L7,$O7,$R7),"")</f>
        <v/>
      </c>
      <c r="AO7" s="458" t="str">
        <f>IF(AND($G7='Povolené hodnoty'!$B$13,$H7=AO$4),SUM($I7,$L7,$O7,$R7),"")</f>
        <v/>
      </c>
      <c r="AP7" s="458" t="str">
        <f>IF(AND($G7='Povolené hodnoty'!$B$13,$H7=AP$4),SUM($I7,$L7,$O7,$R7),"")</f>
        <v/>
      </c>
      <c r="AQ7" s="40" t="str">
        <f>IF(AND($G7='Povolené hodnoty'!$B$13,OR($H7=AQ$4,$H7='Povolené hodnoty'!$E$36)),SUM($I7,-$J7,$L7,-$M7,$O7,-$P7,$R7,-$S7),"")</f>
        <v/>
      </c>
      <c r="AR7" s="40" t="str">
        <f>IF(AND($G7='Povolené hodnoty'!$B$13,$H7=AR$4),SUM($I7,$L7,$O7,$R7),"")</f>
        <v/>
      </c>
      <c r="AS7" s="41" t="str">
        <f>IF(AND($G7='Povolené hodnoty'!$B$13,$H7=AS$4),SUM($I7,$L7,$O7,$R7),"")</f>
        <v/>
      </c>
      <c r="AT7" s="39" t="str">
        <f>IF(AND($G7='Povolené hodnoty'!$B$14,$H7=AT$4),SUM($I7,$L7,$O7,$R7),"")</f>
        <v/>
      </c>
      <c r="AU7" s="458" t="str">
        <f>IF(AND($G7='Povolené hodnoty'!$B$14,$H7=AU$4),SUM($I7,$L7,$O7,$R7),"")</f>
        <v/>
      </c>
      <c r="AV7" s="41" t="str">
        <f>IF(AND($G7='Povolené hodnoty'!$B$14,$H7=AV$4),SUM($I7,$L7,$O7,$R7),"")</f>
        <v/>
      </c>
      <c r="AW7" s="39" t="str">
        <f>IF(AND($G7='Povolené hodnoty'!$B$13,$H7=AW$4),SUM($J7,$M7,$P7,$S7),"")</f>
        <v/>
      </c>
      <c r="AX7" s="458">
        <f>IF(AND($G7='Povolené hodnoty'!$B$13,$H7=AX$4),SUM($J7,$M7,$P7,$S7),"")</f>
        <v>400</v>
      </c>
      <c r="AY7" s="458" t="str">
        <f>IF(AND($G7='Povolené hodnoty'!$B$13,$H7=AY$4),SUM($J7,$M7,$P7,$S7),"")</f>
        <v/>
      </c>
      <c r="AZ7" s="458" t="str">
        <f>IF(AND($G7='Povolené hodnoty'!$B$13,$H7=AZ$4),SUM($J7,$M7,$P7,$S7),"")</f>
        <v/>
      </c>
      <c r="BA7" s="458" t="str">
        <f>IF(AND($G7='Povolené hodnoty'!$B$13,$H7=BA$4),SUM($J7,$M7,$P7,$S7),"")</f>
        <v/>
      </c>
      <c r="BB7" s="40" t="str">
        <f>IF(AND($G7='Povolené hodnoty'!$B$13,$H7=BB$4),SUM($J7,$M7,$P7,$S7),"")</f>
        <v/>
      </c>
      <c r="BC7" s="40" t="str">
        <f>IF(AND($G7='Povolené hodnoty'!$B$13,$H7=BC$4),SUM($J7,$M7,$P7,$S7),"")</f>
        <v/>
      </c>
      <c r="BD7" s="40" t="str">
        <f>IF(AND($G7='Povolené hodnoty'!$B$13,$H7=BD$4),SUM($J7,$M7,$P7,$S7),"")</f>
        <v/>
      </c>
      <c r="BE7" s="41" t="str">
        <f>IF(AND($G7='Povolené hodnoty'!$B$13,$H7=BE$4),SUM($J7,$M7,$P7,$S7),"")</f>
        <v/>
      </c>
      <c r="BF7" s="39" t="str">
        <f>IF(AND($G7='Povolené hodnoty'!$B$14,$H7=BF$4),SUM($J7,$M7,$P7,$S7),"")</f>
        <v/>
      </c>
      <c r="BG7" s="458" t="str">
        <f>IF(AND($G7='Povolené hodnoty'!$B$14,$H7=BG$4),SUM($J7,$M7,$P7,$S7),"")</f>
        <v/>
      </c>
      <c r="BH7" s="458" t="str">
        <f>IF(AND($G7='Povolené hodnoty'!$B$14,$H7=BH$4),SUM($J7,$M7,$P7,$S7),"")</f>
        <v/>
      </c>
      <c r="BI7" s="458" t="str">
        <f>IF(AND($G7='Povolené hodnoty'!$B$14,$H7=BI$4),SUM($J7,$M7,$P7,$S7),"")</f>
        <v/>
      </c>
      <c r="BJ7" s="458" t="str">
        <f>IF(AND($G7='Povolené hodnoty'!$B$14,$H7=BJ$4),SUM($J7,$M7,$P7,$S7),"")</f>
        <v/>
      </c>
      <c r="BK7" s="40" t="str">
        <f>IF(AND($G7='Povolené hodnoty'!$B$14,$H7=BK$4),SUM($J7,$M7,$P7,$S7),"")</f>
        <v/>
      </c>
      <c r="BL7" s="40" t="str">
        <f>IF(AND($G7='Povolené hodnoty'!$B$14,$H7=BL$4),SUM($J7,$M7,$P7,$S7),"")</f>
        <v/>
      </c>
      <c r="BM7" s="41" t="str">
        <f>IF(AND($G7='Povolené hodnoty'!$B$14,$H7=BM$4),SUM($J7,$M7,$P7,$S7),"")</f>
        <v/>
      </c>
      <c r="BO7" s="18" t="b">
        <f t="shared" ref="BO7:BO70" si="33">OR(BP7:BT7)</f>
        <v>0</v>
      </c>
      <c r="BP7" s="18" t="b">
        <f t="shared" si="1"/>
        <v>0</v>
      </c>
      <c r="BQ7" s="18" t="b">
        <f>AND(E7&lt;&gt;'Povolené hodnoty'!$B$6,F7&lt;&gt;'Povolené hodnoty'!$D$7,F7&lt;&gt;'Povolené hodnoty'!$D$8,OR(SUM(I7,L7,O7,R7)&lt;&gt;SUM(W7:X7,AA7:AG7),SUM(J7,M7,P7,S7)&lt;&gt;SUM(Y7:Z7,AH7:AK7),COUNT(I7:J7,L7:M7,O7:P7,R7:S7)&lt;&gt;COUNT(W7:AK7)))</f>
        <v>0</v>
      </c>
      <c r="BR7" s="18" t="b">
        <f>OR(AND(E7='Povolené hodnoty'!$B$6,$BR$5),AND(E7='Povolené hodnoty'!$B$6,H7&lt;&gt;'Povolené hodnoty'!$E$26,H7&lt;&gt;'Povolené hodnoty'!$E$35),AND(E7&lt;&gt;'Povolené hodnoty'!$B$6,OR(H7='Povolené hodnoty'!$E$26,H7='Povolené hodnoty'!$E$35)))</f>
        <v>0</v>
      </c>
      <c r="BS7" s="18" t="b">
        <f>OR(AND(G7&lt;&gt;'Povolené hodnoty'!$B$13,OR(H7='Povolené hodnoty'!$E$21,H7='Povolené hodnoty'!$E$22,H7='Povolené hodnoty'!$E$23,H7='Povolené hodnoty'!$E$24,H7='Povolené hodnoty'!$E$26,H7='Povolené hodnoty'!$E$36)),COUNT(I7:J7,L7:M7,O7:P7,R7:S7)&lt;&gt;COUNT(AL7:BM7))</f>
        <v>0</v>
      </c>
      <c r="BT7" s="18" t="b">
        <f t="shared" si="2"/>
        <v>0</v>
      </c>
      <c r="BV7" s="39" t="str">
        <f t="shared" si="3"/>
        <v/>
      </c>
      <c r="BW7" s="458" t="str">
        <f t="shared" si="4"/>
        <v/>
      </c>
      <c r="BX7" s="458" t="str">
        <f t="shared" si="5"/>
        <v/>
      </c>
      <c r="BY7" s="458" t="str">
        <f t="shared" si="6"/>
        <v/>
      </c>
      <c r="BZ7" s="458" t="str">
        <f t="shared" si="7"/>
        <v/>
      </c>
      <c r="CA7" s="40" t="str">
        <f t="shared" si="8"/>
        <v/>
      </c>
      <c r="CB7" s="40" t="str">
        <f t="shared" si="9"/>
        <v/>
      </c>
      <c r="CC7" s="39" t="str">
        <f t="shared" si="10"/>
        <v/>
      </c>
      <c r="CD7" s="458" t="str">
        <f t="shared" si="11"/>
        <v/>
      </c>
      <c r="CE7" s="41" t="str">
        <f t="shared" si="12"/>
        <v/>
      </c>
      <c r="CF7" s="39" t="str">
        <f t="shared" si="13"/>
        <v/>
      </c>
      <c r="CG7" s="458" t="str">
        <f t="shared" si="14"/>
        <v/>
      </c>
      <c r="CH7" s="458" t="str">
        <f t="shared" si="15"/>
        <v/>
      </c>
      <c r="CI7" s="458" t="str">
        <f t="shared" si="16"/>
        <v/>
      </c>
      <c r="CJ7" s="458" t="str">
        <f t="shared" si="17"/>
        <v/>
      </c>
      <c r="CK7" s="40" t="str">
        <f t="shared" si="18"/>
        <v/>
      </c>
      <c r="CL7" s="40" t="str">
        <f t="shared" si="19"/>
        <v/>
      </c>
      <c r="CM7" s="40" t="str">
        <f t="shared" si="20"/>
        <v/>
      </c>
      <c r="CN7" s="39" t="str">
        <f t="shared" si="21"/>
        <v/>
      </c>
      <c r="CO7" s="458" t="str">
        <f t="shared" si="22"/>
        <v/>
      </c>
      <c r="CP7" s="458" t="str">
        <f t="shared" si="23"/>
        <v/>
      </c>
      <c r="CQ7" s="458" t="str">
        <f t="shared" si="24"/>
        <v/>
      </c>
      <c r="CR7" s="458" t="str">
        <f t="shared" si="25"/>
        <v/>
      </c>
      <c r="CS7" s="40" t="str">
        <f t="shared" si="26"/>
        <v/>
      </c>
      <c r="CT7" s="40" t="str">
        <f t="shared" si="27"/>
        <v/>
      </c>
      <c r="CU7" s="41" t="str">
        <f t="shared" si="28"/>
        <v/>
      </c>
    </row>
    <row r="8" spans="1:99" x14ac:dyDescent="0.2">
      <c r="A8" s="77">
        <f t="shared" si="29"/>
        <v>3</v>
      </c>
      <c r="B8" s="81">
        <v>44941</v>
      </c>
      <c r="C8" s="82" t="s">
        <v>499</v>
      </c>
      <c r="D8" s="71" t="s">
        <v>3473</v>
      </c>
      <c r="E8" s="72" t="s">
        <v>43</v>
      </c>
      <c r="F8" s="73">
        <v>10</v>
      </c>
      <c r="G8" s="443" t="s">
        <v>3308</v>
      </c>
      <c r="H8" s="443" t="s">
        <v>3319</v>
      </c>
      <c r="I8" s="74"/>
      <c r="J8" s="75">
        <v>100</v>
      </c>
      <c r="K8" s="41">
        <f t="shared" ref="K8:K31" si="34">K7+I8-J8</f>
        <v>3500</v>
      </c>
      <c r="L8" s="104"/>
      <c r="M8" s="105"/>
      <c r="N8" s="106">
        <f t="shared" si="30"/>
        <v>6000</v>
      </c>
      <c r="O8" s="104"/>
      <c r="P8" s="105"/>
      <c r="Q8" s="106">
        <f t="shared" ref="Q8:Q71" si="35">Q7+O8-P8</f>
        <v>0</v>
      </c>
      <c r="R8" s="104"/>
      <c r="S8" s="105"/>
      <c r="T8" s="106">
        <f t="shared" ref="T8:T71" si="36">T7+R8-S8</f>
        <v>0</v>
      </c>
      <c r="U8" s="439"/>
      <c r="V8" s="42">
        <f t="shared" si="0"/>
        <v>3</v>
      </c>
      <c r="W8" s="39" t="str">
        <f>IF(AND(E8='Povolené hodnoty'!$B$4,F8=2),I8+L8+O8+R8,"")</f>
        <v/>
      </c>
      <c r="X8" s="41" t="str">
        <f>IF(AND(E8='Povolené hodnoty'!$B$4,F8=1),I8+L8+O8+R8,"")</f>
        <v/>
      </c>
      <c r="Y8" s="39" t="str">
        <f>IF(AND(E8='Povolené hodnoty'!$B$4,F8=10),J8+M8+P8+S8,"")</f>
        <v/>
      </c>
      <c r="Z8" s="41" t="str">
        <f>IF(AND(E8='Povolené hodnoty'!$B$4,F8=9),J8+M8+P8+S8,"")</f>
        <v/>
      </c>
      <c r="AA8" s="39" t="str">
        <f>IF(AND(E8&lt;&gt;'Povolené hodnoty'!$B$4,F8=2),I8+L8+O8+R8,"")</f>
        <v/>
      </c>
      <c r="AB8" s="40" t="str">
        <f>IF(AND(E8&lt;&gt;'Povolené hodnoty'!$B$4,F8=3),I8+L8+O8+R8,"")</f>
        <v/>
      </c>
      <c r="AC8" s="40" t="str">
        <f>IF(AND(E8&lt;&gt;'Povolené hodnoty'!$B$4,F8=4),I8+L8+O8+R8,"")</f>
        <v/>
      </c>
      <c r="AD8" s="40" t="str">
        <f>IF(AND(E8&lt;&gt;'Povolené hodnoty'!$B$4,F8="5a"),I8-J8+L8-M8+O8-P8+R8-S8,"")</f>
        <v/>
      </c>
      <c r="AE8" s="40" t="str">
        <f>IF(AND(E8&lt;&gt;'Povolené hodnoty'!$B$4,F8="5b"),I8-J8+L8-M8+O8-P8+R8-S8,"")</f>
        <v/>
      </c>
      <c r="AF8" s="40" t="str">
        <f>IF(AND(E8&lt;&gt;'Povolené hodnoty'!$B$4,F8=6),I8+L8+O8+R8,"")</f>
        <v/>
      </c>
      <c r="AG8" s="41" t="str">
        <f>IF(AND(E8&lt;&gt;'Povolené hodnoty'!$B$4,F8=7),I8+L8+O8+R8,"")</f>
        <v/>
      </c>
      <c r="AH8" s="39">
        <f>IF(AND(E8&lt;&gt;'Povolené hodnoty'!$B$4,F8=10),J8+M8+P8+S8,"")</f>
        <v>100</v>
      </c>
      <c r="AI8" s="40" t="str">
        <f>IF(AND(E8&lt;&gt;'Povolené hodnoty'!$B$4,F8=11),J8+M8+P8+S8,"")</f>
        <v/>
      </c>
      <c r="AJ8" s="40" t="str">
        <f>IF(AND(E8&lt;&gt;'Povolené hodnoty'!$B$4,F8=12),J8+M8+P8+S8,"")</f>
        <v/>
      </c>
      <c r="AK8" s="41" t="str">
        <f>IF(AND(E8&lt;&gt;'Povolené hodnoty'!$B$4,F8=13),J8+M8+P8+S8,"")</f>
        <v/>
      </c>
      <c r="AL8" s="39" t="str">
        <f>IF(AND($G8='Povolené hodnoty'!$B$13,$H8=AL$4),SUM($I8,$L8,$O8,$R8),"")</f>
        <v/>
      </c>
      <c r="AM8" s="458" t="str">
        <f>IF(AND($G8='Povolené hodnoty'!$B$13,$H8=AM$4),SUM($I8,$L8,$O8,$R8),"")</f>
        <v/>
      </c>
      <c r="AN8" s="458" t="str">
        <f>IF(AND($G8='Povolené hodnoty'!$B$13,$H8=AN$4),SUM($I8,$L8,$O8,$R8),"")</f>
        <v/>
      </c>
      <c r="AO8" s="458" t="str">
        <f>IF(AND($G8='Povolené hodnoty'!$B$13,$H8=AO$4),SUM($I8,$L8,$O8,$R8),"")</f>
        <v/>
      </c>
      <c r="AP8" s="458" t="str">
        <f>IF(AND($G8='Povolené hodnoty'!$B$13,$H8=AP$4),SUM($I8,$L8,$O8,$R8),"")</f>
        <v/>
      </c>
      <c r="AQ8" s="40" t="str">
        <f>IF(AND($G8='Povolené hodnoty'!$B$13,OR($H8=AQ$4,$H8='Povolené hodnoty'!$E$36)),SUM($I8,-$J8,$L8,-$M8,$O8,-$P8,$R8,-$S8),"")</f>
        <v/>
      </c>
      <c r="AR8" s="40" t="str">
        <f>IF(AND($G8='Povolené hodnoty'!$B$13,$H8=AR$4),SUM($I8,$L8,$O8,$R8),"")</f>
        <v/>
      </c>
      <c r="AS8" s="41" t="str">
        <f>IF(AND($G8='Povolené hodnoty'!$B$13,$H8=AS$4),SUM($I8,$L8,$O8,$R8),"")</f>
        <v/>
      </c>
      <c r="AT8" s="39" t="str">
        <f>IF(AND($G8='Povolené hodnoty'!$B$14,$H8=AT$4),SUM($I8,$L8,$O8,$R8),"")</f>
        <v/>
      </c>
      <c r="AU8" s="458" t="str">
        <f>IF(AND($G8='Povolené hodnoty'!$B$14,$H8=AU$4),SUM($I8,$L8,$O8,$R8),"")</f>
        <v/>
      </c>
      <c r="AV8" s="41" t="str">
        <f>IF(AND($G8='Povolené hodnoty'!$B$14,$H8=AV$4),SUM($I8,$L8,$O8,$R8),"")</f>
        <v/>
      </c>
      <c r="AW8" s="39" t="str">
        <f>IF(AND($G8='Povolené hodnoty'!$B$13,$H8=AW$4),SUM($J8,$M8,$P8,$S8),"")</f>
        <v/>
      </c>
      <c r="AX8" s="458">
        <f>IF(AND($G8='Povolené hodnoty'!$B$13,$H8=AX$4),SUM($J8,$M8,$P8,$S8),"")</f>
        <v>100</v>
      </c>
      <c r="AY8" s="458" t="str">
        <f>IF(AND($G8='Povolené hodnoty'!$B$13,$H8=AY$4),SUM($J8,$M8,$P8,$S8),"")</f>
        <v/>
      </c>
      <c r="AZ8" s="458" t="str">
        <f>IF(AND($G8='Povolené hodnoty'!$B$13,$H8=AZ$4),SUM($J8,$M8,$P8,$S8),"")</f>
        <v/>
      </c>
      <c r="BA8" s="458" t="str">
        <f>IF(AND($G8='Povolené hodnoty'!$B$13,$H8=BA$4),SUM($J8,$M8,$P8,$S8),"")</f>
        <v/>
      </c>
      <c r="BB8" s="40" t="str">
        <f>IF(AND($G8='Povolené hodnoty'!$B$13,$H8=BB$4),SUM($J8,$M8,$P8,$S8),"")</f>
        <v/>
      </c>
      <c r="BC8" s="40" t="str">
        <f>IF(AND($G8='Povolené hodnoty'!$B$13,$H8=BC$4),SUM($J8,$M8,$P8,$S8),"")</f>
        <v/>
      </c>
      <c r="BD8" s="40" t="str">
        <f>IF(AND($G8='Povolené hodnoty'!$B$13,$H8=BD$4),SUM($J8,$M8,$P8,$S8),"")</f>
        <v/>
      </c>
      <c r="BE8" s="41" t="str">
        <f>IF(AND($G8='Povolené hodnoty'!$B$13,$H8=BE$4),SUM($J8,$M8,$P8,$S8),"")</f>
        <v/>
      </c>
      <c r="BF8" s="39" t="str">
        <f>IF(AND($G8='Povolené hodnoty'!$B$14,$H8=BF$4),SUM($J8,$M8,$P8,$S8),"")</f>
        <v/>
      </c>
      <c r="BG8" s="458" t="str">
        <f>IF(AND($G8='Povolené hodnoty'!$B$14,$H8=BG$4),SUM($J8,$M8,$P8,$S8),"")</f>
        <v/>
      </c>
      <c r="BH8" s="458" t="str">
        <f>IF(AND($G8='Povolené hodnoty'!$B$14,$H8=BH$4),SUM($J8,$M8,$P8,$S8),"")</f>
        <v/>
      </c>
      <c r="BI8" s="458" t="str">
        <f>IF(AND($G8='Povolené hodnoty'!$B$14,$H8=BI$4),SUM($J8,$M8,$P8,$S8),"")</f>
        <v/>
      </c>
      <c r="BJ8" s="458" t="str">
        <f>IF(AND($G8='Povolené hodnoty'!$B$14,$H8=BJ$4),SUM($J8,$M8,$P8,$S8),"")</f>
        <v/>
      </c>
      <c r="BK8" s="40" t="str">
        <f>IF(AND($G8='Povolené hodnoty'!$B$14,$H8=BK$4),SUM($J8,$M8,$P8,$S8),"")</f>
        <v/>
      </c>
      <c r="BL8" s="40" t="str">
        <f>IF(AND($G8='Povolené hodnoty'!$B$14,$H8=BL$4),SUM($J8,$M8,$P8,$S8),"")</f>
        <v/>
      </c>
      <c r="BM8" s="41" t="str">
        <f>IF(AND($G8='Povolené hodnoty'!$B$14,$H8=BM$4),SUM($J8,$M8,$P8,$S8),"")</f>
        <v/>
      </c>
      <c r="BO8" s="18" t="b">
        <f t="shared" si="33"/>
        <v>0</v>
      </c>
      <c r="BP8" s="18" t="b">
        <f t="shared" si="1"/>
        <v>0</v>
      </c>
      <c r="BQ8" s="18" t="b">
        <f>AND(E8&lt;&gt;'Povolené hodnoty'!$B$6,F8&lt;&gt;'Povolené hodnoty'!$D$7,F8&lt;&gt;'Povolené hodnoty'!$D$8,OR(SUM(I8,L8,O8,R8)&lt;&gt;SUM(W8:X8,AA8:AG8),SUM(J8,M8,P8,S8)&lt;&gt;SUM(Y8:Z8,AH8:AK8),COUNT(I8:J8,L8:M8,O8:P8,R8:S8)&lt;&gt;COUNT(W8:AK8)))</f>
        <v>0</v>
      </c>
      <c r="BR8" s="18" t="b">
        <f>OR(AND(E8='Povolené hodnoty'!$B$6,$BR$5),AND(E8='Povolené hodnoty'!$B$6,H8&lt;&gt;'Povolené hodnoty'!$E$26,H8&lt;&gt;'Povolené hodnoty'!$E$35),AND(E8&lt;&gt;'Povolené hodnoty'!$B$6,OR(H8='Povolené hodnoty'!$E$26,H8='Povolené hodnoty'!$E$35)))</f>
        <v>0</v>
      </c>
      <c r="BS8" s="18" t="b">
        <f>OR(AND(G8&lt;&gt;'Povolené hodnoty'!$B$13,OR(H8='Povolené hodnoty'!$E$21,H8='Povolené hodnoty'!$E$22,H8='Povolené hodnoty'!$E$23,H8='Povolené hodnoty'!$E$24,H8='Povolené hodnoty'!$E$26,H8='Povolené hodnoty'!$E$36)),COUNT(I8:J8,L8:M8,O8:P8,R8:S8)&lt;&gt;COUNT(AL8:BM8))</f>
        <v>0</v>
      </c>
      <c r="BT8" s="18" t="b">
        <f t="shared" si="2"/>
        <v>0</v>
      </c>
      <c r="BV8" s="39" t="str">
        <f t="shared" si="3"/>
        <v/>
      </c>
      <c r="BW8" s="458" t="str">
        <f t="shared" si="4"/>
        <v/>
      </c>
      <c r="BX8" s="458" t="str">
        <f t="shared" si="5"/>
        <v/>
      </c>
      <c r="BY8" s="458" t="str">
        <f t="shared" si="6"/>
        <v/>
      </c>
      <c r="BZ8" s="458" t="str">
        <f t="shared" si="7"/>
        <v/>
      </c>
      <c r="CA8" s="40" t="str">
        <f t="shared" si="8"/>
        <v/>
      </c>
      <c r="CB8" s="40" t="str">
        <f t="shared" si="9"/>
        <v/>
      </c>
      <c r="CC8" s="39" t="str">
        <f t="shared" si="10"/>
        <v/>
      </c>
      <c r="CD8" s="458" t="str">
        <f t="shared" si="11"/>
        <v/>
      </c>
      <c r="CE8" s="41" t="str">
        <f t="shared" si="12"/>
        <v/>
      </c>
      <c r="CF8" s="39" t="str">
        <f t="shared" si="13"/>
        <v/>
      </c>
      <c r="CG8" s="458" t="str">
        <f t="shared" si="14"/>
        <v/>
      </c>
      <c r="CH8" s="458" t="str">
        <f t="shared" si="15"/>
        <v/>
      </c>
      <c r="CI8" s="458" t="str">
        <f t="shared" si="16"/>
        <v/>
      </c>
      <c r="CJ8" s="458" t="str">
        <f t="shared" si="17"/>
        <v/>
      </c>
      <c r="CK8" s="40" t="str">
        <f t="shared" si="18"/>
        <v/>
      </c>
      <c r="CL8" s="40" t="str">
        <f t="shared" si="19"/>
        <v/>
      </c>
      <c r="CM8" s="40" t="str">
        <f t="shared" si="20"/>
        <v/>
      </c>
      <c r="CN8" s="39" t="str">
        <f t="shared" si="21"/>
        <v/>
      </c>
      <c r="CO8" s="458" t="str">
        <f t="shared" si="22"/>
        <v/>
      </c>
      <c r="CP8" s="458" t="str">
        <f t="shared" si="23"/>
        <v/>
      </c>
      <c r="CQ8" s="458" t="str">
        <f t="shared" si="24"/>
        <v/>
      </c>
      <c r="CR8" s="458" t="str">
        <f t="shared" si="25"/>
        <v/>
      </c>
      <c r="CS8" s="40" t="str">
        <f t="shared" si="26"/>
        <v/>
      </c>
      <c r="CT8" s="40" t="str">
        <f t="shared" si="27"/>
        <v/>
      </c>
      <c r="CU8" s="41" t="str">
        <f t="shared" si="28"/>
        <v/>
      </c>
    </row>
    <row r="9" spans="1:99" x14ac:dyDescent="0.2">
      <c r="A9" s="77">
        <f t="shared" si="29"/>
        <v>4</v>
      </c>
      <c r="B9" s="81">
        <v>44941</v>
      </c>
      <c r="C9" s="82" t="s">
        <v>500</v>
      </c>
      <c r="D9" s="71" t="s">
        <v>3474</v>
      </c>
      <c r="E9" s="72" t="s">
        <v>43</v>
      </c>
      <c r="F9" s="73">
        <v>10</v>
      </c>
      <c r="G9" s="443" t="s">
        <v>3308</v>
      </c>
      <c r="H9" s="443" t="s">
        <v>3319</v>
      </c>
      <c r="I9" s="74"/>
      <c r="J9" s="75">
        <v>300</v>
      </c>
      <c r="K9" s="41">
        <f t="shared" si="34"/>
        <v>3200</v>
      </c>
      <c r="L9" s="104"/>
      <c r="M9" s="105"/>
      <c r="N9" s="106">
        <f t="shared" si="30"/>
        <v>6000</v>
      </c>
      <c r="O9" s="104"/>
      <c r="P9" s="105"/>
      <c r="Q9" s="106">
        <f t="shared" si="35"/>
        <v>0</v>
      </c>
      <c r="R9" s="104"/>
      <c r="S9" s="105"/>
      <c r="T9" s="106">
        <f t="shared" si="36"/>
        <v>0</v>
      </c>
      <c r="U9" s="439"/>
      <c r="V9" s="42">
        <f t="shared" si="0"/>
        <v>4</v>
      </c>
      <c r="W9" s="39" t="str">
        <f>IF(AND(E9='Povolené hodnoty'!$B$4,F9=2),I9+L9+O9+R9,"")</f>
        <v/>
      </c>
      <c r="X9" s="41" t="str">
        <f>IF(AND(E9='Povolené hodnoty'!$B$4,F9=1),I9+L9+O9+R9,"")</f>
        <v/>
      </c>
      <c r="Y9" s="39" t="str">
        <f>IF(AND(E9='Povolené hodnoty'!$B$4,F9=10),J9+M9+P9+S9,"")</f>
        <v/>
      </c>
      <c r="Z9" s="41" t="str">
        <f>IF(AND(E9='Povolené hodnoty'!$B$4,F9=9),J9+M9+P9+S9,"")</f>
        <v/>
      </c>
      <c r="AA9" s="39" t="str">
        <f>IF(AND(E9&lt;&gt;'Povolené hodnoty'!$B$4,F9=2),I9+L9+O9+R9,"")</f>
        <v/>
      </c>
      <c r="AB9" s="40" t="str">
        <f>IF(AND(E9&lt;&gt;'Povolené hodnoty'!$B$4,F9=3),I9+L9+O9+R9,"")</f>
        <v/>
      </c>
      <c r="AC9" s="40" t="str">
        <f>IF(AND(E9&lt;&gt;'Povolené hodnoty'!$B$4,F9=4),I9+L9+O9+R9,"")</f>
        <v/>
      </c>
      <c r="AD9" s="40" t="str">
        <f>IF(AND(E9&lt;&gt;'Povolené hodnoty'!$B$4,F9="5a"),I9-J9+L9-M9+O9-P9+R9-S9,"")</f>
        <v/>
      </c>
      <c r="AE9" s="40" t="str">
        <f>IF(AND(E9&lt;&gt;'Povolené hodnoty'!$B$4,F9="5b"),I9-J9+L9-M9+O9-P9+R9-S9,"")</f>
        <v/>
      </c>
      <c r="AF9" s="40" t="str">
        <f>IF(AND(E9&lt;&gt;'Povolené hodnoty'!$B$4,F9=6),I9+L9+O9+R9,"")</f>
        <v/>
      </c>
      <c r="AG9" s="41" t="str">
        <f>IF(AND(E9&lt;&gt;'Povolené hodnoty'!$B$4,F9=7),I9+L9+O9+R9,"")</f>
        <v/>
      </c>
      <c r="AH9" s="39">
        <f>IF(AND(E9&lt;&gt;'Povolené hodnoty'!$B$4,F9=10),J9+M9+P9+S9,"")</f>
        <v>300</v>
      </c>
      <c r="AI9" s="40" t="str">
        <f>IF(AND(E9&lt;&gt;'Povolené hodnoty'!$B$4,F9=11),J9+M9+P9+S9,"")</f>
        <v/>
      </c>
      <c r="AJ9" s="40" t="str">
        <f>IF(AND(E9&lt;&gt;'Povolené hodnoty'!$B$4,F9=12),J9+M9+P9+S9,"")</f>
        <v/>
      </c>
      <c r="AK9" s="41" t="str">
        <f>IF(AND(E9&lt;&gt;'Povolené hodnoty'!$B$4,F9=13),J9+M9+P9+S9,"")</f>
        <v/>
      </c>
      <c r="AL9" s="39" t="str">
        <f>IF(AND($G9='Povolené hodnoty'!$B$13,$H9=AL$4),SUM($I9,$L9,$O9,$R9),"")</f>
        <v/>
      </c>
      <c r="AM9" s="458" t="str">
        <f>IF(AND($G9='Povolené hodnoty'!$B$13,$H9=AM$4),SUM($I9,$L9,$O9,$R9),"")</f>
        <v/>
      </c>
      <c r="AN9" s="458" t="str">
        <f>IF(AND($G9='Povolené hodnoty'!$B$13,$H9=AN$4),SUM($I9,$L9,$O9,$R9),"")</f>
        <v/>
      </c>
      <c r="AO9" s="458" t="str">
        <f>IF(AND($G9='Povolené hodnoty'!$B$13,$H9=AO$4),SUM($I9,$L9,$O9,$R9),"")</f>
        <v/>
      </c>
      <c r="AP9" s="458" t="str">
        <f>IF(AND($G9='Povolené hodnoty'!$B$13,$H9=AP$4),SUM($I9,$L9,$O9,$R9),"")</f>
        <v/>
      </c>
      <c r="AQ9" s="40" t="str">
        <f>IF(AND($G9='Povolené hodnoty'!$B$13,OR($H9=AQ$4,$H9='Povolené hodnoty'!$E$36)),SUM($I9,-$J9,$L9,-$M9,$O9,-$P9,$R9,-$S9),"")</f>
        <v/>
      </c>
      <c r="AR9" s="40" t="str">
        <f>IF(AND($G9='Povolené hodnoty'!$B$13,$H9=AR$4),SUM($I9,$L9,$O9,$R9),"")</f>
        <v/>
      </c>
      <c r="AS9" s="41" t="str">
        <f>IF(AND($G9='Povolené hodnoty'!$B$13,$H9=AS$4),SUM($I9,$L9,$O9,$R9),"")</f>
        <v/>
      </c>
      <c r="AT9" s="39" t="str">
        <f>IF(AND($G9='Povolené hodnoty'!$B$14,$H9=AT$4),SUM($I9,$L9,$O9,$R9),"")</f>
        <v/>
      </c>
      <c r="AU9" s="458" t="str">
        <f>IF(AND($G9='Povolené hodnoty'!$B$14,$H9=AU$4),SUM($I9,$L9,$O9,$R9),"")</f>
        <v/>
      </c>
      <c r="AV9" s="41" t="str">
        <f>IF(AND($G9='Povolené hodnoty'!$B$14,$H9=AV$4),SUM($I9,$L9,$O9,$R9),"")</f>
        <v/>
      </c>
      <c r="AW9" s="39" t="str">
        <f>IF(AND($G9='Povolené hodnoty'!$B$13,$H9=AW$4),SUM($J9,$M9,$P9,$S9),"")</f>
        <v/>
      </c>
      <c r="AX9" s="458">
        <f>IF(AND($G9='Povolené hodnoty'!$B$13,$H9=AX$4),SUM($J9,$M9,$P9,$S9),"")</f>
        <v>300</v>
      </c>
      <c r="AY9" s="458" t="str">
        <f>IF(AND($G9='Povolené hodnoty'!$B$13,$H9=AY$4),SUM($J9,$M9,$P9,$S9),"")</f>
        <v/>
      </c>
      <c r="AZ9" s="458" t="str">
        <f>IF(AND($G9='Povolené hodnoty'!$B$13,$H9=AZ$4),SUM($J9,$M9,$P9,$S9),"")</f>
        <v/>
      </c>
      <c r="BA9" s="458" t="str">
        <f>IF(AND($G9='Povolené hodnoty'!$B$13,$H9=BA$4),SUM($J9,$M9,$P9,$S9),"")</f>
        <v/>
      </c>
      <c r="BB9" s="40" t="str">
        <f>IF(AND($G9='Povolené hodnoty'!$B$13,$H9=BB$4),SUM($J9,$M9,$P9,$S9),"")</f>
        <v/>
      </c>
      <c r="BC9" s="40" t="str">
        <f>IF(AND($G9='Povolené hodnoty'!$B$13,$H9=BC$4),SUM($J9,$M9,$P9,$S9),"")</f>
        <v/>
      </c>
      <c r="BD9" s="40" t="str">
        <f>IF(AND($G9='Povolené hodnoty'!$B$13,$H9=BD$4),SUM($J9,$M9,$P9,$S9),"")</f>
        <v/>
      </c>
      <c r="BE9" s="41" t="str">
        <f>IF(AND($G9='Povolené hodnoty'!$B$13,$H9=BE$4),SUM($J9,$M9,$P9,$S9),"")</f>
        <v/>
      </c>
      <c r="BF9" s="39" t="str">
        <f>IF(AND($G9='Povolené hodnoty'!$B$14,$H9=BF$4),SUM($J9,$M9,$P9,$S9),"")</f>
        <v/>
      </c>
      <c r="BG9" s="458" t="str">
        <f>IF(AND($G9='Povolené hodnoty'!$B$14,$H9=BG$4),SUM($J9,$M9,$P9,$S9),"")</f>
        <v/>
      </c>
      <c r="BH9" s="458" t="str">
        <f>IF(AND($G9='Povolené hodnoty'!$B$14,$H9=BH$4),SUM($J9,$M9,$P9,$S9),"")</f>
        <v/>
      </c>
      <c r="BI9" s="458" t="str">
        <f>IF(AND($G9='Povolené hodnoty'!$B$14,$H9=BI$4),SUM($J9,$M9,$P9,$S9),"")</f>
        <v/>
      </c>
      <c r="BJ9" s="458" t="str">
        <f>IF(AND($G9='Povolené hodnoty'!$B$14,$H9=BJ$4),SUM($J9,$M9,$P9,$S9),"")</f>
        <v/>
      </c>
      <c r="BK9" s="40" t="str">
        <f>IF(AND($G9='Povolené hodnoty'!$B$14,$H9=BK$4),SUM($J9,$M9,$P9,$S9),"")</f>
        <v/>
      </c>
      <c r="BL9" s="40" t="str">
        <f>IF(AND($G9='Povolené hodnoty'!$B$14,$H9=BL$4),SUM($J9,$M9,$P9,$S9),"")</f>
        <v/>
      </c>
      <c r="BM9" s="41" t="str">
        <f>IF(AND($G9='Povolené hodnoty'!$B$14,$H9=BM$4),SUM($J9,$M9,$P9,$S9),"")</f>
        <v/>
      </c>
      <c r="BO9" s="18" t="b">
        <f t="shared" si="33"/>
        <v>0</v>
      </c>
      <c r="BP9" s="18" t="b">
        <f t="shared" si="1"/>
        <v>0</v>
      </c>
      <c r="BQ9" s="18" t="b">
        <f>AND(E9&lt;&gt;'Povolené hodnoty'!$B$6,F9&lt;&gt;'Povolené hodnoty'!$D$7,F9&lt;&gt;'Povolené hodnoty'!$D$8,OR(SUM(I9,L9,O9,R9)&lt;&gt;SUM(W9:X9,AA9:AG9),SUM(J9,M9,P9,S9)&lt;&gt;SUM(Y9:Z9,AH9:AK9),COUNT(I9:J9,L9:M9,O9:P9,R9:S9)&lt;&gt;COUNT(W9:AK9)))</f>
        <v>0</v>
      </c>
      <c r="BR9" s="18" t="b">
        <f>OR(AND(E9='Povolené hodnoty'!$B$6,$BR$5),AND(E9='Povolené hodnoty'!$B$6,H9&lt;&gt;'Povolené hodnoty'!$E$26,H9&lt;&gt;'Povolené hodnoty'!$E$35),AND(E9&lt;&gt;'Povolené hodnoty'!$B$6,OR(H9='Povolené hodnoty'!$E$26,H9='Povolené hodnoty'!$E$35)))</f>
        <v>0</v>
      </c>
      <c r="BS9" s="18" t="b">
        <f>OR(AND(G9&lt;&gt;'Povolené hodnoty'!$B$13,OR(H9='Povolené hodnoty'!$E$21,H9='Povolené hodnoty'!$E$22,H9='Povolené hodnoty'!$E$23,H9='Povolené hodnoty'!$E$24,H9='Povolené hodnoty'!$E$26,H9='Povolené hodnoty'!$E$36)),COUNT(I9:J9,L9:M9,O9:P9,R9:S9)&lt;&gt;COUNT(AL9:BM9))</f>
        <v>0</v>
      </c>
      <c r="BT9" s="18" t="b">
        <f t="shared" si="2"/>
        <v>0</v>
      </c>
      <c r="BV9" s="39" t="str">
        <f t="shared" si="3"/>
        <v/>
      </c>
      <c r="BW9" s="458" t="str">
        <f t="shared" si="4"/>
        <v/>
      </c>
      <c r="BX9" s="458" t="str">
        <f t="shared" si="5"/>
        <v/>
      </c>
      <c r="BY9" s="458" t="str">
        <f t="shared" si="6"/>
        <v/>
      </c>
      <c r="BZ9" s="458" t="str">
        <f t="shared" si="7"/>
        <v/>
      </c>
      <c r="CA9" s="40" t="str">
        <f t="shared" si="8"/>
        <v/>
      </c>
      <c r="CB9" s="40" t="str">
        <f t="shared" si="9"/>
        <v/>
      </c>
      <c r="CC9" s="39" t="str">
        <f t="shared" si="10"/>
        <v/>
      </c>
      <c r="CD9" s="458" t="str">
        <f t="shared" si="11"/>
        <v/>
      </c>
      <c r="CE9" s="41" t="str">
        <f t="shared" si="12"/>
        <v/>
      </c>
      <c r="CF9" s="39" t="str">
        <f t="shared" si="13"/>
        <v/>
      </c>
      <c r="CG9" s="458" t="str">
        <f t="shared" si="14"/>
        <v/>
      </c>
      <c r="CH9" s="458" t="str">
        <f t="shared" si="15"/>
        <v/>
      </c>
      <c r="CI9" s="458" t="str">
        <f t="shared" si="16"/>
        <v/>
      </c>
      <c r="CJ9" s="458" t="str">
        <f t="shared" si="17"/>
        <v/>
      </c>
      <c r="CK9" s="40" t="str">
        <f t="shared" si="18"/>
        <v/>
      </c>
      <c r="CL9" s="40" t="str">
        <f t="shared" si="19"/>
        <v/>
      </c>
      <c r="CM9" s="40" t="str">
        <f t="shared" si="20"/>
        <v/>
      </c>
      <c r="CN9" s="39" t="str">
        <f t="shared" si="21"/>
        <v/>
      </c>
      <c r="CO9" s="458" t="str">
        <f t="shared" si="22"/>
        <v/>
      </c>
      <c r="CP9" s="458" t="str">
        <f t="shared" si="23"/>
        <v/>
      </c>
      <c r="CQ9" s="458" t="str">
        <f t="shared" si="24"/>
        <v/>
      </c>
      <c r="CR9" s="458" t="str">
        <f t="shared" si="25"/>
        <v/>
      </c>
      <c r="CS9" s="40" t="str">
        <f t="shared" si="26"/>
        <v/>
      </c>
      <c r="CT9" s="40" t="str">
        <f t="shared" si="27"/>
        <v/>
      </c>
      <c r="CU9" s="41" t="str">
        <f t="shared" si="28"/>
        <v/>
      </c>
    </row>
    <row r="10" spans="1:99" x14ac:dyDescent="0.2">
      <c r="A10" s="77">
        <f t="shared" si="29"/>
        <v>5</v>
      </c>
      <c r="B10" s="81">
        <v>44955</v>
      </c>
      <c r="C10" s="82" t="s">
        <v>504</v>
      </c>
      <c r="D10" s="71" t="s">
        <v>3255</v>
      </c>
      <c r="E10" s="72" t="s">
        <v>43</v>
      </c>
      <c r="F10" s="73">
        <v>10</v>
      </c>
      <c r="G10" s="443" t="s">
        <v>3308</v>
      </c>
      <c r="H10" s="443" t="s">
        <v>3325</v>
      </c>
      <c r="I10" s="74"/>
      <c r="J10" s="75"/>
      <c r="K10" s="41">
        <f t="shared" si="34"/>
        <v>3200</v>
      </c>
      <c r="L10" s="104"/>
      <c r="M10" s="105">
        <v>1000.5</v>
      </c>
      <c r="N10" s="106">
        <f t="shared" si="30"/>
        <v>4999.5</v>
      </c>
      <c r="O10" s="104"/>
      <c r="P10" s="105"/>
      <c r="Q10" s="106">
        <f t="shared" si="35"/>
        <v>0</v>
      </c>
      <c r="R10" s="104"/>
      <c r="S10" s="105"/>
      <c r="T10" s="106">
        <f t="shared" si="36"/>
        <v>0</v>
      </c>
      <c r="U10" s="439"/>
      <c r="V10" s="42">
        <f t="shared" si="0"/>
        <v>5</v>
      </c>
      <c r="W10" s="39" t="str">
        <f>IF(AND(E10='Povolené hodnoty'!$B$4,F10=2),I10+L10+O10+R10,"")</f>
        <v/>
      </c>
      <c r="X10" s="41" t="str">
        <f>IF(AND(E10='Povolené hodnoty'!$B$4,F10=1),I10+L10+O10+R10,"")</f>
        <v/>
      </c>
      <c r="Y10" s="39" t="str">
        <f>IF(AND(E10='Povolené hodnoty'!$B$4,F10=10),J10+M10+P10+S10,"")</f>
        <v/>
      </c>
      <c r="Z10" s="41" t="str">
        <f>IF(AND(E10='Povolené hodnoty'!$B$4,F10=9),J10+M10+P10+S10,"")</f>
        <v/>
      </c>
      <c r="AA10" s="39" t="str">
        <f>IF(AND(E10&lt;&gt;'Povolené hodnoty'!$B$4,F10=2),I10+L10+O10+R10,"")</f>
        <v/>
      </c>
      <c r="AB10" s="40" t="str">
        <f>IF(AND(E10&lt;&gt;'Povolené hodnoty'!$B$4,F10=3),I10+L10+O10+R10,"")</f>
        <v/>
      </c>
      <c r="AC10" s="40" t="str">
        <f>IF(AND(E10&lt;&gt;'Povolené hodnoty'!$B$4,F10=4),I10+L10+O10+R10,"")</f>
        <v/>
      </c>
      <c r="AD10" s="40" t="str">
        <f>IF(AND(E10&lt;&gt;'Povolené hodnoty'!$B$4,F10="5a"),I10-J10+L10-M10+O10-P10+R10-S10,"")</f>
        <v/>
      </c>
      <c r="AE10" s="40" t="str">
        <f>IF(AND(E10&lt;&gt;'Povolené hodnoty'!$B$4,F10="5b"),I10-J10+L10-M10+O10-P10+R10-S10,"")</f>
        <v/>
      </c>
      <c r="AF10" s="40" t="str">
        <f>IF(AND(E10&lt;&gt;'Povolené hodnoty'!$B$4,F10=6),I10+L10+O10+R10,"")</f>
        <v/>
      </c>
      <c r="AG10" s="41" t="str">
        <f>IF(AND(E10&lt;&gt;'Povolené hodnoty'!$B$4,F10=7),I10+L10+O10+R10,"")</f>
        <v/>
      </c>
      <c r="AH10" s="39">
        <f>IF(AND(E10&lt;&gt;'Povolené hodnoty'!$B$4,F10=10),J10+M10+P10+S10,"")</f>
        <v>1000.5</v>
      </c>
      <c r="AI10" s="40" t="str">
        <f>IF(AND(E10&lt;&gt;'Povolené hodnoty'!$B$4,F10=11),J10+M10+P10+S10,"")</f>
        <v/>
      </c>
      <c r="AJ10" s="40" t="str">
        <f>IF(AND(E10&lt;&gt;'Povolené hodnoty'!$B$4,F10=12),J10+M10+P10+S10,"")</f>
        <v/>
      </c>
      <c r="AK10" s="41" t="str">
        <f>IF(AND(E10&lt;&gt;'Povolené hodnoty'!$B$4,F10=13),J10+M10+P10+S10,"")</f>
        <v/>
      </c>
      <c r="AL10" s="39" t="str">
        <f>IF(AND($G10='Povolené hodnoty'!$B$13,$H10=AL$4),SUM($I10,$L10,$O10,$R10),"")</f>
        <v/>
      </c>
      <c r="AM10" s="458" t="str">
        <f>IF(AND($G10='Povolené hodnoty'!$B$13,$H10=AM$4),SUM($I10,$L10,$O10,$R10),"")</f>
        <v/>
      </c>
      <c r="AN10" s="458" t="str">
        <f>IF(AND($G10='Povolené hodnoty'!$B$13,$H10=AN$4),SUM($I10,$L10,$O10,$R10),"")</f>
        <v/>
      </c>
      <c r="AO10" s="458" t="str">
        <f>IF(AND($G10='Povolené hodnoty'!$B$13,$H10=AO$4),SUM($I10,$L10,$O10,$R10),"")</f>
        <v/>
      </c>
      <c r="AP10" s="458" t="str">
        <f>IF(AND($G10='Povolené hodnoty'!$B$13,$H10=AP$4),SUM($I10,$L10,$O10,$R10),"")</f>
        <v/>
      </c>
      <c r="AQ10" s="40" t="str">
        <f>IF(AND($G10='Povolené hodnoty'!$B$13,OR($H10=AQ$4,$H10='Povolené hodnoty'!$E$36)),SUM($I10,-$J10,$L10,-$M10,$O10,-$P10,$R10,-$S10),"")</f>
        <v/>
      </c>
      <c r="AR10" s="40" t="str">
        <f>IF(AND($G10='Povolené hodnoty'!$B$13,$H10=AR$4),SUM($I10,$L10,$O10,$R10),"")</f>
        <v/>
      </c>
      <c r="AS10" s="41" t="str">
        <f>IF(AND($G10='Povolené hodnoty'!$B$13,$H10=AS$4),SUM($I10,$L10,$O10,$R10),"")</f>
        <v/>
      </c>
      <c r="AT10" s="39" t="str">
        <f>IF(AND($G10='Povolené hodnoty'!$B$14,$H10=AT$4),SUM($I10,$L10,$O10,$R10),"")</f>
        <v/>
      </c>
      <c r="AU10" s="458" t="str">
        <f>IF(AND($G10='Povolené hodnoty'!$B$14,$H10=AU$4),SUM($I10,$L10,$O10,$R10),"")</f>
        <v/>
      </c>
      <c r="AV10" s="41" t="str">
        <f>IF(AND($G10='Povolené hodnoty'!$B$14,$H10=AV$4),SUM($I10,$L10,$O10,$R10),"")</f>
        <v/>
      </c>
      <c r="AW10" s="39" t="str">
        <f>IF(AND($G10='Povolené hodnoty'!$B$13,$H10=AW$4),SUM($J10,$M10,$P10,$S10),"")</f>
        <v/>
      </c>
      <c r="AX10" s="458" t="str">
        <f>IF(AND($G10='Povolené hodnoty'!$B$13,$H10=AX$4),SUM($J10,$M10,$P10,$S10),"")</f>
        <v/>
      </c>
      <c r="AY10" s="458" t="str">
        <f>IF(AND($G10='Povolené hodnoty'!$B$13,$H10=AY$4),SUM($J10,$M10,$P10,$S10),"")</f>
        <v/>
      </c>
      <c r="AZ10" s="458" t="str">
        <f>IF(AND($G10='Povolené hodnoty'!$B$13,$H10=AZ$4),SUM($J10,$M10,$P10,$S10),"")</f>
        <v/>
      </c>
      <c r="BA10" s="458" t="str">
        <f>IF(AND($G10='Povolené hodnoty'!$B$13,$H10=BA$4),SUM($J10,$M10,$P10,$S10),"")</f>
        <v/>
      </c>
      <c r="BB10" s="40" t="str">
        <f>IF(AND($G10='Povolené hodnoty'!$B$13,$H10=BB$4),SUM($J10,$M10,$P10,$S10),"")</f>
        <v/>
      </c>
      <c r="BC10" s="40" t="str">
        <f>IF(AND($G10='Povolené hodnoty'!$B$13,$H10=BC$4),SUM($J10,$M10,$P10,$S10),"")</f>
        <v/>
      </c>
      <c r="BD10" s="40">
        <f>IF(AND($G10='Povolené hodnoty'!$B$13,$H10=BD$4),SUM($J10,$M10,$P10,$S10),"")</f>
        <v>1000.5</v>
      </c>
      <c r="BE10" s="41" t="str">
        <f>IF(AND($G10='Povolené hodnoty'!$B$13,$H10=BE$4),SUM($J10,$M10,$P10,$S10),"")</f>
        <v/>
      </c>
      <c r="BF10" s="39" t="str">
        <f>IF(AND($G10='Povolené hodnoty'!$B$14,$H10=BF$4),SUM($J10,$M10,$P10,$S10),"")</f>
        <v/>
      </c>
      <c r="BG10" s="458" t="str">
        <f>IF(AND($G10='Povolené hodnoty'!$B$14,$H10=BG$4),SUM($J10,$M10,$P10,$S10),"")</f>
        <v/>
      </c>
      <c r="BH10" s="458" t="str">
        <f>IF(AND($G10='Povolené hodnoty'!$B$14,$H10=BH$4),SUM($J10,$M10,$P10,$S10),"")</f>
        <v/>
      </c>
      <c r="BI10" s="458" t="str">
        <f>IF(AND($G10='Povolené hodnoty'!$B$14,$H10=BI$4),SUM($J10,$M10,$P10,$S10),"")</f>
        <v/>
      </c>
      <c r="BJ10" s="458" t="str">
        <f>IF(AND($G10='Povolené hodnoty'!$B$14,$H10=BJ$4),SUM($J10,$M10,$P10,$S10),"")</f>
        <v/>
      </c>
      <c r="BK10" s="40" t="str">
        <f>IF(AND($G10='Povolené hodnoty'!$B$14,$H10=BK$4),SUM($J10,$M10,$P10,$S10),"")</f>
        <v/>
      </c>
      <c r="BL10" s="40" t="str">
        <f>IF(AND($G10='Povolené hodnoty'!$B$14,$H10=BL$4),SUM($J10,$M10,$P10,$S10),"")</f>
        <v/>
      </c>
      <c r="BM10" s="41" t="str">
        <f>IF(AND($G10='Povolené hodnoty'!$B$14,$H10=BM$4),SUM($J10,$M10,$P10,$S10),"")</f>
        <v/>
      </c>
      <c r="BO10" s="18" t="b">
        <f t="shared" si="33"/>
        <v>0</v>
      </c>
      <c r="BP10" s="18" t="b">
        <f t="shared" si="1"/>
        <v>0</v>
      </c>
      <c r="BQ10" s="18" t="b">
        <f>AND(E10&lt;&gt;'Povolené hodnoty'!$B$6,F10&lt;&gt;'Povolené hodnoty'!$D$7,F10&lt;&gt;'Povolené hodnoty'!$D$8,OR(SUM(I10,L10,O10,R10)&lt;&gt;SUM(W10:X10,AA10:AG10),SUM(J10,M10,P10,S10)&lt;&gt;SUM(Y10:Z10,AH10:AK10),COUNT(I10:J10,L10:M10,O10:P10,R10:S10)&lt;&gt;COUNT(W10:AK10)))</f>
        <v>0</v>
      </c>
      <c r="BR10" s="18" t="b">
        <f>OR(AND(E10='Povolené hodnoty'!$B$6,$BR$5),AND(E10='Povolené hodnoty'!$B$6,H10&lt;&gt;'Povolené hodnoty'!$E$26,H10&lt;&gt;'Povolené hodnoty'!$E$35),AND(E10&lt;&gt;'Povolené hodnoty'!$B$6,OR(H10='Povolené hodnoty'!$E$26,H10='Povolené hodnoty'!$E$35)))</f>
        <v>0</v>
      </c>
      <c r="BS10" s="18" t="b">
        <f>OR(AND(G10&lt;&gt;'Povolené hodnoty'!$B$13,OR(H10='Povolené hodnoty'!$E$21,H10='Povolené hodnoty'!$E$22,H10='Povolené hodnoty'!$E$23,H10='Povolené hodnoty'!$E$24,H10='Povolené hodnoty'!$E$26,H10='Povolené hodnoty'!$E$36)),COUNT(I10:J10,L10:M10,O10:P10,R10:S10)&lt;&gt;COUNT(AL10:BM10))</f>
        <v>0</v>
      </c>
      <c r="BT10" s="18" t="b">
        <f t="shared" si="2"/>
        <v>0</v>
      </c>
      <c r="BV10" s="39" t="str">
        <f t="shared" si="3"/>
        <v/>
      </c>
      <c r="BW10" s="458" t="str">
        <f t="shared" si="4"/>
        <v/>
      </c>
      <c r="BX10" s="458" t="str">
        <f t="shared" si="5"/>
        <v/>
      </c>
      <c r="BY10" s="458" t="str">
        <f t="shared" si="6"/>
        <v/>
      </c>
      <c r="BZ10" s="458" t="str">
        <f t="shared" si="7"/>
        <v/>
      </c>
      <c r="CA10" s="40" t="str">
        <f t="shared" si="8"/>
        <v/>
      </c>
      <c r="CB10" s="40" t="str">
        <f t="shared" si="9"/>
        <v/>
      </c>
      <c r="CC10" s="39" t="str">
        <f t="shared" si="10"/>
        <v/>
      </c>
      <c r="CD10" s="458" t="str">
        <f t="shared" si="11"/>
        <v/>
      </c>
      <c r="CE10" s="41" t="str">
        <f t="shared" si="12"/>
        <v/>
      </c>
      <c r="CF10" s="39" t="str">
        <f t="shared" si="13"/>
        <v/>
      </c>
      <c r="CG10" s="458" t="str">
        <f t="shared" si="14"/>
        <v/>
      </c>
      <c r="CH10" s="458" t="str">
        <f t="shared" si="15"/>
        <v/>
      </c>
      <c r="CI10" s="458" t="str">
        <f t="shared" si="16"/>
        <v/>
      </c>
      <c r="CJ10" s="458" t="str">
        <f t="shared" si="17"/>
        <v/>
      </c>
      <c r="CK10" s="40" t="str">
        <f t="shared" si="18"/>
        <v/>
      </c>
      <c r="CL10" s="40" t="str">
        <f t="shared" si="19"/>
        <v/>
      </c>
      <c r="CM10" s="40" t="str">
        <f t="shared" si="20"/>
        <v/>
      </c>
      <c r="CN10" s="39" t="str">
        <f t="shared" si="21"/>
        <v/>
      </c>
      <c r="CO10" s="458" t="str">
        <f t="shared" si="22"/>
        <v/>
      </c>
      <c r="CP10" s="458" t="str">
        <f t="shared" si="23"/>
        <v/>
      </c>
      <c r="CQ10" s="458" t="str">
        <f t="shared" si="24"/>
        <v/>
      </c>
      <c r="CR10" s="458" t="str">
        <f t="shared" si="25"/>
        <v/>
      </c>
      <c r="CS10" s="40" t="str">
        <f t="shared" si="26"/>
        <v/>
      </c>
      <c r="CT10" s="40" t="str">
        <f t="shared" si="27"/>
        <v/>
      </c>
      <c r="CU10" s="41" t="str">
        <f t="shared" si="28"/>
        <v/>
      </c>
    </row>
    <row r="11" spans="1:99" x14ac:dyDescent="0.2">
      <c r="A11" s="77">
        <f t="shared" si="29"/>
        <v>6</v>
      </c>
      <c r="B11" s="81">
        <v>44972</v>
      </c>
      <c r="C11" s="82" t="s">
        <v>501</v>
      </c>
      <c r="D11" s="71" t="s">
        <v>3475</v>
      </c>
      <c r="E11" s="72" t="s">
        <v>42</v>
      </c>
      <c r="F11" s="73">
        <v>2</v>
      </c>
      <c r="G11" s="443" t="s">
        <v>3308</v>
      </c>
      <c r="H11" s="443" t="s">
        <v>3311</v>
      </c>
      <c r="I11" s="74">
        <v>22000</v>
      </c>
      <c r="J11" s="75"/>
      <c r="K11" s="41">
        <f t="shared" si="34"/>
        <v>25200</v>
      </c>
      <c r="L11" s="104"/>
      <c r="M11" s="105"/>
      <c r="N11" s="106">
        <f t="shared" si="30"/>
        <v>4999.5</v>
      </c>
      <c r="O11" s="104"/>
      <c r="P11" s="105"/>
      <c r="Q11" s="106">
        <f t="shared" si="35"/>
        <v>0</v>
      </c>
      <c r="R11" s="104"/>
      <c r="S11" s="105"/>
      <c r="T11" s="106">
        <f t="shared" si="36"/>
        <v>0</v>
      </c>
      <c r="U11" s="439"/>
      <c r="V11" s="42">
        <f t="shared" si="0"/>
        <v>6</v>
      </c>
      <c r="W11" s="39">
        <f>IF(AND(E11='Povolené hodnoty'!$B$4,F11=2),I11+L11+O11+R11,"")</f>
        <v>22000</v>
      </c>
      <c r="X11" s="41" t="str">
        <f>IF(AND(E11='Povolené hodnoty'!$B$4,F11=1),I11+L11+O11+R11,"")</f>
        <v/>
      </c>
      <c r="Y11" s="39" t="str">
        <f>IF(AND(E11='Povolené hodnoty'!$B$4,F11=10),J11+M11+P11+S11,"")</f>
        <v/>
      </c>
      <c r="Z11" s="41" t="str">
        <f>IF(AND(E11='Povolené hodnoty'!$B$4,F11=9),J11+M11+P11+S11,"")</f>
        <v/>
      </c>
      <c r="AA11" s="39" t="str">
        <f>IF(AND(E11&lt;&gt;'Povolené hodnoty'!$B$4,F11=2),I11+L11+O11+R11,"")</f>
        <v/>
      </c>
      <c r="AB11" s="40" t="str">
        <f>IF(AND(E11&lt;&gt;'Povolené hodnoty'!$B$4,F11=3),I11+L11+O11+R11,"")</f>
        <v/>
      </c>
      <c r="AC11" s="40" t="str">
        <f>IF(AND(E11&lt;&gt;'Povolené hodnoty'!$B$4,F11=4),I11+L11+O11+R11,"")</f>
        <v/>
      </c>
      <c r="AD11" s="40" t="str">
        <f>IF(AND(E11&lt;&gt;'Povolené hodnoty'!$B$4,F11="5a"),I11-J11+L11-M11+O11-P11+R11-S11,"")</f>
        <v/>
      </c>
      <c r="AE11" s="40" t="str">
        <f>IF(AND(E11&lt;&gt;'Povolené hodnoty'!$B$4,F11="5b"),I11-J11+L11-M11+O11-P11+R11-S11,"")</f>
        <v/>
      </c>
      <c r="AF11" s="40" t="str">
        <f>IF(AND(E11&lt;&gt;'Povolené hodnoty'!$B$4,F11=6),I11+L11+O11+R11,"")</f>
        <v/>
      </c>
      <c r="AG11" s="41" t="str">
        <f>IF(AND(E11&lt;&gt;'Povolené hodnoty'!$B$4,F11=7),I11+L11+O11+R11,"")</f>
        <v/>
      </c>
      <c r="AH11" s="39" t="str">
        <f>IF(AND(E11&lt;&gt;'Povolené hodnoty'!$B$4,F11=10),J11+M11+P11+S11,"")</f>
        <v/>
      </c>
      <c r="AI11" s="40" t="str">
        <f>IF(AND(E11&lt;&gt;'Povolené hodnoty'!$B$4,F11=11),J11+M11+P11+S11,"")</f>
        <v/>
      </c>
      <c r="AJ11" s="40" t="str">
        <f>IF(AND(E11&lt;&gt;'Povolené hodnoty'!$B$4,F11=12),J11+M11+P11+S11,"")</f>
        <v/>
      </c>
      <c r="AK11" s="41" t="str">
        <f>IF(AND(E11&lt;&gt;'Povolené hodnoty'!$B$4,F11=13),J11+M11+P11+S11,"")</f>
        <v/>
      </c>
      <c r="AL11" s="39" t="str">
        <f>IF(AND($G11='Povolené hodnoty'!$B$13,$H11=AL$4),SUM($I11,$L11,$O11,$R11),"")</f>
        <v/>
      </c>
      <c r="AM11" s="458">
        <f>IF(AND($G11='Povolené hodnoty'!$B$13,$H11=AM$4),SUM($I11,$L11,$O11,$R11),"")</f>
        <v>22000</v>
      </c>
      <c r="AN11" s="458" t="str">
        <f>IF(AND($G11='Povolené hodnoty'!$B$13,$H11=AN$4),SUM($I11,$L11,$O11,$R11),"")</f>
        <v/>
      </c>
      <c r="AO11" s="458" t="str">
        <f>IF(AND($G11='Povolené hodnoty'!$B$13,$H11=AO$4),SUM($I11,$L11,$O11,$R11),"")</f>
        <v/>
      </c>
      <c r="AP11" s="458" t="str">
        <f>IF(AND($G11='Povolené hodnoty'!$B$13,$H11=AP$4),SUM($I11,$L11,$O11,$R11),"")</f>
        <v/>
      </c>
      <c r="AQ11" s="40" t="str">
        <f>IF(AND($G11='Povolené hodnoty'!$B$13,OR($H11=AQ$4,$H11='Povolené hodnoty'!$E$36)),SUM($I11,-$J11,$L11,-$M11,$O11,-$P11,$R11,-$S11),"")</f>
        <v/>
      </c>
      <c r="AR11" s="40" t="str">
        <f>IF(AND($G11='Povolené hodnoty'!$B$13,$H11=AR$4),SUM($I11,$L11,$O11,$R11),"")</f>
        <v/>
      </c>
      <c r="AS11" s="41" t="str">
        <f>IF(AND($G11='Povolené hodnoty'!$B$13,$H11=AS$4),SUM($I11,$L11,$O11,$R11),"")</f>
        <v/>
      </c>
      <c r="AT11" s="39" t="str">
        <f>IF(AND($G11='Povolené hodnoty'!$B$14,$H11=AT$4),SUM($I11,$L11,$O11,$R11),"")</f>
        <v/>
      </c>
      <c r="AU11" s="458" t="str">
        <f>IF(AND($G11='Povolené hodnoty'!$B$14,$H11=AU$4),SUM($I11,$L11,$O11,$R11),"")</f>
        <v/>
      </c>
      <c r="AV11" s="41" t="str">
        <f>IF(AND($G11='Povolené hodnoty'!$B$14,$H11=AV$4),SUM($I11,$L11,$O11,$R11),"")</f>
        <v/>
      </c>
      <c r="AW11" s="39" t="str">
        <f>IF(AND($G11='Povolené hodnoty'!$B$13,$H11=AW$4),SUM($J11,$M11,$P11,$S11),"")</f>
        <v/>
      </c>
      <c r="AX11" s="458" t="str">
        <f>IF(AND($G11='Povolené hodnoty'!$B$13,$H11=AX$4),SUM($J11,$M11,$P11,$S11),"")</f>
        <v/>
      </c>
      <c r="AY11" s="458" t="str">
        <f>IF(AND($G11='Povolené hodnoty'!$B$13,$H11=AY$4),SUM($J11,$M11,$P11,$S11),"")</f>
        <v/>
      </c>
      <c r="AZ11" s="458" t="str">
        <f>IF(AND($G11='Povolené hodnoty'!$B$13,$H11=AZ$4),SUM($J11,$M11,$P11,$S11),"")</f>
        <v/>
      </c>
      <c r="BA11" s="458" t="str">
        <f>IF(AND($G11='Povolené hodnoty'!$B$13,$H11=BA$4),SUM($J11,$M11,$P11,$S11),"")</f>
        <v/>
      </c>
      <c r="BB11" s="40" t="str">
        <f>IF(AND($G11='Povolené hodnoty'!$B$13,$H11=BB$4),SUM($J11,$M11,$P11,$S11),"")</f>
        <v/>
      </c>
      <c r="BC11" s="40" t="str">
        <f>IF(AND($G11='Povolené hodnoty'!$B$13,$H11=BC$4),SUM($J11,$M11,$P11,$S11),"")</f>
        <v/>
      </c>
      <c r="BD11" s="40" t="str">
        <f>IF(AND($G11='Povolené hodnoty'!$B$13,$H11=BD$4),SUM($J11,$M11,$P11,$S11),"")</f>
        <v/>
      </c>
      <c r="BE11" s="41" t="str">
        <f>IF(AND($G11='Povolené hodnoty'!$B$13,$H11=BE$4),SUM($J11,$M11,$P11,$S11),"")</f>
        <v/>
      </c>
      <c r="BF11" s="39" t="str">
        <f>IF(AND($G11='Povolené hodnoty'!$B$14,$H11=BF$4),SUM($J11,$M11,$P11,$S11),"")</f>
        <v/>
      </c>
      <c r="BG11" s="458" t="str">
        <f>IF(AND($G11='Povolené hodnoty'!$B$14,$H11=BG$4),SUM($J11,$M11,$P11,$S11),"")</f>
        <v/>
      </c>
      <c r="BH11" s="458" t="str">
        <f>IF(AND($G11='Povolené hodnoty'!$B$14,$H11=BH$4),SUM($J11,$M11,$P11,$S11),"")</f>
        <v/>
      </c>
      <c r="BI11" s="458" t="str">
        <f>IF(AND($G11='Povolené hodnoty'!$B$14,$H11=BI$4),SUM($J11,$M11,$P11,$S11),"")</f>
        <v/>
      </c>
      <c r="BJ11" s="458" t="str">
        <f>IF(AND($G11='Povolené hodnoty'!$B$14,$H11=BJ$4),SUM($J11,$M11,$P11,$S11),"")</f>
        <v/>
      </c>
      <c r="BK11" s="40" t="str">
        <f>IF(AND($G11='Povolené hodnoty'!$B$14,$H11=BK$4),SUM($J11,$M11,$P11,$S11),"")</f>
        <v/>
      </c>
      <c r="BL11" s="40" t="str">
        <f>IF(AND($G11='Povolené hodnoty'!$B$14,$H11=BL$4),SUM($J11,$M11,$P11,$S11),"")</f>
        <v/>
      </c>
      <c r="BM11" s="41" t="str">
        <f>IF(AND($G11='Povolené hodnoty'!$B$14,$H11=BM$4),SUM($J11,$M11,$P11,$S11),"")</f>
        <v/>
      </c>
      <c r="BO11" s="18" t="b">
        <f t="shared" si="33"/>
        <v>0</v>
      </c>
      <c r="BP11" s="18" t="b">
        <f t="shared" si="1"/>
        <v>0</v>
      </c>
      <c r="BQ11" s="18" t="b">
        <f>AND(E11&lt;&gt;'Povolené hodnoty'!$B$6,F11&lt;&gt;'Povolené hodnoty'!$D$7,F11&lt;&gt;'Povolené hodnoty'!$D$8,OR(SUM(I11,L11,O11,R11)&lt;&gt;SUM(W11:X11,AA11:AG11),SUM(J11,M11,P11,S11)&lt;&gt;SUM(Y11:Z11,AH11:AK11),COUNT(I11:J11,L11:M11,O11:P11,R11:S11)&lt;&gt;COUNT(W11:AK11)))</f>
        <v>0</v>
      </c>
      <c r="BR11" s="18" t="b">
        <f>OR(AND(E11='Povolené hodnoty'!$B$6,$BR$5),AND(E11='Povolené hodnoty'!$B$6,H11&lt;&gt;'Povolené hodnoty'!$E$26,H11&lt;&gt;'Povolené hodnoty'!$E$35),AND(E11&lt;&gt;'Povolené hodnoty'!$B$6,OR(H11='Povolené hodnoty'!$E$26,H11='Povolené hodnoty'!$E$35)))</f>
        <v>0</v>
      </c>
      <c r="BS11" s="18" t="b">
        <f>OR(AND(G11&lt;&gt;'Povolené hodnoty'!$B$13,OR(H11='Povolené hodnoty'!$E$21,H11='Povolené hodnoty'!$E$22,H11='Povolené hodnoty'!$E$23,H11='Povolené hodnoty'!$E$24,H11='Povolené hodnoty'!$E$26,H11='Povolené hodnoty'!$E$36)),COUNT(I11:J11,L11:M11,O11:P11,R11:S11)&lt;&gt;COUNT(AL11:BM11))</f>
        <v>0</v>
      </c>
      <c r="BT11" s="18" t="b">
        <f t="shared" si="2"/>
        <v>0</v>
      </c>
      <c r="BV11" s="39" t="str">
        <f t="shared" si="3"/>
        <v/>
      </c>
      <c r="BW11" s="458">
        <f t="shared" si="4"/>
        <v>22000</v>
      </c>
      <c r="BX11" s="458" t="str">
        <f t="shared" si="5"/>
        <v/>
      </c>
      <c r="BY11" s="458" t="str">
        <f t="shared" si="6"/>
        <v/>
      </c>
      <c r="BZ11" s="458" t="str">
        <f t="shared" si="7"/>
        <v/>
      </c>
      <c r="CA11" s="40" t="str">
        <f t="shared" si="8"/>
        <v/>
      </c>
      <c r="CB11" s="40" t="str">
        <f t="shared" si="9"/>
        <v/>
      </c>
      <c r="CC11" s="39" t="str">
        <f t="shared" si="10"/>
        <v/>
      </c>
      <c r="CD11" s="458" t="str">
        <f t="shared" si="11"/>
        <v/>
      </c>
      <c r="CE11" s="41" t="str">
        <f t="shared" si="12"/>
        <v/>
      </c>
      <c r="CF11" s="39" t="str">
        <f t="shared" si="13"/>
        <v/>
      </c>
      <c r="CG11" s="458" t="str">
        <f t="shared" si="14"/>
        <v/>
      </c>
      <c r="CH11" s="458" t="str">
        <f t="shared" si="15"/>
        <v/>
      </c>
      <c r="CI11" s="458" t="str">
        <f t="shared" si="16"/>
        <v/>
      </c>
      <c r="CJ11" s="458" t="str">
        <f t="shared" si="17"/>
        <v/>
      </c>
      <c r="CK11" s="40" t="str">
        <f t="shared" si="18"/>
        <v/>
      </c>
      <c r="CL11" s="40" t="str">
        <f t="shared" si="19"/>
        <v/>
      </c>
      <c r="CM11" s="40" t="str">
        <f t="shared" si="20"/>
        <v/>
      </c>
      <c r="CN11" s="39" t="str">
        <f t="shared" si="21"/>
        <v/>
      </c>
      <c r="CO11" s="458" t="str">
        <f t="shared" si="22"/>
        <v/>
      </c>
      <c r="CP11" s="458" t="str">
        <f t="shared" si="23"/>
        <v/>
      </c>
      <c r="CQ11" s="458" t="str">
        <f t="shared" si="24"/>
        <v/>
      </c>
      <c r="CR11" s="458" t="str">
        <f t="shared" si="25"/>
        <v/>
      </c>
      <c r="CS11" s="40" t="str">
        <f t="shared" si="26"/>
        <v/>
      </c>
      <c r="CT11" s="40" t="str">
        <f t="shared" si="27"/>
        <v/>
      </c>
      <c r="CU11" s="41" t="str">
        <f t="shared" si="28"/>
        <v/>
      </c>
    </row>
    <row r="12" spans="1:99" x14ac:dyDescent="0.2">
      <c r="A12" s="77">
        <f t="shared" si="29"/>
        <v>7</v>
      </c>
      <c r="B12" s="81">
        <v>44972</v>
      </c>
      <c r="C12" s="82" t="s">
        <v>103</v>
      </c>
      <c r="D12" s="71" t="s">
        <v>3476</v>
      </c>
      <c r="E12" s="72" t="s">
        <v>42</v>
      </c>
      <c r="F12" s="73">
        <v>10</v>
      </c>
      <c r="G12" s="443" t="s">
        <v>3308</v>
      </c>
      <c r="H12" s="443" t="s">
        <v>3319</v>
      </c>
      <c r="I12" s="74"/>
      <c r="J12" s="75">
        <v>5000</v>
      </c>
      <c r="K12" s="41">
        <f t="shared" si="34"/>
        <v>20200</v>
      </c>
      <c r="L12" s="104"/>
      <c r="M12" s="105"/>
      <c r="N12" s="106">
        <f t="shared" si="30"/>
        <v>4999.5</v>
      </c>
      <c r="O12" s="104"/>
      <c r="P12" s="105"/>
      <c r="Q12" s="106">
        <f t="shared" si="35"/>
        <v>0</v>
      </c>
      <c r="R12" s="104"/>
      <c r="S12" s="105"/>
      <c r="T12" s="106">
        <f t="shared" si="36"/>
        <v>0</v>
      </c>
      <c r="U12" s="439"/>
      <c r="V12" s="42">
        <f t="shared" si="0"/>
        <v>7</v>
      </c>
      <c r="W12" s="39" t="str">
        <f>IF(AND(E12='Povolené hodnoty'!$B$4,F12=2),I12+L12+O12+R12,"")</f>
        <v/>
      </c>
      <c r="X12" s="41" t="str">
        <f>IF(AND(E12='Povolené hodnoty'!$B$4,F12=1),I12+L12+O12+R12,"")</f>
        <v/>
      </c>
      <c r="Y12" s="39">
        <f>IF(AND(E12='Povolené hodnoty'!$B$4,F12=10),J12+M12+P12+S12,"")</f>
        <v>5000</v>
      </c>
      <c r="Z12" s="41" t="str">
        <f>IF(AND(E12='Povolené hodnoty'!$B$4,F12=9),J12+M12+P12+S12,"")</f>
        <v/>
      </c>
      <c r="AA12" s="39" t="str">
        <f>IF(AND(E12&lt;&gt;'Povolené hodnoty'!$B$4,F12=2),I12+L12+O12+R12,"")</f>
        <v/>
      </c>
      <c r="AB12" s="40" t="str">
        <f>IF(AND(E12&lt;&gt;'Povolené hodnoty'!$B$4,F12=3),I12+L12+O12+R12,"")</f>
        <v/>
      </c>
      <c r="AC12" s="40" t="str">
        <f>IF(AND(E12&lt;&gt;'Povolené hodnoty'!$B$4,F12=4),I12+L12+O12+R12,"")</f>
        <v/>
      </c>
      <c r="AD12" s="40" t="str">
        <f>IF(AND(E12&lt;&gt;'Povolené hodnoty'!$B$4,F12="5a"),I12-J12+L12-M12+O12-P12+R12-S12,"")</f>
        <v/>
      </c>
      <c r="AE12" s="40" t="str">
        <f>IF(AND(E12&lt;&gt;'Povolené hodnoty'!$B$4,F12="5b"),I12-J12+L12-M12+O12-P12+R12-S12,"")</f>
        <v/>
      </c>
      <c r="AF12" s="40" t="str">
        <f>IF(AND(E12&lt;&gt;'Povolené hodnoty'!$B$4,F12=6),I12+L12+O12+R12,"")</f>
        <v/>
      </c>
      <c r="AG12" s="41" t="str">
        <f>IF(AND(E12&lt;&gt;'Povolené hodnoty'!$B$4,F12=7),I12+L12+O12+R12,"")</f>
        <v/>
      </c>
      <c r="AH12" s="39" t="str">
        <f>IF(AND(E12&lt;&gt;'Povolené hodnoty'!$B$4,F12=10),J12+M12+P12+S12,"")</f>
        <v/>
      </c>
      <c r="AI12" s="40" t="str">
        <f>IF(AND(E12&lt;&gt;'Povolené hodnoty'!$B$4,F12=11),J12+M12+P12+S12,"")</f>
        <v/>
      </c>
      <c r="AJ12" s="40" t="str">
        <f>IF(AND(E12&lt;&gt;'Povolené hodnoty'!$B$4,F12=12),J12+M12+P12+S12,"")</f>
        <v/>
      </c>
      <c r="AK12" s="41" t="str">
        <f>IF(AND(E12&lt;&gt;'Povolené hodnoty'!$B$4,F12=13),J12+M12+P12+S12,"")</f>
        <v/>
      </c>
      <c r="AL12" s="39" t="str">
        <f>IF(AND($G12='Povolené hodnoty'!$B$13,$H12=AL$4),SUM($I12,$L12,$O12,$R12),"")</f>
        <v/>
      </c>
      <c r="AM12" s="458" t="str">
        <f>IF(AND($G12='Povolené hodnoty'!$B$13,$H12=AM$4),SUM($I12,$L12,$O12,$R12),"")</f>
        <v/>
      </c>
      <c r="AN12" s="458" t="str">
        <f>IF(AND($G12='Povolené hodnoty'!$B$13,$H12=AN$4),SUM($I12,$L12,$O12,$R12),"")</f>
        <v/>
      </c>
      <c r="AO12" s="458" t="str">
        <f>IF(AND($G12='Povolené hodnoty'!$B$13,$H12=AO$4),SUM($I12,$L12,$O12,$R12),"")</f>
        <v/>
      </c>
      <c r="AP12" s="458" t="str">
        <f>IF(AND($G12='Povolené hodnoty'!$B$13,$H12=AP$4),SUM($I12,$L12,$O12,$R12),"")</f>
        <v/>
      </c>
      <c r="AQ12" s="40" t="str">
        <f>IF(AND($G12='Povolené hodnoty'!$B$13,OR($H12=AQ$4,$H12='Povolené hodnoty'!$E$36)),SUM($I12,-$J12,$L12,-$M12,$O12,-$P12,$R12,-$S12),"")</f>
        <v/>
      </c>
      <c r="AR12" s="40" t="str">
        <f>IF(AND($G12='Povolené hodnoty'!$B$13,$H12=AR$4),SUM($I12,$L12,$O12,$R12),"")</f>
        <v/>
      </c>
      <c r="AS12" s="41" t="str">
        <f>IF(AND($G12='Povolené hodnoty'!$B$13,$H12=AS$4),SUM($I12,$L12,$O12,$R12),"")</f>
        <v/>
      </c>
      <c r="AT12" s="39" t="str">
        <f>IF(AND($G12='Povolené hodnoty'!$B$14,$H12=AT$4),SUM($I12,$L12,$O12,$R12),"")</f>
        <v/>
      </c>
      <c r="AU12" s="458" t="str">
        <f>IF(AND($G12='Povolené hodnoty'!$B$14,$H12=AU$4),SUM($I12,$L12,$O12,$R12),"")</f>
        <v/>
      </c>
      <c r="AV12" s="41" t="str">
        <f>IF(AND($G12='Povolené hodnoty'!$B$14,$H12=AV$4),SUM($I12,$L12,$O12,$R12),"")</f>
        <v/>
      </c>
      <c r="AW12" s="39" t="str">
        <f>IF(AND($G12='Povolené hodnoty'!$B$13,$H12=AW$4),SUM($J12,$M12,$P12,$S12),"")</f>
        <v/>
      </c>
      <c r="AX12" s="458">
        <f>IF(AND($G12='Povolené hodnoty'!$B$13,$H12=AX$4),SUM($J12,$M12,$P12,$S12),"")</f>
        <v>5000</v>
      </c>
      <c r="AY12" s="458" t="str">
        <f>IF(AND($G12='Povolené hodnoty'!$B$13,$H12=AY$4),SUM($J12,$M12,$P12,$S12),"")</f>
        <v/>
      </c>
      <c r="AZ12" s="458" t="str">
        <f>IF(AND($G12='Povolené hodnoty'!$B$13,$H12=AZ$4),SUM($J12,$M12,$P12,$S12),"")</f>
        <v/>
      </c>
      <c r="BA12" s="458" t="str">
        <f>IF(AND($G12='Povolené hodnoty'!$B$13,$H12=BA$4),SUM($J12,$M12,$P12,$S12),"")</f>
        <v/>
      </c>
      <c r="BB12" s="40" t="str">
        <f>IF(AND($G12='Povolené hodnoty'!$B$13,$H12=BB$4),SUM($J12,$M12,$P12,$S12),"")</f>
        <v/>
      </c>
      <c r="BC12" s="40" t="str">
        <f>IF(AND($G12='Povolené hodnoty'!$B$13,$H12=BC$4),SUM($J12,$M12,$P12,$S12),"")</f>
        <v/>
      </c>
      <c r="BD12" s="40" t="str">
        <f>IF(AND($G12='Povolené hodnoty'!$B$13,$H12=BD$4),SUM($J12,$M12,$P12,$S12),"")</f>
        <v/>
      </c>
      <c r="BE12" s="41" t="str">
        <f>IF(AND($G12='Povolené hodnoty'!$B$13,$H12=BE$4),SUM($J12,$M12,$P12,$S12),"")</f>
        <v/>
      </c>
      <c r="BF12" s="39" t="str">
        <f>IF(AND($G12='Povolené hodnoty'!$B$14,$H12=BF$4),SUM($J12,$M12,$P12,$S12),"")</f>
        <v/>
      </c>
      <c r="BG12" s="458" t="str">
        <f>IF(AND($G12='Povolené hodnoty'!$B$14,$H12=BG$4),SUM($J12,$M12,$P12,$S12),"")</f>
        <v/>
      </c>
      <c r="BH12" s="458" t="str">
        <f>IF(AND($G12='Povolené hodnoty'!$B$14,$H12=BH$4),SUM($J12,$M12,$P12,$S12),"")</f>
        <v/>
      </c>
      <c r="BI12" s="458" t="str">
        <f>IF(AND($G12='Povolené hodnoty'!$B$14,$H12=BI$4),SUM($J12,$M12,$P12,$S12),"")</f>
        <v/>
      </c>
      <c r="BJ12" s="458" t="str">
        <f>IF(AND($G12='Povolené hodnoty'!$B$14,$H12=BJ$4),SUM($J12,$M12,$P12,$S12),"")</f>
        <v/>
      </c>
      <c r="BK12" s="40" t="str">
        <f>IF(AND($G12='Povolené hodnoty'!$B$14,$H12=BK$4),SUM($J12,$M12,$P12,$S12),"")</f>
        <v/>
      </c>
      <c r="BL12" s="40" t="str">
        <f>IF(AND($G12='Povolené hodnoty'!$B$14,$H12=BL$4),SUM($J12,$M12,$P12,$S12),"")</f>
        <v/>
      </c>
      <c r="BM12" s="41" t="str">
        <f>IF(AND($G12='Povolené hodnoty'!$B$14,$H12=BM$4),SUM($J12,$M12,$P12,$S12),"")</f>
        <v/>
      </c>
      <c r="BO12" s="18" t="b">
        <f t="shared" si="33"/>
        <v>0</v>
      </c>
      <c r="BP12" s="18" t="b">
        <f t="shared" si="1"/>
        <v>0</v>
      </c>
      <c r="BQ12" s="18" t="b">
        <f>AND(E12&lt;&gt;'Povolené hodnoty'!$B$6,F12&lt;&gt;'Povolené hodnoty'!$D$7,F12&lt;&gt;'Povolené hodnoty'!$D$8,OR(SUM(I12,L12,O12,R12)&lt;&gt;SUM(W12:X12,AA12:AG12),SUM(J12,M12,P12,S12)&lt;&gt;SUM(Y12:Z12,AH12:AK12),COUNT(I12:J12,L12:M12,O12:P12,R12:S12)&lt;&gt;COUNT(W12:AK12)))</f>
        <v>0</v>
      </c>
      <c r="BR12" s="18" t="b">
        <f>OR(AND(E12='Povolené hodnoty'!$B$6,$BR$5),AND(E12='Povolené hodnoty'!$B$6,H12&lt;&gt;'Povolené hodnoty'!$E$26,H12&lt;&gt;'Povolené hodnoty'!$E$35),AND(E12&lt;&gt;'Povolené hodnoty'!$B$6,OR(H12='Povolené hodnoty'!$E$26,H12='Povolené hodnoty'!$E$35)))</f>
        <v>0</v>
      </c>
      <c r="BS12" s="18" t="b">
        <f>OR(AND(G12&lt;&gt;'Povolené hodnoty'!$B$13,OR(H12='Povolené hodnoty'!$E$21,H12='Povolené hodnoty'!$E$22,H12='Povolené hodnoty'!$E$23,H12='Povolené hodnoty'!$E$24,H12='Povolené hodnoty'!$E$26,H12='Povolené hodnoty'!$E$36)),COUNT(I12:J12,L12:M12,O12:P12,R12:S12)&lt;&gt;COUNT(AL12:BM12))</f>
        <v>0</v>
      </c>
      <c r="BT12" s="18" t="b">
        <f t="shared" si="2"/>
        <v>0</v>
      </c>
      <c r="BV12" s="39" t="str">
        <f t="shared" si="3"/>
        <v/>
      </c>
      <c r="BW12" s="458" t="str">
        <f t="shared" si="4"/>
        <v/>
      </c>
      <c r="BX12" s="458" t="str">
        <f t="shared" si="5"/>
        <v/>
      </c>
      <c r="BY12" s="458" t="str">
        <f t="shared" si="6"/>
        <v/>
      </c>
      <c r="BZ12" s="458" t="str">
        <f t="shared" si="7"/>
        <v/>
      </c>
      <c r="CA12" s="40" t="str">
        <f t="shared" si="8"/>
        <v/>
      </c>
      <c r="CB12" s="40" t="str">
        <f t="shared" si="9"/>
        <v/>
      </c>
      <c r="CC12" s="39" t="str">
        <f t="shared" si="10"/>
        <v/>
      </c>
      <c r="CD12" s="458" t="str">
        <f t="shared" si="11"/>
        <v/>
      </c>
      <c r="CE12" s="41" t="str">
        <f t="shared" si="12"/>
        <v/>
      </c>
      <c r="CF12" s="39" t="str">
        <f t="shared" si="13"/>
        <v/>
      </c>
      <c r="CG12" s="458">
        <f t="shared" si="14"/>
        <v>5000</v>
      </c>
      <c r="CH12" s="458" t="str">
        <f t="shared" si="15"/>
        <v/>
      </c>
      <c r="CI12" s="458" t="str">
        <f t="shared" si="16"/>
        <v/>
      </c>
      <c r="CJ12" s="458" t="str">
        <f t="shared" si="17"/>
        <v/>
      </c>
      <c r="CK12" s="40" t="str">
        <f t="shared" si="18"/>
        <v/>
      </c>
      <c r="CL12" s="40" t="str">
        <f t="shared" si="19"/>
        <v/>
      </c>
      <c r="CM12" s="40" t="str">
        <f t="shared" si="20"/>
        <v/>
      </c>
      <c r="CN12" s="39" t="str">
        <f t="shared" si="21"/>
        <v/>
      </c>
      <c r="CO12" s="458" t="str">
        <f t="shared" si="22"/>
        <v/>
      </c>
      <c r="CP12" s="458" t="str">
        <f t="shared" si="23"/>
        <v/>
      </c>
      <c r="CQ12" s="458" t="str">
        <f t="shared" si="24"/>
        <v/>
      </c>
      <c r="CR12" s="458" t="str">
        <f t="shared" si="25"/>
        <v/>
      </c>
      <c r="CS12" s="40" t="str">
        <f t="shared" si="26"/>
        <v/>
      </c>
      <c r="CT12" s="40" t="str">
        <f t="shared" si="27"/>
        <v/>
      </c>
      <c r="CU12" s="41" t="str">
        <f t="shared" si="28"/>
        <v/>
      </c>
    </row>
    <row r="13" spans="1:99" x14ac:dyDescent="0.2">
      <c r="A13" s="77">
        <f t="shared" si="29"/>
        <v>8</v>
      </c>
      <c r="B13" s="81">
        <v>44972</v>
      </c>
      <c r="C13" s="82" t="s">
        <v>502</v>
      </c>
      <c r="D13" s="71" t="s">
        <v>3477</v>
      </c>
      <c r="E13" s="72" t="s">
        <v>43</v>
      </c>
      <c r="F13" s="73">
        <v>10</v>
      </c>
      <c r="G13" s="443" t="s">
        <v>3308</v>
      </c>
      <c r="H13" s="443" t="s">
        <v>3321</v>
      </c>
      <c r="I13" s="74"/>
      <c r="J13" s="75">
        <v>6000</v>
      </c>
      <c r="K13" s="41">
        <f t="shared" si="34"/>
        <v>14200</v>
      </c>
      <c r="L13" s="104"/>
      <c r="M13" s="105"/>
      <c r="N13" s="106">
        <f t="shared" si="30"/>
        <v>4999.5</v>
      </c>
      <c r="O13" s="104"/>
      <c r="P13" s="105"/>
      <c r="Q13" s="106">
        <f t="shared" si="35"/>
        <v>0</v>
      </c>
      <c r="R13" s="104"/>
      <c r="S13" s="105"/>
      <c r="T13" s="106">
        <f t="shared" si="36"/>
        <v>0</v>
      </c>
      <c r="U13" s="439"/>
      <c r="V13" s="42">
        <f t="shared" si="0"/>
        <v>8</v>
      </c>
      <c r="W13" s="39" t="str">
        <f>IF(AND(E13='Povolené hodnoty'!$B$4,F13=2),I13+L13+O13+R13,"")</f>
        <v/>
      </c>
      <c r="X13" s="41" t="str">
        <f>IF(AND(E13='Povolené hodnoty'!$B$4,F13=1),I13+L13+O13+R13,"")</f>
        <v/>
      </c>
      <c r="Y13" s="39" t="str">
        <f>IF(AND(E13='Povolené hodnoty'!$B$4,F13=10),J13+M13+P13+S13,"")</f>
        <v/>
      </c>
      <c r="Z13" s="41" t="str">
        <f>IF(AND(E13='Povolené hodnoty'!$B$4,F13=9),J13+M13+P13+S13,"")</f>
        <v/>
      </c>
      <c r="AA13" s="39" t="str">
        <f>IF(AND(E13&lt;&gt;'Povolené hodnoty'!$B$4,F13=2),I13+L13+O13+R13,"")</f>
        <v/>
      </c>
      <c r="AB13" s="40" t="str">
        <f>IF(AND(E13&lt;&gt;'Povolené hodnoty'!$B$4,F13=3),I13+L13+O13+R13,"")</f>
        <v/>
      </c>
      <c r="AC13" s="40" t="str">
        <f>IF(AND(E13&lt;&gt;'Povolené hodnoty'!$B$4,F13=4),I13+L13+O13+R13,"")</f>
        <v/>
      </c>
      <c r="AD13" s="40" t="str">
        <f>IF(AND(E13&lt;&gt;'Povolené hodnoty'!$B$4,F13="5a"),I13-J13+L13-M13+O13-P13+R13-S13,"")</f>
        <v/>
      </c>
      <c r="AE13" s="40" t="str">
        <f>IF(AND(E13&lt;&gt;'Povolené hodnoty'!$B$4,F13="5b"),I13-J13+L13-M13+O13-P13+R13-S13,"")</f>
        <v/>
      </c>
      <c r="AF13" s="40" t="str">
        <f>IF(AND(E13&lt;&gt;'Povolené hodnoty'!$B$4,F13=6),I13+L13+O13+R13,"")</f>
        <v/>
      </c>
      <c r="AG13" s="41" t="str">
        <f>IF(AND(E13&lt;&gt;'Povolené hodnoty'!$B$4,F13=7),I13+L13+O13+R13,"")</f>
        <v/>
      </c>
      <c r="AH13" s="39">
        <f>IF(AND(E13&lt;&gt;'Povolené hodnoty'!$B$4,F13=10),J13+M13+P13+S13,"")</f>
        <v>6000</v>
      </c>
      <c r="AI13" s="40" t="str">
        <f>IF(AND(E13&lt;&gt;'Povolené hodnoty'!$B$4,F13=11),J13+M13+P13+S13,"")</f>
        <v/>
      </c>
      <c r="AJ13" s="40" t="str">
        <f>IF(AND(E13&lt;&gt;'Povolené hodnoty'!$B$4,F13=12),J13+M13+P13+S13,"")</f>
        <v/>
      </c>
      <c r="AK13" s="41" t="str">
        <f>IF(AND(E13&lt;&gt;'Povolené hodnoty'!$B$4,F13=13),J13+M13+P13+S13,"")</f>
        <v/>
      </c>
      <c r="AL13" s="39" t="str">
        <f>IF(AND($G13='Povolené hodnoty'!$B$13,$H13=AL$4),SUM($I13,$L13,$O13,$R13),"")</f>
        <v/>
      </c>
      <c r="AM13" s="458" t="str">
        <f>IF(AND($G13='Povolené hodnoty'!$B$13,$H13=AM$4),SUM($I13,$L13,$O13,$R13),"")</f>
        <v/>
      </c>
      <c r="AN13" s="458" t="str">
        <f>IF(AND($G13='Povolené hodnoty'!$B$13,$H13=AN$4),SUM($I13,$L13,$O13,$R13),"")</f>
        <v/>
      </c>
      <c r="AO13" s="458" t="str">
        <f>IF(AND($G13='Povolené hodnoty'!$B$13,$H13=AO$4),SUM($I13,$L13,$O13,$R13),"")</f>
        <v/>
      </c>
      <c r="AP13" s="458" t="str">
        <f>IF(AND($G13='Povolené hodnoty'!$B$13,$H13=AP$4),SUM($I13,$L13,$O13,$R13),"")</f>
        <v/>
      </c>
      <c r="AQ13" s="40" t="str">
        <f>IF(AND($G13='Povolené hodnoty'!$B$13,OR($H13=AQ$4,$H13='Povolené hodnoty'!$E$36)),SUM($I13,-$J13,$L13,-$M13,$O13,-$P13,$R13,-$S13),"")</f>
        <v/>
      </c>
      <c r="AR13" s="40" t="str">
        <f>IF(AND($G13='Povolené hodnoty'!$B$13,$H13=AR$4),SUM($I13,$L13,$O13,$R13),"")</f>
        <v/>
      </c>
      <c r="AS13" s="41" t="str">
        <f>IF(AND($G13='Povolené hodnoty'!$B$13,$H13=AS$4),SUM($I13,$L13,$O13,$R13),"")</f>
        <v/>
      </c>
      <c r="AT13" s="39" t="str">
        <f>IF(AND($G13='Povolené hodnoty'!$B$14,$H13=AT$4),SUM($I13,$L13,$O13,$R13),"")</f>
        <v/>
      </c>
      <c r="AU13" s="458" t="str">
        <f>IF(AND($G13='Povolené hodnoty'!$B$14,$H13=AU$4),SUM($I13,$L13,$O13,$R13),"")</f>
        <v/>
      </c>
      <c r="AV13" s="41" t="str">
        <f>IF(AND($G13='Povolené hodnoty'!$B$14,$H13=AV$4),SUM($I13,$L13,$O13,$R13),"")</f>
        <v/>
      </c>
      <c r="AW13" s="39" t="str">
        <f>IF(AND($G13='Povolené hodnoty'!$B$13,$H13=AW$4),SUM($J13,$M13,$P13,$S13),"")</f>
        <v/>
      </c>
      <c r="AX13" s="458" t="str">
        <f>IF(AND($G13='Povolené hodnoty'!$B$13,$H13=AX$4),SUM($J13,$M13,$P13,$S13),"")</f>
        <v/>
      </c>
      <c r="AY13" s="458" t="str">
        <f>IF(AND($G13='Povolené hodnoty'!$B$13,$H13=AY$4),SUM($J13,$M13,$P13,$S13),"")</f>
        <v/>
      </c>
      <c r="AZ13" s="458">
        <f>IF(AND($G13='Povolené hodnoty'!$B$13,$H13=AZ$4),SUM($J13,$M13,$P13,$S13),"")</f>
        <v>6000</v>
      </c>
      <c r="BA13" s="458" t="str">
        <f>IF(AND($G13='Povolené hodnoty'!$B$13,$H13=BA$4),SUM($J13,$M13,$P13,$S13),"")</f>
        <v/>
      </c>
      <c r="BB13" s="40" t="str">
        <f>IF(AND($G13='Povolené hodnoty'!$B$13,$H13=BB$4),SUM($J13,$M13,$P13,$S13),"")</f>
        <v/>
      </c>
      <c r="BC13" s="40" t="str">
        <f>IF(AND($G13='Povolené hodnoty'!$B$13,$H13=BC$4),SUM($J13,$M13,$P13,$S13),"")</f>
        <v/>
      </c>
      <c r="BD13" s="40" t="str">
        <f>IF(AND($G13='Povolené hodnoty'!$B$13,$H13=BD$4),SUM($J13,$M13,$P13,$S13),"")</f>
        <v/>
      </c>
      <c r="BE13" s="41" t="str">
        <f>IF(AND($G13='Povolené hodnoty'!$B$13,$H13=BE$4),SUM($J13,$M13,$P13,$S13),"")</f>
        <v/>
      </c>
      <c r="BF13" s="39" t="str">
        <f>IF(AND($G13='Povolené hodnoty'!$B$14,$H13=BF$4),SUM($J13,$M13,$P13,$S13),"")</f>
        <v/>
      </c>
      <c r="BG13" s="458" t="str">
        <f>IF(AND($G13='Povolené hodnoty'!$B$14,$H13=BG$4),SUM($J13,$M13,$P13,$S13),"")</f>
        <v/>
      </c>
      <c r="BH13" s="458" t="str">
        <f>IF(AND($G13='Povolené hodnoty'!$B$14,$H13=BH$4),SUM($J13,$M13,$P13,$S13),"")</f>
        <v/>
      </c>
      <c r="BI13" s="458" t="str">
        <f>IF(AND($G13='Povolené hodnoty'!$B$14,$H13=BI$4),SUM($J13,$M13,$P13,$S13),"")</f>
        <v/>
      </c>
      <c r="BJ13" s="458" t="str">
        <f>IF(AND($G13='Povolené hodnoty'!$B$14,$H13=BJ$4),SUM($J13,$M13,$P13,$S13),"")</f>
        <v/>
      </c>
      <c r="BK13" s="40" t="str">
        <f>IF(AND($G13='Povolené hodnoty'!$B$14,$H13=BK$4),SUM($J13,$M13,$P13,$S13),"")</f>
        <v/>
      </c>
      <c r="BL13" s="40" t="str">
        <f>IF(AND($G13='Povolené hodnoty'!$B$14,$H13=BL$4),SUM($J13,$M13,$P13,$S13),"")</f>
        <v/>
      </c>
      <c r="BM13" s="41" t="str">
        <f>IF(AND($G13='Povolené hodnoty'!$B$14,$H13=BM$4),SUM($J13,$M13,$P13,$S13),"")</f>
        <v/>
      </c>
      <c r="BO13" s="18" t="b">
        <f t="shared" si="33"/>
        <v>0</v>
      </c>
      <c r="BP13" s="18" t="b">
        <f t="shared" si="1"/>
        <v>0</v>
      </c>
      <c r="BQ13" s="18" t="b">
        <f>AND(E13&lt;&gt;'Povolené hodnoty'!$B$6,F13&lt;&gt;'Povolené hodnoty'!$D$7,F13&lt;&gt;'Povolené hodnoty'!$D$8,OR(SUM(I13,L13,O13,R13)&lt;&gt;SUM(W13:X13,AA13:AG13),SUM(J13,M13,P13,S13)&lt;&gt;SUM(Y13:Z13,AH13:AK13),COUNT(I13:J13,L13:M13,O13:P13,R13:S13)&lt;&gt;COUNT(W13:AK13)))</f>
        <v>0</v>
      </c>
      <c r="BR13" s="18" t="b">
        <f>OR(AND(E13='Povolené hodnoty'!$B$6,$BR$5),AND(E13='Povolené hodnoty'!$B$6,H13&lt;&gt;'Povolené hodnoty'!$E$26,H13&lt;&gt;'Povolené hodnoty'!$E$35),AND(E13&lt;&gt;'Povolené hodnoty'!$B$6,OR(H13='Povolené hodnoty'!$E$26,H13='Povolené hodnoty'!$E$35)))</f>
        <v>0</v>
      </c>
      <c r="BS13" s="18" t="b">
        <f>OR(AND(G13&lt;&gt;'Povolené hodnoty'!$B$13,OR(H13='Povolené hodnoty'!$E$21,H13='Povolené hodnoty'!$E$22,H13='Povolené hodnoty'!$E$23,H13='Povolené hodnoty'!$E$24,H13='Povolené hodnoty'!$E$26,H13='Povolené hodnoty'!$E$36)),COUNT(I13:J13,L13:M13,O13:P13,R13:S13)&lt;&gt;COUNT(AL13:BM13))</f>
        <v>0</v>
      </c>
      <c r="BT13" s="18" t="b">
        <f t="shared" si="2"/>
        <v>0</v>
      </c>
      <c r="BV13" s="39" t="str">
        <f t="shared" si="3"/>
        <v/>
      </c>
      <c r="BW13" s="458" t="str">
        <f t="shared" si="4"/>
        <v/>
      </c>
      <c r="BX13" s="458" t="str">
        <f t="shared" si="5"/>
        <v/>
      </c>
      <c r="BY13" s="458" t="str">
        <f t="shared" si="6"/>
        <v/>
      </c>
      <c r="BZ13" s="458" t="str">
        <f t="shared" si="7"/>
        <v/>
      </c>
      <c r="CA13" s="40" t="str">
        <f t="shared" si="8"/>
        <v/>
      </c>
      <c r="CB13" s="40" t="str">
        <f t="shared" si="9"/>
        <v/>
      </c>
      <c r="CC13" s="39" t="str">
        <f t="shared" si="10"/>
        <v/>
      </c>
      <c r="CD13" s="458" t="str">
        <f t="shared" si="11"/>
        <v/>
      </c>
      <c r="CE13" s="41" t="str">
        <f t="shared" si="12"/>
        <v/>
      </c>
      <c r="CF13" s="39" t="str">
        <f t="shared" si="13"/>
        <v/>
      </c>
      <c r="CG13" s="458" t="str">
        <f t="shared" si="14"/>
        <v/>
      </c>
      <c r="CH13" s="458" t="str">
        <f t="shared" si="15"/>
        <v/>
      </c>
      <c r="CI13" s="458" t="str">
        <f t="shared" si="16"/>
        <v/>
      </c>
      <c r="CJ13" s="458" t="str">
        <f t="shared" si="17"/>
        <v/>
      </c>
      <c r="CK13" s="40" t="str">
        <f t="shared" si="18"/>
        <v/>
      </c>
      <c r="CL13" s="40" t="str">
        <f t="shared" si="19"/>
        <v/>
      </c>
      <c r="CM13" s="40" t="str">
        <f t="shared" si="20"/>
        <v/>
      </c>
      <c r="CN13" s="39" t="str">
        <f t="shared" si="21"/>
        <v/>
      </c>
      <c r="CO13" s="458" t="str">
        <f t="shared" si="22"/>
        <v/>
      </c>
      <c r="CP13" s="458" t="str">
        <f t="shared" si="23"/>
        <v/>
      </c>
      <c r="CQ13" s="458" t="str">
        <f t="shared" si="24"/>
        <v/>
      </c>
      <c r="CR13" s="458" t="str">
        <f t="shared" si="25"/>
        <v/>
      </c>
      <c r="CS13" s="40" t="str">
        <f t="shared" si="26"/>
        <v/>
      </c>
      <c r="CT13" s="40" t="str">
        <f t="shared" si="27"/>
        <v/>
      </c>
      <c r="CU13" s="41" t="str">
        <f t="shared" si="28"/>
        <v/>
      </c>
    </row>
    <row r="14" spans="1:99" x14ac:dyDescent="0.2">
      <c r="A14" s="77">
        <f t="shared" si="29"/>
        <v>9</v>
      </c>
      <c r="B14" s="81">
        <v>45041</v>
      </c>
      <c r="C14" s="82" t="s">
        <v>503</v>
      </c>
      <c r="D14" s="71" t="s">
        <v>3478</v>
      </c>
      <c r="E14" s="72" t="s">
        <v>42</v>
      </c>
      <c r="F14" s="73">
        <v>1</v>
      </c>
      <c r="G14" s="443" t="s">
        <v>3379</v>
      </c>
      <c r="H14" s="443" t="s">
        <v>3311</v>
      </c>
      <c r="I14" s="74">
        <v>500</v>
      </c>
      <c r="J14" s="75"/>
      <c r="K14" s="41">
        <f t="shared" si="34"/>
        <v>14700</v>
      </c>
      <c r="L14" s="104"/>
      <c r="M14" s="105"/>
      <c r="N14" s="106">
        <f t="shared" si="30"/>
        <v>4999.5</v>
      </c>
      <c r="O14" s="104"/>
      <c r="P14" s="105"/>
      <c r="Q14" s="106">
        <f t="shared" si="35"/>
        <v>0</v>
      </c>
      <c r="R14" s="104"/>
      <c r="S14" s="105"/>
      <c r="T14" s="106">
        <f t="shared" si="36"/>
        <v>0</v>
      </c>
      <c r="U14" s="439"/>
      <c r="V14" s="42">
        <f t="shared" si="0"/>
        <v>9</v>
      </c>
      <c r="W14" s="39" t="str">
        <f>IF(AND(E14='Povolené hodnoty'!$B$4,F14=2),I14+L14+O14+R14,"")</f>
        <v/>
      </c>
      <c r="X14" s="41">
        <f>IF(AND(E14='Povolené hodnoty'!$B$4,F14=1),I14+L14+O14+R14,"")</f>
        <v>500</v>
      </c>
      <c r="Y14" s="39" t="str">
        <f>IF(AND(E14='Povolené hodnoty'!$B$4,F14=10),J14+M14+P14+S14,"")</f>
        <v/>
      </c>
      <c r="Z14" s="41" t="str">
        <f>IF(AND(E14='Povolené hodnoty'!$B$4,F14=9),J14+M14+P14+S14,"")</f>
        <v/>
      </c>
      <c r="AA14" s="39" t="str">
        <f>IF(AND(E14&lt;&gt;'Povolené hodnoty'!$B$4,F14=2),I14+L14+O14+R14,"")</f>
        <v/>
      </c>
      <c r="AB14" s="40" t="str">
        <f>IF(AND(E14&lt;&gt;'Povolené hodnoty'!$B$4,F14=3),I14+L14+O14+R14,"")</f>
        <v/>
      </c>
      <c r="AC14" s="40" t="str">
        <f>IF(AND(E14&lt;&gt;'Povolené hodnoty'!$B$4,F14=4),I14+L14+O14+R14,"")</f>
        <v/>
      </c>
      <c r="AD14" s="40" t="str">
        <f>IF(AND(E14&lt;&gt;'Povolené hodnoty'!$B$4,F14="5a"),I14-J14+L14-M14+O14-P14+R14-S14,"")</f>
        <v/>
      </c>
      <c r="AE14" s="40" t="str">
        <f>IF(AND(E14&lt;&gt;'Povolené hodnoty'!$B$4,F14="5b"),I14-J14+L14-M14+O14-P14+R14-S14,"")</f>
        <v/>
      </c>
      <c r="AF14" s="40" t="str">
        <f>IF(AND(E14&lt;&gt;'Povolené hodnoty'!$B$4,F14=6),I14+L14+O14+R14,"")</f>
        <v/>
      </c>
      <c r="AG14" s="41" t="str">
        <f>IF(AND(E14&lt;&gt;'Povolené hodnoty'!$B$4,F14=7),I14+L14+O14+R14,"")</f>
        <v/>
      </c>
      <c r="AH14" s="39" t="str">
        <f>IF(AND(E14&lt;&gt;'Povolené hodnoty'!$B$4,F14=10),J14+M14+P14+S14,"")</f>
        <v/>
      </c>
      <c r="AI14" s="40" t="str">
        <f>IF(AND(E14&lt;&gt;'Povolené hodnoty'!$B$4,F14=11),J14+M14+P14+S14,"")</f>
        <v/>
      </c>
      <c r="AJ14" s="40" t="str">
        <f>IF(AND(E14&lt;&gt;'Povolené hodnoty'!$B$4,F14=12),J14+M14+P14+S14,"")</f>
        <v/>
      </c>
      <c r="AK14" s="41" t="str">
        <f>IF(AND(E14&lt;&gt;'Povolené hodnoty'!$B$4,F14=13),J14+M14+P14+S14,"")</f>
        <v/>
      </c>
      <c r="AL14" s="39" t="str">
        <f>IF(AND($G14='Povolené hodnoty'!$B$13,$H14=AL$4),SUM($I14,$L14,$O14,$R14),"")</f>
        <v/>
      </c>
      <c r="AM14" s="458" t="str">
        <f>IF(AND($G14='Povolené hodnoty'!$B$13,$H14=AM$4),SUM($I14,$L14,$O14,$R14),"")</f>
        <v/>
      </c>
      <c r="AN14" s="458" t="str">
        <f>IF(AND($G14='Povolené hodnoty'!$B$13,$H14=AN$4),SUM($I14,$L14,$O14,$R14),"")</f>
        <v/>
      </c>
      <c r="AO14" s="458" t="str">
        <f>IF(AND($G14='Povolené hodnoty'!$B$13,$H14=AO$4),SUM($I14,$L14,$O14,$R14),"")</f>
        <v/>
      </c>
      <c r="AP14" s="458" t="str">
        <f>IF(AND($G14='Povolené hodnoty'!$B$13,$H14=AP$4),SUM($I14,$L14,$O14,$R14),"")</f>
        <v/>
      </c>
      <c r="AQ14" s="40" t="str">
        <f>IF(AND($G14='Povolené hodnoty'!$B$13,OR($H14=AQ$4,$H14='Povolené hodnoty'!$E$36)),SUM($I14,-$J14,$L14,-$M14,$O14,-$P14,$R14,-$S14),"")</f>
        <v/>
      </c>
      <c r="AR14" s="40" t="str">
        <f>IF(AND($G14='Povolené hodnoty'!$B$13,$H14=AR$4),SUM($I14,$L14,$O14,$R14),"")</f>
        <v/>
      </c>
      <c r="AS14" s="41" t="str">
        <f>IF(AND($G14='Povolené hodnoty'!$B$13,$H14=AS$4),SUM($I14,$L14,$O14,$R14),"")</f>
        <v/>
      </c>
      <c r="AT14" s="39" t="str">
        <f>IF(AND($G14='Povolené hodnoty'!$B$14,$H14=AT$4),SUM($I14,$L14,$O14,$R14),"")</f>
        <v/>
      </c>
      <c r="AU14" s="458">
        <f>IF(AND($G14='Povolené hodnoty'!$B$14,$H14=AU$4),SUM($I14,$L14,$O14,$R14),"")</f>
        <v>500</v>
      </c>
      <c r="AV14" s="41" t="str">
        <f>IF(AND($G14='Povolené hodnoty'!$B$14,$H14=AV$4),SUM($I14,$L14,$O14,$R14),"")</f>
        <v/>
      </c>
      <c r="AW14" s="39" t="str">
        <f>IF(AND($G14='Povolené hodnoty'!$B$13,$H14=AW$4),SUM($J14,$M14,$P14,$S14),"")</f>
        <v/>
      </c>
      <c r="AX14" s="458" t="str">
        <f>IF(AND($G14='Povolené hodnoty'!$B$13,$H14=AX$4),SUM($J14,$M14,$P14,$S14),"")</f>
        <v/>
      </c>
      <c r="AY14" s="458" t="str">
        <f>IF(AND($G14='Povolené hodnoty'!$B$13,$H14=AY$4),SUM($J14,$M14,$P14,$S14),"")</f>
        <v/>
      </c>
      <c r="AZ14" s="458" t="str">
        <f>IF(AND($G14='Povolené hodnoty'!$B$13,$H14=AZ$4),SUM($J14,$M14,$P14,$S14),"")</f>
        <v/>
      </c>
      <c r="BA14" s="458" t="str">
        <f>IF(AND($G14='Povolené hodnoty'!$B$13,$H14=BA$4),SUM($J14,$M14,$P14,$S14),"")</f>
        <v/>
      </c>
      <c r="BB14" s="40" t="str">
        <f>IF(AND($G14='Povolené hodnoty'!$B$13,$H14=BB$4),SUM($J14,$M14,$P14,$S14),"")</f>
        <v/>
      </c>
      <c r="BC14" s="40" t="str">
        <f>IF(AND($G14='Povolené hodnoty'!$B$13,$H14=BC$4),SUM($J14,$M14,$P14,$S14),"")</f>
        <v/>
      </c>
      <c r="BD14" s="40" t="str">
        <f>IF(AND($G14='Povolené hodnoty'!$B$13,$H14=BD$4),SUM($J14,$M14,$P14,$S14),"")</f>
        <v/>
      </c>
      <c r="BE14" s="41" t="str">
        <f>IF(AND($G14='Povolené hodnoty'!$B$13,$H14=BE$4),SUM($J14,$M14,$P14,$S14),"")</f>
        <v/>
      </c>
      <c r="BF14" s="39" t="str">
        <f>IF(AND($G14='Povolené hodnoty'!$B$14,$H14=BF$4),SUM($J14,$M14,$P14,$S14),"")</f>
        <v/>
      </c>
      <c r="BG14" s="458" t="str">
        <f>IF(AND($G14='Povolené hodnoty'!$B$14,$H14=BG$4),SUM($J14,$M14,$P14,$S14),"")</f>
        <v/>
      </c>
      <c r="BH14" s="458" t="str">
        <f>IF(AND($G14='Povolené hodnoty'!$B$14,$H14=BH$4),SUM($J14,$M14,$P14,$S14),"")</f>
        <v/>
      </c>
      <c r="BI14" s="458" t="str">
        <f>IF(AND($G14='Povolené hodnoty'!$B$14,$H14=BI$4),SUM($J14,$M14,$P14,$S14),"")</f>
        <v/>
      </c>
      <c r="BJ14" s="458" t="str">
        <f>IF(AND($G14='Povolené hodnoty'!$B$14,$H14=BJ$4),SUM($J14,$M14,$P14,$S14),"")</f>
        <v/>
      </c>
      <c r="BK14" s="40" t="str">
        <f>IF(AND($G14='Povolené hodnoty'!$B$14,$H14=BK$4),SUM($J14,$M14,$P14,$S14),"")</f>
        <v/>
      </c>
      <c r="BL14" s="40" t="str">
        <f>IF(AND($G14='Povolené hodnoty'!$B$14,$H14=BL$4),SUM($J14,$M14,$P14,$S14),"")</f>
        <v/>
      </c>
      <c r="BM14" s="41" t="str">
        <f>IF(AND($G14='Povolené hodnoty'!$B$14,$H14=BM$4),SUM($J14,$M14,$P14,$S14),"")</f>
        <v/>
      </c>
      <c r="BO14" s="18" t="b">
        <f t="shared" si="33"/>
        <v>0</v>
      </c>
      <c r="BP14" s="18" t="b">
        <f t="shared" si="1"/>
        <v>0</v>
      </c>
      <c r="BQ14" s="18" t="b">
        <f>AND(E14&lt;&gt;'Povolené hodnoty'!$B$6,F14&lt;&gt;'Povolené hodnoty'!$D$7,F14&lt;&gt;'Povolené hodnoty'!$D$8,OR(SUM(I14,L14,O14,R14)&lt;&gt;SUM(W14:X14,AA14:AG14),SUM(J14,M14,P14,S14)&lt;&gt;SUM(Y14:Z14,AH14:AK14),COUNT(I14:J14,L14:M14,O14:P14,R14:S14)&lt;&gt;COUNT(W14:AK14)))</f>
        <v>0</v>
      </c>
      <c r="BR14" s="18" t="b">
        <f>OR(AND(E14='Povolené hodnoty'!$B$6,$BR$5),AND(E14='Povolené hodnoty'!$B$6,H14&lt;&gt;'Povolené hodnoty'!$E$26,H14&lt;&gt;'Povolené hodnoty'!$E$35),AND(E14&lt;&gt;'Povolené hodnoty'!$B$6,OR(H14='Povolené hodnoty'!$E$26,H14='Povolené hodnoty'!$E$35)))</f>
        <v>0</v>
      </c>
      <c r="BS14" s="18" t="b">
        <f>OR(AND(G14&lt;&gt;'Povolené hodnoty'!$B$13,OR(H14='Povolené hodnoty'!$E$21,H14='Povolené hodnoty'!$E$22,H14='Povolené hodnoty'!$E$23,H14='Povolené hodnoty'!$E$24,H14='Povolené hodnoty'!$E$26,H14='Povolené hodnoty'!$E$36)),COUNT(I14:J14,L14:M14,O14:P14,R14:S14)&lt;&gt;COUNT(AL14:BM14))</f>
        <v>0</v>
      </c>
      <c r="BT14" s="18" t="b">
        <f t="shared" si="2"/>
        <v>0</v>
      </c>
      <c r="BV14" s="39" t="str">
        <f t="shared" si="3"/>
        <v/>
      </c>
      <c r="BW14" s="458" t="str">
        <f t="shared" si="4"/>
        <v/>
      </c>
      <c r="BX14" s="458" t="str">
        <f t="shared" si="5"/>
        <v/>
      </c>
      <c r="BY14" s="458" t="str">
        <f t="shared" si="6"/>
        <v/>
      </c>
      <c r="BZ14" s="458" t="str">
        <f t="shared" si="7"/>
        <v/>
      </c>
      <c r="CA14" s="40" t="str">
        <f t="shared" si="8"/>
        <v/>
      </c>
      <c r="CB14" s="40" t="str">
        <f t="shared" si="9"/>
        <v/>
      </c>
      <c r="CC14" s="39" t="str">
        <f t="shared" si="10"/>
        <v/>
      </c>
      <c r="CD14" s="458">
        <f t="shared" si="11"/>
        <v>500</v>
      </c>
      <c r="CE14" s="41" t="str">
        <f t="shared" si="12"/>
        <v/>
      </c>
      <c r="CF14" s="39" t="str">
        <f t="shared" si="13"/>
        <v/>
      </c>
      <c r="CG14" s="458" t="str">
        <f t="shared" si="14"/>
        <v/>
      </c>
      <c r="CH14" s="458" t="str">
        <f t="shared" si="15"/>
        <v/>
      </c>
      <c r="CI14" s="458" t="str">
        <f t="shared" si="16"/>
        <v/>
      </c>
      <c r="CJ14" s="458" t="str">
        <f t="shared" si="17"/>
        <v/>
      </c>
      <c r="CK14" s="40" t="str">
        <f t="shared" si="18"/>
        <v/>
      </c>
      <c r="CL14" s="40" t="str">
        <f t="shared" si="19"/>
        <v/>
      </c>
      <c r="CM14" s="40" t="str">
        <f t="shared" si="20"/>
        <v/>
      </c>
      <c r="CN14" s="39" t="str">
        <f t="shared" si="21"/>
        <v/>
      </c>
      <c r="CO14" s="458" t="str">
        <f t="shared" si="22"/>
        <v/>
      </c>
      <c r="CP14" s="458" t="str">
        <f t="shared" si="23"/>
        <v/>
      </c>
      <c r="CQ14" s="458" t="str">
        <f t="shared" si="24"/>
        <v/>
      </c>
      <c r="CR14" s="458" t="str">
        <f t="shared" si="25"/>
        <v/>
      </c>
      <c r="CS14" s="40" t="str">
        <f t="shared" si="26"/>
        <v/>
      </c>
      <c r="CT14" s="40" t="str">
        <f t="shared" si="27"/>
        <v/>
      </c>
      <c r="CU14" s="41" t="str">
        <f t="shared" si="28"/>
        <v/>
      </c>
    </row>
    <row r="15" spans="1:99" x14ac:dyDescent="0.2">
      <c r="A15" s="77">
        <f t="shared" si="29"/>
        <v>10</v>
      </c>
      <c r="B15" s="81">
        <v>45062</v>
      </c>
      <c r="C15" s="82" t="s">
        <v>104</v>
      </c>
      <c r="D15" s="71" t="s">
        <v>3499</v>
      </c>
      <c r="E15" s="72" t="s">
        <v>42</v>
      </c>
      <c r="F15" s="73">
        <v>2</v>
      </c>
      <c r="G15" s="443" t="s">
        <v>3308</v>
      </c>
      <c r="H15" s="443" t="s">
        <v>3310</v>
      </c>
      <c r="I15" s="74">
        <v>1000</v>
      </c>
      <c r="J15" s="75"/>
      <c r="K15" s="41">
        <f t="shared" si="34"/>
        <v>15700</v>
      </c>
      <c r="L15" s="104"/>
      <c r="M15" s="105"/>
      <c r="N15" s="106">
        <f t="shared" si="30"/>
        <v>4999.5</v>
      </c>
      <c r="O15" s="104"/>
      <c r="P15" s="105"/>
      <c r="Q15" s="106">
        <f t="shared" si="35"/>
        <v>0</v>
      </c>
      <c r="R15" s="104"/>
      <c r="S15" s="105"/>
      <c r="T15" s="106">
        <f t="shared" si="36"/>
        <v>0</v>
      </c>
      <c r="U15" s="439"/>
      <c r="V15" s="42">
        <f t="shared" si="0"/>
        <v>10</v>
      </c>
      <c r="W15" s="39">
        <f>IF(AND(E15='Povolené hodnoty'!$B$4,F15=2),I15+L15+O15+R15,"")</f>
        <v>1000</v>
      </c>
      <c r="X15" s="41" t="str">
        <f>IF(AND(E15='Povolené hodnoty'!$B$4,F15=1),I15+L15+O15+R15,"")</f>
        <v/>
      </c>
      <c r="Y15" s="39" t="str">
        <f>IF(AND(E15='Povolené hodnoty'!$B$4,F15=10),J15+M15+P15+S15,"")</f>
        <v/>
      </c>
      <c r="Z15" s="41" t="str">
        <f>IF(AND(E15='Povolené hodnoty'!$B$4,F15=9),J15+M15+P15+S15,"")</f>
        <v/>
      </c>
      <c r="AA15" s="39" t="str">
        <f>IF(AND(E15&lt;&gt;'Povolené hodnoty'!$B$4,F15=2),I15+L15+O15+R15,"")</f>
        <v/>
      </c>
      <c r="AB15" s="40" t="str">
        <f>IF(AND(E15&lt;&gt;'Povolené hodnoty'!$B$4,F15=3),I15+L15+O15+R15,"")</f>
        <v/>
      </c>
      <c r="AC15" s="40" t="str">
        <f>IF(AND(E15&lt;&gt;'Povolené hodnoty'!$B$4,F15=4),I15+L15+O15+R15,"")</f>
        <v/>
      </c>
      <c r="AD15" s="40" t="str">
        <f>IF(AND(E15&lt;&gt;'Povolené hodnoty'!$B$4,F15="5a"),I15-J15+L15-M15+O15-P15+R15-S15,"")</f>
        <v/>
      </c>
      <c r="AE15" s="40" t="str">
        <f>IF(AND(E15&lt;&gt;'Povolené hodnoty'!$B$4,F15="5b"),I15-J15+L15-M15+O15-P15+R15-S15,"")</f>
        <v/>
      </c>
      <c r="AF15" s="40" t="str">
        <f>IF(AND(E15&lt;&gt;'Povolené hodnoty'!$B$4,F15=6),I15+L15+O15+R15,"")</f>
        <v/>
      </c>
      <c r="AG15" s="41" t="str">
        <f>IF(AND(E15&lt;&gt;'Povolené hodnoty'!$B$4,F15=7),I15+L15+O15+R15,"")</f>
        <v/>
      </c>
      <c r="AH15" s="39" t="str">
        <f>IF(AND(E15&lt;&gt;'Povolené hodnoty'!$B$4,F15=10),J15+M15+P15+S15,"")</f>
        <v/>
      </c>
      <c r="AI15" s="40" t="str">
        <f>IF(AND(E15&lt;&gt;'Povolené hodnoty'!$B$4,F15=11),J15+M15+P15+S15,"")</f>
        <v/>
      </c>
      <c r="AJ15" s="40" t="str">
        <f>IF(AND(E15&lt;&gt;'Povolené hodnoty'!$B$4,F15=12),J15+M15+P15+S15,"")</f>
        <v/>
      </c>
      <c r="AK15" s="41" t="str">
        <f>IF(AND(E15&lt;&gt;'Povolené hodnoty'!$B$4,F15=13),J15+M15+P15+S15,"")</f>
        <v/>
      </c>
      <c r="AL15" s="39">
        <f>IF(AND($G15='Povolené hodnoty'!$B$13,$H15=AL$4),SUM($I15,$L15,$O15,$R15),"")</f>
        <v>1000</v>
      </c>
      <c r="AM15" s="458" t="str">
        <f>IF(AND($G15='Povolené hodnoty'!$B$13,$H15=AM$4),SUM($I15,$L15,$O15,$R15),"")</f>
        <v/>
      </c>
      <c r="AN15" s="458" t="str">
        <f>IF(AND($G15='Povolené hodnoty'!$B$13,$H15=AN$4),SUM($I15,$L15,$O15,$R15),"")</f>
        <v/>
      </c>
      <c r="AO15" s="458" t="str">
        <f>IF(AND($G15='Povolené hodnoty'!$B$13,$H15=AO$4),SUM($I15,$L15,$O15,$R15),"")</f>
        <v/>
      </c>
      <c r="AP15" s="458" t="str">
        <f>IF(AND($G15='Povolené hodnoty'!$B$13,$H15=AP$4),SUM($I15,$L15,$O15,$R15),"")</f>
        <v/>
      </c>
      <c r="AQ15" s="40" t="str">
        <f>IF(AND($G15='Povolené hodnoty'!$B$13,OR($H15=AQ$4,$H15='Povolené hodnoty'!$E$36)),SUM($I15,-$J15,$L15,-$M15,$O15,-$P15,$R15,-$S15),"")</f>
        <v/>
      </c>
      <c r="AR15" s="40" t="str">
        <f>IF(AND($G15='Povolené hodnoty'!$B$13,$H15=AR$4),SUM($I15,$L15,$O15,$R15),"")</f>
        <v/>
      </c>
      <c r="AS15" s="41" t="str">
        <f>IF(AND($G15='Povolené hodnoty'!$B$13,$H15=AS$4),SUM($I15,$L15,$O15,$R15),"")</f>
        <v/>
      </c>
      <c r="AT15" s="39" t="str">
        <f>IF(AND($G15='Povolené hodnoty'!$B$14,$H15=AT$4),SUM($I15,$L15,$O15,$R15),"")</f>
        <v/>
      </c>
      <c r="AU15" s="458" t="str">
        <f>IF(AND($G15='Povolené hodnoty'!$B$14,$H15=AU$4),SUM($I15,$L15,$O15,$R15),"")</f>
        <v/>
      </c>
      <c r="AV15" s="41" t="str">
        <f>IF(AND($G15='Povolené hodnoty'!$B$14,$H15=AV$4),SUM($I15,$L15,$O15,$R15),"")</f>
        <v/>
      </c>
      <c r="AW15" s="39" t="str">
        <f>IF(AND($G15='Povolené hodnoty'!$B$13,$H15=AW$4),SUM($J15,$M15,$P15,$S15),"")</f>
        <v/>
      </c>
      <c r="AX15" s="458" t="str">
        <f>IF(AND($G15='Povolené hodnoty'!$B$13,$H15=AX$4),SUM($J15,$M15,$P15,$S15),"")</f>
        <v/>
      </c>
      <c r="AY15" s="458" t="str">
        <f>IF(AND($G15='Povolené hodnoty'!$B$13,$H15=AY$4),SUM($J15,$M15,$P15,$S15),"")</f>
        <v/>
      </c>
      <c r="AZ15" s="458" t="str">
        <f>IF(AND($G15='Povolené hodnoty'!$B$13,$H15=AZ$4),SUM($J15,$M15,$P15,$S15),"")</f>
        <v/>
      </c>
      <c r="BA15" s="458" t="str">
        <f>IF(AND($G15='Povolené hodnoty'!$B$13,$H15=BA$4),SUM($J15,$M15,$P15,$S15),"")</f>
        <v/>
      </c>
      <c r="BB15" s="40" t="str">
        <f>IF(AND($G15='Povolené hodnoty'!$B$13,$H15=BB$4),SUM($J15,$M15,$P15,$S15),"")</f>
        <v/>
      </c>
      <c r="BC15" s="40" t="str">
        <f>IF(AND($G15='Povolené hodnoty'!$B$13,$H15=BC$4),SUM($J15,$M15,$P15,$S15),"")</f>
        <v/>
      </c>
      <c r="BD15" s="40" t="str">
        <f>IF(AND($G15='Povolené hodnoty'!$B$13,$H15=BD$4),SUM($J15,$M15,$P15,$S15),"")</f>
        <v/>
      </c>
      <c r="BE15" s="41" t="str">
        <f>IF(AND($G15='Povolené hodnoty'!$B$13,$H15=BE$4),SUM($J15,$M15,$P15,$S15),"")</f>
        <v/>
      </c>
      <c r="BF15" s="39" t="str">
        <f>IF(AND($G15='Povolené hodnoty'!$B$14,$H15=BF$4),SUM($J15,$M15,$P15,$S15),"")</f>
        <v/>
      </c>
      <c r="BG15" s="458" t="str">
        <f>IF(AND($G15='Povolené hodnoty'!$B$14,$H15=BG$4),SUM($J15,$M15,$P15,$S15),"")</f>
        <v/>
      </c>
      <c r="BH15" s="458" t="str">
        <f>IF(AND($G15='Povolené hodnoty'!$B$14,$H15=BH$4),SUM($J15,$M15,$P15,$S15),"")</f>
        <v/>
      </c>
      <c r="BI15" s="458" t="str">
        <f>IF(AND($G15='Povolené hodnoty'!$B$14,$H15=BI$4),SUM($J15,$M15,$P15,$S15),"")</f>
        <v/>
      </c>
      <c r="BJ15" s="458" t="str">
        <f>IF(AND($G15='Povolené hodnoty'!$B$14,$H15=BJ$4),SUM($J15,$M15,$P15,$S15),"")</f>
        <v/>
      </c>
      <c r="BK15" s="40" t="str">
        <f>IF(AND($G15='Povolené hodnoty'!$B$14,$H15=BK$4),SUM($J15,$M15,$P15,$S15),"")</f>
        <v/>
      </c>
      <c r="BL15" s="40" t="str">
        <f>IF(AND($G15='Povolené hodnoty'!$B$14,$H15=BL$4),SUM($J15,$M15,$P15,$S15),"")</f>
        <v/>
      </c>
      <c r="BM15" s="41" t="str">
        <f>IF(AND($G15='Povolené hodnoty'!$B$14,$H15=BM$4),SUM($J15,$M15,$P15,$S15),"")</f>
        <v/>
      </c>
      <c r="BO15" s="18" t="b">
        <f t="shared" si="33"/>
        <v>0</v>
      </c>
      <c r="BP15" s="18" t="b">
        <f t="shared" si="1"/>
        <v>0</v>
      </c>
      <c r="BQ15" s="18" t="b">
        <f>AND(E15&lt;&gt;'Povolené hodnoty'!$B$6,F15&lt;&gt;'Povolené hodnoty'!$D$7,F15&lt;&gt;'Povolené hodnoty'!$D$8,OR(SUM(I15,L15,O15,R15)&lt;&gt;SUM(W15:X15,AA15:AG15),SUM(J15,M15,P15,S15)&lt;&gt;SUM(Y15:Z15,AH15:AK15),COUNT(I15:J15,L15:M15,O15:P15,R15:S15)&lt;&gt;COUNT(W15:AK15)))</f>
        <v>0</v>
      </c>
      <c r="BR15" s="18" t="b">
        <f>OR(AND(E15='Povolené hodnoty'!$B$6,$BR$5),AND(E15='Povolené hodnoty'!$B$6,H15&lt;&gt;'Povolené hodnoty'!$E$26,H15&lt;&gt;'Povolené hodnoty'!$E$35),AND(E15&lt;&gt;'Povolené hodnoty'!$B$6,OR(H15='Povolené hodnoty'!$E$26,H15='Povolené hodnoty'!$E$35)))</f>
        <v>0</v>
      </c>
      <c r="BS15" s="18" t="b">
        <f>OR(AND(G15&lt;&gt;'Povolené hodnoty'!$B$13,OR(H15='Povolené hodnoty'!$E$21,H15='Povolené hodnoty'!$E$22,H15='Povolené hodnoty'!$E$23,H15='Povolené hodnoty'!$E$24,H15='Povolené hodnoty'!$E$26,H15='Povolené hodnoty'!$E$36)),COUNT(I15:J15,L15:M15,O15:P15,R15:S15)&lt;&gt;COUNT(AL15:BM15))</f>
        <v>0</v>
      </c>
      <c r="BT15" s="18" t="b">
        <f t="shared" si="2"/>
        <v>0</v>
      </c>
      <c r="BV15" s="39">
        <f t="shared" si="3"/>
        <v>1000</v>
      </c>
      <c r="BW15" s="458" t="str">
        <f t="shared" si="4"/>
        <v/>
      </c>
      <c r="BX15" s="458" t="str">
        <f t="shared" si="5"/>
        <v/>
      </c>
      <c r="BY15" s="458" t="str">
        <f t="shared" si="6"/>
        <v/>
      </c>
      <c r="BZ15" s="458" t="str">
        <f t="shared" si="7"/>
        <v/>
      </c>
      <c r="CA15" s="40" t="str">
        <f t="shared" si="8"/>
        <v/>
      </c>
      <c r="CB15" s="40" t="str">
        <f t="shared" si="9"/>
        <v/>
      </c>
      <c r="CC15" s="39" t="str">
        <f t="shared" si="10"/>
        <v/>
      </c>
      <c r="CD15" s="458" t="str">
        <f t="shared" si="11"/>
        <v/>
      </c>
      <c r="CE15" s="41" t="str">
        <f t="shared" si="12"/>
        <v/>
      </c>
      <c r="CF15" s="39" t="str">
        <f t="shared" si="13"/>
        <v/>
      </c>
      <c r="CG15" s="458" t="str">
        <f t="shared" si="14"/>
        <v/>
      </c>
      <c r="CH15" s="458" t="str">
        <f t="shared" si="15"/>
        <v/>
      </c>
      <c r="CI15" s="458" t="str">
        <f t="shared" si="16"/>
        <v/>
      </c>
      <c r="CJ15" s="458" t="str">
        <f t="shared" si="17"/>
        <v/>
      </c>
      <c r="CK15" s="40" t="str">
        <f t="shared" si="18"/>
        <v/>
      </c>
      <c r="CL15" s="40" t="str">
        <f t="shared" si="19"/>
        <v/>
      </c>
      <c r="CM15" s="40" t="str">
        <f t="shared" si="20"/>
        <v/>
      </c>
      <c r="CN15" s="39" t="str">
        <f t="shared" si="21"/>
        <v/>
      </c>
      <c r="CO15" s="458" t="str">
        <f t="shared" si="22"/>
        <v/>
      </c>
      <c r="CP15" s="458" t="str">
        <f t="shared" si="23"/>
        <v/>
      </c>
      <c r="CQ15" s="458" t="str">
        <f t="shared" si="24"/>
        <v/>
      </c>
      <c r="CR15" s="458" t="str">
        <f t="shared" si="25"/>
        <v/>
      </c>
      <c r="CS15" s="40" t="str">
        <f t="shared" si="26"/>
        <v/>
      </c>
      <c r="CT15" s="40" t="str">
        <f t="shared" si="27"/>
        <v/>
      </c>
      <c r="CU15" s="41" t="str">
        <f t="shared" si="28"/>
        <v/>
      </c>
    </row>
    <row r="16" spans="1:99" x14ac:dyDescent="0.2">
      <c r="A16" s="77">
        <f t="shared" si="29"/>
        <v>11</v>
      </c>
      <c r="B16" s="81">
        <v>45062</v>
      </c>
      <c r="C16" s="82" t="s">
        <v>507</v>
      </c>
      <c r="D16" s="71" t="s">
        <v>3479</v>
      </c>
      <c r="E16" s="72" t="s">
        <v>42</v>
      </c>
      <c r="F16" s="73">
        <v>10</v>
      </c>
      <c r="G16" s="443" t="s">
        <v>3308</v>
      </c>
      <c r="H16" s="443" t="s">
        <v>3320</v>
      </c>
      <c r="I16" s="74"/>
      <c r="J16" s="75">
        <v>800</v>
      </c>
      <c r="K16" s="41">
        <f t="shared" si="34"/>
        <v>14900</v>
      </c>
      <c r="L16" s="104"/>
      <c r="M16" s="105"/>
      <c r="N16" s="106">
        <f t="shared" si="30"/>
        <v>4999.5</v>
      </c>
      <c r="O16" s="104"/>
      <c r="P16" s="105"/>
      <c r="Q16" s="106">
        <f t="shared" si="35"/>
        <v>0</v>
      </c>
      <c r="R16" s="104"/>
      <c r="S16" s="105"/>
      <c r="T16" s="106">
        <f t="shared" si="36"/>
        <v>0</v>
      </c>
      <c r="U16" s="439"/>
      <c r="V16" s="42">
        <f t="shared" si="0"/>
        <v>11</v>
      </c>
      <c r="W16" s="39" t="str">
        <f>IF(AND(E16='Povolené hodnoty'!$B$4,F16=2),I16+L16+O16+R16,"")</f>
        <v/>
      </c>
      <c r="X16" s="41" t="str">
        <f>IF(AND(E16='Povolené hodnoty'!$B$4,F16=1),I16+L16+O16+R16,"")</f>
        <v/>
      </c>
      <c r="Y16" s="39">
        <f>IF(AND(E16='Povolené hodnoty'!$B$4,F16=10),J16+M16+P16+S16,"")</f>
        <v>800</v>
      </c>
      <c r="Z16" s="41" t="str">
        <f>IF(AND(E16='Povolené hodnoty'!$B$4,F16=9),J16+M16+P16+S16,"")</f>
        <v/>
      </c>
      <c r="AA16" s="39" t="str">
        <f>IF(AND(E16&lt;&gt;'Povolené hodnoty'!$B$4,F16=2),I16+L16+O16+R16,"")</f>
        <v/>
      </c>
      <c r="AB16" s="40" t="str">
        <f>IF(AND(E16&lt;&gt;'Povolené hodnoty'!$B$4,F16=3),I16+L16+O16+R16,"")</f>
        <v/>
      </c>
      <c r="AC16" s="40" t="str">
        <f>IF(AND(E16&lt;&gt;'Povolené hodnoty'!$B$4,F16=4),I16+L16+O16+R16,"")</f>
        <v/>
      </c>
      <c r="AD16" s="40" t="str">
        <f>IF(AND(E16&lt;&gt;'Povolené hodnoty'!$B$4,F16="5a"),I16-J16+L16-M16+O16-P16+R16-S16,"")</f>
        <v/>
      </c>
      <c r="AE16" s="40" t="str">
        <f>IF(AND(E16&lt;&gt;'Povolené hodnoty'!$B$4,F16="5b"),I16-J16+L16-M16+O16-P16+R16-S16,"")</f>
        <v/>
      </c>
      <c r="AF16" s="40" t="str">
        <f>IF(AND(E16&lt;&gt;'Povolené hodnoty'!$B$4,F16=6),I16+L16+O16+R16,"")</f>
        <v/>
      </c>
      <c r="AG16" s="41" t="str">
        <f>IF(AND(E16&lt;&gt;'Povolené hodnoty'!$B$4,F16=7),I16+L16+O16+R16,"")</f>
        <v/>
      </c>
      <c r="AH16" s="39" t="str">
        <f>IF(AND(E16&lt;&gt;'Povolené hodnoty'!$B$4,F16=10),J16+M16+P16+S16,"")</f>
        <v/>
      </c>
      <c r="AI16" s="40" t="str">
        <f>IF(AND(E16&lt;&gt;'Povolené hodnoty'!$B$4,F16=11),J16+M16+P16+S16,"")</f>
        <v/>
      </c>
      <c r="AJ16" s="40" t="str">
        <f>IF(AND(E16&lt;&gt;'Povolené hodnoty'!$B$4,F16=12),J16+M16+P16+S16,"")</f>
        <v/>
      </c>
      <c r="AK16" s="41" t="str">
        <f>IF(AND(E16&lt;&gt;'Povolené hodnoty'!$B$4,F16=13),J16+M16+P16+S16,"")</f>
        <v/>
      </c>
      <c r="AL16" s="39" t="str">
        <f>IF(AND($G16='Povolené hodnoty'!$B$13,$H16=AL$4),SUM($I16,$L16,$O16,$R16),"")</f>
        <v/>
      </c>
      <c r="AM16" s="458" t="str">
        <f>IF(AND($G16='Povolené hodnoty'!$B$13,$H16=AM$4),SUM($I16,$L16,$O16,$R16),"")</f>
        <v/>
      </c>
      <c r="AN16" s="458" t="str">
        <f>IF(AND($G16='Povolené hodnoty'!$B$13,$H16=AN$4),SUM($I16,$L16,$O16,$R16),"")</f>
        <v/>
      </c>
      <c r="AO16" s="458" t="str">
        <f>IF(AND($G16='Povolené hodnoty'!$B$13,$H16=AO$4),SUM($I16,$L16,$O16,$R16),"")</f>
        <v/>
      </c>
      <c r="AP16" s="458" t="str">
        <f>IF(AND($G16='Povolené hodnoty'!$B$13,$H16=AP$4),SUM($I16,$L16,$O16,$R16),"")</f>
        <v/>
      </c>
      <c r="AQ16" s="40" t="str">
        <f>IF(AND($G16='Povolené hodnoty'!$B$13,OR($H16=AQ$4,$H16='Povolené hodnoty'!$E$36)),SUM($I16,-$J16,$L16,-$M16,$O16,-$P16,$R16,-$S16),"")</f>
        <v/>
      </c>
      <c r="AR16" s="40" t="str">
        <f>IF(AND($G16='Povolené hodnoty'!$B$13,$H16=AR$4),SUM($I16,$L16,$O16,$R16),"")</f>
        <v/>
      </c>
      <c r="AS16" s="41" t="str">
        <f>IF(AND($G16='Povolené hodnoty'!$B$13,$H16=AS$4),SUM($I16,$L16,$O16,$R16),"")</f>
        <v/>
      </c>
      <c r="AT16" s="39" t="str">
        <f>IF(AND($G16='Povolené hodnoty'!$B$14,$H16=AT$4),SUM($I16,$L16,$O16,$R16),"")</f>
        <v/>
      </c>
      <c r="AU16" s="458" t="str">
        <f>IF(AND($G16='Povolené hodnoty'!$B$14,$H16=AU$4),SUM($I16,$L16,$O16,$R16),"")</f>
        <v/>
      </c>
      <c r="AV16" s="41" t="str">
        <f>IF(AND($G16='Povolené hodnoty'!$B$14,$H16=AV$4),SUM($I16,$L16,$O16,$R16),"")</f>
        <v/>
      </c>
      <c r="AW16" s="39" t="str">
        <f>IF(AND($G16='Povolené hodnoty'!$B$13,$H16=AW$4),SUM($J16,$M16,$P16,$S16),"")</f>
        <v/>
      </c>
      <c r="AX16" s="458" t="str">
        <f>IF(AND($G16='Povolené hodnoty'!$B$13,$H16=AX$4),SUM($J16,$M16,$P16,$S16),"")</f>
        <v/>
      </c>
      <c r="AY16" s="458">
        <f>IF(AND($G16='Povolené hodnoty'!$B$13,$H16=AY$4),SUM($J16,$M16,$P16,$S16),"")</f>
        <v>800</v>
      </c>
      <c r="AZ16" s="458" t="str">
        <f>IF(AND($G16='Povolené hodnoty'!$B$13,$H16=AZ$4),SUM($J16,$M16,$P16,$S16),"")</f>
        <v/>
      </c>
      <c r="BA16" s="458" t="str">
        <f>IF(AND($G16='Povolené hodnoty'!$B$13,$H16=BA$4),SUM($J16,$M16,$P16,$S16),"")</f>
        <v/>
      </c>
      <c r="BB16" s="40" t="str">
        <f>IF(AND($G16='Povolené hodnoty'!$B$13,$H16=BB$4),SUM($J16,$M16,$P16,$S16),"")</f>
        <v/>
      </c>
      <c r="BC16" s="40" t="str">
        <f>IF(AND($G16='Povolené hodnoty'!$B$13,$H16=BC$4),SUM($J16,$M16,$P16,$S16),"")</f>
        <v/>
      </c>
      <c r="BD16" s="40" t="str">
        <f>IF(AND($G16='Povolené hodnoty'!$B$13,$H16=BD$4),SUM($J16,$M16,$P16,$S16),"")</f>
        <v/>
      </c>
      <c r="BE16" s="41" t="str">
        <f>IF(AND($G16='Povolené hodnoty'!$B$13,$H16=BE$4),SUM($J16,$M16,$P16,$S16),"")</f>
        <v/>
      </c>
      <c r="BF16" s="39" t="str">
        <f>IF(AND($G16='Povolené hodnoty'!$B$14,$H16=BF$4),SUM($J16,$M16,$P16,$S16),"")</f>
        <v/>
      </c>
      <c r="BG16" s="458" t="str">
        <f>IF(AND($G16='Povolené hodnoty'!$B$14,$H16=BG$4),SUM($J16,$M16,$P16,$S16),"")</f>
        <v/>
      </c>
      <c r="BH16" s="458" t="str">
        <f>IF(AND($G16='Povolené hodnoty'!$B$14,$H16=BH$4),SUM($J16,$M16,$P16,$S16),"")</f>
        <v/>
      </c>
      <c r="BI16" s="458" t="str">
        <f>IF(AND($G16='Povolené hodnoty'!$B$14,$H16=BI$4),SUM($J16,$M16,$P16,$S16),"")</f>
        <v/>
      </c>
      <c r="BJ16" s="458" t="str">
        <f>IF(AND($G16='Povolené hodnoty'!$B$14,$H16=BJ$4),SUM($J16,$M16,$P16,$S16),"")</f>
        <v/>
      </c>
      <c r="BK16" s="40" t="str">
        <f>IF(AND($G16='Povolené hodnoty'!$B$14,$H16=BK$4),SUM($J16,$M16,$P16,$S16),"")</f>
        <v/>
      </c>
      <c r="BL16" s="40" t="str">
        <f>IF(AND($G16='Povolené hodnoty'!$B$14,$H16=BL$4),SUM($J16,$M16,$P16,$S16),"")</f>
        <v/>
      </c>
      <c r="BM16" s="41" t="str">
        <f>IF(AND($G16='Povolené hodnoty'!$B$14,$H16=BM$4),SUM($J16,$M16,$P16,$S16),"")</f>
        <v/>
      </c>
      <c r="BO16" s="18" t="b">
        <f t="shared" si="33"/>
        <v>0</v>
      </c>
      <c r="BP16" s="18" t="b">
        <f t="shared" si="1"/>
        <v>0</v>
      </c>
      <c r="BQ16" s="18" t="b">
        <f>AND(E16&lt;&gt;'Povolené hodnoty'!$B$6,F16&lt;&gt;'Povolené hodnoty'!$D$7,F16&lt;&gt;'Povolené hodnoty'!$D$8,OR(SUM(I16,L16,O16,R16)&lt;&gt;SUM(W16:X16,AA16:AG16),SUM(J16,M16,P16,S16)&lt;&gt;SUM(Y16:Z16,AH16:AK16),COUNT(I16:J16,L16:M16,O16:P16,R16:S16)&lt;&gt;COUNT(W16:AK16)))</f>
        <v>0</v>
      </c>
      <c r="BR16" s="18" t="b">
        <f>OR(AND(E16='Povolené hodnoty'!$B$6,$BR$5),AND(E16='Povolené hodnoty'!$B$6,H16&lt;&gt;'Povolené hodnoty'!$E$26,H16&lt;&gt;'Povolené hodnoty'!$E$35),AND(E16&lt;&gt;'Povolené hodnoty'!$B$6,OR(H16='Povolené hodnoty'!$E$26,H16='Povolené hodnoty'!$E$35)))</f>
        <v>0</v>
      </c>
      <c r="BS16" s="18" t="b">
        <f>OR(AND(G16&lt;&gt;'Povolené hodnoty'!$B$13,OR(H16='Povolené hodnoty'!$E$21,H16='Povolené hodnoty'!$E$22,H16='Povolené hodnoty'!$E$23,H16='Povolené hodnoty'!$E$24,H16='Povolené hodnoty'!$E$26,H16='Povolené hodnoty'!$E$36)),COUNT(I16:J16,L16:M16,O16:P16,R16:S16)&lt;&gt;COUNT(AL16:BM16))</f>
        <v>0</v>
      </c>
      <c r="BT16" s="18" t="b">
        <f t="shared" si="2"/>
        <v>0</v>
      </c>
      <c r="BV16" s="39" t="str">
        <f t="shared" si="3"/>
        <v/>
      </c>
      <c r="BW16" s="458" t="str">
        <f t="shared" si="4"/>
        <v/>
      </c>
      <c r="BX16" s="458" t="str">
        <f t="shared" si="5"/>
        <v/>
      </c>
      <c r="BY16" s="458" t="str">
        <f t="shared" si="6"/>
        <v/>
      </c>
      <c r="BZ16" s="458" t="str">
        <f t="shared" si="7"/>
        <v/>
      </c>
      <c r="CA16" s="40" t="str">
        <f t="shared" si="8"/>
        <v/>
      </c>
      <c r="CB16" s="40" t="str">
        <f t="shared" si="9"/>
        <v/>
      </c>
      <c r="CC16" s="39" t="str">
        <f t="shared" si="10"/>
        <v/>
      </c>
      <c r="CD16" s="458" t="str">
        <f t="shared" si="11"/>
        <v/>
      </c>
      <c r="CE16" s="41" t="str">
        <f t="shared" si="12"/>
        <v/>
      </c>
      <c r="CF16" s="39" t="str">
        <f t="shared" si="13"/>
        <v/>
      </c>
      <c r="CG16" s="458" t="str">
        <f t="shared" si="14"/>
        <v/>
      </c>
      <c r="CH16" s="458">
        <f t="shared" si="15"/>
        <v>800</v>
      </c>
      <c r="CI16" s="458" t="str">
        <f t="shared" si="16"/>
        <v/>
      </c>
      <c r="CJ16" s="458" t="str">
        <f t="shared" si="17"/>
        <v/>
      </c>
      <c r="CK16" s="40" t="str">
        <f t="shared" si="18"/>
        <v/>
      </c>
      <c r="CL16" s="40" t="str">
        <f t="shared" si="19"/>
        <v/>
      </c>
      <c r="CM16" s="40" t="str">
        <f t="shared" si="20"/>
        <v/>
      </c>
      <c r="CN16" s="39" t="str">
        <f t="shared" si="21"/>
        <v/>
      </c>
      <c r="CO16" s="458" t="str">
        <f t="shared" si="22"/>
        <v/>
      </c>
      <c r="CP16" s="458" t="str">
        <f t="shared" si="23"/>
        <v/>
      </c>
      <c r="CQ16" s="458" t="str">
        <f t="shared" si="24"/>
        <v/>
      </c>
      <c r="CR16" s="458" t="str">
        <f t="shared" si="25"/>
        <v/>
      </c>
      <c r="CS16" s="40" t="str">
        <f t="shared" si="26"/>
        <v/>
      </c>
      <c r="CT16" s="40" t="str">
        <f t="shared" si="27"/>
        <v/>
      </c>
      <c r="CU16" s="41" t="str">
        <f t="shared" si="28"/>
        <v/>
      </c>
    </row>
    <row r="17" spans="1:99" x14ac:dyDescent="0.2">
      <c r="A17" s="77">
        <f t="shared" si="29"/>
        <v>12</v>
      </c>
      <c r="B17" s="81">
        <v>45062</v>
      </c>
      <c r="C17" s="82" t="s">
        <v>508</v>
      </c>
      <c r="D17" s="71" t="s">
        <v>3256</v>
      </c>
      <c r="E17" s="72" t="s">
        <v>42</v>
      </c>
      <c r="F17" s="73">
        <v>1</v>
      </c>
      <c r="G17" s="443" t="s">
        <v>3379</v>
      </c>
      <c r="H17" s="443" t="s">
        <v>3311</v>
      </c>
      <c r="I17" s="74">
        <v>2000</v>
      </c>
      <c r="J17" s="75"/>
      <c r="K17" s="41">
        <f t="shared" si="34"/>
        <v>16900</v>
      </c>
      <c r="L17" s="104"/>
      <c r="M17" s="105"/>
      <c r="N17" s="106">
        <f t="shared" si="30"/>
        <v>4999.5</v>
      </c>
      <c r="O17" s="104"/>
      <c r="P17" s="105"/>
      <c r="Q17" s="106">
        <f t="shared" si="35"/>
        <v>0</v>
      </c>
      <c r="R17" s="104"/>
      <c r="S17" s="105"/>
      <c r="T17" s="106">
        <f t="shared" si="36"/>
        <v>0</v>
      </c>
      <c r="U17" s="439"/>
      <c r="V17" s="42">
        <f t="shared" si="0"/>
        <v>12</v>
      </c>
      <c r="W17" s="39" t="str">
        <f>IF(AND(E17='Povolené hodnoty'!$B$4,F17=2),I17+L17+O17+R17,"")</f>
        <v/>
      </c>
      <c r="X17" s="41">
        <f>IF(AND(E17='Povolené hodnoty'!$B$4,F17=1),I17+L17+O17+R17,"")</f>
        <v>2000</v>
      </c>
      <c r="Y17" s="39" t="str">
        <f>IF(AND(E17='Povolené hodnoty'!$B$4,F17=10),J17+M17+P17+S17,"")</f>
        <v/>
      </c>
      <c r="Z17" s="41" t="str">
        <f>IF(AND(E17='Povolené hodnoty'!$B$4,F17=9),J17+M17+P17+S17,"")</f>
        <v/>
      </c>
      <c r="AA17" s="39" t="str">
        <f>IF(AND(E17&lt;&gt;'Povolené hodnoty'!$B$4,F17=2),I17+L17+O17+R17,"")</f>
        <v/>
      </c>
      <c r="AB17" s="40" t="str">
        <f>IF(AND(E17&lt;&gt;'Povolené hodnoty'!$B$4,F17=3),I17+L17+O17+R17,"")</f>
        <v/>
      </c>
      <c r="AC17" s="40" t="str">
        <f>IF(AND(E17&lt;&gt;'Povolené hodnoty'!$B$4,F17=4),I17+L17+O17+R17,"")</f>
        <v/>
      </c>
      <c r="AD17" s="40" t="str">
        <f>IF(AND(E17&lt;&gt;'Povolené hodnoty'!$B$4,F17="5a"),I17-J17+L17-M17+O17-P17+R17-S17,"")</f>
        <v/>
      </c>
      <c r="AE17" s="40" t="str">
        <f>IF(AND(E17&lt;&gt;'Povolené hodnoty'!$B$4,F17="5b"),I17-J17+L17-M17+O17-P17+R17-S17,"")</f>
        <v/>
      </c>
      <c r="AF17" s="40" t="str">
        <f>IF(AND(E17&lt;&gt;'Povolené hodnoty'!$B$4,F17=6),I17+L17+O17+R17,"")</f>
        <v/>
      </c>
      <c r="AG17" s="41" t="str">
        <f>IF(AND(E17&lt;&gt;'Povolené hodnoty'!$B$4,F17=7),I17+L17+O17+R17,"")</f>
        <v/>
      </c>
      <c r="AH17" s="39" t="str">
        <f>IF(AND(E17&lt;&gt;'Povolené hodnoty'!$B$4,F17=10),J17+M17+P17+S17,"")</f>
        <v/>
      </c>
      <c r="AI17" s="40" t="str">
        <f>IF(AND(E17&lt;&gt;'Povolené hodnoty'!$B$4,F17=11),J17+M17+P17+S17,"")</f>
        <v/>
      </c>
      <c r="AJ17" s="40" t="str">
        <f>IF(AND(E17&lt;&gt;'Povolené hodnoty'!$B$4,F17=12),J17+M17+P17+S17,"")</f>
        <v/>
      </c>
      <c r="AK17" s="41" t="str">
        <f>IF(AND(E17&lt;&gt;'Povolené hodnoty'!$B$4,F17=13),J17+M17+P17+S17,"")</f>
        <v/>
      </c>
      <c r="AL17" s="39" t="str">
        <f>IF(AND($G17='Povolené hodnoty'!$B$13,$H17=AL$4),SUM($I17,$L17,$O17,$R17),"")</f>
        <v/>
      </c>
      <c r="AM17" s="458" t="str">
        <f>IF(AND($G17='Povolené hodnoty'!$B$13,$H17=AM$4),SUM($I17,$L17,$O17,$R17),"")</f>
        <v/>
      </c>
      <c r="AN17" s="458" t="str">
        <f>IF(AND($G17='Povolené hodnoty'!$B$13,$H17=AN$4),SUM($I17,$L17,$O17,$R17),"")</f>
        <v/>
      </c>
      <c r="AO17" s="458" t="str">
        <f>IF(AND($G17='Povolené hodnoty'!$B$13,$H17=AO$4),SUM($I17,$L17,$O17,$R17),"")</f>
        <v/>
      </c>
      <c r="AP17" s="458" t="str">
        <f>IF(AND($G17='Povolené hodnoty'!$B$13,$H17=AP$4),SUM($I17,$L17,$O17,$R17),"")</f>
        <v/>
      </c>
      <c r="AQ17" s="40" t="str">
        <f>IF(AND($G17='Povolené hodnoty'!$B$13,OR($H17=AQ$4,$H17='Povolené hodnoty'!$E$36)),SUM($I17,-$J17,$L17,-$M17,$O17,-$P17,$R17,-$S17),"")</f>
        <v/>
      </c>
      <c r="AR17" s="40" t="str">
        <f>IF(AND($G17='Povolené hodnoty'!$B$13,$H17=AR$4),SUM($I17,$L17,$O17,$R17),"")</f>
        <v/>
      </c>
      <c r="AS17" s="41" t="str">
        <f>IF(AND($G17='Povolené hodnoty'!$B$13,$H17=AS$4),SUM($I17,$L17,$O17,$R17),"")</f>
        <v/>
      </c>
      <c r="AT17" s="39" t="str">
        <f>IF(AND($G17='Povolené hodnoty'!$B$14,$H17=AT$4),SUM($I17,$L17,$O17,$R17),"")</f>
        <v/>
      </c>
      <c r="AU17" s="458">
        <f>IF(AND($G17='Povolené hodnoty'!$B$14,$H17=AU$4),SUM($I17,$L17,$O17,$R17),"")</f>
        <v>2000</v>
      </c>
      <c r="AV17" s="41" t="str">
        <f>IF(AND($G17='Povolené hodnoty'!$B$14,$H17=AV$4),SUM($I17,$L17,$O17,$R17),"")</f>
        <v/>
      </c>
      <c r="AW17" s="39" t="str">
        <f>IF(AND($G17='Povolené hodnoty'!$B$13,$H17=AW$4),SUM($J17,$M17,$P17,$S17),"")</f>
        <v/>
      </c>
      <c r="AX17" s="458" t="str">
        <f>IF(AND($G17='Povolené hodnoty'!$B$13,$H17=AX$4),SUM($J17,$M17,$P17,$S17),"")</f>
        <v/>
      </c>
      <c r="AY17" s="458" t="str">
        <f>IF(AND($G17='Povolené hodnoty'!$B$13,$H17=AY$4),SUM($J17,$M17,$P17,$S17),"")</f>
        <v/>
      </c>
      <c r="AZ17" s="458" t="str">
        <f>IF(AND($G17='Povolené hodnoty'!$B$13,$H17=AZ$4),SUM($J17,$M17,$P17,$S17),"")</f>
        <v/>
      </c>
      <c r="BA17" s="458" t="str">
        <f>IF(AND($G17='Povolené hodnoty'!$B$13,$H17=BA$4),SUM($J17,$M17,$P17,$S17),"")</f>
        <v/>
      </c>
      <c r="BB17" s="40" t="str">
        <f>IF(AND($G17='Povolené hodnoty'!$B$13,$H17=BB$4),SUM($J17,$M17,$P17,$S17),"")</f>
        <v/>
      </c>
      <c r="BC17" s="40" t="str">
        <f>IF(AND($G17='Povolené hodnoty'!$B$13,$H17=BC$4),SUM($J17,$M17,$P17,$S17),"")</f>
        <v/>
      </c>
      <c r="BD17" s="40" t="str">
        <f>IF(AND($G17='Povolené hodnoty'!$B$13,$H17=BD$4),SUM($J17,$M17,$P17,$S17),"")</f>
        <v/>
      </c>
      <c r="BE17" s="41" t="str">
        <f>IF(AND($G17='Povolené hodnoty'!$B$13,$H17=BE$4),SUM($J17,$M17,$P17,$S17),"")</f>
        <v/>
      </c>
      <c r="BF17" s="39" t="str">
        <f>IF(AND($G17='Povolené hodnoty'!$B$14,$H17=BF$4),SUM($J17,$M17,$P17,$S17),"")</f>
        <v/>
      </c>
      <c r="BG17" s="458" t="str">
        <f>IF(AND($G17='Povolené hodnoty'!$B$14,$H17=BG$4),SUM($J17,$M17,$P17,$S17),"")</f>
        <v/>
      </c>
      <c r="BH17" s="458" t="str">
        <f>IF(AND($G17='Povolené hodnoty'!$B$14,$H17=BH$4),SUM($J17,$M17,$P17,$S17),"")</f>
        <v/>
      </c>
      <c r="BI17" s="458" t="str">
        <f>IF(AND($G17='Povolené hodnoty'!$B$14,$H17=BI$4),SUM($J17,$M17,$P17,$S17),"")</f>
        <v/>
      </c>
      <c r="BJ17" s="458" t="str">
        <f>IF(AND($G17='Povolené hodnoty'!$B$14,$H17=BJ$4),SUM($J17,$M17,$P17,$S17),"")</f>
        <v/>
      </c>
      <c r="BK17" s="40" t="str">
        <f>IF(AND($G17='Povolené hodnoty'!$B$14,$H17=BK$4),SUM($J17,$M17,$P17,$S17),"")</f>
        <v/>
      </c>
      <c r="BL17" s="40" t="str">
        <f>IF(AND($G17='Povolené hodnoty'!$B$14,$H17=BL$4),SUM($J17,$M17,$P17,$S17),"")</f>
        <v/>
      </c>
      <c r="BM17" s="41" t="str">
        <f>IF(AND($G17='Povolené hodnoty'!$B$14,$H17=BM$4),SUM($J17,$M17,$P17,$S17),"")</f>
        <v/>
      </c>
      <c r="BO17" s="18" t="b">
        <f t="shared" si="33"/>
        <v>0</v>
      </c>
      <c r="BP17" s="18" t="b">
        <f t="shared" si="1"/>
        <v>0</v>
      </c>
      <c r="BQ17" s="18" t="b">
        <f>AND(E17&lt;&gt;'Povolené hodnoty'!$B$6,F17&lt;&gt;'Povolené hodnoty'!$D$7,F17&lt;&gt;'Povolené hodnoty'!$D$8,OR(SUM(I17,L17,O17,R17)&lt;&gt;SUM(W17:X17,AA17:AG17),SUM(J17,M17,P17,S17)&lt;&gt;SUM(Y17:Z17,AH17:AK17),COUNT(I17:J17,L17:M17,O17:P17,R17:S17)&lt;&gt;COUNT(W17:AK17)))</f>
        <v>0</v>
      </c>
      <c r="BR17" s="18" t="b">
        <f>OR(AND(E17='Povolené hodnoty'!$B$6,$BR$5),AND(E17='Povolené hodnoty'!$B$6,H17&lt;&gt;'Povolené hodnoty'!$E$26,H17&lt;&gt;'Povolené hodnoty'!$E$35),AND(E17&lt;&gt;'Povolené hodnoty'!$B$6,OR(H17='Povolené hodnoty'!$E$26,H17='Povolené hodnoty'!$E$35)))</f>
        <v>0</v>
      </c>
      <c r="BS17" s="18" t="b">
        <f>OR(AND(G17&lt;&gt;'Povolené hodnoty'!$B$13,OR(H17='Povolené hodnoty'!$E$21,H17='Povolené hodnoty'!$E$22,H17='Povolené hodnoty'!$E$23,H17='Povolené hodnoty'!$E$24,H17='Povolené hodnoty'!$E$26,H17='Povolené hodnoty'!$E$36)),COUNT(I17:J17,L17:M17,O17:P17,R17:S17)&lt;&gt;COUNT(AL17:BM17))</f>
        <v>0</v>
      </c>
      <c r="BT17" s="18" t="b">
        <f t="shared" si="2"/>
        <v>0</v>
      </c>
      <c r="BV17" s="39" t="str">
        <f t="shared" si="3"/>
        <v/>
      </c>
      <c r="BW17" s="458" t="str">
        <f t="shared" si="4"/>
        <v/>
      </c>
      <c r="BX17" s="458" t="str">
        <f t="shared" si="5"/>
        <v/>
      </c>
      <c r="BY17" s="458" t="str">
        <f t="shared" si="6"/>
        <v/>
      </c>
      <c r="BZ17" s="458" t="str">
        <f t="shared" si="7"/>
        <v/>
      </c>
      <c r="CA17" s="40" t="str">
        <f t="shared" si="8"/>
        <v/>
      </c>
      <c r="CB17" s="40" t="str">
        <f t="shared" si="9"/>
        <v/>
      </c>
      <c r="CC17" s="39" t="str">
        <f t="shared" si="10"/>
        <v/>
      </c>
      <c r="CD17" s="458">
        <f t="shared" si="11"/>
        <v>2000</v>
      </c>
      <c r="CE17" s="41" t="str">
        <f t="shared" si="12"/>
        <v/>
      </c>
      <c r="CF17" s="39" t="str">
        <f t="shared" si="13"/>
        <v/>
      </c>
      <c r="CG17" s="458" t="str">
        <f t="shared" si="14"/>
        <v/>
      </c>
      <c r="CH17" s="458" t="str">
        <f t="shared" si="15"/>
        <v/>
      </c>
      <c r="CI17" s="458" t="str">
        <f t="shared" si="16"/>
        <v/>
      </c>
      <c r="CJ17" s="458" t="str">
        <f t="shared" si="17"/>
        <v/>
      </c>
      <c r="CK17" s="40" t="str">
        <f t="shared" si="18"/>
        <v/>
      </c>
      <c r="CL17" s="40" t="str">
        <f t="shared" si="19"/>
        <v/>
      </c>
      <c r="CM17" s="40" t="str">
        <f t="shared" si="20"/>
        <v/>
      </c>
      <c r="CN17" s="39" t="str">
        <f t="shared" si="21"/>
        <v/>
      </c>
      <c r="CO17" s="458" t="str">
        <f t="shared" si="22"/>
        <v/>
      </c>
      <c r="CP17" s="458" t="str">
        <f t="shared" si="23"/>
        <v/>
      </c>
      <c r="CQ17" s="458" t="str">
        <f t="shared" si="24"/>
        <v/>
      </c>
      <c r="CR17" s="458" t="str">
        <f t="shared" si="25"/>
        <v/>
      </c>
      <c r="CS17" s="40" t="str">
        <f t="shared" si="26"/>
        <v/>
      </c>
      <c r="CT17" s="40" t="str">
        <f t="shared" si="27"/>
        <v/>
      </c>
      <c r="CU17" s="41" t="str">
        <f t="shared" si="28"/>
        <v/>
      </c>
    </row>
    <row r="18" spans="1:99" x14ac:dyDescent="0.2">
      <c r="A18" s="77">
        <f t="shared" si="29"/>
        <v>13</v>
      </c>
      <c r="B18" s="81">
        <v>45062</v>
      </c>
      <c r="C18" s="82" t="s">
        <v>509</v>
      </c>
      <c r="D18" s="71" t="s">
        <v>3480</v>
      </c>
      <c r="E18" s="72" t="s">
        <v>43</v>
      </c>
      <c r="F18" s="73">
        <v>2</v>
      </c>
      <c r="G18" s="443" t="s">
        <v>3308</v>
      </c>
      <c r="H18" s="443" t="s">
        <v>3311</v>
      </c>
      <c r="I18" s="74">
        <v>500</v>
      </c>
      <c r="J18" s="75"/>
      <c r="K18" s="41">
        <f t="shared" si="34"/>
        <v>17400</v>
      </c>
      <c r="L18" s="104"/>
      <c r="M18" s="105"/>
      <c r="N18" s="106">
        <f t="shared" si="30"/>
        <v>4999.5</v>
      </c>
      <c r="O18" s="104"/>
      <c r="P18" s="105"/>
      <c r="Q18" s="106">
        <f t="shared" si="35"/>
        <v>0</v>
      </c>
      <c r="R18" s="104"/>
      <c r="S18" s="105"/>
      <c r="T18" s="106">
        <f t="shared" si="36"/>
        <v>0</v>
      </c>
      <c r="U18" s="439"/>
      <c r="V18" s="42">
        <f t="shared" si="0"/>
        <v>13</v>
      </c>
      <c r="W18" s="39" t="str">
        <f>IF(AND(E18='Povolené hodnoty'!$B$4,F18=2),I18+L18+O18+R18,"")</f>
        <v/>
      </c>
      <c r="X18" s="41" t="str">
        <f>IF(AND(E18='Povolené hodnoty'!$B$4,F18=1),I18+L18+O18+R18,"")</f>
        <v/>
      </c>
      <c r="Y18" s="39" t="str">
        <f>IF(AND(E18='Povolené hodnoty'!$B$4,F18=10),J18+M18+P18+S18,"")</f>
        <v/>
      </c>
      <c r="Z18" s="41" t="str">
        <f>IF(AND(E18='Povolené hodnoty'!$B$4,F18=9),J18+M18+P18+S18,"")</f>
        <v/>
      </c>
      <c r="AA18" s="39">
        <f>IF(AND(E18&lt;&gt;'Povolené hodnoty'!$B$4,F18=2),I18+L18+O18+R18,"")</f>
        <v>500</v>
      </c>
      <c r="AB18" s="40" t="str">
        <f>IF(AND(E18&lt;&gt;'Povolené hodnoty'!$B$4,F18=3),I18+L18+O18+R18,"")</f>
        <v/>
      </c>
      <c r="AC18" s="40" t="str">
        <f>IF(AND(E18&lt;&gt;'Povolené hodnoty'!$B$4,F18=4),I18+L18+O18+R18,"")</f>
        <v/>
      </c>
      <c r="AD18" s="40" t="str">
        <f>IF(AND(E18&lt;&gt;'Povolené hodnoty'!$B$4,F18="5a"),I18-J18+L18-M18+O18-P18+R18-S18,"")</f>
        <v/>
      </c>
      <c r="AE18" s="40" t="str">
        <f>IF(AND(E18&lt;&gt;'Povolené hodnoty'!$B$4,F18="5b"),I18-J18+L18-M18+O18-P18+R18-S18,"")</f>
        <v/>
      </c>
      <c r="AF18" s="40" t="str">
        <f>IF(AND(E18&lt;&gt;'Povolené hodnoty'!$B$4,F18=6),I18+L18+O18+R18,"")</f>
        <v/>
      </c>
      <c r="AG18" s="41" t="str">
        <f>IF(AND(E18&lt;&gt;'Povolené hodnoty'!$B$4,F18=7),I18+L18+O18+R18,"")</f>
        <v/>
      </c>
      <c r="AH18" s="39" t="str">
        <f>IF(AND(E18&lt;&gt;'Povolené hodnoty'!$B$4,F18=10),J18+M18+P18+S18,"")</f>
        <v/>
      </c>
      <c r="AI18" s="40" t="str">
        <f>IF(AND(E18&lt;&gt;'Povolené hodnoty'!$B$4,F18=11),J18+M18+P18+S18,"")</f>
        <v/>
      </c>
      <c r="AJ18" s="40" t="str">
        <f>IF(AND(E18&lt;&gt;'Povolené hodnoty'!$B$4,F18=12),J18+M18+P18+S18,"")</f>
        <v/>
      </c>
      <c r="AK18" s="41" t="str">
        <f>IF(AND(E18&lt;&gt;'Povolené hodnoty'!$B$4,F18=13),J18+M18+P18+S18,"")</f>
        <v/>
      </c>
      <c r="AL18" s="39" t="str">
        <f>IF(AND($G18='Povolené hodnoty'!$B$13,$H18=AL$4),SUM($I18,$L18,$O18,$R18),"")</f>
        <v/>
      </c>
      <c r="AM18" s="458">
        <f>IF(AND($G18='Povolené hodnoty'!$B$13,$H18=AM$4),SUM($I18,$L18,$O18,$R18),"")</f>
        <v>500</v>
      </c>
      <c r="AN18" s="458" t="str">
        <f>IF(AND($G18='Povolené hodnoty'!$B$13,$H18=AN$4),SUM($I18,$L18,$O18,$R18),"")</f>
        <v/>
      </c>
      <c r="AO18" s="458" t="str">
        <f>IF(AND($G18='Povolené hodnoty'!$B$13,$H18=AO$4),SUM($I18,$L18,$O18,$R18),"")</f>
        <v/>
      </c>
      <c r="AP18" s="458" t="str">
        <f>IF(AND($G18='Povolené hodnoty'!$B$13,$H18=AP$4),SUM($I18,$L18,$O18,$R18),"")</f>
        <v/>
      </c>
      <c r="AQ18" s="40" t="str">
        <f>IF(AND($G18='Povolené hodnoty'!$B$13,OR($H18=AQ$4,$H18='Povolené hodnoty'!$E$36)),SUM($I18,-$J18,$L18,-$M18,$O18,-$P18,$R18,-$S18),"")</f>
        <v/>
      </c>
      <c r="AR18" s="40" t="str">
        <f>IF(AND($G18='Povolené hodnoty'!$B$13,$H18=AR$4),SUM($I18,$L18,$O18,$R18),"")</f>
        <v/>
      </c>
      <c r="AS18" s="41" t="str">
        <f>IF(AND($G18='Povolené hodnoty'!$B$13,$H18=AS$4),SUM($I18,$L18,$O18,$R18),"")</f>
        <v/>
      </c>
      <c r="AT18" s="39" t="str">
        <f>IF(AND($G18='Povolené hodnoty'!$B$14,$H18=AT$4),SUM($I18,$L18,$O18,$R18),"")</f>
        <v/>
      </c>
      <c r="AU18" s="458" t="str">
        <f>IF(AND($G18='Povolené hodnoty'!$B$14,$H18=AU$4),SUM($I18,$L18,$O18,$R18),"")</f>
        <v/>
      </c>
      <c r="AV18" s="41" t="str">
        <f>IF(AND($G18='Povolené hodnoty'!$B$14,$H18=AV$4),SUM($I18,$L18,$O18,$R18),"")</f>
        <v/>
      </c>
      <c r="AW18" s="39" t="str">
        <f>IF(AND($G18='Povolené hodnoty'!$B$13,$H18=AW$4),SUM($J18,$M18,$P18,$S18),"")</f>
        <v/>
      </c>
      <c r="AX18" s="458" t="str">
        <f>IF(AND($G18='Povolené hodnoty'!$B$13,$H18=AX$4),SUM($J18,$M18,$P18,$S18),"")</f>
        <v/>
      </c>
      <c r="AY18" s="458" t="str">
        <f>IF(AND($G18='Povolené hodnoty'!$B$13,$H18=AY$4),SUM($J18,$M18,$P18,$S18),"")</f>
        <v/>
      </c>
      <c r="AZ18" s="458" t="str">
        <f>IF(AND($G18='Povolené hodnoty'!$B$13,$H18=AZ$4),SUM($J18,$M18,$P18,$S18),"")</f>
        <v/>
      </c>
      <c r="BA18" s="458" t="str">
        <f>IF(AND($G18='Povolené hodnoty'!$B$13,$H18=BA$4),SUM($J18,$M18,$P18,$S18),"")</f>
        <v/>
      </c>
      <c r="BB18" s="40" t="str">
        <f>IF(AND($G18='Povolené hodnoty'!$B$13,$H18=BB$4),SUM($J18,$M18,$P18,$S18),"")</f>
        <v/>
      </c>
      <c r="BC18" s="40" t="str">
        <f>IF(AND($G18='Povolené hodnoty'!$B$13,$H18=BC$4),SUM($J18,$M18,$P18,$S18),"")</f>
        <v/>
      </c>
      <c r="BD18" s="40" t="str">
        <f>IF(AND($G18='Povolené hodnoty'!$B$13,$H18=BD$4),SUM($J18,$M18,$P18,$S18),"")</f>
        <v/>
      </c>
      <c r="BE18" s="41" t="str">
        <f>IF(AND($G18='Povolené hodnoty'!$B$13,$H18=BE$4),SUM($J18,$M18,$P18,$S18),"")</f>
        <v/>
      </c>
      <c r="BF18" s="39" t="str">
        <f>IF(AND($G18='Povolené hodnoty'!$B$14,$H18=BF$4),SUM($J18,$M18,$P18,$S18),"")</f>
        <v/>
      </c>
      <c r="BG18" s="458" t="str">
        <f>IF(AND($G18='Povolené hodnoty'!$B$14,$H18=BG$4),SUM($J18,$M18,$P18,$S18),"")</f>
        <v/>
      </c>
      <c r="BH18" s="458" t="str">
        <f>IF(AND($G18='Povolené hodnoty'!$B$14,$H18=BH$4),SUM($J18,$M18,$P18,$S18),"")</f>
        <v/>
      </c>
      <c r="BI18" s="458" t="str">
        <f>IF(AND($G18='Povolené hodnoty'!$B$14,$H18=BI$4),SUM($J18,$M18,$P18,$S18),"")</f>
        <v/>
      </c>
      <c r="BJ18" s="458" t="str">
        <f>IF(AND($G18='Povolené hodnoty'!$B$14,$H18=BJ$4),SUM($J18,$M18,$P18,$S18),"")</f>
        <v/>
      </c>
      <c r="BK18" s="40" t="str">
        <f>IF(AND($G18='Povolené hodnoty'!$B$14,$H18=BK$4),SUM($J18,$M18,$P18,$S18),"")</f>
        <v/>
      </c>
      <c r="BL18" s="40" t="str">
        <f>IF(AND($G18='Povolené hodnoty'!$B$14,$H18=BL$4),SUM($J18,$M18,$P18,$S18),"")</f>
        <v/>
      </c>
      <c r="BM18" s="41" t="str">
        <f>IF(AND($G18='Povolené hodnoty'!$B$14,$H18=BM$4),SUM($J18,$M18,$P18,$S18),"")</f>
        <v/>
      </c>
      <c r="BO18" s="18" t="b">
        <f t="shared" si="33"/>
        <v>0</v>
      </c>
      <c r="BP18" s="18" t="b">
        <f t="shared" si="1"/>
        <v>0</v>
      </c>
      <c r="BQ18" s="18" t="b">
        <f>AND(E18&lt;&gt;'Povolené hodnoty'!$B$6,F18&lt;&gt;'Povolené hodnoty'!$D$7,F18&lt;&gt;'Povolené hodnoty'!$D$8,OR(SUM(I18,L18,O18,R18)&lt;&gt;SUM(W18:X18,AA18:AG18),SUM(J18,M18,P18,S18)&lt;&gt;SUM(Y18:Z18,AH18:AK18),COUNT(I18:J18,L18:M18,O18:P18,R18:S18)&lt;&gt;COUNT(W18:AK18)))</f>
        <v>0</v>
      </c>
      <c r="BR18" s="18" t="b">
        <f>OR(AND(E18='Povolené hodnoty'!$B$6,$BR$5),AND(E18='Povolené hodnoty'!$B$6,H18&lt;&gt;'Povolené hodnoty'!$E$26,H18&lt;&gt;'Povolené hodnoty'!$E$35),AND(E18&lt;&gt;'Povolené hodnoty'!$B$6,OR(H18='Povolené hodnoty'!$E$26,H18='Povolené hodnoty'!$E$35)))</f>
        <v>0</v>
      </c>
      <c r="BS18" s="18" t="b">
        <f>OR(AND(G18&lt;&gt;'Povolené hodnoty'!$B$13,OR(H18='Povolené hodnoty'!$E$21,H18='Povolené hodnoty'!$E$22,H18='Povolené hodnoty'!$E$23,H18='Povolené hodnoty'!$E$24,H18='Povolené hodnoty'!$E$26,H18='Povolené hodnoty'!$E$36)),COUNT(I18:J18,L18:M18,O18:P18,R18:S18)&lt;&gt;COUNT(AL18:BM18))</f>
        <v>0</v>
      </c>
      <c r="BT18" s="18" t="b">
        <f t="shared" si="2"/>
        <v>0</v>
      </c>
      <c r="BV18" s="39" t="str">
        <f t="shared" si="3"/>
        <v/>
      </c>
      <c r="BW18" s="458" t="str">
        <f t="shared" si="4"/>
        <v/>
      </c>
      <c r="BX18" s="458" t="str">
        <f t="shared" si="5"/>
        <v/>
      </c>
      <c r="BY18" s="458" t="str">
        <f t="shared" si="6"/>
        <v/>
      </c>
      <c r="BZ18" s="458" t="str">
        <f t="shared" si="7"/>
        <v/>
      </c>
      <c r="CA18" s="40" t="str">
        <f t="shared" si="8"/>
        <v/>
      </c>
      <c r="CB18" s="40" t="str">
        <f t="shared" si="9"/>
        <v/>
      </c>
      <c r="CC18" s="39" t="str">
        <f t="shared" si="10"/>
        <v/>
      </c>
      <c r="CD18" s="458" t="str">
        <f t="shared" si="11"/>
        <v/>
      </c>
      <c r="CE18" s="41" t="str">
        <f t="shared" si="12"/>
        <v/>
      </c>
      <c r="CF18" s="39" t="str">
        <f t="shared" si="13"/>
        <v/>
      </c>
      <c r="CG18" s="458" t="str">
        <f t="shared" si="14"/>
        <v/>
      </c>
      <c r="CH18" s="458" t="str">
        <f t="shared" si="15"/>
        <v/>
      </c>
      <c r="CI18" s="458" t="str">
        <f t="shared" si="16"/>
        <v/>
      </c>
      <c r="CJ18" s="458" t="str">
        <f t="shared" si="17"/>
        <v/>
      </c>
      <c r="CK18" s="40" t="str">
        <f t="shared" si="18"/>
        <v/>
      </c>
      <c r="CL18" s="40" t="str">
        <f t="shared" si="19"/>
        <v/>
      </c>
      <c r="CM18" s="40" t="str">
        <f t="shared" si="20"/>
        <v/>
      </c>
      <c r="CN18" s="39" t="str">
        <f t="shared" si="21"/>
        <v/>
      </c>
      <c r="CO18" s="458" t="str">
        <f t="shared" si="22"/>
        <v/>
      </c>
      <c r="CP18" s="458" t="str">
        <f t="shared" si="23"/>
        <v/>
      </c>
      <c r="CQ18" s="458" t="str">
        <f t="shared" si="24"/>
        <v/>
      </c>
      <c r="CR18" s="458" t="str">
        <f t="shared" si="25"/>
        <v/>
      </c>
      <c r="CS18" s="40" t="str">
        <f t="shared" si="26"/>
        <v/>
      </c>
      <c r="CT18" s="40" t="str">
        <f t="shared" si="27"/>
        <v/>
      </c>
      <c r="CU18" s="41" t="str">
        <f t="shared" si="28"/>
        <v/>
      </c>
    </row>
    <row r="19" spans="1:99" x14ac:dyDescent="0.2">
      <c r="A19" s="77">
        <f t="shared" si="29"/>
        <v>14</v>
      </c>
      <c r="B19" s="81">
        <v>45062</v>
      </c>
      <c r="C19" s="82" t="s">
        <v>105</v>
      </c>
      <c r="D19" s="71" t="s">
        <v>3481</v>
      </c>
      <c r="E19" s="72" t="s">
        <v>43</v>
      </c>
      <c r="F19" s="73">
        <v>10</v>
      </c>
      <c r="G19" s="443" t="s">
        <v>3308</v>
      </c>
      <c r="H19" s="443" t="s">
        <v>3319</v>
      </c>
      <c r="I19" s="74"/>
      <c r="J19" s="75">
        <v>600</v>
      </c>
      <c r="K19" s="41">
        <f t="shared" si="34"/>
        <v>16800</v>
      </c>
      <c r="L19" s="104"/>
      <c r="M19" s="105"/>
      <c r="N19" s="106">
        <f t="shared" si="30"/>
        <v>4999.5</v>
      </c>
      <c r="O19" s="104"/>
      <c r="P19" s="105"/>
      <c r="Q19" s="106">
        <f t="shared" si="35"/>
        <v>0</v>
      </c>
      <c r="R19" s="104"/>
      <c r="S19" s="105"/>
      <c r="T19" s="106">
        <f t="shared" si="36"/>
        <v>0</v>
      </c>
      <c r="U19" s="439"/>
      <c r="V19" s="42">
        <f t="shared" si="0"/>
        <v>14</v>
      </c>
      <c r="W19" s="39" t="str">
        <f>IF(AND(E19='Povolené hodnoty'!$B$4,F19=2),I19+L19+O19+R19,"")</f>
        <v/>
      </c>
      <c r="X19" s="41" t="str">
        <f>IF(AND(E19='Povolené hodnoty'!$B$4,F19=1),I19+L19+O19+R19,"")</f>
        <v/>
      </c>
      <c r="Y19" s="39" t="str">
        <f>IF(AND(E19='Povolené hodnoty'!$B$4,F19=10),J19+M19+P19+S19,"")</f>
        <v/>
      </c>
      <c r="Z19" s="41" t="str">
        <f>IF(AND(E19='Povolené hodnoty'!$B$4,F19=9),J19+M19+P19+S19,"")</f>
        <v/>
      </c>
      <c r="AA19" s="39" t="str">
        <f>IF(AND(E19&lt;&gt;'Povolené hodnoty'!$B$4,F19=2),I19+L19+O19+R19,"")</f>
        <v/>
      </c>
      <c r="AB19" s="40" t="str">
        <f>IF(AND(E19&lt;&gt;'Povolené hodnoty'!$B$4,F19=3),I19+L19+O19+R19,"")</f>
        <v/>
      </c>
      <c r="AC19" s="40" t="str">
        <f>IF(AND(E19&lt;&gt;'Povolené hodnoty'!$B$4,F19=4),I19+L19+O19+R19,"")</f>
        <v/>
      </c>
      <c r="AD19" s="40" t="str">
        <f>IF(AND(E19&lt;&gt;'Povolené hodnoty'!$B$4,F19="5a"),I19-J19+L19-M19+O19-P19+R19-S19,"")</f>
        <v/>
      </c>
      <c r="AE19" s="40" t="str">
        <f>IF(AND(E19&lt;&gt;'Povolené hodnoty'!$B$4,F19="5b"),I19-J19+L19-M19+O19-P19+R19-S19,"")</f>
        <v/>
      </c>
      <c r="AF19" s="40" t="str">
        <f>IF(AND(E19&lt;&gt;'Povolené hodnoty'!$B$4,F19=6),I19+L19+O19+R19,"")</f>
        <v/>
      </c>
      <c r="AG19" s="41" t="str">
        <f>IF(AND(E19&lt;&gt;'Povolené hodnoty'!$B$4,F19=7),I19+L19+O19+R19,"")</f>
        <v/>
      </c>
      <c r="AH19" s="39">
        <f>IF(AND(E19&lt;&gt;'Povolené hodnoty'!$B$4,F19=10),J19+M19+P19+S19,"")</f>
        <v>600</v>
      </c>
      <c r="AI19" s="40" t="str">
        <f>IF(AND(E19&lt;&gt;'Povolené hodnoty'!$B$4,F19=11),J19+M19+P19+S19,"")</f>
        <v/>
      </c>
      <c r="AJ19" s="40" t="str">
        <f>IF(AND(E19&lt;&gt;'Povolené hodnoty'!$B$4,F19=12),J19+M19+P19+S19,"")</f>
        <v/>
      </c>
      <c r="AK19" s="41" t="str">
        <f>IF(AND(E19&lt;&gt;'Povolené hodnoty'!$B$4,F19=13),J19+M19+P19+S19,"")</f>
        <v/>
      </c>
      <c r="AL19" s="39" t="str">
        <f>IF(AND($G19='Povolené hodnoty'!$B$13,$H19=AL$4),SUM($I19,$L19,$O19,$R19),"")</f>
        <v/>
      </c>
      <c r="AM19" s="458" t="str">
        <f>IF(AND($G19='Povolené hodnoty'!$B$13,$H19=AM$4),SUM($I19,$L19,$O19,$R19),"")</f>
        <v/>
      </c>
      <c r="AN19" s="458" t="str">
        <f>IF(AND($G19='Povolené hodnoty'!$B$13,$H19=AN$4),SUM($I19,$L19,$O19,$R19),"")</f>
        <v/>
      </c>
      <c r="AO19" s="458" t="str">
        <f>IF(AND($G19='Povolené hodnoty'!$B$13,$H19=AO$4),SUM($I19,$L19,$O19,$R19),"")</f>
        <v/>
      </c>
      <c r="AP19" s="458" t="str">
        <f>IF(AND($G19='Povolené hodnoty'!$B$13,$H19=AP$4),SUM($I19,$L19,$O19,$R19),"")</f>
        <v/>
      </c>
      <c r="AQ19" s="40" t="str">
        <f>IF(AND($G19='Povolené hodnoty'!$B$13,OR($H19=AQ$4,$H19='Povolené hodnoty'!$E$36)),SUM($I19,-$J19,$L19,-$M19,$O19,-$P19,$R19,-$S19),"")</f>
        <v/>
      </c>
      <c r="AR19" s="40" t="str">
        <f>IF(AND($G19='Povolené hodnoty'!$B$13,$H19=AR$4),SUM($I19,$L19,$O19,$R19),"")</f>
        <v/>
      </c>
      <c r="AS19" s="41" t="str">
        <f>IF(AND($G19='Povolené hodnoty'!$B$13,$H19=AS$4),SUM($I19,$L19,$O19,$R19),"")</f>
        <v/>
      </c>
      <c r="AT19" s="39" t="str">
        <f>IF(AND($G19='Povolené hodnoty'!$B$14,$H19=AT$4),SUM($I19,$L19,$O19,$R19),"")</f>
        <v/>
      </c>
      <c r="AU19" s="458" t="str">
        <f>IF(AND($G19='Povolené hodnoty'!$B$14,$H19=AU$4),SUM($I19,$L19,$O19,$R19),"")</f>
        <v/>
      </c>
      <c r="AV19" s="41" t="str">
        <f>IF(AND($G19='Povolené hodnoty'!$B$14,$H19=AV$4),SUM($I19,$L19,$O19,$R19),"")</f>
        <v/>
      </c>
      <c r="AW19" s="39" t="str">
        <f>IF(AND($G19='Povolené hodnoty'!$B$13,$H19=AW$4),SUM($J19,$M19,$P19,$S19),"")</f>
        <v/>
      </c>
      <c r="AX19" s="458">
        <f>IF(AND($G19='Povolené hodnoty'!$B$13,$H19=AX$4),SUM($J19,$M19,$P19,$S19),"")</f>
        <v>600</v>
      </c>
      <c r="AY19" s="458" t="str">
        <f>IF(AND($G19='Povolené hodnoty'!$B$13,$H19=AY$4),SUM($J19,$M19,$P19,$S19),"")</f>
        <v/>
      </c>
      <c r="AZ19" s="458" t="str">
        <f>IF(AND($G19='Povolené hodnoty'!$B$13,$H19=AZ$4),SUM($J19,$M19,$P19,$S19),"")</f>
        <v/>
      </c>
      <c r="BA19" s="458" t="str">
        <f>IF(AND($G19='Povolené hodnoty'!$B$13,$H19=BA$4),SUM($J19,$M19,$P19,$S19),"")</f>
        <v/>
      </c>
      <c r="BB19" s="40" t="str">
        <f>IF(AND($G19='Povolené hodnoty'!$B$13,$H19=BB$4),SUM($J19,$M19,$P19,$S19),"")</f>
        <v/>
      </c>
      <c r="BC19" s="40" t="str">
        <f>IF(AND($G19='Povolené hodnoty'!$B$13,$H19=BC$4),SUM($J19,$M19,$P19,$S19),"")</f>
        <v/>
      </c>
      <c r="BD19" s="40" t="str">
        <f>IF(AND($G19='Povolené hodnoty'!$B$13,$H19=BD$4),SUM($J19,$M19,$P19,$S19),"")</f>
        <v/>
      </c>
      <c r="BE19" s="41" t="str">
        <f>IF(AND($G19='Povolené hodnoty'!$B$13,$H19=BE$4),SUM($J19,$M19,$P19,$S19),"")</f>
        <v/>
      </c>
      <c r="BF19" s="39" t="str">
        <f>IF(AND($G19='Povolené hodnoty'!$B$14,$H19=BF$4),SUM($J19,$M19,$P19,$S19),"")</f>
        <v/>
      </c>
      <c r="BG19" s="458" t="str">
        <f>IF(AND($G19='Povolené hodnoty'!$B$14,$H19=BG$4),SUM($J19,$M19,$P19,$S19),"")</f>
        <v/>
      </c>
      <c r="BH19" s="458" t="str">
        <f>IF(AND($G19='Povolené hodnoty'!$B$14,$H19=BH$4),SUM($J19,$M19,$P19,$S19),"")</f>
        <v/>
      </c>
      <c r="BI19" s="458" t="str">
        <f>IF(AND($G19='Povolené hodnoty'!$B$14,$H19=BI$4),SUM($J19,$M19,$P19,$S19),"")</f>
        <v/>
      </c>
      <c r="BJ19" s="458" t="str">
        <f>IF(AND($G19='Povolené hodnoty'!$B$14,$H19=BJ$4),SUM($J19,$M19,$P19,$S19),"")</f>
        <v/>
      </c>
      <c r="BK19" s="40" t="str">
        <f>IF(AND($G19='Povolené hodnoty'!$B$14,$H19=BK$4),SUM($J19,$M19,$P19,$S19),"")</f>
        <v/>
      </c>
      <c r="BL19" s="40" t="str">
        <f>IF(AND($G19='Povolené hodnoty'!$B$14,$H19=BL$4),SUM($J19,$M19,$P19,$S19),"")</f>
        <v/>
      </c>
      <c r="BM19" s="41" t="str">
        <f>IF(AND($G19='Povolené hodnoty'!$B$14,$H19=BM$4),SUM($J19,$M19,$P19,$S19),"")</f>
        <v/>
      </c>
      <c r="BO19" s="18" t="b">
        <f t="shared" si="33"/>
        <v>0</v>
      </c>
      <c r="BP19" s="18" t="b">
        <f t="shared" si="1"/>
        <v>0</v>
      </c>
      <c r="BQ19" s="18" t="b">
        <f>AND(E19&lt;&gt;'Povolené hodnoty'!$B$6,F19&lt;&gt;'Povolené hodnoty'!$D$7,F19&lt;&gt;'Povolené hodnoty'!$D$8,OR(SUM(I19,L19,O19,R19)&lt;&gt;SUM(W19:X19,AA19:AG19),SUM(J19,M19,P19,S19)&lt;&gt;SUM(Y19:Z19,AH19:AK19),COUNT(I19:J19,L19:M19,O19:P19,R19:S19)&lt;&gt;COUNT(W19:AK19)))</f>
        <v>0</v>
      </c>
      <c r="BR19" s="18" t="b">
        <f>OR(AND(E19='Povolené hodnoty'!$B$6,$BR$5),AND(E19='Povolené hodnoty'!$B$6,H19&lt;&gt;'Povolené hodnoty'!$E$26,H19&lt;&gt;'Povolené hodnoty'!$E$35),AND(E19&lt;&gt;'Povolené hodnoty'!$B$6,OR(H19='Povolené hodnoty'!$E$26,H19='Povolené hodnoty'!$E$35)))</f>
        <v>0</v>
      </c>
      <c r="BS19" s="18" t="b">
        <f>OR(AND(G19&lt;&gt;'Povolené hodnoty'!$B$13,OR(H19='Povolené hodnoty'!$E$21,H19='Povolené hodnoty'!$E$22,H19='Povolené hodnoty'!$E$23,H19='Povolené hodnoty'!$E$24,H19='Povolené hodnoty'!$E$26,H19='Povolené hodnoty'!$E$36)),COUNT(I19:J19,L19:M19,O19:P19,R19:S19)&lt;&gt;COUNT(AL19:BM19))</f>
        <v>0</v>
      </c>
      <c r="BT19" s="18" t="b">
        <f t="shared" si="2"/>
        <v>0</v>
      </c>
      <c r="BV19" s="39" t="str">
        <f t="shared" si="3"/>
        <v/>
      </c>
      <c r="BW19" s="458" t="str">
        <f t="shared" si="4"/>
        <v/>
      </c>
      <c r="BX19" s="458" t="str">
        <f t="shared" si="5"/>
        <v/>
      </c>
      <c r="BY19" s="458" t="str">
        <f t="shared" si="6"/>
        <v/>
      </c>
      <c r="BZ19" s="458" t="str">
        <f t="shared" si="7"/>
        <v/>
      </c>
      <c r="CA19" s="40" t="str">
        <f t="shared" si="8"/>
        <v/>
      </c>
      <c r="CB19" s="40" t="str">
        <f t="shared" si="9"/>
        <v/>
      </c>
      <c r="CC19" s="39" t="str">
        <f t="shared" si="10"/>
        <v/>
      </c>
      <c r="CD19" s="458" t="str">
        <f t="shared" si="11"/>
        <v/>
      </c>
      <c r="CE19" s="41" t="str">
        <f t="shared" si="12"/>
        <v/>
      </c>
      <c r="CF19" s="39" t="str">
        <f t="shared" si="13"/>
        <v/>
      </c>
      <c r="CG19" s="458" t="str">
        <f t="shared" si="14"/>
        <v/>
      </c>
      <c r="CH19" s="458" t="str">
        <f t="shared" si="15"/>
        <v/>
      </c>
      <c r="CI19" s="458" t="str">
        <f t="shared" si="16"/>
        <v/>
      </c>
      <c r="CJ19" s="458" t="str">
        <f t="shared" si="17"/>
        <v/>
      </c>
      <c r="CK19" s="40" t="str">
        <f t="shared" si="18"/>
        <v/>
      </c>
      <c r="CL19" s="40" t="str">
        <f t="shared" si="19"/>
        <v/>
      </c>
      <c r="CM19" s="40" t="str">
        <f t="shared" si="20"/>
        <v/>
      </c>
      <c r="CN19" s="39" t="str">
        <f t="shared" si="21"/>
        <v/>
      </c>
      <c r="CO19" s="458" t="str">
        <f t="shared" si="22"/>
        <v/>
      </c>
      <c r="CP19" s="458" t="str">
        <f t="shared" si="23"/>
        <v/>
      </c>
      <c r="CQ19" s="458" t="str">
        <f t="shared" si="24"/>
        <v/>
      </c>
      <c r="CR19" s="458" t="str">
        <f t="shared" si="25"/>
        <v/>
      </c>
      <c r="CS19" s="40" t="str">
        <f t="shared" si="26"/>
        <v/>
      </c>
      <c r="CT19" s="40" t="str">
        <f t="shared" si="27"/>
        <v/>
      </c>
      <c r="CU19" s="41" t="str">
        <f t="shared" si="28"/>
        <v/>
      </c>
    </row>
    <row r="20" spans="1:99" x14ac:dyDescent="0.2">
      <c r="A20" s="77">
        <f t="shared" si="29"/>
        <v>15</v>
      </c>
      <c r="B20" s="81">
        <v>45066</v>
      </c>
      <c r="C20" s="82" t="s">
        <v>505</v>
      </c>
      <c r="D20" s="71" t="s">
        <v>3482</v>
      </c>
      <c r="E20" s="72" t="s">
        <v>43</v>
      </c>
      <c r="F20" s="73" t="s">
        <v>46</v>
      </c>
      <c r="G20" s="443" t="s">
        <v>3308</v>
      </c>
      <c r="H20" s="443" t="s">
        <v>3315</v>
      </c>
      <c r="I20" s="74"/>
      <c r="J20" s="75"/>
      <c r="K20" s="41">
        <f t="shared" si="34"/>
        <v>16800</v>
      </c>
      <c r="L20" s="104">
        <v>5000.5</v>
      </c>
      <c r="M20" s="105"/>
      <c r="N20" s="106">
        <f t="shared" si="30"/>
        <v>10000</v>
      </c>
      <c r="O20" s="104"/>
      <c r="P20" s="105"/>
      <c r="Q20" s="106">
        <f t="shared" si="35"/>
        <v>0</v>
      </c>
      <c r="R20" s="104"/>
      <c r="S20" s="105"/>
      <c r="T20" s="106">
        <f t="shared" si="36"/>
        <v>0</v>
      </c>
      <c r="U20" s="439"/>
      <c r="V20" s="42">
        <f t="shared" si="0"/>
        <v>15</v>
      </c>
      <c r="W20" s="39" t="str">
        <f>IF(AND(E20='Povolené hodnoty'!$B$4,F20=2),I20+L20+O20+R20,"")</f>
        <v/>
      </c>
      <c r="X20" s="41" t="str">
        <f>IF(AND(E20='Povolené hodnoty'!$B$4,F20=1),I20+L20+O20+R20,"")</f>
        <v/>
      </c>
      <c r="Y20" s="39" t="str">
        <f>IF(AND(E20='Povolené hodnoty'!$B$4,F20=10),J20+M20+P20+S20,"")</f>
        <v/>
      </c>
      <c r="Z20" s="41" t="str">
        <f>IF(AND(E20='Povolené hodnoty'!$B$4,F20=9),J20+M20+P20+S20,"")</f>
        <v/>
      </c>
      <c r="AA20" s="39" t="str">
        <f>IF(AND(E20&lt;&gt;'Povolené hodnoty'!$B$4,F20=2),I20+L20+O20+R20,"")</f>
        <v/>
      </c>
      <c r="AB20" s="40" t="str">
        <f>IF(AND(E20&lt;&gt;'Povolené hodnoty'!$B$4,F20=3),I20+L20+O20+R20,"")</f>
        <v/>
      </c>
      <c r="AC20" s="40" t="str">
        <f>IF(AND(E20&lt;&gt;'Povolené hodnoty'!$B$4,F20=4),I20+L20+O20+R20,"")</f>
        <v/>
      </c>
      <c r="AD20" s="40" t="str">
        <f>IF(AND(E20&lt;&gt;'Povolené hodnoty'!$B$4,F20="5a"),I20-J20+L20-M20+O20-P20+R20-S20,"")</f>
        <v/>
      </c>
      <c r="AE20" s="40">
        <f>IF(AND(E20&lt;&gt;'Povolené hodnoty'!$B$4,F20="5b"),I20-J20+L20-M20+O20-P20+R20-S20,"")</f>
        <v>5000.5</v>
      </c>
      <c r="AF20" s="40" t="str">
        <f>IF(AND(E20&lt;&gt;'Povolené hodnoty'!$B$4,F20=6),I20+L20+O20+R20,"")</f>
        <v/>
      </c>
      <c r="AG20" s="41" t="str">
        <f>IF(AND(E20&lt;&gt;'Povolené hodnoty'!$B$4,F20=7),I20+L20+O20+R20,"")</f>
        <v/>
      </c>
      <c r="AH20" s="39" t="str">
        <f>IF(AND(E20&lt;&gt;'Povolené hodnoty'!$B$4,F20=10),J20+M20+P20+S20,"")</f>
        <v/>
      </c>
      <c r="AI20" s="40" t="str">
        <f>IF(AND(E20&lt;&gt;'Povolené hodnoty'!$B$4,F20=11),J20+M20+P20+S20,"")</f>
        <v/>
      </c>
      <c r="AJ20" s="40" t="str">
        <f>IF(AND(E20&lt;&gt;'Povolené hodnoty'!$B$4,F20=12),J20+M20+P20+S20,"")</f>
        <v/>
      </c>
      <c r="AK20" s="41" t="str">
        <f>IF(AND(E20&lt;&gt;'Povolené hodnoty'!$B$4,F20=13),J20+M20+P20+S20,"")</f>
        <v/>
      </c>
      <c r="AL20" s="39" t="str">
        <f>IF(AND($G20='Povolené hodnoty'!$B$13,$H20=AL$4),SUM($I20,$L20,$O20,$R20),"")</f>
        <v/>
      </c>
      <c r="AM20" s="458" t="str">
        <f>IF(AND($G20='Povolené hodnoty'!$B$13,$H20=AM$4),SUM($I20,$L20,$O20,$R20),"")</f>
        <v/>
      </c>
      <c r="AN20" s="458" t="str">
        <f>IF(AND($G20='Povolené hodnoty'!$B$13,$H20=AN$4),SUM($I20,$L20,$O20,$R20),"")</f>
        <v/>
      </c>
      <c r="AO20" s="458" t="str">
        <f>IF(AND($G20='Povolené hodnoty'!$B$13,$H20=AO$4),SUM($I20,$L20,$O20,$R20),"")</f>
        <v/>
      </c>
      <c r="AP20" s="458" t="str">
        <f>IF(AND($G20='Povolené hodnoty'!$B$13,$H20=AP$4),SUM($I20,$L20,$O20,$R20),"")</f>
        <v/>
      </c>
      <c r="AQ20" s="40">
        <f>IF(AND($G20='Povolené hodnoty'!$B$13,OR($H20=AQ$4,$H20='Povolené hodnoty'!$E$36)),SUM($I20,-$J20,$L20,-$M20,$O20,-$P20,$R20,-$S20),"")</f>
        <v>5000.5</v>
      </c>
      <c r="AR20" s="40" t="str">
        <f>IF(AND($G20='Povolené hodnoty'!$B$13,$H20=AR$4),SUM($I20,$L20,$O20,$R20),"")</f>
        <v/>
      </c>
      <c r="AS20" s="41" t="str">
        <f>IF(AND($G20='Povolené hodnoty'!$B$13,$H20=AS$4),SUM($I20,$L20,$O20,$R20),"")</f>
        <v/>
      </c>
      <c r="AT20" s="39" t="str">
        <f>IF(AND($G20='Povolené hodnoty'!$B$14,$H20=AT$4),SUM($I20,$L20,$O20,$R20),"")</f>
        <v/>
      </c>
      <c r="AU20" s="458" t="str">
        <f>IF(AND($G20='Povolené hodnoty'!$B$14,$H20=AU$4),SUM($I20,$L20,$O20,$R20),"")</f>
        <v/>
      </c>
      <c r="AV20" s="41" t="str">
        <f>IF(AND($G20='Povolené hodnoty'!$B$14,$H20=AV$4),SUM($I20,$L20,$O20,$R20),"")</f>
        <v/>
      </c>
      <c r="AW20" s="39" t="str">
        <f>IF(AND($G20='Povolené hodnoty'!$B$13,$H20=AW$4),SUM($J20,$M20,$P20,$S20),"")</f>
        <v/>
      </c>
      <c r="AX20" s="458" t="str">
        <f>IF(AND($G20='Povolené hodnoty'!$B$13,$H20=AX$4),SUM($J20,$M20,$P20,$S20),"")</f>
        <v/>
      </c>
      <c r="AY20" s="458" t="str">
        <f>IF(AND($G20='Povolené hodnoty'!$B$13,$H20=AY$4),SUM($J20,$M20,$P20,$S20),"")</f>
        <v/>
      </c>
      <c r="AZ20" s="458" t="str">
        <f>IF(AND($G20='Povolené hodnoty'!$B$13,$H20=AZ$4),SUM($J20,$M20,$P20,$S20),"")</f>
        <v/>
      </c>
      <c r="BA20" s="458" t="str">
        <f>IF(AND($G20='Povolené hodnoty'!$B$13,$H20=BA$4),SUM($J20,$M20,$P20,$S20),"")</f>
        <v/>
      </c>
      <c r="BB20" s="40" t="str">
        <f>IF(AND($G20='Povolené hodnoty'!$B$13,$H20=BB$4),SUM($J20,$M20,$P20,$S20),"")</f>
        <v/>
      </c>
      <c r="BC20" s="40" t="str">
        <f>IF(AND($G20='Povolené hodnoty'!$B$13,$H20=BC$4),SUM($J20,$M20,$P20,$S20),"")</f>
        <v/>
      </c>
      <c r="BD20" s="40" t="str">
        <f>IF(AND($G20='Povolené hodnoty'!$B$13,$H20=BD$4),SUM($J20,$M20,$P20,$S20),"")</f>
        <v/>
      </c>
      <c r="BE20" s="41" t="str">
        <f>IF(AND($G20='Povolené hodnoty'!$B$13,$H20=BE$4),SUM($J20,$M20,$P20,$S20),"")</f>
        <v/>
      </c>
      <c r="BF20" s="39" t="str">
        <f>IF(AND($G20='Povolené hodnoty'!$B$14,$H20=BF$4),SUM($J20,$M20,$P20,$S20),"")</f>
        <v/>
      </c>
      <c r="BG20" s="458" t="str">
        <f>IF(AND($G20='Povolené hodnoty'!$B$14,$H20=BG$4),SUM($J20,$M20,$P20,$S20),"")</f>
        <v/>
      </c>
      <c r="BH20" s="458" t="str">
        <f>IF(AND($G20='Povolené hodnoty'!$B$14,$H20=BH$4),SUM($J20,$M20,$P20,$S20),"")</f>
        <v/>
      </c>
      <c r="BI20" s="458" t="str">
        <f>IF(AND($G20='Povolené hodnoty'!$B$14,$H20=BI$4),SUM($J20,$M20,$P20,$S20),"")</f>
        <v/>
      </c>
      <c r="BJ20" s="458" t="str">
        <f>IF(AND($G20='Povolené hodnoty'!$B$14,$H20=BJ$4),SUM($J20,$M20,$P20,$S20),"")</f>
        <v/>
      </c>
      <c r="BK20" s="40" t="str">
        <f>IF(AND($G20='Povolené hodnoty'!$B$14,$H20=BK$4),SUM($J20,$M20,$P20,$S20),"")</f>
        <v/>
      </c>
      <c r="BL20" s="40" t="str">
        <f>IF(AND($G20='Povolené hodnoty'!$B$14,$H20=BL$4),SUM($J20,$M20,$P20,$S20),"")</f>
        <v/>
      </c>
      <c r="BM20" s="41" t="str">
        <f>IF(AND($G20='Povolené hodnoty'!$B$14,$H20=BM$4),SUM($J20,$M20,$P20,$S20),"")</f>
        <v/>
      </c>
      <c r="BO20" s="18" t="b">
        <f t="shared" si="33"/>
        <v>0</v>
      </c>
      <c r="BP20" s="18" t="b">
        <f t="shared" si="1"/>
        <v>0</v>
      </c>
      <c r="BQ20" s="18" t="b">
        <f>AND(E20&lt;&gt;'Povolené hodnoty'!$B$6,F20&lt;&gt;'Povolené hodnoty'!$D$7,F20&lt;&gt;'Povolené hodnoty'!$D$8,OR(SUM(I20,L20,O20,R20)&lt;&gt;SUM(W20:X20,AA20:AG20),SUM(J20,M20,P20,S20)&lt;&gt;SUM(Y20:Z20,AH20:AK20),COUNT(I20:J20,L20:M20,O20:P20,R20:S20)&lt;&gt;COUNT(W20:AK20)))</f>
        <v>0</v>
      </c>
      <c r="BR20" s="18" t="b">
        <f>OR(AND(E20='Povolené hodnoty'!$B$6,$BR$5),AND(E20='Povolené hodnoty'!$B$6,H20&lt;&gt;'Povolené hodnoty'!$E$26,H20&lt;&gt;'Povolené hodnoty'!$E$35),AND(E20&lt;&gt;'Povolené hodnoty'!$B$6,OR(H20='Povolené hodnoty'!$E$26,H20='Povolené hodnoty'!$E$35)))</f>
        <v>0</v>
      </c>
      <c r="BS20" s="18" t="b">
        <f>OR(AND(G20&lt;&gt;'Povolené hodnoty'!$B$13,OR(H20='Povolené hodnoty'!$E$21,H20='Povolené hodnoty'!$E$22,H20='Povolené hodnoty'!$E$23,H20='Povolené hodnoty'!$E$24,H20='Povolené hodnoty'!$E$26,H20='Povolené hodnoty'!$E$36)),COUNT(I20:J20,L20:M20,O20:P20,R20:S20)&lt;&gt;COUNT(AL20:BM20))</f>
        <v>0</v>
      </c>
      <c r="BT20" s="18" t="b">
        <f t="shared" si="2"/>
        <v>0</v>
      </c>
      <c r="BV20" s="39" t="str">
        <f t="shared" si="3"/>
        <v/>
      </c>
      <c r="BW20" s="458" t="str">
        <f t="shared" si="4"/>
        <v/>
      </c>
      <c r="BX20" s="458" t="str">
        <f t="shared" si="5"/>
        <v/>
      </c>
      <c r="BY20" s="458" t="str">
        <f t="shared" si="6"/>
        <v/>
      </c>
      <c r="BZ20" s="458" t="str">
        <f t="shared" si="7"/>
        <v/>
      </c>
      <c r="CA20" s="40" t="str">
        <f t="shared" si="8"/>
        <v/>
      </c>
      <c r="CB20" s="40" t="str">
        <f t="shared" si="9"/>
        <v/>
      </c>
      <c r="CC20" s="39" t="str">
        <f t="shared" si="10"/>
        <v/>
      </c>
      <c r="CD20" s="458" t="str">
        <f t="shared" si="11"/>
        <v/>
      </c>
      <c r="CE20" s="41" t="str">
        <f t="shared" si="12"/>
        <v/>
      </c>
      <c r="CF20" s="39" t="str">
        <f t="shared" si="13"/>
        <v/>
      </c>
      <c r="CG20" s="458" t="str">
        <f t="shared" si="14"/>
        <v/>
      </c>
      <c r="CH20" s="458" t="str">
        <f t="shared" si="15"/>
        <v/>
      </c>
      <c r="CI20" s="458" t="str">
        <f t="shared" si="16"/>
        <v/>
      </c>
      <c r="CJ20" s="458" t="str">
        <f t="shared" si="17"/>
        <v/>
      </c>
      <c r="CK20" s="40" t="str">
        <f t="shared" si="18"/>
        <v/>
      </c>
      <c r="CL20" s="40" t="str">
        <f t="shared" si="19"/>
        <v/>
      </c>
      <c r="CM20" s="40" t="str">
        <f t="shared" si="20"/>
        <v/>
      </c>
      <c r="CN20" s="39" t="str">
        <f t="shared" si="21"/>
        <v/>
      </c>
      <c r="CO20" s="458" t="str">
        <f t="shared" si="22"/>
        <v/>
      </c>
      <c r="CP20" s="458" t="str">
        <f t="shared" si="23"/>
        <v/>
      </c>
      <c r="CQ20" s="458" t="str">
        <f t="shared" si="24"/>
        <v/>
      </c>
      <c r="CR20" s="458" t="str">
        <f t="shared" si="25"/>
        <v/>
      </c>
      <c r="CS20" s="40" t="str">
        <f t="shared" si="26"/>
        <v/>
      </c>
      <c r="CT20" s="40" t="str">
        <f t="shared" si="27"/>
        <v/>
      </c>
      <c r="CU20" s="41" t="str">
        <f t="shared" si="28"/>
        <v/>
      </c>
    </row>
    <row r="21" spans="1:99" x14ac:dyDescent="0.2">
      <c r="A21" s="77">
        <f t="shared" si="29"/>
        <v>16</v>
      </c>
      <c r="B21" s="81">
        <v>45072</v>
      </c>
      <c r="C21" s="82" t="s">
        <v>512</v>
      </c>
      <c r="D21" s="71" t="s">
        <v>3483</v>
      </c>
      <c r="E21" s="72" t="s">
        <v>42</v>
      </c>
      <c r="F21" s="73">
        <v>9</v>
      </c>
      <c r="G21" s="443" t="s">
        <v>3379</v>
      </c>
      <c r="H21" s="443" t="s">
        <v>3319</v>
      </c>
      <c r="I21" s="74"/>
      <c r="J21" s="75">
        <v>100</v>
      </c>
      <c r="K21" s="41">
        <f t="shared" si="34"/>
        <v>16700</v>
      </c>
      <c r="L21" s="104"/>
      <c r="M21" s="105"/>
      <c r="N21" s="106">
        <f t="shared" si="30"/>
        <v>10000</v>
      </c>
      <c r="O21" s="104"/>
      <c r="P21" s="105"/>
      <c r="Q21" s="106">
        <f t="shared" si="35"/>
        <v>0</v>
      </c>
      <c r="R21" s="104"/>
      <c r="S21" s="105"/>
      <c r="T21" s="106">
        <f t="shared" si="36"/>
        <v>0</v>
      </c>
      <c r="U21" s="439"/>
      <c r="V21" s="42">
        <f t="shared" si="0"/>
        <v>16</v>
      </c>
      <c r="W21" s="39" t="str">
        <f>IF(AND(E21='Povolené hodnoty'!$B$4,F21=2),I21+L21+O21+R21,"")</f>
        <v/>
      </c>
      <c r="X21" s="41" t="str">
        <f>IF(AND(E21='Povolené hodnoty'!$B$4,F21=1),I21+L21+O21+R21,"")</f>
        <v/>
      </c>
      <c r="Y21" s="39" t="str">
        <f>IF(AND(E21='Povolené hodnoty'!$B$4,F21=10),J21+M21+P21+S21,"")</f>
        <v/>
      </c>
      <c r="Z21" s="41">
        <f>IF(AND(E21='Povolené hodnoty'!$B$4,F21=9),J21+M21+P21+S21,"")</f>
        <v>100</v>
      </c>
      <c r="AA21" s="39" t="str">
        <f>IF(AND(E21&lt;&gt;'Povolené hodnoty'!$B$4,F21=2),I21+L21+O21+R21,"")</f>
        <v/>
      </c>
      <c r="AB21" s="40" t="str">
        <f>IF(AND(E21&lt;&gt;'Povolené hodnoty'!$B$4,F21=3),I21+L21+O21+R21,"")</f>
        <v/>
      </c>
      <c r="AC21" s="40" t="str">
        <f>IF(AND(E21&lt;&gt;'Povolené hodnoty'!$B$4,F21=4),I21+L21+O21+R21,"")</f>
        <v/>
      </c>
      <c r="AD21" s="40" t="str">
        <f>IF(AND(E21&lt;&gt;'Povolené hodnoty'!$B$4,F21="5a"),I21-J21+L21-M21+O21-P21+R21-S21,"")</f>
        <v/>
      </c>
      <c r="AE21" s="40" t="str">
        <f>IF(AND(E21&lt;&gt;'Povolené hodnoty'!$B$4,F21="5b"),I21-J21+L21-M21+O21-P21+R21-S21,"")</f>
        <v/>
      </c>
      <c r="AF21" s="40" t="str">
        <f>IF(AND(E21&lt;&gt;'Povolené hodnoty'!$B$4,F21=6),I21+L21+O21+R21,"")</f>
        <v/>
      </c>
      <c r="AG21" s="41" t="str">
        <f>IF(AND(E21&lt;&gt;'Povolené hodnoty'!$B$4,F21=7),I21+L21+O21+R21,"")</f>
        <v/>
      </c>
      <c r="AH21" s="39" t="str">
        <f>IF(AND(E21&lt;&gt;'Povolené hodnoty'!$B$4,F21=10),J21+M21+P21+S21,"")</f>
        <v/>
      </c>
      <c r="AI21" s="40" t="str">
        <f>IF(AND(E21&lt;&gt;'Povolené hodnoty'!$B$4,F21=11),J21+M21+P21+S21,"")</f>
        <v/>
      </c>
      <c r="AJ21" s="40" t="str">
        <f>IF(AND(E21&lt;&gt;'Povolené hodnoty'!$B$4,F21=12),J21+M21+P21+S21,"")</f>
        <v/>
      </c>
      <c r="AK21" s="41" t="str">
        <f>IF(AND(E21&lt;&gt;'Povolené hodnoty'!$B$4,F21=13),J21+M21+P21+S21,"")</f>
        <v/>
      </c>
      <c r="AL21" s="39" t="str">
        <f>IF(AND($G21='Povolené hodnoty'!$B$13,$H21=AL$4),SUM($I21,$L21,$O21,$R21),"")</f>
        <v/>
      </c>
      <c r="AM21" s="458" t="str">
        <f>IF(AND($G21='Povolené hodnoty'!$B$13,$H21=AM$4),SUM($I21,$L21,$O21,$R21),"")</f>
        <v/>
      </c>
      <c r="AN21" s="458" t="str">
        <f>IF(AND($G21='Povolené hodnoty'!$B$13,$H21=AN$4),SUM($I21,$L21,$O21,$R21),"")</f>
        <v/>
      </c>
      <c r="AO21" s="458" t="str">
        <f>IF(AND($G21='Povolené hodnoty'!$B$13,$H21=AO$4),SUM($I21,$L21,$O21,$R21),"")</f>
        <v/>
      </c>
      <c r="AP21" s="458" t="str">
        <f>IF(AND($G21='Povolené hodnoty'!$B$13,$H21=AP$4),SUM($I21,$L21,$O21,$R21),"")</f>
        <v/>
      </c>
      <c r="AQ21" s="40" t="str">
        <f>IF(AND($G21='Povolené hodnoty'!$B$13,OR($H21=AQ$4,$H21='Povolené hodnoty'!$E$36)),SUM($I21,-$J21,$L21,-$M21,$O21,-$P21,$R21,-$S21),"")</f>
        <v/>
      </c>
      <c r="AR21" s="40" t="str">
        <f>IF(AND($G21='Povolené hodnoty'!$B$13,$H21=AR$4),SUM($I21,$L21,$O21,$R21),"")</f>
        <v/>
      </c>
      <c r="AS21" s="41" t="str">
        <f>IF(AND($G21='Povolené hodnoty'!$B$13,$H21=AS$4),SUM($I21,$L21,$O21,$R21),"")</f>
        <v/>
      </c>
      <c r="AT21" s="39" t="str">
        <f>IF(AND($G21='Povolené hodnoty'!$B$14,$H21=AT$4),SUM($I21,$L21,$O21,$R21),"")</f>
        <v/>
      </c>
      <c r="AU21" s="458" t="str">
        <f>IF(AND($G21='Povolené hodnoty'!$B$14,$H21=AU$4),SUM($I21,$L21,$O21,$R21),"")</f>
        <v/>
      </c>
      <c r="AV21" s="41" t="str">
        <f>IF(AND($G21='Povolené hodnoty'!$B$14,$H21=AV$4),SUM($I21,$L21,$O21,$R21),"")</f>
        <v/>
      </c>
      <c r="AW21" s="39" t="str">
        <f>IF(AND($G21='Povolené hodnoty'!$B$13,$H21=AW$4),SUM($J21,$M21,$P21,$S21),"")</f>
        <v/>
      </c>
      <c r="AX21" s="458" t="str">
        <f>IF(AND($G21='Povolené hodnoty'!$B$13,$H21=AX$4),SUM($J21,$M21,$P21,$S21),"")</f>
        <v/>
      </c>
      <c r="AY21" s="458" t="str">
        <f>IF(AND($G21='Povolené hodnoty'!$B$13,$H21=AY$4),SUM($J21,$M21,$P21,$S21),"")</f>
        <v/>
      </c>
      <c r="AZ21" s="458" t="str">
        <f>IF(AND($G21='Povolené hodnoty'!$B$13,$H21=AZ$4),SUM($J21,$M21,$P21,$S21),"")</f>
        <v/>
      </c>
      <c r="BA21" s="458" t="str">
        <f>IF(AND($G21='Povolené hodnoty'!$B$13,$H21=BA$4),SUM($J21,$M21,$P21,$S21),"")</f>
        <v/>
      </c>
      <c r="BB21" s="40" t="str">
        <f>IF(AND($G21='Povolené hodnoty'!$B$13,$H21=BB$4),SUM($J21,$M21,$P21,$S21),"")</f>
        <v/>
      </c>
      <c r="BC21" s="40" t="str">
        <f>IF(AND($G21='Povolené hodnoty'!$B$13,$H21=BC$4),SUM($J21,$M21,$P21,$S21),"")</f>
        <v/>
      </c>
      <c r="BD21" s="40" t="str">
        <f>IF(AND($G21='Povolené hodnoty'!$B$13,$H21=BD$4),SUM($J21,$M21,$P21,$S21),"")</f>
        <v/>
      </c>
      <c r="BE21" s="41" t="str">
        <f>IF(AND($G21='Povolené hodnoty'!$B$13,$H21=BE$4),SUM($J21,$M21,$P21,$S21),"")</f>
        <v/>
      </c>
      <c r="BF21" s="39" t="str">
        <f>IF(AND($G21='Povolené hodnoty'!$B$14,$H21=BF$4),SUM($J21,$M21,$P21,$S21),"")</f>
        <v/>
      </c>
      <c r="BG21" s="458">
        <f>IF(AND($G21='Povolené hodnoty'!$B$14,$H21=BG$4),SUM($J21,$M21,$P21,$S21),"")</f>
        <v>100</v>
      </c>
      <c r="BH21" s="458" t="str">
        <f>IF(AND($G21='Povolené hodnoty'!$B$14,$H21=BH$4),SUM($J21,$M21,$P21,$S21),"")</f>
        <v/>
      </c>
      <c r="BI21" s="458" t="str">
        <f>IF(AND($G21='Povolené hodnoty'!$B$14,$H21=BI$4),SUM($J21,$M21,$P21,$S21),"")</f>
        <v/>
      </c>
      <c r="BJ21" s="458" t="str">
        <f>IF(AND($G21='Povolené hodnoty'!$B$14,$H21=BJ$4),SUM($J21,$M21,$P21,$S21),"")</f>
        <v/>
      </c>
      <c r="BK21" s="40" t="str">
        <f>IF(AND($G21='Povolené hodnoty'!$B$14,$H21=BK$4),SUM($J21,$M21,$P21,$S21),"")</f>
        <v/>
      </c>
      <c r="BL21" s="40" t="str">
        <f>IF(AND($G21='Povolené hodnoty'!$B$14,$H21=BL$4),SUM($J21,$M21,$P21,$S21),"")</f>
        <v/>
      </c>
      <c r="BM21" s="41" t="str">
        <f>IF(AND($G21='Povolené hodnoty'!$B$14,$H21=BM$4),SUM($J21,$M21,$P21,$S21),"")</f>
        <v/>
      </c>
      <c r="BO21" s="18" t="b">
        <f t="shared" si="33"/>
        <v>0</v>
      </c>
      <c r="BP21" s="18" t="b">
        <f t="shared" si="1"/>
        <v>0</v>
      </c>
      <c r="BQ21" s="18" t="b">
        <f>AND(E21&lt;&gt;'Povolené hodnoty'!$B$6,F21&lt;&gt;'Povolené hodnoty'!$D$7,F21&lt;&gt;'Povolené hodnoty'!$D$8,OR(SUM(I21,L21,O21,R21)&lt;&gt;SUM(W21:X21,AA21:AG21),SUM(J21,M21,P21,S21)&lt;&gt;SUM(Y21:Z21,AH21:AK21),COUNT(I21:J21,L21:M21,O21:P21,R21:S21)&lt;&gt;COUNT(W21:AK21)))</f>
        <v>0</v>
      </c>
      <c r="BR21" s="18" t="b">
        <f>OR(AND(E21='Povolené hodnoty'!$B$6,$BR$5),AND(E21='Povolené hodnoty'!$B$6,H21&lt;&gt;'Povolené hodnoty'!$E$26,H21&lt;&gt;'Povolené hodnoty'!$E$35),AND(E21&lt;&gt;'Povolené hodnoty'!$B$6,OR(H21='Povolené hodnoty'!$E$26,H21='Povolené hodnoty'!$E$35)))</f>
        <v>0</v>
      </c>
      <c r="BS21" s="18" t="b">
        <f>OR(AND(G21&lt;&gt;'Povolené hodnoty'!$B$13,OR(H21='Povolené hodnoty'!$E$21,H21='Povolené hodnoty'!$E$22,H21='Povolené hodnoty'!$E$23,H21='Povolené hodnoty'!$E$24,H21='Povolené hodnoty'!$E$26,H21='Povolené hodnoty'!$E$36)),COUNT(I21:J21,L21:M21,O21:P21,R21:S21)&lt;&gt;COUNT(AL21:BM21))</f>
        <v>0</v>
      </c>
      <c r="BT21" s="18" t="b">
        <f t="shared" si="2"/>
        <v>0</v>
      </c>
      <c r="BV21" s="39" t="str">
        <f t="shared" si="3"/>
        <v/>
      </c>
      <c r="BW21" s="458" t="str">
        <f t="shared" si="4"/>
        <v/>
      </c>
      <c r="BX21" s="458" t="str">
        <f t="shared" si="5"/>
        <v/>
      </c>
      <c r="BY21" s="458" t="str">
        <f t="shared" si="6"/>
        <v/>
      </c>
      <c r="BZ21" s="458" t="str">
        <f t="shared" si="7"/>
        <v/>
      </c>
      <c r="CA21" s="40" t="str">
        <f t="shared" si="8"/>
        <v/>
      </c>
      <c r="CB21" s="40" t="str">
        <f t="shared" si="9"/>
        <v/>
      </c>
      <c r="CC21" s="39" t="str">
        <f t="shared" si="10"/>
        <v/>
      </c>
      <c r="CD21" s="458" t="str">
        <f t="shared" si="11"/>
        <v/>
      </c>
      <c r="CE21" s="41" t="str">
        <f t="shared" si="12"/>
        <v/>
      </c>
      <c r="CF21" s="39" t="str">
        <f t="shared" si="13"/>
        <v/>
      </c>
      <c r="CG21" s="458" t="str">
        <f t="shared" si="14"/>
        <v/>
      </c>
      <c r="CH21" s="458" t="str">
        <f t="shared" si="15"/>
        <v/>
      </c>
      <c r="CI21" s="458" t="str">
        <f t="shared" si="16"/>
        <v/>
      </c>
      <c r="CJ21" s="458" t="str">
        <f t="shared" si="17"/>
        <v/>
      </c>
      <c r="CK21" s="40" t="str">
        <f t="shared" si="18"/>
        <v/>
      </c>
      <c r="CL21" s="40" t="str">
        <f t="shared" si="19"/>
        <v/>
      </c>
      <c r="CM21" s="40" t="str">
        <f t="shared" si="20"/>
        <v/>
      </c>
      <c r="CN21" s="39" t="str">
        <f t="shared" si="21"/>
        <v/>
      </c>
      <c r="CO21" s="458">
        <f t="shared" si="22"/>
        <v>100</v>
      </c>
      <c r="CP21" s="458" t="str">
        <f t="shared" si="23"/>
        <v/>
      </c>
      <c r="CQ21" s="458" t="str">
        <f t="shared" si="24"/>
        <v/>
      </c>
      <c r="CR21" s="458" t="str">
        <f t="shared" si="25"/>
        <v/>
      </c>
      <c r="CS21" s="40" t="str">
        <f t="shared" si="26"/>
        <v/>
      </c>
      <c r="CT21" s="40" t="str">
        <f t="shared" si="27"/>
        <v/>
      </c>
      <c r="CU21" s="41" t="str">
        <f t="shared" si="28"/>
        <v/>
      </c>
    </row>
    <row r="22" spans="1:99" x14ac:dyDescent="0.2">
      <c r="A22" s="77">
        <f t="shared" si="29"/>
        <v>17</v>
      </c>
      <c r="B22" s="81">
        <v>45072</v>
      </c>
      <c r="C22" s="82" t="s">
        <v>515</v>
      </c>
      <c r="D22" s="71" t="s">
        <v>3257</v>
      </c>
      <c r="E22" s="72" t="s">
        <v>42</v>
      </c>
      <c r="F22" s="73">
        <v>1</v>
      </c>
      <c r="G22" s="443" t="s">
        <v>3379</v>
      </c>
      <c r="H22" s="443" t="s">
        <v>3311</v>
      </c>
      <c r="I22" s="74">
        <v>1000</v>
      </c>
      <c r="J22" s="75"/>
      <c r="K22" s="41">
        <f t="shared" si="34"/>
        <v>17700</v>
      </c>
      <c r="L22" s="104"/>
      <c r="M22" s="105"/>
      <c r="N22" s="106">
        <f t="shared" si="30"/>
        <v>10000</v>
      </c>
      <c r="O22" s="104"/>
      <c r="P22" s="105"/>
      <c r="Q22" s="106">
        <f t="shared" si="35"/>
        <v>0</v>
      </c>
      <c r="R22" s="104"/>
      <c r="S22" s="105"/>
      <c r="T22" s="106">
        <f t="shared" si="36"/>
        <v>0</v>
      </c>
      <c r="U22" s="439"/>
      <c r="V22" s="42">
        <f t="shared" si="0"/>
        <v>17</v>
      </c>
      <c r="W22" s="39" t="str">
        <f>IF(AND(E22='Povolené hodnoty'!$B$4,F22=2),I22+L22+O22+R22,"")</f>
        <v/>
      </c>
      <c r="X22" s="41">
        <f>IF(AND(E22='Povolené hodnoty'!$B$4,F22=1),I22+L22+O22+R22,"")</f>
        <v>1000</v>
      </c>
      <c r="Y22" s="39" t="str">
        <f>IF(AND(E22='Povolené hodnoty'!$B$4,F22=10),J22+M22+P22+S22,"")</f>
        <v/>
      </c>
      <c r="Z22" s="41" t="str">
        <f>IF(AND(E22='Povolené hodnoty'!$B$4,F22=9),J22+M22+P22+S22,"")</f>
        <v/>
      </c>
      <c r="AA22" s="39" t="str">
        <f>IF(AND(E22&lt;&gt;'Povolené hodnoty'!$B$4,F22=2),I22+L22+O22+R22,"")</f>
        <v/>
      </c>
      <c r="AB22" s="40" t="str">
        <f>IF(AND(E22&lt;&gt;'Povolené hodnoty'!$B$4,F22=3),I22+L22+O22+R22,"")</f>
        <v/>
      </c>
      <c r="AC22" s="40" t="str">
        <f>IF(AND(E22&lt;&gt;'Povolené hodnoty'!$B$4,F22=4),I22+L22+O22+R22,"")</f>
        <v/>
      </c>
      <c r="AD22" s="40" t="str">
        <f>IF(AND(E22&lt;&gt;'Povolené hodnoty'!$B$4,F22="5a"),I22-J22+L22-M22+O22-P22+R22-S22,"")</f>
        <v/>
      </c>
      <c r="AE22" s="40" t="str">
        <f>IF(AND(E22&lt;&gt;'Povolené hodnoty'!$B$4,F22="5b"),I22-J22+L22-M22+O22-P22+R22-S22,"")</f>
        <v/>
      </c>
      <c r="AF22" s="40" t="str">
        <f>IF(AND(E22&lt;&gt;'Povolené hodnoty'!$B$4,F22=6),I22+L22+O22+R22,"")</f>
        <v/>
      </c>
      <c r="AG22" s="41" t="str">
        <f>IF(AND(E22&lt;&gt;'Povolené hodnoty'!$B$4,F22=7),I22+L22+O22+R22,"")</f>
        <v/>
      </c>
      <c r="AH22" s="39" t="str">
        <f>IF(AND(E22&lt;&gt;'Povolené hodnoty'!$B$4,F22=10),J22+M22+P22+S22,"")</f>
        <v/>
      </c>
      <c r="AI22" s="40" t="str">
        <f>IF(AND(E22&lt;&gt;'Povolené hodnoty'!$B$4,F22=11),J22+M22+P22+S22,"")</f>
        <v/>
      </c>
      <c r="AJ22" s="40" t="str">
        <f>IF(AND(E22&lt;&gt;'Povolené hodnoty'!$B$4,F22=12),J22+M22+P22+S22,"")</f>
        <v/>
      </c>
      <c r="AK22" s="41" t="str">
        <f>IF(AND(E22&lt;&gt;'Povolené hodnoty'!$B$4,F22=13),J22+M22+P22+S22,"")</f>
        <v/>
      </c>
      <c r="AL22" s="39" t="str">
        <f>IF(AND($G22='Povolené hodnoty'!$B$13,$H22=AL$4),SUM($I22,$L22,$O22,$R22),"")</f>
        <v/>
      </c>
      <c r="AM22" s="458" t="str">
        <f>IF(AND($G22='Povolené hodnoty'!$B$13,$H22=AM$4),SUM($I22,$L22,$O22,$R22),"")</f>
        <v/>
      </c>
      <c r="AN22" s="458" t="str">
        <f>IF(AND($G22='Povolené hodnoty'!$B$13,$H22=AN$4),SUM($I22,$L22,$O22,$R22),"")</f>
        <v/>
      </c>
      <c r="AO22" s="458" t="str">
        <f>IF(AND($G22='Povolené hodnoty'!$B$13,$H22=AO$4),SUM($I22,$L22,$O22,$R22),"")</f>
        <v/>
      </c>
      <c r="AP22" s="458" t="str">
        <f>IF(AND($G22='Povolené hodnoty'!$B$13,$H22=AP$4),SUM($I22,$L22,$O22,$R22),"")</f>
        <v/>
      </c>
      <c r="AQ22" s="40" t="str">
        <f>IF(AND($G22='Povolené hodnoty'!$B$13,OR($H22=AQ$4,$H22='Povolené hodnoty'!$E$36)),SUM($I22,-$J22,$L22,-$M22,$O22,-$P22,$R22,-$S22),"")</f>
        <v/>
      </c>
      <c r="AR22" s="40" t="str">
        <f>IF(AND($G22='Povolené hodnoty'!$B$13,$H22=AR$4),SUM($I22,$L22,$O22,$R22),"")</f>
        <v/>
      </c>
      <c r="AS22" s="41" t="str">
        <f>IF(AND($G22='Povolené hodnoty'!$B$13,$H22=AS$4),SUM($I22,$L22,$O22,$R22),"")</f>
        <v/>
      </c>
      <c r="AT22" s="39" t="str">
        <f>IF(AND($G22='Povolené hodnoty'!$B$14,$H22=AT$4),SUM($I22,$L22,$O22,$R22),"")</f>
        <v/>
      </c>
      <c r="AU22" s="458">
        <f>IF(AND($G22='Povolené hodnoty'!$B$14,$H22=AU$4),SUM($I22,$L22,$O22,$R22),"")</f>
        <v>1000</v>
      </c>
      <c r="AV22" s="41" t="str">
        <f>IF(AND($G22='Povolené hodnoty'!$B$14,$H22=AV$4),SUM($I22,$L22,$O22,$R22),"")</f>
        <v/>
      </c>
      <c r="AW22" s="39" t="str">
        <f>IF(AND($G22='Povolené hodnoty'!$B$13,$H22=AW$4),SUM($J22,$M22,$P22,$S22),"")</f>
        <v/>
      </c>
      <c r="AX22" s="458" t="str">
        <f>IF(AND($G22='Povolené hodnoty'!$B$13,$H22=AX$4),SUM($J22,$M22,$P22,$S22),"")</f>
        <v/>
      </c>
      <c r="AY22" s="458" t="str">
        <f>IF(AND($G22='Povolené hodnoty'!$B$13,$H22=AY$4),SUM($J22,$M22,$P22,$S22),"")</f>
        <v/>
      </c>
      <c r="AZ22" s="458" t="str">
        <f>IF(AND($G22='Povolené hodnoty'!$B$13,$H22=AZ$4),SUM($J22,$M22,$P22,$S22),"")</f>
        <v/>
      </c>
      <c r="BA22" s="458" t="str">
        <f>IF(AND($G22='Povolené hodnoty'!$B$13,$H22=BA$4),SUM($J22,$M22,$P22,$S22),"")</f>
        <v/>
      </c>
      <c r="BB22" s="40" t="str">
        <f>IF(AND($G22='Povolené hodnoty'!$B$13,$H22=BB$4),SUM($J22,$M22,$P22,$S22),"")</f>
        <v/>
      </c>
      <c r="BC22" s="40" t="str">
        <f>IF(AND($G22='Povolené hodnoty'!$B$13,$H22=BC$4),SUM($J22,$M22,$P22,$S22),"")</f>
        <v/>
      </c>
      <c r="BD22" s="40" t="str">
        <f>IF(AND($G22='Povolené hodnoty'!$B$13,$H22=BD$4),SUM($J22,$M22,$P22,$S22),"")</f>
        <v/>
      </c>
      <c r="BE22" s="41" t="str">
        <f>IF(AND($G22='Povolené hodnoty'!$B$13,$H22=BE$4),SUM($J22,$M22,$P22,$S22),"")</f>
        <v/>
      </c>
      <c r="BF22" s="39" t="str">
        <f>IF(AND($G22='Povolené hodnoty'!$B$14,$H22=BF$4),SUM($J22,$M22,$P22,$S22),"")</f>
        <v/>
      </c>
      <c r="BG22" s="458" t="str">
        <f>IF(AND($G22='Povolené hodnoty'!$B$14,$H22=BG$4),SUM($J22,$M22,$P22,$S22),"")</f>
        <v/>
      </c>
      <c r="BH22" s="458" t="str">
        <f>IF(AND($G22='Povolené hodnoty'!$B$14,$H22=BH$4),SUM($J22,$M22,$P22,$S22),"")</f>
        <v/>
      </c>
      <c r="BI22" s="458" t="str">
        <f>IF(AND($G22='Povolené hodnoty'!$B$14,$H22=BI$4),SUM($J22,$M22,$P22,$S22),"")</f>
        <v/>
      </c>
      <c r="BJ22" s="458" t="str">
        <f>IF(AND($G22='Povolené hodnoty'!$B$14,$H22=BJ$4),SUM($J22,$M22,$P22,$S22),"")</f>
        <v/>
      </c>
      <c r="BK22" s="40" t="str">
        <f>IF(AND($G22='Povolené hodnoty'!$B$14,$H22=BK$4),SUM($J22,$M22,$P22,$S22),"")</f>
        <v/>
      </c>
      <c r="BL22" s="40" t="str">
        <f>IF(AND($G22='Povolené hodnoty'!$B$14,$H22=BL$4),SUM($J22,$M22,$P22,$S22),"")</f>
        <v/>
      </c>
      <c r="BM22" s="41" t="str">
        <f>IF(AND($G22='Povolené hodnoty'!$B$14,$H22=BM$4),SUM($J22,$M22,$P22,$S22),"")</f>
        <v/>
      </c>
      <c r="BO22" s="18" t="b">
        <f t="shared" si="33"/>
        <v>0</v>
      </c>
      <c r="BP22" s="18" t="b">
        <f t="shared" si="1"/>
        <v>0</v>
      </c>
      <c r="BQ22" s="18" t="b">
        <f>AND(E22&lt;&gt;'Povolené hodnoty'!$B$6,F22&lt;&gt;'Povolené hodnoty'!$D$7,F22&lt;&gt;'Povolené hodnoty'!$D$8,OR(SUM(I22,L22,O22,R22)&lt;&gt;SUM(W22:X22,AA22:AG22),SUM(J22,M22,P22,S22)&lt;&gt;SUM(Y22:Z22,AH22:AK22),COUNT(I22:J22,L22:M22,O22:P22,R22:S22)&lt;&gt;COUNT(W22:AK22)))</f>
        <v>0</v>
      </c>
      <c r="BR22" s="18" t="b">
        <f>OR(AND(E22='Povolené hodnoty'!$B$6,$BR$5),AND(E22='Povolené hodnoty'!$B$6,H22&lt;&gt;'Povolené hodnoty'!$E$26,H22&lt;&gt;'Povolené hodnoty'!$E$35),AND(E22&lt;&gt;'Povolené hodnoty'!$B$6,OR(H22='Povolené hodnoty'!$E$26,H22='Povolené hodnoty'!$E$35)))</f>
        <v>0</v>
      </c>
      <c r="BS22" s="18" t="b">
        <f>OR(AND(G22&lt;&gt;'Povolené hodnoty'!$B$13,OR(H22='Povolené hodnoty'!$E$21,H22='Povolené hodnoty'!$E$22,H22='Povolené hodnoty'!$E$23,H22='Povolené hodnoty'!$E$24,H22='Povolené hodnoty'!$E$26,H22='Povolené hodnoty'!$E$36)),COUNT(I22:J22,L22:M22,O22:P22,R22:S22)&lt;&gt;COUNT(AL22:BM22))</f>
        <v>0</v>
      </c>
      <c r="BT22" s="18" t="b">
        <f t="shared" si="2"/>
        <v>0</v>
      </c>
      <c r="BV22" s="39" t="str">
        <f t="shared" si="3"/>
        <v/>
      </c>
      <c r="BW22" s="458" t="str">
        <f t="shared" si="4"/>
        <v/>
      </c>
      <c r="BX22" s="458" t="str">
        <f t="shared" si="5"/>
        <v/>
      </c>
      <c r="BY22" s="458" t="str">
        <f t="shared" si="6"/>
        <v/>
      </c>
      <c r="BZ22" s="458" t="str">
        <f t="shared" si="7"/>
        <v/>
      </c>
      <c r="CA22" s="40" t="str">
        <f t="shared" si="8"/>
        <v/>
      </c>
      <c r="CB22" s="40" t="str">
        <f t="shared" si="9"/>
        <v/>
      </c>
      <c r="CC22" s="39" t="str">
        <f t="shared" si="10"/>
        <v/>
      </c>
      <c r="CD22" s="458">
        <f t="shared" si="11"/>
        <v>1000</v>
      </c>
      <c r="CE22" s="41" t="str">
        <f t="shared" si="12"/>
        <v/>
      </c>
      <c r="CF22" s="39" t="str">
        <f t="shared" si="13"/>
        <v/>
      </c>
      <c r="CG22" s="458" t="str">
        <f t="shared" si="14"/>
        <v/>
      </c>
      <c r="CH22" s="458" t="str">
        <f t="shared" si="15"/>
        <v/>
      </c>
      <c r="CI22" s="458" t="str">
        <f t="shared" si="16"/>
        <v/>
      </c>
      <c r="CJ22" s="458" t="str">
        <f t="shared" si="17"/>
        <v/>
      </c>
      <c r="CK22" s="40" t="str">
        <f t="shared" si="18"/>
        <v/>
      </c>
      <c r="CL22" s="40" t="str">
        <f t="shared" si="19"/>
        <v/>
      </c>
      <c r="CM22" s="40" t="str">
        <f t="shared" si="20"/>
        <v/>
      </c>
      <c r="CN22" s="39" t="str">
        <f t="shared" si="21"/>
        <v/>
      </c>
      <c r="CO22" s="458" t="str">
        <f t="shared" si="22"/>
        <v/>
      </c>
      <c r="CP22" s="458" t="str">
        <f t="shared" si="23"/>
        <v/>
      </c>
      <c r="CQ22" s="458" t="str">
        <f t="shared" si="24"/>
        <v/>
      </c>
      <c r="CR22" s="458" t="str">
        <f t="shared" si="25"/>
        <v/>
      </c>
      <c r="CS22" s="40" t="str">
        <f t="shared" si="26"/>
        <v/>
      </c>
      <c r="CT22" s="40" t="str">
        <f t="shared" si="27"/>
        <v/>
      </c>
      <c r="CU22" s="41" t="str">
        <f t="shared" si="28"/>
        <v/>
      </c>
    </row>
    <row r="23" spans="1:99" x14ac:dyDescent="0.2">
      <c r="A23" s="77">
        <f t="shared" si="29"/>
        <v>18</v>
      </c>
      <c r="B23" s="81">
        <v>45072</v>
      </c>
      <c r="C23" s="82" t="s">
        <v>516</v>
      </c>
      <c r="D23" s="71" t="s">
        <v>3484</v>
      </c>
      <c r="E23" s="72" t="s">
        <v>43</v>
      </c>
      <c r="F23" s="73">
        <v>12</v>
      </c>
      <c r="G23" s="443" t="s">
        <v>3308</v>
      </c>
      <c r="H23" s="443" t="s">
        <v>3325</v>
      </c>
      <c r="I23" s="74"/>
      <c r="J23" s="75">
        <v>5000</v>
      </c>
      <c r="K23" s="41">
        <f t="shared" si="34"/>
        <v>12700</v>
      </c>
      <c r="L23" s="104"/>
      <c r="M23" s="105"/>
      <c r="N23" s="106">
        <f t="shared" si="30"/>
        <v>10000</v>
      </c>
      <c r="O23" s="104"/>
      <c r="P23" s="105"/>
      <c r="Q23" s="106">
        <f t="shared" si="35"/>
        <v>0</v>
      </c>
      <c r="R23" s="104"/>
      <c r="S23" s="105"/>
      <c r="T23" s="106">
        <f t="shared" si="36"/>
        <v>0</v>
      </c>
      <c r="U23" s="439"/>
      <c r="V23" s="42">
        <f t="shared" si="0"/>
        <v>18</v>
      </c>
      <c r="W23" s="39" t="str">
        <f>IF(AND(E23='Povolené hodnoty'!$B$4,F23=2),I23+L23+O23+R23,"")</f>
        <v/>
      </c>
      <c r="X23" s="41" t="str">
        <f>IF(AND(E23='Povolené hodnoty'!$B$4,F23=1),I23+L23+O23+R23,"")</f>
        <v/>
      </c>
      <c r="Y23" s="39" t="str">
        <f>IF(AND(E23='Povolené hodnoty'!$B$4,F23=10),J23+M23+P23+S23,"")</f>
        <v/>
      </c>
      <c r="Z23" s="41" t="str">
        <f>IF(AND(E23='Povolené hodnoty'!$B$4,F23=9),J23+M23+P23+S23,"")</f>
        <v/>
      </c>
      <c r="AA23" s="39" t="str">
        <f>IF(AND(E23&lt;&gt;'Povolené hodnoty'!$B$4,F23=2),I23+L23+O23+R23,"")</f>
        <v/>
      </c>
      <c r="AB23" s="40" t="str">
        <f>IF(AND(E23&lt;&gt;'Povolené hodnoty'!$B$4,F23=3),I23+L23+O23+R23,"")</f>
        <v/>
      </c>
      <c r="AC23" s="40" t="str">
        <f>IF(AND(E23&lt;&gt;'Povolené hodnoty'!$B$4,F23=4),I23+L23+O23+R23,"")</f>
        <v/>
      </c>
      <c r="AD23" s="40" t="str">
        <f>IF(AND(E23&lt;&gt;'Povolené hodnoty'!$B$4,F23="5a"),I23-J23+L23-M23+O23-P23+R23-S23,"")</f>
        <v/>
      </c>
      <c r="AE23" s="40" t="str">
        <f>IF(AND(E23&lt;&gt;'Povolené hodnoty'!$B$4,F23="5b"),I23-J23+L23-M23+O23-P23+R23-S23,"")</f>
        <v/>
      </c>
      <c r="AF23" s="40" t="str">
        <f>IF(AND(E23&lt;&gt;'Povolené hodnoty'!$B$4,F23=6),I23+L23+O23+R23,"")</f>
        <v/>
      </c>
      <c r="AG23" s="41" t="str">
        <f>IF(AND(E23&lt;&gt;'Povolené hodnoty'!$B$4,F23=7),I23+L23+O23+R23,"")</f>
        <v/>
      </c>
      <c r="AH23" s="39" t="str">
        <f>IF(AND(E23&lt;&gt;'Povolené hodnoty'!$B$4,F23=10),J23+M23+P23+S23,"")</f>
        <v/>
      </c>
      <c r="AI23" s="40" t="str">
        <f>IF(AND(E23&lt;&gt;'Povolené hodnoty'!$B$4,F23=11),J23+M23+P23+S23,"")</f>
        <v/>
      </c>
      <c r="AJ23" s="40">
        <f>IF(AND(E23&lt;&gt;'Povolené hodnoty'!$B$4,F23=12),J23+M23+P23+S23,"")</f>
        <v>5000</v>
      </c>
      <c r="AK23" s="41" t="str">
        <f>IF(AND(E23&lt;&gt;'Povolené hodnoty'!$B$4,F23=13),J23+M23+P23+S23,"")</f>
        <v/>
      </c>
      <c r="AL23" s="39" t="str">
        <f>IF(AND($G23='Povolené hodnoty'!$B$13,$H23=AL$4),SUM($I23,$L23,$O23,$R23),"")</f>
        <v/>
      </c>
      <c r="AM23" s="458" t="str">
        <f>IF(AND($G23='Povolené hodnoty'!$B$13,$H23=AM$4),SUM($I23,$L23,$O23,$R23),"")</f>
        <v/>
      </c>
      <c r="AN23" s="458" t="str">
        <f>IF(AND($G23='Povolené hodnoty'!$B$13,$H23=AN$4),SUM($I23,$L23,$O23,$R23),"")</f>
        <v/>
      </c>
      <c r="AO23" s="458" t="str">
        <f>IF(AND($G23='Povolené hodnoty'!$B$13,$H23=AO$4),SUM($I23,$L23,$O23,$R23),"")</f>
        <v/>
      </c>
      <c r="AP23" s="458" t="str">
        <f>IF(AND($G23='Povolené hodnoty'!$B$13,$H23=AP$4),SUM($I23,$L23,$O23,$R23),"")</f>
        <v/>
      </c>
      <c r="AQ23" s="40" t="str">
        <f>IF(AND($G23='Povolené hodnoty'!$B$13,OR($H23=AQ$4,$H23='Povolené hodnoty'!$E$36)),SUM($I23,-$J23,$L23,-$M23,$O23,-$P23,$R23,-$S23),"")</f>
        <v/>
      </c>
      <c r="AR23" s="40" t="str">
        <f>IF(AND($G23='Povolené hodnoty'!$B$13,$H23=AR$4),SUM($I23,$L23,$O23,$R23),"")</f>
        <v/>
      </c>
      <c r="AS23" s="41" t="str">
        <f>IF(AND($G23='Povolené hodnoty'!$B$13,$H23=AS$4),SUM($I23,$L23,$O23,$R23),"")</f>
        <v/>
      </c>
      <c r="AT23" s="39" t="str">
        <f>IF(AND($G23='Povolené hodnoty'!$B$14,$H23=AT$4),SUM($I23,$L23,$O23,$R23),"")</f>
        <v/>
      </c>
      <c r="AU23" s="458" t="str">
        <f>IF(AND($G23='Povolené hodnoty'!$B$14,$H23=AU$4),SUM($I23,$L23,$O23,$R23),"")</f>
        <v/>
      </c>
      <c r="AV23" s="41" t="str">
        <f>IF(AND($G23='Povolené hodnoty'!$B$14,$H23=AV$4),SUM($I23,$L23,$O23,$R23),"")</f>
        <v/>
      </c>
      <c r="AW23" s="39" t="str">
        <f>IF(AND($G23='Povolené hodnoty'!$B$13,$H23=AW$4),SUM($J23,$M23,$P23,$S23),"")</f>
        <v/>
      </c>
      <c r="AX23" s="458" t="str">
        <f>IF(AND($G23='Povolené hodnoty'!$B$13,$H23=AX$4),SUM($J23,$M23,$P23,$S23),"")</f>
        <v/>
      </c>
      <c r="AY23" s="458" t="str">
        <f>IF(AND($G23='Povolené hodnoty'!$B$13,$H23=AY$4),SUM($J23,$M23,$P23,$S23),"")</f>
        <v/>
      </c>
      <c r="AZ23" s="458" t="str">
        <f>IF(AND($G23='Povolené hodnoty'!$B$13,$H23=AZ$4),SUM($J23,$M23,$P23,$S23),"")</f>
        <v/>
      </c>
      <c r="BA23" s="458" t="str">
        <f>IF(AND($G23='Povolené hodnoty'!$B$13,$H23=BA$4),SUM($J23,$M23,$P23,$S23),"")</f>
        <v/>
      </c>
      <c r="BB23" s="40" t="str">
        <f>IF(AND($G23='Povolené hodnoty'!$B$13,$H23=BB$4),SUM($J23,$M23,$P23,$S23),"")</f>
        <v/>
      </c>
      <c r="BC23" s="40" t="str">
        <f>IF(AND($G23='Povolené hodnoty'!$B$13,$H23=BC$4),SUM($J23,$M23,$P23,$S23),"")</f>
        <v/>
      </c>
      <c r="BD23" s="40">
        <f>IF(AND($G23='Povolené hodnoty'!$B$13,$H23=BD$4),SUM($J23,$M23,$P23,$S23),"")</f>
        <v>5000</v>
      </c>
      <c r="BE23" s="41" t="str">
        <f>IF(AND($G23='Povolené hodnoty'!$B$13,$H23=BE$4),SUM($J23,$M23,$P23,$S23),"")</f>
        <v/>
      </c>
      <c r="BF23" s="39" t="str">
        <f>IF(AND($G23='Povolené hodnoty'!$B$14,$H23=BF$4),SUM($J23,$M23,$P23,$S23),"")</f>
        <v/>
      </c>
      <c r="BG23" s="458" t="str">
        <f>IF(AND($G23='Povolené hodnoty'!$B$14,$H23=BG$4),SUM($J23,$M23,$P23,$S23),"")</f>
        <v/>
      </c>
      <c r="BH23" s="458" t="str">
        <f>IF(AND($G23='Povolené hodnoty'!$B$14,$H23=BH$4),SUM($J23,$M23,$P23,$S23),"")</f>
        <v/>
      </c>
      <c r="BI23" s="458" t="str">
        <f>IF(AND($G23='Povolené hodnoty'!$B$14,$H23=BI$4),SUM($J23,$M23,$P23,$S23),"")</f>
        <v/>
      </c>
      <c r="BJ23" s="458" t="str">
        <f>IF(AND($G23='Povolené hodnoty'!$B$14,$H23=BJ$4),SUM($J23,$M23,$P23,$S23),"")</f>
        <v/>
      </c>
      <c r="BK23" s="40" t="str">
        <f>IF(AND($G23='Povolené hodnoty'!$B$14,$H23=BK$4),SUM($J23,$M23,$P23,$S23),"")</f>
        <v/>
      </c>
      <c r="BL23" s="40" t="str">
        <f>IF(AND($G23='Povolené hodnoty'!$B$14,$H23=BL$4),SUM($J23,$M23,$P23,$S23),"")</f>
        <v/>
      </c>
      <c r="BM23" s="41" t="str">
        <f>IF(AND($G23='Povolené hodnoty'!$B$14,$H23=BM$4),SUM($J23,$M23,$P23,$S23),"")</f>
        <v/>
      </c>
      <c r="BO23" s="18" t="b">
        <f t="shared" si="33"/>
        <v>0</v>
      </c>
      <c r="BP23" s="18" t="b">
        <f t="shared" si="1"/>
        <v>0</v>
      </c>
      <c r="BQ23" s="18" t="b">
        <f>AND(E23&lt;&gt;'Povolené hodnoty'!$B$6,F23&lt;&gt;'Povolené hodnoty'!$D$7,F23&lt;&gt;'Povolené hodnoty'!$D$8,OR(SUM(I23,L23,O23,R23)&lt;&gt;SUM(W23:X23,AA23:AG23),SUM(J23,M23,P23,S23)&lt;&gt;SUM(Y23:Z23,AH23:AK23),COUNT(I23:J23,L23:M23,O23:P23,R23:S23)&lt;&gt;COUNT(W23:AK23)))</f>
        <v>0</v>
      </c>
      <c r="BR23" s="18" t="b">
        <f>OR(AND(E23='Povolené hodnoty'!$B$6,$BR$5),AND(E23='Povolené hodnoty'!$B$6,H23&lt;&gt;'Povolené hodnoty'!$E$26,H23&lt;&gt;'Povolené hodnoty'!$E$35),AND(E23&lt;&gt;'Povolené hodnoty'!$B$6,OR(H23='Povolené hodnoty'!$E$26,H23='Povolené hodnoty'!$E$35)))</f>
        <v>0</v>
      </c>
      <c r="BS23" s="18" t="b">
        <f>OR(AND(G23&lt;&gt;'Povolené hodnoty'!$B$13,OR(H23='Povolené hodnoty'!$E$21,H23='Povolené hodnoty'!$E$22,H23='Povolené hodnoty'!$E$23,H23='Povolené hodnoty'!$E$24,H23='Povolené hodnoty'!$E$26,H23='Povolené hodnoty'!$E$36)),COUNT(I23:J23,L23:M23,O23:P23,R23:S23)&lt;&gt;COUNT(AL23:BM23))</f>
        <v>0</v>
      </c>
      <c r="BT23" s="18" t="b">
        <f t="shared" si="2"/>
        <v>0</v>
      </c>
      <c r="BV23" s="39" t="str">
        <f t="shared" si="3"/>
        <v/>
      </c>
      <c r="BW23" s="458" t="str">
        <f t="shared" si="4"/>
        <v/>
      </c>
      <c r="BX23" s="458" t="str">
        <f t="shared" si="5"/>
        <v/>
      </c>
      <c r="BY23" s="458" t="str">
        <f t="shared" si="6"/>
        <v/>
      </c>
      <c r="BZ23" s="458" t="str">
        <f t="shared" si="7"/>
        <v/>
      </c>
      <c r="CA23" s="40" t="str">
        <f t="shared" si="8"/>
        <v/>
      </c>
      <c r="CB23" s="40" t="str">
        <f t="shared" si="9"/>
        <v/>
      </c>
      <c r="CC23" s="39" t="str">
        <f t="shared" si="10"/>
        <v/>
      </c>
      <c r="CD23" s="458" t="str">
        <f t="shared" si="11"/>
        <v/>
      </c>
      <c r="CE23" s="41" t="str">
        <f t="shared" si="12"/>
        <v/>
      </c>
      <c r="CF23" s="39" t="str">
        <f t="shared" si="13"/>
        <v/>
      </c>
      <c r="CG23" s="458" t="str">
        <f t="shared" si="14"/>
        <v/>
      </c>
      <c r="CH23" s="458" t="str">
        <f t="shared" si="15"/>
        <v/>
      </c>
      <c r="CI23" s="458" t="str">
        <f t="shared" si="16"/>
        <v/>
      </c>
      <c r="CJ23" s="458" t="str">
        <f t="shared" si="17"/>
        <v/>
      </c>
      <c r="CK23" s="40" t="str">
        <f t="shared" si="18"/>
        <v/>
      </c>
      <c r="CL23" s="40" t="str">
        <f t="shared" si="19"/>
        <v/>
      </c>
      <c r="CM23" s="40" t="str">
        <f t="shared" si="20"/>
        <v/>
      </c>
      <c r="CN23" s="39" t="str">
        <f t="shared" si="21"/>
        <v/>
      </c>
      <c r="CO23" s="458" t="str">
        <f t="shared" si="22"/>
        <v/>
      </c>
      <c r="CP23" s="458" t="str">
        <f t="shared" si="23"/>
        <v/>
      </c>
      <c r="CQ23" s="458" t="str">
        <f t="shared" si="24"/>
        <v/>
      </c>
      <c r="CR23" s="458" t="str">
        <f t="shared" si="25"/>
        <v/>
      </c>
      <c r="CS23" s="40" t="str">
        <f t="shared" si="26"/>
        <v/>
      </c>
      <c r="CT23" s="40" t="str">
        <f t="shared" si="27"/>
        <v/>
      </c>
      <c r="CU23" s="41" t="str">
        <f t="shared" si="28"/>
        <v/>
      </c>
    </row>
    <row r="24" spans="1:99" x14ac:dyDescent="0.2">
      <c r="A24" s="77">
        <f t="shared" si="29"/>
        <v>19</v>
      </c>
      <c r="B24" s="81">
        <v>45076</v>
      </c>
      <c r="C24" s="82" t="s">
        <v>506</v>
      </c>
      <c r="D24" s="71" t="s">
        <v>3485</v>
      </c>
      <c r="E24" s="72" t="s">
        <v>66</v>
      </c>
      <c r="F24" s="73" t="s">
        <v>65</v>
      </c>
      <c r="G24" s="443" t="s">
        <v>3308</v>
      </c>
      <c r="H24" s="443" t="s">
        <v>3326</v>
      </c>
      <c r="I24" s="74"/>
      <c r="J24" s="75"/>
      <c r="K24" s="41">
        <f t="shared" si="34"/>
        <v>12700</v>
      </c>
      <c r="L24" s="104"/>
      <c r="M24" s="105">
        <v>4000</v>
      </c>
      <c r="N24" s="106">
        <f t="shared" si="30"/>
        <v>6000</v>
      </c>
      <c r="O24" s="104"/>
      <c r="P24" s="105"/>
      <c r="Q24" s="106">
        <f t="shared" si="35"/>
        <v>0</v>
      </c>
      <c r="R24" s="104"/>
      <c r="S24" s="105"/>
      <c r="T24" s="106">
        <f t="shared" si="36"/>
        <v>0</v>
      </c>
      <c r="U24" s="439"/>
      <c r="V24" s="42">
        <f t="shared" si="0"/>
        <v>19</v>
      </c>
      <c r="W24" s="39" t="str">
        <f>IF(AND(E24='Povolené hodnoty'!$B$4,F24=2),I24+L24+O24+R24,"")</f>
        <v/>
      </c>
      <c r="X24" s="41" t="str">
        <f>IF(AND(E24='Povolené hodnoty'!$B$4,F24=1),I24+L24+O24+R24,"")</f>
        <v/>
      </c>
      <c r="Y24" s="39" t="str">
        <f>IF(AND(E24='Povolené hodnoty'!$B$4,F24=10),J24+M24+P24+S24,"")</f>
        <v/>
      </c>
      <c r="Z24" s="41" t="str">
        <f>IF(AND(E24='Povolené hodnoty'!$B$4,F24=9),J24+M24+P24+S24,"")</f>
        <v/>
      </c>
      <c r="AA24" s="39" t="str">
        <f>IF(AND(E24&lt;&gt;'Povolené hodnoty'!$B$4,F24=2),I24+L24+O24+R24,"")</f>
        <v/>
      </c>
      <c r="AB24" s="40" t="str">
        <f>IF(AND(E24&lt;&gt;'Povolené hodnoty'!$B$4,F24=3),I24+L24+O24+R24,"")</f>
        <v/>
      </c>
      <c r="AC24" s="40" t="str">
        <f>IF(AND(E24&lt;&gt;'Povolené hodnoty'!$B$4,F24=4),I24+L24+O24+R24,"")</f>
        <v/>
      </c>
      <c r="AD24" s="40" t="str">
        <f>IF(AND(E24&lt;&gt;'Povolené hodnoty'!$B$4,F24="5a"),I24-J24+L24-M24+O24-P24+R24-S24,"")</f>
        <v/>
      </c>
      <c r="AE24" s="40" t="str">
        <f>IF(AND(E24&lt;&gt;'Povolené hodnoty'!$B$4,F24="5b"),I24-J24+L24-M24+O24-P24+R24-S24,"")</f>
        <v/>
      </c>
      <c r="AF24" s="40" t="str">
        <f>IF(AND(E24&lt;&gt;'Povolené hodnoty'!$B$4,F24=6),I24+L24+O24+R24,"")</f>
        <v/>
      </c>
      <c r="AG24" s="41" t="str">
        <f>IF(AND(E24&lt;&gt;'Povolené hodnoty'!$B$4,F24=7),I24+L24+O24+R24,"")</f>
        <v/>
      </c>
      <c r="AH24" s="39" t="str">
        <f>IF(AND(E24&lt;&gt;'Povolené hodnoty'!$B$4,F24=10),J24+M24+P24+S24,"")</f>
        <v/>
      </c>
      <c r="AI24" s="40" t="str">
        <f>IF(AND(E24&lt;&gt;'Povolené hodnoty'!$B$4,F24=11),J24+M24+P24+S24,"")</f>
        <v/>
      </c>
      <c r="AJ24" s="40" t="str">
        <f>IF(AND(E24&lt;&gt;'Povolené hodnoty'!$B$4,F24=12),J24+M24+P24+S24,"")</f>
        <v/>
      </c>
      <c r="AK24" s="41" t="str">
        <f>IF(AND(E24&lt;&gt;'Povolené hodnoty'!$B$4,F24=13),J24+M24+P24+S24,"")</f>
        <v/>
      </c>
      <c r="AL24" s="39" t="str">
        <f>IF(AND($G24='Povolené hodnoty'!$B$13,$H24=AL$4),SUM($I24,$L24,$O24,$R24),"")</f>
        <v/>
      </c>
      <c r="AM24" s="458" t="str">
        <f>IF(AND($G24='Povolené hodnoty'!$B$13,$H24=AM$4),SUM($I24,$L24,$O24,$R24),"")</f>
        <v/>
      </c>
      <c r="AN24" s="458" t="str">
        <f>IF(AND($G24='Povolené hodnoty'!$B$13,$H24=AN$4),SUM($I24,$L24,$O24,$R24),"")</f>
        <v/>
      </c>
      <c r="AO24" s="458" t="str">
        <f>IF(AND($G24='Povolené hodnoty'!$B$13,$H24=AO$4),SUM($I24,$L24,$O24,$R24),"")</f>
        <v/>
      </c>
      <c r="AP24" s="458" t="str">
        <f>IF(AND($G24='Povolené hodnoty'!$B$13,$H24=AP$4),SUM($I24,$L24,$O24,$R24),"")</f>
        <v/>
      </c>
      <c r="AQ24" s="40" t="str">
        <f>IF(AND($G24='Povolené hodnoty'!$B$13,OR($H24=AQ$4,$H24='Povolené hodnoty'!$E$36)),SUM($I24,-$J24,$L24,-$M24,$O24,-$P24,$R24,-$S24),"")</f>
        <v/>
      </c>
      <c r="AR24" s="40" t="str">
        <f>IF(AND($G24='Povolené hodnoty'!$B$13,$H24=AR$4),SUM($I24,$L24,$O24,$R24),"")</f>
        <v/>
      </c>
      <c r="AS24" s="41" t="str">
        <f>IF(AND($G24='Povolené hodnoty'!$B$13,$H24=AS$4),SUM($I24,$L24,$O24,$R24),"")</f>
        <v/>
      </c>
      <c r="AT24" s="39" t="str">
        <f>IF(AND($G24='Povolené hodnoty'!$B$14,$H24=AT$4),SUM($I24,$L24,$O24,$R24),"")</f>
        <v/>
      </c>
      <c r="AU24" s="458" t="str">
        <f>IF(AND($G24='Povolené hodnoty'!$B$14,$H24=AU$4),SUM($I24,$L24,$O24,$R24),"")</f>
        <v/>
      </c>
      <c r="AV24" s="41" t="str">
        <f>IF(AND($G24='Povolené hodnoty'!$B$14,$H24=AV$4),SUM($I24,$L24,$O24,$R24),"")</f>
        <v/>
      </c>
      <c r="AW24" s="39" t="str">
        <f>IF(AND($G24='Povolené hodnoty'!$B$13,$H24=AW$4),SUM($J24,$M24,$P24,$S24),"")</f>
        <v/>
      </c>
      <c r="AX24" s="458" t="str">
        <f>IF(AND($G24='Povolené hodnoty'!$B$13,$H24=AX$4),SUM($J24,$M24,$P24,$S24),"")</f>
        <v/>
      </c>
      <c r="AY24" s="458" t="str">
        <f>IF(AND($G24='Povolené hodnoty'!$B$13,$H24=AY$4),SUM($J24,$M24,$P24,$S24),"")</f>
        <v/>
      </c>
      <c r="AZ24" s="458" t="str">
        <f>IF(AND($G24='Povolené hodnoty'!$B$13,$H24=AZ$4),SUM($J24,$M24,$P24,$S24),"")</f>
        <v/>
      </c>
      <c r="BA24" s="458" t="str">
        <f>IF(AND($G24='Povolené hodnoty'!$B$13,$H24=BA$4),SUM($J24,$M24,$P24,$S24),"")</f>
        <v/>
      </c>
      <c r="BB24" s="40" t="str">
        <f>IF(AND($G24='Povolené hodnoty'!$B$13,$H24=BB$4),SUM($J24,$M24,$P24,$S24),"")</f>
        <v/>
      </c>
      <c r="BC24" s="40" t="str">
        <f>IF(AND($G24='Povolené hodnoty'!$B$13,$H24=BC$4),SUM($J24,$M24,$P24,$S24),"")</f>
        <v/>
      </c>
      <c r="BD24" s="40" t="str">
        <f>IF(AND($G24='Povolené hodnoty'!$B$13,$H24=BD$4),SUM($J24,$M24,$P24,$S24),"")</f>
        <v/>
      </c>
      <c r="BE24" s="41">
        <f>IF(AND($G24='Povolené hodnoty'!$B$13,$H24=BE$4),SUM($J24,$M24,$P24,$S24),"")</f>
        <v>4000</v>
      </c>
      <c r="BF24" s="39" t="str">
        <f>IF(AND($G24='Povolené hodnoty'!$B$14,$H24=BF$4),SUM($J24,$M24,$P24,$S24),"")</f>
        <v/>
      </c>
      <c r="BG24" s="458" t="str">
        <f>IF(AND($G24='Povolené hodnoty'!$B$14,$H24=BG$4),SUM($J24,$M24,$P24,$S24),"")</f>
        <v/>
      </c>
      <c r="BH24" s="458" t="str">
        <f>IF(AND($G24='Povolené hodnoty'!$B$14,$H24=BH$4),SUM($J24,$M24,$P24,$S24),"")</f>
        <v/>
      </c>
      <c r="BI24" s="458" t="str">
        <f>IF(AND($G24='Povolené hodnoty'!$B$14,$H24=BI$4),SUM($J24,$M24,$P24,$S24),"")</f>
        <v/>
      </c>
      <c r="BJ24" s="458" t="str">
        <f>IF(AND($G24='Povolené hodnoty'!$B$14,$H24=BJ$4),SUM($J24,$M24,$P24,$S24),"")</f>
        <v/>
      </c>
      <c r="BK24" s="40" t="str">
        <f>IF(AND($G24='Povolené hodnoty'!$B$14,$H24=BK$4),SUM($J24,$M24,$P24,$S24),"")</f>
        <v/>
      </c>
      <c r="BL24" s="40" t="str">
        <f>IF(AND($G24='Povolené hodnoty'!$B$14,$H24=BL$4),SUM($J24,$M24,$P24,$S24),"")</f>
        <v/>
      </c>
      <c r="BM24" s="41" t="str">
        <f>IF(AND($G24='Povolené hodnoty'!$B$14,$H24=BM$4),SUM($J24,$M24,$P24,$S24),"")</f>
        <v/>
      </c>
      <c r="BO24" s="18" t="b">
        <f t="shared" si="33"/>
        <v>0</v>
      </c>
      <c r="BP24" s="18" t="b">
        <f t="shared" si="1"/>
        <v>0</v>
      </c>
      <c r="BQ24" s="18" t="b">
        <f>AND(E24&lt;&gt;'Povolené hodnoty'!$B$6,F24&lt;&gt;'Povolené hodnoty'!$D$7,F24&lt;&gt;'Povolené hodnoty'!$D$8,OR(SUM(I24,L24,O24,R24)&lt;&gt;SUM(W24:X24,AA24:AG24),SUM(J24,M24,P24,S24)&lt;&gt;SUM(Y24:Z24,AH24:AK24),COUNT(I24:J24,L24:M24,O24:P24,R24:S24)&lt;&gt;COUNT(W24:AK24)))</f>
        <v>0</v>
      </c>
      <c r="BR24" s="18" t="b">
        <f>OR(AND(E24='Povolené hodnoty'!$B$6,$BR$5),AND(E24='Povolené hodnoty'!$B$6,H24&lt;&gt;'Povolené hodnoty'!$E$26,H24&lt;&gt;'Povolené hodnoty'!$E$35),AND(E24&lt;&gt;'Povolené hodnoty'!$B$6,OR(H24='Povolené hodnoty'!$E$26,H24='Povolené hodnoty'!$E$35)))</f>
        <v>0</v>
      </c>
      <c r="BS24" s="18" t="b">
        <f>OR(AND(G24&lt;&gt;'Povolené hodnoty'!$B$13,OR(H24='Povolené hodnoty'!$E$21,H24='Povolené hodnoty'!$E$22,H24='Povolené hodnoty'!$E$23,H24='Povolené hodnoty'!$E$24,H24='Povolené hodnoty'!$E$26,H24='Povolené hodnoty'!$E$36)),COUNT(I24:J24,L24:M24,O24:P24,R24:S24)&lt;&gt;COUNT(AL24:BM24))</f>
        <v>0</v>
      </c>
      <c r="BT24" s="18" t="b">
        <f t="shared" si="2"/>
        <v>0</v>
      </c>
      <c r="BV24" s="39" t="str">
        <f t="shared" si="3"/>
        <v/>
      </c>
      <c r="BW24" s="458" t="str">
        <f t="shared" si="4"/>
        <v/>
      </c>
      <c r="BX24" s="458" t="str">
        <f t="shared" si="5"/>
        <v/>
      </c>
      <c r="BY24" s="458" t="str">
        <f t="shared" si="6"/>
        <v/>
      </c>
      <c r="BZ24" s="458" t="str">
        <f t="shared" si="7"/>
        <v/>
      </c>
      <c r="CA24" s="40" t="str">
        <f t="shared" si="8"/>
        <v/>
      </c>
      <c r="CB24" s="40" t="str">
        <f t="shared" si="9"/>
        <v/>
      </c>
      <c r="CC24" s="39" t="str">
        <f t="shared" si="10"/>
        <v/>
      </c>
      <c r="CD24" s="458" t="str">
        <f t="shared" si="11"/>
        <v/>
      </c>
      <c r="CE24" s="41" t="str">
        <f t="shared" si="12"/>
        <v/>
      </c>
      <c r="CF24" s="39" t="str">
        <f t="shared" si="13"/>
        <v/>
      </c>
      <c r="CG24" s="458" t="str">
        <f t="shared" si="14"/>
        <v/>
      </c>
      <c r="CH24" s="458" t="str">
        <f t="shared" si="15"/>
        <v/>
      </c>
      <c r="CI24" s="458" t="str">
        <f t="shared" si="16"/>
        <v/>
      </c>
      <c r="CJ24" s="458" t="str">
        <f t="shared" si="17"/>
        <v/>
      </c>
      <c r="CK24" s="40" t="str">
        <f t="shared" si="18"/>
        <v/>
      </c>
      <c r="CL24" s="40" t="str">
        <f t="shared" si="19"/>
        <v/>
      </c>
      <c r="CM24" s="40" t="str">
        <f t="shared" si="20"/>
        <v/>
      </c>
      <c r="CN24" s="39" t="str">
        <f t="shared" si="21"/>
        <v/>
      </c>
      <c r="CO24" s="458" t="str">
        <f t="shared" si="22"/>
        <v/>
      </c>
      <c r="CP24" s="458" t="str">
        <f t="shared" si="23"/>
        <v/>
      </c>
      <c r="CQ24" s="458" t="str">
        <f t="shared" si="24"/>
        <v/>
      </c>
      <c r="CR24" s="458" t="str">
        <f t="shared" si="25"/>
        <v/>
      </c>
      <c r="CS24" s="40" t="str">
        <f t="shared" si="26"/>
        <v/>
      </c>
      <c r="CT24" s="40" t="str">
        <f t="shared" si="27"/>
        <v/>
      </c>
      <c r="CU24" s="41" t="str">
        <f t="shared" si="28"/>
        <v/>
      </c>
    </row>
    <row r="25" spans="1:99" x14ac:dyDescent="0.2">
      <c r="A25" s="77">
        <f t="shared" si="29"/>
        <v>20</v>
      </c>
      <c r="B25" s="81">
        <v>45076</v>
      </c>
      <c r="C25" s="82" t="s">
        <v>106</v>
      </c>
      <c r="D25" s="71" t="s">
        <v>3258</v>
      </c>
      <c r="E25" s="72" t="s">
        <v>66</v>
      </c>
      <c r="F25" s="73" t="s">
        <v>65</v>
      </c>
      <c r="G25" s="443" t="s">
        <v>3308</v>
      </c>
      <c r="H25" s="443" t="s">
        <v>3317</v>
      </c>
      <c r="I25" s="74">
        <v>4000</v>
      </c>
      <c r="J25" s="75"/>
      <c r="K25" s="41">
        <f t="shared" si="34"/>
        <v>16700</v>
      </c>
      <c r="L25" s="104"/>
      <c r="M25" s="105"/>
      <c r="N25" s="106">
        <f t="shared" si="30"/>
        <v>6000</v>
      </c>
      <c r="O25" s="104"/>
      <c r="P25" s="105"/>
      <c r="Q25" s="106">
        <f t="shared" si="35"/>
        <v>0</v>
      </c>
      <c r="R25" s="104"/>
      <c r="S25" s="105"/>
      <c r="T25" s="106">
        <f t="shared" si="36"/>
        <v>0</v>
      </c>
      <c r="U25" s="439"/>
      <c r="V25" s="42">
        <f t="shared" si="0"/>
        <v>20</v>
      </c>
      <c r="W25" s="39" t="str">
        <f>IF(AND(E25='Povolené hodnoty'!$B$4,F25=2),I25+L25+O25+R25,"")</f>
        <v/>
      </c>
      <c r="X25" s="41" t="str">
        <f>IF(AND(E25='Povolené hodnoty'!$B$4,F25=1),I25+L25+O25+R25,"")</f>
        <v/>
      </c>
      <c r="Y25" s="39" t="str">
        <f>IF(AND(E25='Povolené hodnoty'!$B$4,F25=10),J25+M25+P25+S25,"")</f>
        <v/>
      </c>
      <c r="Z25" s="41" t="str">
        <f>IF(AND(E25='Povolené hodnoty'!$B$4,F25=9),J25+M25+P25+S25,"")</f>
        <v/>
      </c>
      <c r="AA25" s="39" t="str">
        <f>IF(AND(E25&lt;&gt;'Povolené hodnoty'!$B$4,F25=2),I25+L25+O25+R25,"")</f>
        <v/>
      </c>
      <c r="AB25" s="40" t="str">
        <f>IF(AND(E25&lt;&gt;'Povolené hodnoty'!$B$4,F25=3),I25+L25+O25+R25,"")</f>
        <v/>
      </c>
      <c r="AC25" s="40" t="str">
        <f>IF(AND(E25&lt;&gt;'Povolené hodnoty'!$B$4,F25=4),I25+L25+O25+R25,"")</f>
        <v/>
      </c>
      <c r="AD25" s="40" t="str">
        <f>IF(AND(E25&lt;&gt;'Povolené hodnoty'!$B$4,F25="5a"),I25-J25+L25-M25+O25-P25+R25-S25,"")</f>
        <v/>
      </c>
      <c r="AE25" s="40" t="str">
        <f>IF(AND(E25&lt;&gt;'Povolené hodnoty'!$B$4,F25="5b"),I25-J25+L25-M25+O25-P25+R25-S25,"")</f>
        <v/>
      </c>
      <c r="AF25" s="40" t="str">
        <f>IF(AND(E25&lt;&gt;'Povolené hodnoty'!$B$4,F25=6),I25+L25+O25+R25,"")</f>
        <v/>
      </c>
      <c r="AG25" s="41" t="str">
        <f>IF(AND(E25&lt;&gt;'Povolené hodnoty'!$B$4,F25=7),I25+L25+O25+R25,"")</f>
        <v/>
      </c>
      <c r="AH25" s="39" t="str">
        <f>IF(AND(E25&lt;&gt;'Povolené hodnoty'!$B$4,F25=10),J25+M25+P25+S25,"")</f>
        <v/>
      </c>
      <c r="AI25" s="40" t="str">
        <f>IF(AND(E25&lt;&gt;'Povolené hodnoty'!$B$4,F25=11),J25+M25+P25+S25,"")</f>
        <v/>
      </c>
      <c r="AJ25" s="40" t="str">
        <f>IF(AND(E25&lt;&gt;'Povolené hodnoty'!$B$4,F25=12),J25+M25+P25+S25,"")</f>
        <v/>
      </c>
      <c r="AK25" s="41" t="str">
        <f>IF(AND(E25&lt;&gt;'Povolené hodnoty'!$B$4,F25=13),J25+M25+P25+S25,"")</f>
        <v/>
      </c>
      <c r="AL25" s="39" t="str">
        <f>IF(AND($G25='Povolené hodnoty'!$B$13,$H25=AL$4),SUM($I25,$L25,$O25,$R25),"")</f>
        <v/>
      </c>
      <c r="AM25" s="458" t="str">
        <f>IF(AND($G25='Povolené hodnoty'!$B$13,$H25=AM$4),SUM($I25,$L25,$O25,$R25),"")</f>
        <v/>
      </c>
      <c r="AN25" s="458" t="str">
        <f>IF(AND($G25='Povolené hodnoty'!$B$13,$H25=AN$4),SUM($I25,$L25,$O25,$R25),"")</f>
        <v/>
      </c>
      <c r="AO25" s="458" t="str">
        <f>IF(AND($G25='Povolené hodnoty'!$B$13,$H25=AO$4),SUM($I25,$L25,$O25,$R25),"")</f>
        <v/>
      </c>
      <c r="AP25" s="458" t="str">
        <f>IF(AND($G25='Povolené hodnoty'!$B$13,$H25=AP$4),SUM($I25,$L25,$O25,$R25),"")</f>
        <v/>
      </c>
      <c r="AQ25" s="40" t="str">
        <f>IF(AND($G25='Povolené hodnoty'!$B$13,OR($H25=AQ$4,$H25='Povolené hodnoty'!$E$36)),SUM($I25,-$J25,$L25,-$M25,$O25,-$P25,$R25,-$S25),"")</f>
        <v/>
      </c>
      <c r="AR25" s="40" t="str">
        <f>IF(AND($G25='Povolené hodnoty'!$B$13,$H25=AR$4),SUM($I25,$L25,$O25,$R25),"")</f>
        <v/>
      </c>
      <c r="AS25" s="41">
        <f>IF(AND($G25='Povolené hodnoty'!$B$13,$H25=AS$4),SUM($I25,$L25,$O25,$R25),"")</f>
        <v>4000</v>
      </c>
      <c r="AT25" s="39" t="str">
        <f>IF(AND($G25='Povolené hodnoty'!$B$14,$H25=AT$4),SUM($I25,$L25,$O25,$R25),"")</f>
        <v/>
      </c>
      <c r="AU25" s="458" t="str">
        <f>IF(AND($G25='Povolené hodnoty'!$B$14,$H25=AU$4),SUM($I25,$L25,$O25,$R25),"")</f>
        <v/>
      </c>
      <c r="AV25" s="41" t="str">
        <f>IF(AND($G25='Povolené hodnoty'!$B$14,$H25=AV$4),SUM($I25,$L25,$O25,$R25),"")</f>
        <v/>
      </c>
      <c r="AW25" s="39" t="str">
        <f>IF(AND($G25='Povolené hodnoty'!$B$13,$H25=AW$4),SUM($J25,$M25,$P25,$S25),"")</f>
        <v/>
      </c>
      <c r="AX25" s="458" t="str">
        <f>IF(AND($G25='Povolené hodnoty'!$B$13,$H25=AX$4),SUM($J25,$M25,$P25,$S25),"")</f>
        <v/>
      </c>
      <c r="AY25" s="458" t="str">
        <f>IF(AND($G25='Povolené hodnoty'!$B$13,$H25=AY$4),SUM($J25,$M25,$P25,$S25),"")</f>
        <v/>
      </c>
      <c r="AZ25" s="458" t="str">
        <f>IF(AND($G25='Povolené hodnoty'!$B$13,$H25=AZ$4),SUM($J25,$M25,$P25,$S25),"")</f>
        <v/>
      </c>
      <c r="BA25" s="458" t="str">
        <f>IF(AND($G25='Povolené hodnoty'!$B$13,$H25=BA$4),SUM($J25,$M25,$P25,$S25),"")</f>
        <v/>
      </c>
      <c r="BB25" s="40" t="str">
        <f>IF(AND($G25='Povolené hodnoty'!$B$13,$H25=BB$4),SUM($J25,$M25,$P25,$S25),"")</f>
        <v/>
      </c>
      <c r="BC25" s="40" t="str">
        <f>IF(AND($G25='Povolené hodnoty'!$B$13,$H25=BC$4),SUM($J25,$M25,$P25,$S25),"")</f>
        <v/>
      </c>
      <c r="BD25" s="40" t="str">
        <f>IF(AND($G25='Povolené hodnoty'!$B$13,$H25=BD$4),SUM($J25,$M25,$P25,$S25),"")</f>
        <v/>
      </c>
      <c r="BE25" s="41" t="str">
        <f>IF(AND($G25='Povolené hodnoty'!$B$13,$H25=BE$4),SUM($J25,$M25,$P25,$S25),"")</f>
        <v/>
      </c>
      <c r="BF25" s="39" t="str">
        <f>IF(AND($G25='Povolené hodnoty'!$B$14,$H25=BF$4),SUM($J25,$M25,$P25,$S25),"")</f>
        <v/>
      </c>
      <c r="BG25" s="458" t="str">
        <f>IF(AND($G25='Povolené hodnoty'!$B$14,$H25=BG$4),SUM($J25,$M25,$P25,$S25),"")</f>
        <v/>
      </c>
      <c r="BH25" s="458" t="str">
        <f>IF(AND($G25='Povolené hodnoty'!$B$14,$H25=BH$4),SUM($J25,$M25,$P25,$S25),"")</f>
        <v/>
      </c>
      <c r="BI25" s="458" t="str">
        <f>IF(AND($G25='Povolené hodnoty'!$B$14,$H25=BI$4),SUM($J25,$M25,$P25,$S25),"")</f>
        <v/>
      </c>
      <c r="BJ25" s="458" t="str">
        <f>IF(AND($G25='Povolené hodnoty'!$B$14,$H25=BJ$4),SUM($J25,$M25,$P25,$S25),"")</f>
        <v/>
      </c>
      <c r="BK25" s="40" t="str">
        <f>IF(AND($G25='Povolené hodnoty'!$B$14,$H25=BK$4),SUM($J25,$M25,$P25,$S25),"")</f>
        <v/>
      </c>
      <c r="BL25" s="40" t="str">
        <f>IF(AND($G25='Povolené hodnoty'!$B$14,$H25=BL$4),SUM($J25,$M25,$P25,$S25),"")</f>
        <v/>
      </c>
      <c r="BM25" s="41" t="str">
        <f>IF(AND($G25='Povolené hodnoty'!$B$14,$H25=BM$4),SUM($J25,$M25,$P25,$S25),"")</f>
        <v/>
      </c>
      <c r="BO25" s="18" t="b">
        <f t="shared" si="33"/>
        <v>0</v>
      </c>
      <c r="BP25" s="18" t="b">
        <f t="shared" si="1"/>
        <v>0</v>
      </c>
      <c r="BQ25" s="18" t="b">
        <f>AND(E25&lt;&gt;'Povolené hodnoty'!$B$6,F25&lt;&gt;'Povolené hodnoty'!$D$7,F25&lt;&gt;'Povolené hodnoty'!$D$8,OR(SUM(I25,L25,O25,R25)&lt;&gt;SUM(W25:X25,AA25:AG25),SUM(J25,M25,P25,S25)&lt;&gt;SUM(Y25:Z25,AH25:AK25),COUNT(I25:J25,L25:M25,O25:P25,R25:S25)&lt;&gt;COUNT(W25:AK25)))</f>
        <v>0</v>
      </c>
      <c r="BR25" s="18" t="b">
        <f>OR(AND(E25='Povolené hodnoty'!$B$6,$BR$5),AND(E25='Povolené hodnoty'!$B$6,H25&lt;&gt;'Povolené hodnoty'!$E$26,H25&lt;&gt;'Povolené hodnoty'!$E$35),AND(E25&lt;&gt;'Povolené hodnoty'!$B$6,OR(H25='Povolené hodnoty'!$E$26,H25='Povolené hodnoty'!$E$35)))</f>
        <v>0</v>
      </c>
      <c r="BS25" s="18" t="b">
        <f>OR(AND(G25&lt;&gt;'Povolené hodnoty'!$B$13,OR(H25='Povolené hodnoty'!$E$21,H25='Povolené hodnoty'!$E$22,H25='Povolené hodnoty'!$E$23,H25='Povolené hodnoty'!$E$24,H25='Povolené hodnoty'!$E$26,H25='Povolené hodnoty'!$E$36)),COUNT(I25:J25,L25:M25,O25:P25,R25:S25)&lt;&gt;COUNT(AL25:BM25))</f>
        <v>0</v>
      </c>
      <c r="BT25" s="18" t="b">
        <f t="shared" si="2"/>
        <v>0</v>
      </c>
      <c r="BV25" s="39" t="str">
        <f t="shared" si="3"/>
        <v/>
      </c>
      <c r="BW25" s="458" t="str">
        <f t="shared" si="4"/>
        <v/>
      </c>
      <c r="BX25" s="458" t="str">
        <f t="shared" si="5"/>
        <v/>
      </c>
      <c r="BY25" s="458" t="str">
        <f t="shared" si="6"/>
        <v/>
      </c>
      <c r="BZ25" s="458" t="str">
        <f t="shared" si="7"/>
        <v/>
      </c>
      <c r="CA25" s="40" t="str">
        <f t="shared" si="8"/>
        <v/>
      </c>
      <c r="CB25" s="40" t="str">
        <f t="shared" si="9"/>
        <v/>
      </c>
      <c r="CC25" s="39" t="str">
        <f t="shared" si="10"/>
        <v/>
      </c>
      <c r="CD25" s="458" t="str">
        <f t="shared" si="11"/>
        <v/>
      </c>
      <c r="CE25" s="41" t="str">
        <f t="shared" si="12"/>
        <v/>
      </c>
      <c r="CF25" s="39" t="str">
        <f t="shared" si="13"/>
        <v/>
      </c>
      <c r="CG25" s="458" t="str">
        <f t="shared" si="14"/>
        <v/>
      </c>
      <c r="CH25" s="458" t="str">
        <f t="shared" si="15"/>
        <v/>
      </c>
      <c r="CI25" s="458" t="str">
        <f t="shared" si="16"/>
        <v/>
      </c>
      <c r="CJ25" s="458" t="str">
        <f t="shared" si="17"/>
        <v/>
      </c>
      <c r="CK25" s="40" t="str">
        <f t="shared" si="18"/>
        <v/>
      </c>
      <c r="CL25" s="40" t="str">
        <f t="shared" si="19"/>
        <v/>
      </c>
      <c r="CM25" s="40" t="str">
        <f t="shared" si="20"/>
        <v/>
      </c>
      <c r="CN25" s="39" t="str">
        <f t="shared" si="21"/>
        <v/>
      </c>
      <c r="CO25" s="458" t="str">
        <f t="shared" si="22"/>
        <v/>
      </c>
      <c r="CP25" s="458" t="str">
        <f t="shared" si="23"/>
        <v/>
      </c>
      <c r="CQ25" s="458" t="str">
        <f t="shared" si="24"/>
        <v/>
      </c>
      <c r="CR25" s="458" t="str">
        <f t="shared" si="25"/>
        <v/>
      </c>
      <c r="CS25" s="40" t="str">
        <f t="shared" si="26"/>
        <v/>
      </c>
      <c r="CT25" s="40" t="str">
        <f t="shared" si="27"/>
        <v/>
      </c>
      <c r="CU25" s="41" t="str">
        <f t="shared" si="28"/>
        <v/>
      </c>
    </row>
    <row r="26" spans="1:99" x14ac:dyDescent="0.2">
      <c r="A26" s="77">
        <f t="shared" si="29"/>
        <v>21</v>
      </c>
      <c r="B26" s="81">
        <v>45091</v>
      </c>
      <c r="C26" s="82" t="s">
        <v>517</v>
      </c>
      <c r="D26" s="71" t="s">
        <v>3486</v>
      </c>
      <c r="E26" s="72" t="s">
        <v>43</v>
      </c>
      <c r="F26" s="73">
        <v>10</v>
      </c>
      <c r="G26" s="443" t="s">
        <v>3308</v>
      </c>
      <c r="H26" s="443" t="s">
        <v>3321</v>
      </c>
      <c r="I26" s="74"/>
      <c r="J26" s="75">
        <v>15000</v>
      </c>
      <c r="K26" s="41">
        <f t="shared" si="34"/>
        <v>1700</v>
      </c>
      <c r="L26" s="104"/>
      <c r="M26" s="105"/>
      <c r="N26" s="106">
        <f t="shared" si="30"/>
        <v>6000</v>
      </c>
      <c r="O26" s="104"/>
      <c r="P26" s="105"/>
      <c r="Q26" s="106">
        <f t="shared" si="35"/>
        <v>0</v>
      </c>
      <c r="R26" s="104"/>
      <c r="S26" s="105"/>
      <c r="T26" s="106">
        <f t="shared" si="36"/>
        <v>0</v>
      </c>
      <c r="U26" s="439"/>
      <c r="V26" s="42">
        <f t="shared" si="0"/>
        <v>21</v>
      </c>
      <c r="W26" s="39" t="str">
        <f>IF(AND(E26='Povolené hodnoty'!$B$4,F26=2),I26+L26+O26+R26,"")</f>
        <v/>
      </c>
      <c r="X26" s="41" t="str">
        <f>IF(AND(E26='Povolené hodnoty'!$B$4,F26=1),I26+L26+O26+R26,"")</f>
        <v/>
      </c>
      <c r="Y26" s="39" t="str">
        <f>IF(AND(E26='Povolené hodnoty'!$B$4,F26=10),J26+M26+P26+S26,"")</f>
        <v/>
      </c>
      <c r="Z26" s="41" t="str">
        <f>IF(AND(E26='Povolené hodnoty'!$B$4,F26=9),J26+M26+P26+S26,"")</f>
        <v/>
      </c>
      <c r="AA26" s="39" t="str">
        <f>IF(AND(E26&lt;&gt;'Povolené hodnoty'!$B$4,F26=2),I26+L26+O26+R26,"")</f>
        <v/>
      </c>
      <c r="AB26" s="40" t="str">
        <f>IF(AND(E26&lt;&gt;'Povolené hodnoty'!$B$4,F26=3),I26+L26+O26+R26,"")</f>
        <v/>
      </c>
      <c r="AC26" s="40" t="str">
        <f>IF(AND(E26&lt;&gt;'Povolené hodnoty'!$B$4,F26=4),I26+L26+O26+R26,"")</f>
        <v/>
      </c>
      <c r="AD26" s="40" t="str">
        <f>IF(AND(E26&lt;&gt;'Povolené hodnoty'!$B$4,F26="5a"),I26-J26+L26-M26+O26-P26+R26-S26,"")</f>
        <v/>
      </c>
      <c r="AE26" s="40" t="str">
        <f>IF(AND(E26&lt;&gt;'Povolené hodnoty'!$B$4,F26="5b"),I26-J26+L26-M26+O26-P26+R26-S26,"")</f>
        <v/>
      </c>
      <c r="AF26" s="40" t="str">
        <f>IF(AND(E26&lt;&gt;'Povolené hodnoty'!$B$4,F26=6),I26+L26+O26+R26,"")</f>
        <v/>
      </c>
      <c r="AG26" s="41" t="str">
        <f>IF(AND(E26&lt;&gt;'Povolené hodnoty'!$B$4,F26=7),I26+L26+O26+R26,"")</f>
        <v/>
      </c>
      <c r="AH26" s="39">
        <f>IF(AND(E26&lt;&gt;'Povolené hodnoty'!$B$4,F26=10),J26+M26+P26+S26,"")</f>
        <v>15000</v>
      </c>
      <c r="AI26" s="40" t="str">
        <f>IF(AND(E26&lt;&gt;'Povolené hodnoty'!$B$4,F26=11),J26+M26+P26+S26,"")</f>
        <v/>
      </c>
      <c r="AJ26" s="40" t="str">
        <f>IF(AND(E26&lt;&gt;'Povolené hodnoty'!$B$4,F26=12),J26+M26+P26+S26,"")</f>
        <v/>
      </c>
      <c r="AK26" s="41" t="str">
        <f>IF(AND(E26&lt;&gt;'Povolené hodnoty'!$B$4,F26=13),J26+M26+P26+S26,"")</f>
        <v/>
      </c>
      <c r="AL26" s="39" t="str">
        <f>IF(AND($G26='Povolené hodnoty'!$B$13,$H26=AL$4),SUM($I26,$L26,$O26,$R26),"")</f>
        <v/>
      </c>
      <c r="AM26" s="458" t="str">
        <f>IF(AND($G26='Povolené hodnoty'!$B$13,$H26=AM$4),SUM($I26,$L26,$O26,$R26),"")</f>
        <v/>
      </c>
      <c r="AN26" s="458" t="str">
        <f>IF(AND($G26='Povolené hodnoty'!$B$13,$H26=AN$4),SUM($I26,$L26,$O26,$R26),"")</f>
        <v/>
      </c>
      <c r="AO26" s="458" t="str">
        <f>IF(AND($G26='Povolené hodnoty'!$B$13,$H26=AO$4),SUM($I26,$L26,$O26,$R26),"")</f>
        <v/>
      </c>
      <c r="AP26" s="458" t="str">
        <f>IF(AND($G26='Povolené hodnoty'!$B$13,$H26=AP$4),SUM($I26,$L26,$O26,$R26),"")</f>
        <v/>
      </c>
      <c r="AQ26" s="40" t="str">
        <f>IF(AND($G26='Povolené hodnoty'!$B$13,OR($H26=AQ$4,$H26='Povolené hodnoty'!$E$36)),SUM($I26,-$J26,$L26,-$M26,$O26,-$P26,$R26,-$S26),"")</f>
        <v/>
      </c>
      <c r="AR26" s="40" t="str">
        <f>IF(AND($G26='Povolené hodnoty'!$B$13,$H26=AR$4),SUM($I26,$L26,$O26,$R26),"")</f>
        <v/>
      </c>
      <c r="AS26" s="41" t="str">
        <f>IF(AND($G26='Povolené hodnoty'!$B$13,$H26=AS$4),SUM($I26,$L26,$O26,$R26),"")</f>
        <v/>
      </c>
      <c r="AT26" s="39" t="str">
        <f>IF(AND($G26='Povolené hodnoty'!$B$14,$H26=AT$4),SUM($I26,$L26,$O26,$R26),"")</f>
        <v/>
      </c>
      <c r="AU26" s="458" t="str">
        <f>IF(AND($G26='Povolené hodnoty'!$B$14,$H26=AU$4),SUM($I26,$L26,$O26,$R26),"")</f>
        <v/>
      </c>
      <c r="AV26" s="41" t="str">
        <f>IF(AND($G26='Povolené hodnoty'!$B$14,$H26=AV$4),SUM($I26,$L26,$O26,$R26),"")</f>
        <v/>
      </c>
      <c r="AW26" s="39" t="str">
        <f>IF(AND($G26='Povolené hodnoty'!$B$13,$H26=AW$4),SUM($J26,$M26,$P26,$S26),"")</f>
        <v/>
      </c>
      <c r="AX26" s="458" t="str">
        <f>IF(AND($G26='Povolené hodnoty'!$B$13,$H26=AX$4),SUM($J26,$M26,$P26,$S26),"")</f>
        <v/>
      </c>
      <c r="AY26" s="458" t="str">
        <f>IF(AND($G26='Povolené hodnoty'!$B$13,$H26=AY$4),SUM($J26,$M26,$P26,$S26),"")</f>
        <v/>
      </c>
      <c r="AZ26" s="458">
        <f>IF(AND($G26='Povolené hodnoty'!$B$13,$H26=AZ$4),SUM($J26,$M26,$P26,$S26),"")</f>
        <v>15000</v>
      </c>
      <c r="BA26" s="458" t="str">
        <f>IF(AND($G26='Povolené hodnoty'!$B$13,$H26=BA$4),SUM($J26,$M26,$P26,$S26),"")</f>
        <v/>
      </c>
      <c r="BB26" s="40" t="str">
        <f>IF(AND($G26='Povolené hodnoty'!$B$13,$H26=BB$4),SUM($J26,$M26,$P26,$S26),"")</f>
        <v/>
      </c>
      <c r="BC26" s="40" t="str">
        <f>IF(AND($G26='Povolené hodnoty'!$B$13,$H26=BC$4),SUM($J26,$M26,$P26,$S26),"")</f>
        <v/>
      </c>
      <c r="BD26" s="40" t="str">
        <f>IF(AND($G26='Povolené hodnoty'!$B$13,$H26=BD$4),SUM($J26,$M26,$P26,$S26),"")</f>
        <v/>
      </c>
      <c r="BE26" s="41" t="str">
        <f>IF(AND($G26='Povolené hodnoty'!$B$13,$H26=BE$4),SUM($J26,$M26,$P26,$S26),"")</f>
        <v/>
      </c>
      <c r="BF26" s="39" t="str">
        <f>IF(AND($G26='Povolené hodnoty'!$B$14,$H26=BF$4),SUM($J26,$M26,$P26,$S26),"")</f>
        <v/>
      </c>
      <c r="BG26" s="458" t="str">
        <f>IF(AND($G26='Povolené hodnoty'!$B$14,$H26=BG$4),SUM($J26,$M26,$P26,$S26),"")</f>
        <v/>
      </c>
      <c r="BH26" s="458" t="str">
        <f>IF(AND($G26='Povolené hodnoty'!$B$14,$H26=BH$4),SUM($J26,$M26,$P26,$S26),"")</f>
        <v/>
      </c>
      <c r="BI26" s="458" t="str">
        <f>IF(AND($G26='Povolené hodnoty'!$B$14,$H26=BI$4),SUM($J26,$M26,$P26,$S26),"")</f>
        <v/>
      </c>
      <c r="BJ26" s="458" t="str">
        <f>IF(AND($G26='Povolené hodnoty'!$B$14,$H26=BJ$4),SUM($J26,$M26,$P26,$S26),"")</f>
        <v/>
      </c>
      <c r="BK26" s="40" t="str">
        <f>IF(AND($G26='Povolené hodnoty'!$B$14,$H26=BK$4),SUM($J26,$M26,$P26,$S26),"")</f>
        <v/>
      </c>
      <c r="BL26" s="40" t="str">
        <f>IF(AND($G26='Povolené hodnoty'!$B$14,$H26=BL$4),SUM($J26,$M26,$P26,$S26),"")</f>
        <v/>
      </c>
      <c r="BM26" s="41" t="str">
        <f>IF(AND($G26='Povolené hodnoty'!$B$14,$H26=BM$4),SUM($J26,$M26,$P26,$S26),"")</f>
        <v/>
      </c>
      <c r="BO26" s="18" t="b">
        <f t="shared" si="33"/>
        <v>0</v>
      </c>
      <c r="BP26" s="18" t="b">
        <f t="shared" si="1"/>
        <v>0</v>
      </c>
      <c r="BQ26" s="18" t="b">
        <f>AND(E26&lt;&gt;'Povolené hodnoty'!$B$6,F26&lt;&gt;'Povolené hodnoty'!$D$7,F26&lt;&gt;'Povolené hodnoty'!$D$8,OR(SUM(I26,L26,O26,R26)&lt;&gt;SUM(W26:X26,AA26:AG26),SUM(J26,M26,P26,S26)&lt;&gt;SUM(Y26:Z26,AH26:AK26),COUNT(I26:J26,L26:M26,O26:P26,R26:S26)&lt;&gt;COUNT(W26:AK26)))</f>
        <v>0</v>
      </c>
      <c r="BR26" s="18" t="b">
        <f>OR(AND(E26='Povolené hodnoty'!$B$6,$BR$5),AND(E26='Povolené hodnoty'!$B$6,H26&lt;&gt;'Povolené hodnoty'!$E$26,H26&lt;&gt;'Povolené hodnoty'!$E$35),AND(E26&lt;&gt;'Povolené hodnoty'!$B$6,OR(H26='Povolené hodnoty'!$E$26,H26='Povolené hodnoty'!$E$35)))</f>
        <v>0</v>
      </c>
      <c r="BS26" s="18" t="b">
        <f>OR(AND(G26&lt;&gt;'Povolené hodnoty'!$B$13,OR(H26='Povolené hodnoty'!$E$21,H26='Povolené hodnoty'!$E$22,H26='Povolené hodnoty'!$E$23,H26='Povolené hodnoty'!$E$24,H26='Povolené hodnoty'!$E$26,H26='Povolené hodnoty'!$E$36)),COUNT(I26:J26,L26:M26,O26:P26,R26:S26)&lt;&gt;COUNT(AL26:BM26))</f>
        <v>0</v>
      </c>
      <c r="BT26" s="18" t="b">
        <f t="shared" si="2"/>
        <v>0</v>
      </c>
      <c r="BV26" s="39" t="str">
        <f t="shared" si="3"/>
        <v/>
      </c>
      <c r="BW26" s="458" t="str">
        <f t="shared" si="4"/>
        <v/>
      </c>
      <c r="BX26" s="458" t="str">
        <f t="shared" si="5"/>
        <v/>
      </c>
      <c r="BY26" s="458" t="str">
        <f t="shared" si="6"/>
        <v/>
      </c>
      <c r="BZ26" s="458" t="str">
        <f t="shared" si="7"/>
        <v/>
      </c>
      <c r="CA26" s="40" t="str">
        <f t="shared" si="8"/>
        <v/>
      </c>
      <c r="CB26" s="40" t="str">
        <f t="shared" si="9"/>
        <v/>
      </c>
      <c r="CC26" s="39" t="str">
        <f t="shared" si="10"/>
        <v/>
      </c>
      <c r="CD26" s="458" t="str">
        <f t="shared" si="11"/>
        <v/>
      </c>
      <c r="CE26" s="41" t="str">
        <f t="shared" si="12"/>
        <v/>
      </c>
      <c r="CF26" s="39" t="str">
        <f t="shared" si="13"/>
        <v/>
      </c>
      <c r="CG26" s="458" t="str">
        <f t="shared" si="14"/>
        <v/>
      </c>
      <c r="CH26" s="458" t="str">
        <f t="shared" si="15"/>
        <v/>
      </c>
      <c r="CI26" s="458" t="str">
        <f t="shared" si="16"/>
        <v/>
      </c>
      <c r="CJ26" s="458" t="str">
        <f t="shared" si="17"/>
        <v/>
      </c>
      <c r="CK26" s="40" t="str">
        <f t="shared" si="18"/>
        <v/>
      </c>
      <c r="CL26" s="40" t="str">
        <f t="shared" si="19"/>
        <v/>
      </c>
      <c r="CM26" s="40" t="str">
        <f t="shared" si="20"/>
        <v/>
      </c>
      <c r="CN26" s="39" t="str">
        <f t="shared" si="21"/>
        <v/>
      </c>
      <c r="CO26" s="458" t="str">
        <f t="shared" si="22"/>
        <v/>
      </c>
      <c r="CP26" s="458" t="str">
        <f t="shared" si="23"/>
        <v/>
      </c>
      <c r="CQ26" s="458" t="str">
        <f t="shared" si="24"/>
        <v/>
      </c>
      <c r="CR26" s="458" t="str">
        <f t="shared" si="25"/>
        <v/>
      </c>
      <c r="CS26" s="40" t="str">
        <f t="shared" si="26"/>
        <v/>
      </c>
      <c r="CT26" s="40" t="str">
        <f t="shared" si="27"/>
        <v/>
      </c>
      <c r="CU26" s="41" t="str">
        <f t="shared" si="28"/>
        <v/>
      </c>
    </row>
    <row r="27" spans="1:99" x14ac:dyDescent="0.2">
      <c r="A27" s="77">
        <f t="shared" si="29"/>
        <v>22</v>
      </c>
      <c r="B27" s="81">
        <v>45107</v>
      </c>
      <c r="C27" s="82" t="s">
        <v>519</v>
      </c>
      <c r="D27" s="71" t="s">
        <v>3487</v>
      </c>
      <c r="E27" s="72" t="s">
        <v>43</v>
      </c>
      <c r="F27" s="73">
        <v>7</v>
      </c>
      <c r="G27" s="443" t="s">
        <v>3308</v>
      </c>
      <c r="H27" s="443" t="s">
        <v>3316</v>
      </c>
      <c r="I27" s="74">
        <v>5000</v>
      </c>
      <c r="J27" s="75"/>
      <c r="K27" s="41">
        <f t="shared" si="34"/>
        <v>6700</v>
      </c>
      <c r="L27" s="104"/>
      <c r="M27" s="105"/>
      <c r="N27" s="106">
        <f t="shared" si="30"/>
        <v>6000</v>
      </c>
      <c r="O27" s="104"/>
      <c r="P27" s="105"/>
      <c r="Q27" s="106">
        <f t="shared" si="35"/>
        <v>0</v>
      </c>
      <c r="R27" s="104"/>
      <c r="S27" s="105"/>
      <c r="T27" s="106">
        <f t="shared" si="36"/>
        <v>0</v>
      </c>
      <c r="U27" s="439"/>
      <c r="V27" s="42">
        <f t="shared" si="0"/>
        <v>22</v>
      </c>
      <c r="W27" s="39" t="str">
        <f>IF(AND(E27='Povolené hodnoty'!$B$4,F27=2),I27+L27+O27+R27,"")</f>
        <v/>
      </c>
      <c r="X27" s="41" t="str">
        <f>IF(AND(E27='Povolené hodnoty'!$B$4,F27=1),I27+L27+O27+R27,"")</f>
        <v/>
      </c>
      <c r="Y27" s="39" t="str">
        <f>IF(AND(E27='Povolené hodnoty'!$B$4,F27=10),J27+M27+P27+S27,"")</f>
        <v/>
      </c>
      <c r="Z27" s="41" t="str">
        <f>IF(AND(E27='Povolené hodnoty'!$B$4,F27=9),J27+M27+P27+S27,"")</f>
        <v/>
      </c>
      <c r="AA27" s="39" t="str">
        <f>IF(AND(E27&lt;&gt;'Povolené hodnoty'!$B$4,F27=2),I27+L27+O27+R27,"")</f>
        <v/>
      </c>
      <c r="AB27" s="40" t="str">
        <f>IF(AND(E27&lt;&gt;'Povolené hodnoty'!$B$4,F27=3),I27+L27+O27+R27,"")</f>
        <v/>
      </c>
      <c r="AC27" s="40" t="str">
        <f>IF(AND(E27&lt;&gt;'Povolené hodnoty'!$B$4,F27=4),I27+L27+O27+R27,"")</f>
        <v/>
      </c>
      <c r="AD27" s="40" t="str">
        <f>IF(AND(E27&lt;&gt;'Povolené hodnoty'!$B$4,F27="5a"),I27-J27+L27-M27+O27-P27+R27-S27,"")</f>
        <v/>
      </c>
      <c r="AE27" s="40" t="str">
        <f>IF(AND(E27&lt;&gt;'Povolené hodnoty'!$B$4,F27="5b"),I27-J27+L27-M27+O27-P27+R27-S27,"")</f>
        <v/>
      </c>
      <c r="AF27" s="40" t="str">
        <f>IF(AND(E27&lt;&gt;'Povolené hodnoty'!$B$4,F27=6),I27+L27+O27+R27,"")</f>
        <v/>
      </c>
      <c r="AG27" s="41">
        <f>IF(AND(E27&lt;&gt;'Povolené hodnoty'!$B$4,F27=7),I27+L27+O27+R27,"")</f>
        <v>5000</v>
      </c>
      <c r="AH27" s="39" t="str">
        <f>IF(AND(E27&lt;&gt;'Povolené hodnoty'!$B$4,F27=10),J27+M27+P27+S27,"")</f>
        <v/>
      </c>
      <c r="AI27" s="40" t="str">
        <f>IF(AND(E27&lt;&gt;'Povolené hodnoty'!$B$4,F27=11),J27+M27+P27+S27,"")</f>
        <v/>
      </c>
      <c r="AJ27" s="40" t="str">
        <f>IF(AND(E27&lt;&gt;'Povolené hodnoty'!$B$4,F27=12),J27+M27+P27+S27,"")</f>
        <v/>
      </c>
      <c r="AK27" s="41" t="str">
        <f>IF(AND(E27&lt;&gt;'Povolené hodnoty'!$B$4,F27=13),J27+M27+P27+S27,"")</f>
        <v/>
      </c>
      <c r="AL27" s="39" t="str">
        <f>IF(AND($G27='Povolené hodnoty'!$B$13,$H27=AL$4),SUM($I27,$L27,$O27,$R27),"")</f>
        <v/>
      </c>
      <c r="AM27" s="458" t="str">
        <f>IF(AND($G27='Povolené hodnoty'!$B$13,$H27=AM$4),SUM($I27,$L27,$O27,$R27),"")</f>
        <v/>
      </c>
      <c r="AN27" s="458" t="str">
        <f>IF(AND($G27='Povolené hodnoty'!$B$13,$H27=AN$4),SUM($I27,$L27,$O27,$R27),"")</f>
        <v/>
      </c>
      <c r="AO27" s="458" t="str">
        <f>IF(AND($G27='Povolené hodnoty'!$B$13,$H27=AO$4),SUM($I27,$L27,$O27,$R27),"")</f>
        <v/>
      </c>
      <c r="AP27" s="458" t="str">
        <f>IF(AND($G27='Povolené hodnoty'!$B$13,$H27=AP$4),SUM($I27,$L27,$O27,$R27),"")</f>
        <v/>
      </c>
      <c r="AQ27" s="40" t="str">
        <f>IF(AND($G27='Povolené hodnoty'!$B$13,OR($H27=AQ$4,$H27='Povolené hodnoty'!$E$36)),SUM($I27,-$J27,$L27,-$M27,$O27,-$P27,$R27,-$S27),"")</f>
        <v/>
      </c>
      <c r="AR27" s="40">
        <f>IF(AND($G27='Povolené hodnoty'!$B$13,$H27=AR$4),SUM($I27,$L27,$O27,$R27),"")</f>
        <v>5000</v>
      </c>
      <c r="AS27" s="41" t="str">
        <f>IF(AND($G27='Povolené hodnoty'!$B$13,$H27=AS$4),SUM($I27,$L27,$O27,$R27),"")</f>
        <v/>
      </c>
      <c r="AT27" s="39" t="str">
        <f>IF(AND($G27='Povolené hodnoty'!$B$14,$H27=AT$4),SUM($I27,$L27,$O27,$R27),"")</f>
        <v/>
      </c>
      <c r="AU27" s="458" t="str">
        <f>IF(AND($G27='Povolené hodnoty'!$B$14,$H27=AU$4),SUM($I27,$L27,$O27,$R27),"")</f>
        <v/>
      </c>
      <c r="AV27" s="41" t="str">
        <f>IF(AND($G27='Povolené hodnoty'!$B$14,$H27=AV$4),SUM($I27,$L27,$O27,$R27),"")</f>
        <v/>
      </c>
      <c r="AW27" s="39" t="str">
        <f>IF(AND($G27='Povolené hodnoty'!$B$13,$H27=AW$4),SUM($J27,$M27,$P27,$S27),"")</f>
        <v/>
      </c>
      <c r="AX27" s="458" t="str">
        <f>IF(AND($G27='Povolené hodnoty'!$B$13,$H27=AX$4),SUM($J27,$M27,$P27,$S27),"")</f>
        <v/>
      </c>
      <c r="AY27" s="458" t="str">
        <f>IF(AND($G27='Povolené hodnoty'!$B$13,$H27=AY$4),SUM($J27,$M27,$P27,$S27),"")</f>
        <v/>
      </c>
      <c r="AZ27" s="458" t="str">
        <f>IF(AND($G27='Povolené hodnoty'!$B$13,$H27=AZ$4),SUM($J27,$M27,$P27,$S27),"")</f>
        <v/>
      </c>
      <c r="BA27" s="458" t="str">
        <f>IF(AND($G27='Povolené hodnoty'!$B$13,$H27=BA$4),SUM($J27,$M27,$P27,$S27),"")</f>
        <v/>
      </c>
      <c r="BB27" s="40" t="str">
        <f>IF(AND($G27='Povolené hodnoty'!$B$13,$H27=BB$4),SUM($J27,$M27,$P27,$S27),"")</f>
        <v/>
      </c>
      <c r="BC27" s="40" t="str">
        <f>IF(AND($G27='Povolené hodnoty'!$B$13,$H27=BC$4),SUM($J27,$M27,$P27,$S27),"")</f>
        <v/>
      </c>
      <c r="BD27" s="40" t="str">
        <f>IF(AND($G27='Povolené hodnoty'!$B$13,$H27=BD$4),SUM($J27,$M27,$P27,$S27),"")</f>
        <v/>
      </c>
      <c r="BE27" s="41" t="str">
        <f>IF(AND($G27='Povolené hodnoty'!$B$13,$H27=BE$4),SUM($J27,$M27,$P27,$S27),"")</f>
        <v/>
      </c>
      <c r="BF27" s="39" t="str">
        <f>IF(AND($G27='Povolené hodnoty'!$B$14,$H27=BF$4),SUM($J27,$M27,$P27,$S27),"")</f>
        <v/>
      </c>
      <c r="BG27" s="458" t="str">
        <f>IF(AND($G27='Povolené hodnoty'!$B$14,$H27=BG$4),SUM($J27,$M27,$P27,$S27),"")</f>
        <v/>
      </c>
      <c r="BH27" s="458" t="str">
        <f>IF(AND($G27='Povolené hodnoty'!$B$14,$H27=BH$4),SUM($J27,$M27,$P27,$S27),"")</f>
        <v/>
      </c>
      <c r="BI27" s="458" t="str">
        <f>IF(AND($G27='Povolené hodnoty'!$B$14,$H27=BI$4),SUM($J27,$M27,$P27,$S27),"")</f>
        <v/>
      </c>
      <c r="BJ27" s="458" t="str">
        <f>IF(AND($G27='Povolené hodnoty'!$B$14,$H27=BJ$4),SUM($J27,$M27,$P27,$S27),"")</f>
        <v/>
      </c>
      <c r="BK27" s="40" t="str">
        <f>IF(AND($G27='Povolené hodnoty'!$B$14,$H27=BK$4),SUM($J27,$M27,$P27,$S27),"")</f>
        <v/>
      </c>
      <c r="BL27" s="40" t="str">
        <f>IF(AND($G27='Povolené hodnoty'!$B$14,$H27=BL$4),SUM($J27,$M27,$P27,$S27),"")</f>
        <v/>
      </c>
      <c r="BM27" s="41" t="str">
        <f>IF(AND($G27='Povolené hodnoty'!$B$14,$H27=BM$4),SUM($J27,$M27,$P27,$S27),"")</f>
        <v/>
      </c>
      <c r="BO27" s="18" t="b">
        <f t="shared" si="33"/>
        <v>0</v>
      </c>
      <c r="BP27" s="18" t="b">
        <f t="shared" si="1"/>
        <v>0</v>
      </c>
      <c r="BQ27" s="18" t="b">
        <f>AND(E27&lt;&gt;'Povolené hodnoty'!$B$6,F27&lt;&gt;'Povolené hodnoty'!$D$7,F27&lt;&gt;'Povolené hodnoty'!$D$8,OR(SUM(I27,L27,O27,R27)&lt;&gt;SUM(W27:X27,AA27:AG27),SUM(J27,M27,P27,S27)&lt;&gt;SUM(Y27:Z27,AH27:AK27),COUNT(I27:J27,L27:M27,O27:P27,R27:S27)&lt;&gt;COUNT(W27:AK27)))</f>
        <v>0</v>
      </c>
      <c r="BR27" s="18" t="b">
        <f>OR(AND(E27='Povolené hodnoty'!$B$6,$BR$5),AND(E27='Povolené hodnoty'!$B$6,H27&lt;&gt;'Povolené hodnoty'!$E$26,H27&lt;&gt;'Povolené hodnoty'!$E$35),AND(E27&lt;&gt;'Povolené hodnoty'!$B$6,OR(H27='Povolené hodnoty'!$E$26,H27='Povolené hodnoty'!$E$35)))</f>
        <v>0</v>
      </c>
      <c r="BS27" s="18" t="b">
        <f>OR(AND(G27&lt;&gt;'Povolené hodnoty'!$B$13,OR(H27='Povolené hodnoty'!$E$21,H27='Povolené hodnoty'!$E$22,H27='Povolené hodnoty'!$E$23,H27='Povolené hodnoty'!$E$24,H27='Povolené hodnoty'!$E$26,H27='Povolené hodnoty'!$E$36)),COUNT(I27:J27,L27:M27,O27:P27,R27:S27)&lt;&gt;COUNT(AL27:BM27))</f>
        <v>0</v>
      </c>
      <c r="BT27" s="18" t="b">
        <f t="shared" si="2"/>
        <v>0</v>
      </c>
      <c r="BV27" s="39" t="str">
        <f t="shared" si="3"/>
        <v/>
      </c>
      <c r="BW27" s="458" t="str">
        <f t="shared" si="4"/>
        <v/>
      </c>
      <c r="BX27" s="458" t="str">
        <f t="shared" si="5"/>
        <v/>
      </c>
      <c r="BY27" s="458" t="str">
        <f t="shared" si="6"/>
        <v/>
      </c>
      <c r="BZ27" s="458" t="str">
        <f t="shared" si="7"/>
        <v/>
      </c>
      <c r="CA27" s="40" t="str">
        <f t="shared" si="8"/>
        <v/>
      </c>
      <c r="CB27" s="40" t="str">
        <f t="shared" si="9"/>
        <v/>
      </c>
      <c r="CC27" s="39" t="str">
        <f t="shared" si="10"/>
        <v/>
      </c>
      <c r="CD27" s="458" t="str">
        <f t="shared" si="11"/>
        <v/>
      </c>
      <c r="CE27" s="41" t="str">
        <f t="shared" si="12"/>
        <v/>
      </c>
      <c r="CF27" s="39" t="str">
        <f t="shared" si="13"/>
        <v/>
      </c>
      <c r="CG27" s="458" t="str">
        <f t="shared" si="14"/>
        <v/>
      </c>
      <c r="CH27" s="458" t="str">
        <f t="shared" si="15"/>
        <v/>
      </c>
      <c r="CI27" s="458" t="str">
        <f t="shared" si="16"/>
        <v/>
      </c>
      <c r="CJ27" s="458" t="str">
        <f t="shared" si="17"/>
        <v/>
      </c>
      <c r="CK27" s="40" t="str">
        <f t="shared" si="18"/>
        <v/>
      </c>
      <c r="CL27" s="40" t="str">
        <f t="shared" si="19"/>
        <v/>
      </c>
      <c r="CM27" s="40" t="str">
        <f t="shared" si="20"/>
        <v/>
      </c>
      <c r="CN27" s="39" t="str">
        <f t="shared" si="21"/>
        <v/>
      </c>
      <c r="CO27" s="458" t="str">
        <f t="shared" si="22"/>
        <v/>
      </c>
      <c r="CP27" s="458" t="str">
        <f t="shared" si="23"/>
        <v/>
      </c>
      <c r="CQ27" s="458" t="str">
        <f t="shared" si="24"/>
        <v/>
      </c>
      <c r="CR27" s="458" t="str">
        <f t="shared" si="25"/>
        <v/>
      </c>
      <c r="CS27" s="40" t="str">
        <f t="shared" si="26"/>
        <v/>
      </c>
      <c r="CT27" s="40" t="str">
        <f t="shared" si="27"/>
        <v/>
      </c>
      <c r="CU27" s="41" t="str">
        <f t="shared" si="28"/>
        <v/>
      </c>
    </row>
    <row r="28" spans="1:99" x14ac:dyDescent="0.2">
      <c r="A28" s="77">
        <f t="shared" si="29"/>
        <v>23</v>
      </c>
      <c r="B28" s="81">
        <v>45107</v>
      </c>
      <c r="C28" s="82" t="s">
        <v>520</v>
      </c>
      <c r="D28" s="71" t="s">
        <v>3488</v>
      </c>
      <c r="E28" s="72" t="s">
        <v>43</v>
      </c>
      <c r="F28" s="73">
        <v>10</v>
      </c>
      <c r="G28" s="443" t="s">
        <v>3308</v>
      </c>
      <c r="H28" s="443" t="s">
        <v>3321</v>
      </c>
      <c r="I28" s="74"/>
      <c r="J28" s="75">
        <v>2500</v>
      </c>
      <c r="K28" s="41">
        <f t="shared" si="34"/>
        <v>4200</v>
      </c>
      <c r="L28" s="104"/>
      <c r="M28" s="105"/>
      <c r="N28" s="106">
        <f t="shared" si="30"/>
        <v>6000</v>
      </c>
      <c r="O28" s="104"/>
      <c r="P28" s="105"/>
      <c r="Q28" s="106">
        <f t="shared" si="35"/>
        <v>0</v>
      </c>
      <c r="R28" s="104"/>
      <c r="S28" s="105"/>
      <c r="T28" s="106">
        <f t="shared" si="36"/>
        <v>0</v>
      </c>
      <c r="U28" s="439"/>
      <c r="V28" s="42">
        <f t="shared" si="0"/>
        <v>23</v>
      </c>
      <c r="W28" s="39" t="str">
        <f>IF(AND(E28='Povolené hodnoty'!$B$4,F28=2),I28+L28+O28+R28,"")</f>
        <v/>
      </c>
      <c r="X28" s="41" t="str">
        <f>IF(AND(E28='Povolené hodnoty'!$B$4,F28=1),I28+L28+O28+R28,"")</f>
        <v/>
      </c>
      <c r="Y28" s="39" t="str">
        <f>IF(AND(E28='Povolené hodnoty'!$B$4,F28=10),J28+M28+P28+S28,"")</f>
        <v/>
      </c>
      <c r="Z28" s="41" t="str">
        <f>IF(AND(E28='Povolené hodnoty'!$B$4,F28=9),J28+M28+P28+S28,"")</f>
        <v/>
      </c>
      <c r="AA28" s="39" t="str">
        <f>IF(AND(E28&lt;&gt;'Povolené hodnoty'!$B$4,F28=2),I28+L28+O28+R28,"")</f>
        <v/>
      </c>
      <c r="AB28" s="40" t="str">
        <f>IF(AND(E28&lt;&gt;'Povolené hodnoty'!$B$4,F28=3),I28+L28+O28+R28,"")</f>
        <v/>
      </c>
      <c r="AC28" s="40" t="str">
        <f>IF(AND(E28&lt;&gt;'Povolené hodnoty'!$B$4,F28=4),I28+L28+O28+R28,"")</f>
        <v/>
      </c>
      <c r="AD28" s="40" t="str">
        <f>IF(AND(E28&lt;&gt;'Povolené hodnoty'!$B$4,F28="5a"),I28-J28+L28-M28+O28-P28+R28-S28,"")</f>
        <v/>
      </c>
      <c r="AE28" s="40" t="str">
        <f>IF(AND(E28&lt;&gt;'Povolené hodnoty'!$B$4,F28="5b"),I28-J28+L28-M28+O28-P28+R28-S28,"")</f>
        <v/>
      </c>
      <c r="AF28" s="40" t="str">
        <f>IF(AND(E28&lt;&gt;'Povolené hodnoty'!$B$4,F28=6),I28+L28+O28+R28,"")</f>
        <v/>
      </c>
      <c r="AG28" s="41" t="str">
        <f>IF(AND(E28&lt;&gt;'Povolené hodnoty'!$B$4,F28=7),I28+L28+O28+R28,"")</f>
        <v/>
      </c>
      <c r="AH28" s="39">
        <f>IF(AND(E28&lt;&gt;'Povolené hodnoty'!$B$4,F28=10),J28+M28+P28+S28,"")</f>
        <v>2500</v>
      </c>
      <c r="AI28" s="40" t="str">
        <f>IF(AND(E28&lt;&gt;'Povolené hodnoty'!$B$4,F28=11),J28+M28+P28+S28,"")</f>
        <v/>
      </c>
      <c r="AJ28" s="40" t="str">
        <f>IF(AND(E28&lt;&gt;'Povolené hodnoty'!$B$4,F28=12),J28+M28+P28+S28,"")</f>
        <v/>
      </c>
      <c r="AK28" s="41" t="str">
        <f>IF(AND(E28&lt;&gt;'Povolené hodnoty'!$B$4,F28=13),J28+M28+P28+S28,"")</f>
        <v/>
      </c>
      <c r="AL28" s="39" t="str">
        <f>IF(AND($G28='Povolené hodnoty'!$B$13,$H28=AL$4),SUM($I28,$L28,$O28,$R28),"")</f>
        <v/>
      </c>
      <c r="AM28" s="458" t="str">
        <f>IF(AND($G28='Povolené hodnoty'!$B$13,$H28=AM$4),SUM($I28,$L28,$O28,$R28),"")</f>
        <v/>
      </c>
      <c r="AN28" s="458" t="str">
        <f>IF(AND($G28='Povolené hodnoty'!$B$13,$H28=AN$4),SUM($I28,$L28,$O28,$R28),"")</f>
        <v/>
      </c>
      <c r="AO28" s="458" t="str">
        <f>IF(AND($G28='Povolené hodnoty'!$B$13,$H28=AO$4),SUM($I28,$L28,$O28,$R28),"")</f>
        <v/>
      </c>
      <c r="AP28" s="458" t="str">
        <f>IF(AND($G28='Povolené hodnoty'!$B$13,$H28=AP$4),SUM($I28,$L28,$O28,$R28),"")</f>
        <v/>
      </c>
      <c r="AQ28" s="40" t="str">
        <f>IF(AND($G28='Povolené hodnoty'!$B$13,OR($H28=AQ$4,$H28='Povolené hodnoty'!$E$36)),SUM($I28,-$J28,$L28,-$M28,$O28,-$P28,$R28,-$S28),"")</f>
        <v/>
      </c>
      <c r="AR28" s="40" t="str">
        <f>IF(AND($G28='Povolené hodnoty'!$B$13,$H28=AR$4),SUM($I28,$L28,$O28,$R28),"")</f>
        <v/>
      </c>
      <c r="AS28" s="41" t="str">
        <f>IF(AND($G28='Povolené hodnoty'!$B$13,$H28=AS$4),SUM($I28,$L28,$O28,$R28),"")</f>
        <v/>
      </c>
      <c r="AT28" s="39" t="str">
        <f>IF(AND($G28='Povolené hodnoty'!$B$14,$H28=AT$4),SUM($I28,$L28,$O28,$R28),"")</f>
        <v/>
      </c>
      <c r="AU28" s="458" t="str">
        <f>IF(AND($G28='Povolené hodnoty'!$B$14,$H28=AU$4),SUM($I28,$L28,$O28,$R28),"")</f>
        <v/>
      </c>
      <c r="AV28" s="41" t="str">
        <f>IF(AND($G28='Povolené hodnoty'!$B$14,$H28=AV$4),SUM($I28,$L28,$O28,$R28),"")</f>
        <v/>
      </c>
      <c r="AW28" s="39" t="str">
        <f>IF(AND($G28='Povolené hodnoty'!$B$13,$H28=AW$4),SUM($J28,$M28,$P28,$S28),"")</f>
        <v/>
      </c>
      <c r="AX28" s="458" t="str">
        <f>IF(AND($G28='Povolené hodnoty'!$B$13,$H28=AX$4),SUM($J28,$M28,$P28,$S28),"")</f>
        <v/>
      </c>
      <c r="AY28" s="458" t="str">
        <f>IF(AND($G28='Povolené hodnoty'!$B$13,$H28=AY$4),SUM($J28,$M28,$P28,$S28),"")</f>
        <v/>
      </c>
      <c r="AZ28" s="458">
        <f>IF(AND($G28='Povolené hodnoty'!$B$13,$H28=AZ$4),SUM($J28,$M28,$P28,$S28),"")</f>
        <v>2500</v>
      </c>
      <c r="BA28" s="458" t="str">
        <f>IF(AND($G28='Povolené hodnoty'!$B$13,$H28=BA$4),SUM($J28,$M28,$P28,$S28),"")</f>
        <v/>
      </c>
      <c r="BB28" s="40" t="str">
        <f>IF(AND($G28='Povolené hodnoty'!$B$13,$H28=BB$4),SUM($J28,$M28,$P28,$S28),"")</f>
        <v/>
      </c>
      <c r="BC28" s="40" t="str">
        <f>IF(AND($G28='Povolené hodnoty'!$B$13,$H28=BC$4),SUM($J28,$M28,$P28,$S28),"")</f>
        <v/>
      </c>
      <c r="BD28" s="40" t="str">
        <f>IF(AND($G28='Povolené hodnoty'!$B$13,$H28=BD$4),SUM($J28,$M28,$P28,$S28),"")</f>
        <v/>
      </c>
      <c r="BE28" s="41" t="str">
        <f>IF(AND($G28='Povolené hodnoty'!$B$13,$H28=BE$4),SUM($J28,$M28,$P28,$S28),"")</f>
        <v/>
      </c>
      <c r="BF28" s="39" t="str">
        <f>IF(AND($G28='Povolené hodnoty'!$B$14,$H28=BF$4),SUM($J28,$M28,$P28,$S28),"")</f>
        <v/>
      </c>
      <c r="BG28" s="458" t="str">
        <f>IF(AND($G28='Povolené hodnoty'!$B$14,$H28=BG$4),SUM($J28,$M28,$P28,$S28),"")</f>
        <v/>
      </c>
      <c r="BH28" s="458" t="str">
        <f>IF(AND($G28='Povolené hodnoty'!$B$14,$H28=BH$4),SUM($J28,$M28,$P28,$S28),"")</f>
        <v/>
      </c>
      <c r="BI28" s="458" t="str">
        <f>IF(AND($G28='Povolené hodnoty'!$B$14,$H28=BI$4),SUM($J28,$M28,$P28,$S28),"")</f>
        <v/>
      </c>
      <c r="BJ28" s="458" t="str">
        <f>IF(AND($G28='Povolené hodnoty'!$B$14,$H28=BJ$4),SUM($J28,$M28,$P28,$S28),"")</f>
        <v/>
      </c>
      <c r="BK28" s="40" t="str">
        <f>IF(AND($G28='Povolené hodnoty'!$B$14,$H28=BK$4),SUM($J28,$M28,$P28,$S28),"")</f>
        <v/>
      </c>
      <c r="BL28" s="40" t="str">
        <f>IF(AND($G28='Povolené hodnoty'!$B$14,$H28=BL$4),SUM($J28,$M28,$P28,$S28),"")</f>
        <v/>
      </c>
      <c r="BM28" s="41" t="str">
        <f>IF(AND($G28='Povolené hodnoty'!$B$14,$H28=BM$4),SUM($J28,$M28,$P28,$S28),"")</f>
        <v/>
      </c>
      <c r="BO28" s="18" t="b">
        <f t="shared" si="33"/>
        <v>0</v>
      </c>
      <c r="BP28" s="18" t="b">
        <f t="shared" si="1"/>
        <v>0</v>
      </c>
      <c r="BQ28" s="18" t="b">
        <f>AND(E28&lt;&gt;'Povolené hodnoty'!$B$6,F28&lt;&gt;'Povolené hodnoty'!$D$7,F28&lt;&gt;'Povolené hodnoty'!$D$8,OR(SUM(I28,L28,O28,R28)&lt;&gt;SUM(W28:X28,AA28:AG28),SUM(J28,M28,P28,S28)&lt;&gt;SUM(Y28:Z28,AH28:AK28),COUNT(I28:J28,L28:M28,O28:P28,R28:S28)&lt;&gt;COUNT(W28:AK28)))</f>
        <v>0</v>
      </c>
      <c r="BR28" s="18" t="b">
        <f>OR(AND(E28='Povolené hodnoty'!$B$6,$BR$5),AND(E28='Povolené hodnoty'!$B$6,H28&lt;&gt;'Povolené hodnoty'!$E$26,H28&lt;&gt;'Povolené hodnoty'!$E$35),AND(E28&lt;&gt;'Povolené hodnoty'!$B$6,OR(H28='Povolené hodnoty'!$E$26,H28='Povolené hodnoty'!$E$35)))</f>
        <v>0</v>
      </c>
      <c r="BS28" s="18" t="b">
        <f>OR(AND(G28&lt;&gt;'Povolené hodnoty'!$B$13,OR(H28='Povolené hodnoty'!$E$21,H28='Povolené hodnoty'!$E$22,H28='Povolené hodnoty'!$E$23,H28='Povolené hodnoty'!$E$24,H28='Povolené hodnoty'!$E$26,H28='Povolené hodnoty'!$E$36)),COUNT(I28:J28,L28:M28,O28:P28,R28:S28)&lt;&gt;COUNT(AL28:BM28))</f>
        <v>0</v>
      </c>
      <c r="BT28" s="18" t="b">
        <f t="shared" si="2"/>
        <v>0</v>
      </c>
      <c r="BV28" s="39" t="str">
        <f t="shared" si="3"/>
        <v/>
      </c>
      <c r="BW28" s="458" t="str">
        <f t="shared" si="4"/>
        <v/>
      </c>
      <c r="BX28" s="458" t="str">
        <f t="shared" si="5"/>
        <v/>
      </c>
      <c r="BY28" s="458" t="str">
        <f t="shared" si="6"/>
        <v/>
      </c>
      <c r="BZ28" s="458" t="str">
        <f t="shared" si="7"/>
        <v/>
      </c>
      <c r="CA28" s="40" t="str">
        <f t="shared" si="8"/>
        <v/>
      </c>
      <c r="CB28" s="40" t="str">
        <f t="shared" si="9"/>
        <v/>
      </c>
      <c r="CC28" s="39" t="str">
        <f t="shared" si="10"/>
        <v/>
      </c>
      <c r="CD28" s="458" t="str">
        <f t="shared" si="11"/>
        <v/>
      </c>
      <c r="CE28" s="41" t="str">
        <f t="shared" si="12"/>
        <v/>
      </c>
      <c r="CF28" s="39" t="str">
        <f t="shared" si="13"/>
        <v/>
      </c>
      <c r="CG28" s="458" t="str">
        <f t="shared" si="14"/>
        <v/>
      </c>
      <c r="CH28" s="458" t="str">
        <f t="shared" si="15"/>
        <v/>
      </c>
      <c r="CI28" s="458" t="str">
        <f t="shared" si="16"/>
        <v/>
      </c>
      <c r="CJ28" s="458" t="str">
        <f t="shared" si="17"/>
        <v/>
      </c>
      <c r="CK28" s="40" t="str">
        <f t="shared" si="18"/>
        <v/>
      </c>
      <c r="CL28" s="40" t="str">
        <f t="shared" si="19"/>
        <v/>
      </c>
      <c r="CM28" s="40" t="str">
        <f t="shared" si="20"/>
        <v/>
      </c>
      <c r="CN28" s="39" t="str">
        <f t="shared" si="21"/>
        <v/>
      </c>
      <c r="CO28" s="458" t="str">
        <f t="shared" si="22"/>
        <v/>
      </c>
      <c r="CP28" s="458" t="str">
        <f t="shared" si="23"/>
        <v/>
      </c>
      <c r="CQ28" s="458" t="str">
        <f t="shared" si="24"/>
        <v/>
      </c>
      <c r="CR28" s="458" t="str">
        <f t="shared" si="25"/>
        <v/>
      </c>
      <c r="CS28" s="40" t="str">
        <f t="shared" si="26"/>
        <v/>
      </c>
      <c r="CT28" s="40" t="str">
        <f t="shared" si="27"/>
        <v/>
      </c>
      <c r="CU28" s="41" t="str">
        <f t="shared" si="28"/>
        <v/>
      </c>
    </row>
    <row r="29" spans="1:99" x14ac:dyDescent="0.2">
      <c r="A29" s="77">
        <f t="shared" si="29"/>
        <v>24</v>
      </c>
      <c r="B29" s="81">
        <v>45107</v>
      </c>
      <c r="C29" s="82" t="s">
        <v>521</v>
      </c>
      <c r="D29" s="71" t="s">
        <v>3500</v>
      </c>
      <c r="E29" s="72" t="s">
        <v>43</v>
      </c>
      <c r="F29" s="73">
        <v>10</v>
      </c>
      <c r="G29" s="443" t="s">
        <v>3308</v>
      </c>
      <c r="H29" s="443" t="s">
        <v>3321</v>
      </c>
      <c r="I29" s="74"/>
      <c r="J29" s="75">
        <v>1100</v>
      </c>
      <c r="K29" s="41">
        <f t="shared" si="34"/>
        <v>3100</v>
      </c>
      <c r="L29" s="104"/>
      <c r="M29" s="105"/>
      <c r="N29" s="106">
        <f t="shared" si="30"/>
        <v>6000</v>
      </c>
      <c r="O29" s="104"/>
      <c r="P29" s="105"/>
      <c r="Q29" s="106">
        <f t="shared" si="35"/>
        <v>0</v>
      </c>
      <c r="R29" s="104"/>
      <c r="S29" s="105"/>
      <c r="T29" s="106">
        <f t="shared" si="36"/>
        <v>0</v>
      </c>
      <c r="U29" s="439"/>
      <c r="V29" s="42">
        <f t="shared" si="0"/>
        <v>24</v>
      </c>
      <c r="W29" s="39" t="str">
        <f>IF(AND(E29='Povolené hodnoty'!$B$4,F29=2),I29+L29+O29+R29,"")</f>
        <v/>
      </c>
      <c r="X29" s="41" t="str">
        <f>IF(AND(E29='Povolené hodnoty'!$B$4,F29=1),I29+L29+O29+R29,"")</f>
        <v/>
      </c>
      <c r="Y29" s="39" t="str">
        <f>IF(AND(E29='Povolené hodnoty'!$B$4,F29=10),J29+M29+P29+S29,"")</f>
        <v/>
      </c>
      <c r="Z29" s="41" t="str">
        <f>IF(AND(E29='Povolené hodnoty'!$B$4,F29=9),J29+M29+P29+S29,"")</f>
        <v/>
      </c>
      <c r="AA29" s="39" t="str">
        <f>IF(AND(E29&lt;&gt;'Povolené hodnoty'!$B$4,F29=2),I29+L29+O29+R29,"")</f>
        <v/>
      </c>
      <c r="AB29" s="40" t="str">
        <f>IF(AND(E29&lt;&gt;'Povolené hodnoty'!$B$4,F29=3),I29+L29+O29+R29,"")</f>
        <v/>
      </c>
      <c r="AC29" s="40" t="str">
        <f>IF(AND(E29&lt;&gt;'Povolené hodnoty'!$B$4,F29=4),I29+L29+O29+R29,"")</f>
        <v/>
      </c>
      <c r="AD29" s="40" t="str">
        <f>IF(AND(E29&lt;&gt;'Povolené hodnoty'!$B$4,F29="5a"),I29-J29+L29-M29+O29-P29+R29-S29,"")</f>
        <v/>
      </c>
      <c r="AE29" s="40" t="str">
        <f>IF(AND(E29&lt;&gt;'Povolené hodnoty'!$B$4,F29="5b"),I29-J29+L29-M29+O29-P29+R29-S29,"")</f>
        <v/>
      </c>
      <c r="AF29" s="40" t="str">
        <f>IF(AND(E29&lt;&gt;'Povolené hodnoty'!$B$4,F29=6),I29+L29+O29+R29,"")</f>
        <v/>
      </c>
      <c r="AG29" s="41" t="str">
        <f>IF(AND(E29&lt;&gt;'Povolené hodnoty'!$B$4,F29=7),I29+L29+O29+R29,"")</f>
        <v/>
      </c>
      <c r="AH29" s="39">
        <f>IF(AND(E29&lt;&gt;'Povolené hodnoty'!$B$4,F29=10),J29+M29+P29+S29,"")</f>
        <v>1100</v>
      </c>
      <c r="AI29" s="40" t="str">
        <f>IF(AND(E29&lt;&gt;'Povolené hodnoty'!$B$4,F29=11),J29+M29+P29+S29,"")</f>
        <v/>
      </c>
      <c r="AJ29" s="40" t="str">
        <f>IF(AND(E29&lt;&gt;'Povolené hodnoty'!$B$4,F29=12),J29+M29+P29+S29,"")</f>
        <v/>
      </c>
      <c r="AK29" s="41" t="str">
        <f>IF(AND(E29&lt;&gt;'Povolené hodnoty'!$B$4,F29=13),J29+M29+P29+S29,"")</f>
        <v/>
      </c>
      <c r="AL29" s="39" t="str">
        <f>IF(AND($G29='Povolené hodnoty'!$B$13,$H29=AL$4),SUM($I29,$L29,$O29,$R29),"")</f>
        <v/>
      </c>
      <c r="AM29" s="458" t="str">
        <f>IF(AND($G29='Povolené hodnoty'!$B$13,$H29=AM$4),SUM($I29,$L29,$O29,$R29),"")</f>
        <v/>
      </c>
      <c r="AN29" s="458" t="str">
        <f>IF(AND($G29='Povolené hodnoty'!$B$13,$H29=AN$4),SUM($I29,$L29,$O29,$R29),"")</f>
        <v/>
      </c>
      <c r="AO29" s="458" t="str">
        <f>IF(AND($G29='Povolené hodnoty'!$B$13,$H29=AO$4),SUM($I29,$L29,$O29,$R29),"")</f>
        <v/>
      </c>
      <c r="AP29" s="458" t="str">
        <f>IF(AND($G29='Povolené hodnoty'!$B$13,$H29=AP$4),SUM($I29,$L29,$O29,$R29),"")</f>
        <v/>
      </c>
      <c r="AQ29" s="40" t="str">
        <f>IF(AND($G29='Povolené hodnoty'!$B$13,OR($H29=AQ$4,$H29='Povolené hodnoty'!$E$36)),SUM($I29,-$J29,$L29,-$M29,$O29,-$P29,$R29,-$S29),"")</f>
        <v/>
      </c>
      <c r="AR29" s="40" t="str">
        <f>IF(AND($G29='Povolené hodnoty'!$B$13,$H29=AR$4),SUM($I29,$L29,$O29,$R29),"")</f>
        <v/>
      </c>
      <c r="AS29" s="41" t="str">
        <f>IF(AND($G29='Povolené hodnoty'!$B$13,$H29=AS$4),SUM($I29,$L29,$O29,$R29),"")</f>
        <v/>
      </c>
      <c r="AT29" s="39" t="str">
        <f>IF(AND($G29='Povolené hodnoty'!$B$14,$H29=AT$4),SUM($I29,$L29,$O29,$R29),"")</f>
        <v/>
      </c>
      <c r="AU29" s="458" t="str">
        <f>IF(AND($G29='Povolené hodnoty'!$B$14,$H29=AU$4),SUM($I29,$L29,$O29,$R29),"")</f>
        <v/>
      </c>
      <c r="AV29" s="41" t="str">
        <f>IF(AND($G29='Povolené hodnoty'!$B$14,$H29=AV$4),SUM($I29,$L29,$O29,$R29),"")</f>
        <v/>
      </c>
      <c r="AW29" s="39" t="str">
        <f>IF(AND($G29='Povolené hodnoty'!$B$13,$H29=AW$4),SUM($J29,$M29,$P29,$S29),"")</f>
        <v/>
      </c>
      <c r="AX29" s="458" t="str">
        <f>IF(AND($G29='Povolené hodnoty'!$B$13,$H29=AX$4),SUM($J29,$M29,$P29,$S29),"")</f>
        <v/>
      </c>
      <c r="AY29" s="458" t="str">
        <f>IF(AND($G29='Povolené hodnoty'!$B$13,$H29=AY$4),SUM($J29,$M29,$P29,$S29),"")</f>
        <v/>
      </c>
      <c r="AZ29" s="458">
        <f>IF(AND($G29='Povolené hodnoty'!$B$13,$H29=AZ$4),SUM($J29,$M29,$P29,$S29),"")</f>
        <v>1100</v>
      </c>
      <c r="BA29" s="458" t="str">
        <f>IF(AND($G29='Povolené hodnoty'!$B$13,$H29=BA$4),SUM($J29,$M29,$P29,$S29),"")</f>
        <v/>
      </c>
      <c r="BB29" s="40" t="str">
        <f>IF(AND($G29='Povolené hodnoty'!$B$13,$H29=BB$4),SUM($J29,$M29,$P29,$S29),"")</f>
        <v/>
      </c>
      <c r="BC29" s="40" t="str">
        <f>IF(AND($G29='Povolené hodnoty'!$B$13,$H29=BC$4),SUM($J29,$M29,$P29,$S29),"")</f>
        <v/>
      </c>
      <c r="BD29" s="40" t="str">
        <f>IF(AND($G29='Povolené hodnoty'!$B$13,$H29=BD$4),SUM($J29,$M29,$P29,$S29),"")</f>
        <v/>
      </c>
      <c r="BE29" s="41" t="str">
        <f>IF(AND($G29='Povolené hodnoty'!$B$13,$H29=BE$4),SUM($J29,$M29,$P29,$S29),"")</f>
        <v/>
      </c>
      <c r="BF29" s="39" t="str">
        <f>IF(AND($G29='Povolené hodnoty'!$B$14,$H29=BF$4),SUM($J29,$M29,$P29,$S29),"")</f>
        <v/>
      </c>
      <c r="BG29" s="458" t="str">
        <f>IF(AND($G29='Povolené hodnoty'!$B$14,$H29=BG$4),SUM($J29,$M29,$P29,$S29),"")</f>
        <v/>
      </c>
      <c r="BH29" s="458" t="str">
        <f>IF(AND($G29='Povolené hodnoty'!$B$14,$H29=BH$4),SUM($J29,$M29,$P29,$S29),"")</f>
        <v/>
      </c>
      <c r="BI29" s="458" t="str">
        <f>IF(AND($G29='Povolené hodnoty'!$B$14,$H29=BI$4),SUM($J29,$M29,$P29,$S29),"")</f>
        <v/>
      </c>
      <c r="BJ29" s="458" t="str">
        <f>IF(AND($G29='Povolené hodnoty'!$B$14,$H29=BJ$4),SUM($J29,$M29,$P29,$S29),"")</f>
        <v/>
      </c>
      <c r="BK29" s="40" t="str">
        <f>IF(AND($G29='Povolené hodnoty'!$B$14,$H29=BK$4),SUM($J29,$M29,$P29,$S29),"")</f>
        <v/>
      </c>
      <c r="BL29" s="40" t="str">
        <f>IF(AND($G29='Povolené hodnoty'!$B$14,$H29=BL$4),SUM($J29,$M29,$P29,$S29),"")</f>
        <v/>
      </c>
      <c r="BM29" s="41" t="str">
        <f>IF(AND($G29='Povolené hodnoty'!$B$14,$H29=BM$4),SUM($J29,$M29,$P29,$S29),"")</f>
        <v/>
      </c>
      <c r="BO29" s="18" t="b">
        <f t="shared" si="33"/>
        <v>0</v>
      </c>
      <c r="BP29" s="18" t="b">
        <f t="shared" si="1"/>
        <v>0</v>
      </c>
      <c r="BQ29" s="18" t="b">
        <f>AND(E29&lt;&gt;'Povolené hodnoty'!$B$6,F29&lt;&gt;'Povolené hodnoty'!$D$7,F29&lt;&gt;'Povolené hodnoty'!$D$8,OR(SUM(I29,L29,O29,R29)&lt;&gt;SUM(W29:X29,AA29:AG29),SUM(J29,M29,P29,S29)&lt;&gt;SUM(Y29:Z29,AH29:AK29),COUNT(I29:J29,L29:M29,O29:P29,R29:S29)&lt;&gt;COUNT(W29:AK29)))</f>
        <v>0</v>
      </c>
      <c r="BR29" s="18" t="b">
        <f>OR(AND(E29='Povolené hodnoty'!$B$6,$BR$5),AND(E29='Povolené hodnoty'!$B$6,H29&lt;&gt;'Povolené hodnoty'!$E$26,H29&lt;&gt;'Povolené hodnoty'!$E$35),AND(E29&lt;&gt;'Povolené hodnoty'!$B$6,OR(H29='Povolené hodnoty'!$E$26,H29='Povolené hodnoty'!$E$35)))</f>
        <v>0</v>
      </c>
      <c r="BS29" s="18" t="b">
        <f>OR(AND(G29&lt;&gt;'Povolené hodnoty'!$B$13,OR(H29='Povolené hodnoty'!$E$21,H29='Povolené hodnoty'!$E$22,H29='Povolené hodnoty'!$E$23,H29='Povolené hodnoty'!$E$24,H29='Povolené hodnoty'!$E$26,H29='Povolené hodnoty'!$E$36)),COUNT(I29:J29,L29:M29,O29:P29,R29:S29)&lt;&gt;COUNT(AL29:BM29))</f>
        <v>0</v>
      </c>
      <c r="BT29" s="18" t="b">
        <f t="shared" si="2"/>
        <v>0</v>
      </c>
      <c r="BV29" s="39" t="str">
        <f t="shared" si="3"/>
        <v/>
      </c>
      <c r="BW29" s="458" t="str">
        <f t="shared" si="4"/>
        <v/>
      </c>
      <c r="BX29" s="458" t="str">
        <f t="shared" si="5"/>
        <v/>
      </c>
      <c r="BY29" s="458" t="str">
        <f t="shared" si="6"/>
        <v/>
      </c>
      <c r="BZ29" s="458" t="str">
        <f t="shared" si="7"/>
        <v/>
      </c>
      <c r="CA29" s="40" t="str">
        <f t="shared" si="8"/>
        <v/>
      </c>
      <c r="CB29" s="40" t="str">
        <f t="shared" si="9"/>
        <v/>
      </c>
      <c r="CC29" s="39" t="str">
        <f t="shared" si="10"/>
        <v/>
      </c>
      <c r="CD29" s="458" t="str">
        <f t="shared" si="11"/>
        <v/>
      </c>
      <c r="CE29" s="41" t="str">
        <f t="shared" si="12"/>
        <v/>
      </c>
      <c r="CF29" s="39" t="str">
        <f t="shared" si="13"/>
        <v/>
      </c>
      <c r="CG29" s="458" t="str">
        <f t="shared" si="14"/>
        <v/>
      </c>
      <c r="CH29" s="458" t="str">
        <f t="shared" si="15"/>
        <v/>
      </c>
      <c r="CI29" s="458" t="str">
        <f t="shared" si="16"/>
        <v/>
      </c>
      <c r="CJ29" s="458" t="str">
        <f t="shared" si="17"/>
        <v/>
      </c>
      <c r="CK29" s="40" t="str">
        <f t="shared" si="18"/>
        <v/>
      </c>
      <c r="CL29" s="40" t="str">
        <f t="shared" si="19"/>
        <v/>
      </c>
      <c r="CM29" s="40" t="str">
        <f t="shared" si="20"/>
        <v/>
      </c>
      <c r="CN29" s="39" t="str">
        <f t="shared" si="21"/>
        <v/>
      </c>
      <c r="CO29" s="458" t="str">
        <f t="shared" si="22"/>
        <v/>
      </c>
      <c r="CP29" s="458" t="str">
        <f t="shared" si="23"/>
        <v/>
      </c>
      <c r="CQ29" s="458" t="str">
        <f t="shared" si="24"/>
        <v/>
      </c>
      <c r="CR29" s="458" t="str">
        <f t="shared" si="25"/>
        <v/>
      </c>
      <c r="CS29" s="40" t="str">
        <f t="shared" si="26"/>
        <v/>
      </c>
      <c r="CT29" s="40" t="str">
        <f t="shared" si="27"/>
        <v/>
      </c>
      <c r="CU29" s="41" t="str">
        <f t="shared" si="28"/>
        <v/>
      </c>
    </row>
    <row r="30" spans="1:99" x14ac:dyDescent="0.2">
      <c r="A30" s="77">
        <f t="shared" si="29"/>
        <v>25</v>
      </c>
      <c r="B30" s="81">
        <v>45184</v>
      </c>
      <c r="C30" s="82" t="s">
        <v>510</v>
      </c>
      <c r="D30" s="71" t="s">
        <v>3489</v>
      </c>
      <c r="E30" s="72" t="s">
        <v>42</v>
      </c>
      <c r="F30" s="73">
        <v>10</v>
      </c>
      <c r="G30" s="443" t="s">
        <v>3308</v>
      </c>
      <c r="H30" s="443" t="s">
        <v>3320</v>
      </c>
      <c r="I30" s="74"/>
      <c r="J30" s="75"/>
      <c r="K30" s="41">
        <f t="shared" si="34"/>
        <v>3100</v>
      </c>
      <c r="L30" s="104"/>
      <c r="M30" s="105">
        <v>500.5</v>
      </c>
      <c r="N30" s="106">
        <f t="shared" si="30"/>
        <v>5499.5</v>
      </c>
      <c r="O30" s="104"/>
      <c r="P30" s="105"/>
      <c r="Q30" s="106">
        <f t="shared" si="35"/>
        <v>0</v>
      </c>
      <c r="R30" s="104"/>
      <c r="S30" s="105"/>
      <c r="T30" s="106">
        <f t="shared" si="36"/>
        <v>0</v>
      </c>
      <c r="U30" s="439"/>
      <c r="V30" s="42">
        <f t="shared" si="0"/>
        <v>25</v>
      </c>
      <c r="W30" s="39" t="str">
        <f>IF(AND(E30='Povolené hodnoty'!$B$4,F30=2),I30+L30+O30+R30,"")</f>
        <v/>
      </c>
      <c r="X30" s="41" t="str">
        <f>IF(AND(E30='Povolené hodnoty'!$B$4,F30=1),I30+L30+O30+R30,"")</f>
        <v/>
      </c>
      <c r="Y30" s="39">
        <f>IF(AND(E30='Povolené hodnoty'!$B$4,F30=10),J30+M30+P30+S30,"")</f>
        <v>500.5</v>
      </c>
      <c r="Z30" s="41" t="str">
        <f>IF(AND(E30='Povolené hodnoty'!$B$4,F30=9),J30+M30+P30+S30,"")</f>
        <v/>
      </c>
      <c r="AA30" s="39" t="str">
        <f>IF(AND(E30&lt;&gt;'Povolené hodnoty'!$B$4,F30=2),I30+L30+O30+R30,"")</f>
        <v/>
      </c>
      <c r="AB30" s="40" t="str">
        <f>IF(AND(E30&lt;&gt;'Povolené hodnoty'!$B$4,F30=3),I30+L30+O30+R30,"")</f>
        <v/>
      </c>
      <c r="AC30" s="40" t="str">
        <f>IF(AND(E30&lt;&gt;'Povolené hodnoty'!$B$4,F30=4),I30+L30+O30+R30,"")</f>
        <v/>
      </c>
      <c r="AD30" s="40" t="str">
        <f>IF(AND(E30&lt;&gt;'Povolené hodnoty'!$B$4,F30="5a"),I30-J30+L30-M30+O30-P30+R30-S30,"")</f>
        <v/>
      </c>
      <c r="AE30" s="40" t="str">
        <f>IF(AND(E30&lt;&gt;'Povolené hodnoty'!$B$4,F30="5b"),I30-J30+L30-M30+O30-P30+R30-S30,"")</f>
        <v/>
      </c>
      <c r="AF30" s="40" t="str">
        <f>IF(AND(E30&lt;&gt;'Povolené hodnoty'!$B$4,F30=6),I30+L30+O30+R30,"")</f>
        <v/>
      </c>
      <c r="AG30" s="41" t="str">
        <f>IF(AND(E30&lt;&gt;'Povolené hodnoty'!$B$4,F30=7),I30+L30+O30+R30,"")</f>
        <v/>
      </c>
      <c r="AH30" s="39" t="str">
        <f>IF(AND(E30&lt;&gt;'Povolené hodnoty'!$B$4,F30=10),J30+M30+P30+S30,"")</f>
        <v/>
      </c>
      <c r="AI30" s="40" t="str">
        <f>IF(AND(E30&lt;&gt;'Povolené hodnoty'!$B$4,F30=11),J30+M30+P30+S30,"")</f>
        <v/>
      </c>
      <c r="AJ30" s="40" t="str">
        <f>IF(AND(E30&lt;&gt;'Povolené hodnoty'!$B$4,F30=12),J30+M30+P30+S30,"")</f>
        <v/>
      </c>
      <c r="AK30" s="41" t="str">
        <f>IF(AND(E30&lt;&gt;'Povolené hodnoty'!$B$4,F30=13),J30+M30+P30+S30,"")</f>
        <v/>
      </c>
      <c r="AL30" s="39" t="str">
        <f>IF(AND($G30='Povolené hodnoty'!$B$13,$H30=AL$4),SUM($I30,$L30,$O30,$R30),"")</f>
        <v/>
      </c>
      <c r="AM30" s="458" t="str">
        <f>IF(AND($G30='Povolené hodnoty'!$B$13,$H30=AM$4),SUM($I30,$L30,$O30,$R30),"")</f>
        <v/>
      </c>
      <c r="AN30" s="458" t="str">
        <f>IF(AND($G30='Povolené hodnoty'!$B$13,$H30=AN$4),SUM($I30,$L30,$O30,$R30),"")</f>
        <v/>
      </c>
      <c r="AO30" s="458" t="str">
        <f>IF(AND($G30='Povolené hodnoty'!$B$13,$H30=AO$4),SUM($I30,$L30,$O30,$R30),"")</f>
        <v/>
      </c>
      <c r="AP30" s="458" t="str">
        <f>IF(AND($G30='Povolené hodnoty'!$B$13,$H30=AP$4),SUM($I30,$L30,$O30,$R30),"")</f>
        <v/>
      </c>
      <c r="AQ30" s="40" t="str">
        <f>IF(AND($G30='Povolené hodnoty'!$B$13,OR($H30=AQ$4,$H30='Povolené hodnoty'!$E$36)),SUM($I30,-$J30,$L30,-$M30,$O30,-$P30,$R30,-$S30),"")</f>
        <v/>
      </c>
      <c r="AR30" s="40" t="str">
        <f>IF(AND($G30='Povolené hodnoty'!$B$13,$H30=AR$4),SUM($I30,$L30,$O30,$R30),"")</f>
        <v/>
      </c>
      <c r="AS30" s="41" t="str">
        <f>IF(AND($G30='Povolené hodnoty'!$B$13,$H30=AS$4),SUM($I30,$L30,$O30,$R30),"")</f>
        <v/>
      </c>
      <c r="AT30" s="39" t="str">
        <f>IF(AND($G30='Povolené hodnoty'!$B$14,$H30=AT$4),SUM($I30,$L30,$O30,$R30),"")</f>
        <v/>
      </c>
      <c r="AU30" s="458" t="str">
        <f>IF(AND($G30='Povolené hodnoty'!$B$14,$H30=AU$4),SUM($I30,$L30,$O30,$R30),"")</f>
        <v/>
      </c>
      <c r="AV30" s="41" t="str">
        <f>IF(AND($G30='Povolené hodnoty'!$B$14,$H30=AV$4),SUM($I30,$L30,$O30,$R30),"")</f>
        <v/>
      </c>
      <c r="AW30" s="39" t="str">
        <f>IF(AND($G30='Povolené hodnoty'!$B$13,$H30=AW$4),SUM($J30,$M30,$P30,$S30),"")</f>
        <v/>
      </c>
      <c r="AX30" s="458" t="str">
        <f>IF(AND($G30='Povolené hodnoty'!$B$13,$H30=AX$4),SUM($J30,$M30,$P30,$S30),"")</f>
        <v/>
      </c>
      <c r="AY30" s="458">
        <f>IF(AND($G30='Povolené hodnoty'!$B$13,$H30=AY$4),SUM($J30,$M30,$P30,$S30),"")</f>
        <v>500.5</v>
      </c>
      <c r="AZ30" s="458" t="str">
        <f>IF(AND($G30='Povolené hodnoty'!$B$13,$H30=AZ$4),SUM($J30,$M30,$P30,$S30),"")</f>
        <v/>
      </c>
      <c r="BA30" s="458" t="str">
        <f>IF(AND($G30='Povolené hodnoty'!$B$13,$H30=BA$4),SUM($J30,$M30,$P30,$S30),"")</f>
        <v/>
      </c>
      <c r="BB30" s="40" t="str">
        <f>IF(AND($G30='Povolené hodnoty'!$B$13,$H30=BB$4),SUM($J30,$M30,$P30,$S30),"")</f>
        <v/>
      </c>
      <c r="BC30" s="40" t="str">
        <f>IF(AND($G30='Povolené hodnoty'!$B$13,$H30=BC$4),SUM($J30,$M30,$P30,$S30),"")</f>
        <v/>
      </c>
      <c r="BD30" s="40" t="str">
        <f>IF(AND($G30='Povolené hodnoty'!$B$13,$H30=BD$4),SUM($J30,$M30,$P30,$S30),"")</f>
        <v/>
      </c>
      <c r="BE30" s="41" t="str">
        <f>IF(AND($G30='Povolené hodnoty'!$B$13,$H30=BE$4),SUM($J30,$M30,$P30,$S30),"")</f>
        <v/>
      </c>
      <c r="BF30" s="39" t="str">
        <f>IF(AND($G30='Povolené hodnoty'!$B$14,$H30=BF$4),SUM($J30,$M30,$P30,$S30),"")</f>
        <v/>
      </c>
      <c r="BG30" s="458" t="str">
        <f>IF(AND($G30='Povolené hodnoty'!$B$14,$H30=BG$4),SUM($J30,$M30,$P30,$S30),"")</f>
        <v/>
      </c>
      <c r="BH30" s="458" t="str">
        <f>IF(AND($G30='Povolené hodnoty'!$B$14,$H30=BH$4),SUM($J30,$M30,$P30,$S30),"")</f>
        <v/>
      </c>
      <c r="BI30" s="458" t="str">
        <f>IF(AND($G30='Povolené hodnoty'!$B$14,$H30=BI$4),SUM($J30,$M30,$P30,$S30),"")</f>
        <v/>
      </c>
      <c r="BJ30" s="458" t="str">
        <f>IF(AND($G30='Povolené hodnoty'!$B$14,$H30=BJ$4),SUM($J30,$M30,$P30,$S30),"")</f>
        <v/>
      </c>
      <c r="BK30" s="40" t="str">
        <f>IF(AND($G30='Povolené hodnoty'!$B$14,$H30=BK$4),SUM($J30,$M30,$P30,$S30),"")</f>
        <v/>
      </c>
      <c r="BL30" s="40" t="str">
        <f>IF(AND($G30='Povolené hodnoty'!$B$14,$H30=BL$4),SUM($J30,$M30,$P30,$S30),"")</f>
        <v/>
      </c>
      <c r="BM30" s="41" t="str">
        <f>IF(AND($G30='Povolené hodnoty'!$B$14,$H30=BM$4),SUM($J30,$M30,$P30,$S30),"")</f>
        <v/>
      </c>
      <c r="BO30" s="18" t="b">
        <f t="shared" si="33"/>
        <v>0</v>
      </c>
      <c r="BP30" s="18" t="b">
        <f t="shared" si="1"/>
        <v>0</v>
      </c>
      <c r="BQ30" s="18" t="b">
        <f>AND(E30&lt;&gt;'Povolené hodnoty'!$B$6,F30&lt;&gt;'Povolené hodnoty'!$D$7,F30&lt;&gt;'Povolené hodnoty'!$D$8,OR(SUM(I30,L30,O30,R30)&lt;&gt;SUM(W30:X30,AA30:AG30),SUM(J30,M30,P30,S30)&lt;&gt;SUM(Y30:Z30,AH30:AK30),COUNT(I30:J30,L30:M30,O30:P30,R30:S30)&lt;&gt;COUNT(W30:AK30)))</f>
        <v>0</v>
      </c>
      <c r="BR30" s="18" t="b">
        <f>OR(AND(E30='Povolené hodnoty'!$B$6,$BR$5),AND(E30='Povolené hodnoty'!$B$6,H30&lt;&gt;'Povolené hodnoty'!$E$26,H30&lt;&gt;'Povolené hodnoty'!$E$35),AND(E30&lt;&gt;'Povolené hodnoty'!$B$6,OR(H30='Povolené hodnoty'!$E$26,H30='Povolené hodnoty'!$E$35)))</f>
        <v>0</v>
      </c>
      <c r="BS30" s="18" t="b">
        <f>OR(AND(G30&lt;&gt;'Povolené hodnoty'!$B$13,OR(H30='Povolené hodnoty'!$E$21,H30='Povolené hodnoty'!$E$22,H30='Povolené hodnoty'!$E$23,H30='Povolené hodnoty'!$E$24,H30='Povolené hodnoty'!$E$26,H30='Povolené hodnoty'!$E$36)),COUNT(I30:J30,L30:M30,O30:P30,R30:S30)&lt;&gt;COUNT(AL30:BM30))</f>
        <v>0</v>
      </c>
      <c r="BT30" s="18" t="b">
        <f t="shared" si="2"/>
        <v>0</v>
      </c>
      <c r="BV30" s="39" t="str">
        <f t="shared" si="3"/>
        <v/>
      </c>
      <c r="BW30" s="458" t="str">
        <f t="shared" si="4"/>
        <v/>
      </c>
      <c r="BX30" s="458" t="str">
        <f t="shared" si="5"/>
        <v/>
      </c>
      <c r="BY30" s="458" t="str">
        <f t="shared" si="6"/>
        <v/>
      </c>
      <c r="BZ30" s="458" t="str">
        <f t="shared" si="7"/>
        <v/>
      </c>
      <c r="CA30" s="40" t="str">
        <f t="shared" si="8"/>
        <v/>
      </c>
      <c r="CB30" s="40" t="str">
        <f t="shared" si="9"/>
        <v/>
      </c>
      <c r="CC30" s="39" t="str">
        <f t="shared" si="10"/>
        <v/>
      </c>
      <c r="CD30" s="458" t="str">
        <f t="shared" si="11"/>
        <v/>
      </c>
      <c r="CE30" s="41" t="str">
        <f t="shared" si="12"/>
        <v/>
      </c>
      <c r="CF30" s="39" t="str">
        <f t="shared" si="13"/>
        <v/>
      </c>
      <c r="CG30" s="458" t="str">
        <f t="shared" si="14"/>
        <v/>
      </c>
      <c r="CH30" s="458">
        <f t="shared" si="15"/>
        <v>500.5</v>
      </c>
      <c r="CI30" s="458" t="str">
        <f t="shared" si="16"/>
        <v/>
      </c>
      <c r="CJ30" s="458" t="str">
        <f t="shared" si="17"/>
        <v/>
      </c>
      <c r="CK30" s="40" t="str">
        <f t="shared" si="18"/>
        <v/>
      </c>
      <c r="CL30" s="40" t="str">
        <f t="shared" si="19"/>
        <v/>
      </c>
      <c r="CM30" s="40" t="str">
        <f t="shared" si="20"/>
        <v/>
      </c>
      <c r="CN30" s="39" t="str">
        <f t="shared" si="21"/>
        <v/>
      </c>
      <c r="CO30" s="458" t="str">
        <f t="shared" si="22"/>
        <v/>
      </c>
      <c r="CP30" s="458" t="str">
        <f t="shared" si="23"/>
        <v/>
      </c>
      <c r="CQ30" s="458" t="str">
        <f t="shared" si="24"/>
        <v/>
      </c>
      <c r="CR30" s="458" t="str">
        <f t="shared" si="25"/>
        <v/>
      </c>
      <c r="CS30" s="40" t="str">
        <f t="shared" si="26"/>
        <v/>
      </c>
      <c r="CT30" s="40" t="str">
        <f t="shared" si="27"/>
        <v/>
      </c>
      <c r="CU30" s="41" t="str">
        <f t="shared" si="28"/>
        <v/>
      </c>
    </row>
    <row r="31" spans="1:99" x14ac:dyDescent="0.2">
      <c r="A31" s="77">
        <f t="shared" si="29"/>
        <v>26</v>
      </c>
      <c r="B31" s="81">
        <v>45189</v>
      </c>
      <c r="C31" s="82" t="s">
        <v>522</v>
      </c>
      <c r="D31" s="71" t="s">
        <v>3490</v>
      </c>
      <c r="E31" s="72" t="s">
        <v>42</v>
      </c>
      <c r="F31" s="73">
        <v>2</v>
      </c>
      <c r="G31" s="443" t="s">
        <v>3308</v>
      </c>
      <c r="H31" s="443" t="s">
        <v>3310</v>
      </c>
      <c r="I31" s="74">
        <v>525</v>
      </c>
      <c r="J31" s="75"/>
      <c r="K31" s="41">
        <f t="shared" si="34"/>
        <v>3625</v>
      </c>
      <c r="L31" s="104"/>
      <c r="M31" s="105"/>
      <c r="N31" s="106">
        <f t="shared" si="30"/>
        <v>5499.5</v>
      </c>
      <c r="O31" s="104"/>
      <c r="P31" s="105"/>
      <c r="Q31" s="106">
        <f t="shared" si="35"/>
        <v>0</v>
      </c>
      <c r="R31" s="104"/>
      <c r="S31" s="105"/>
      <c r="T31" s="106">
        <f t="shared" si="36"/>
        <v>0</v>
      </c>
      <c r="U31" s="439"/>
      <c r="V31" s="42">
        <f t="shared" si="0"/>
        <v>26</v>
      </c>
      <c r="W31" s="39">
        <f>IF(AND(E31='Povolené hodnoty'!$B$4,F31=2),I31+L31+O31+R31,"")</f>
        <v>525</v>
      </c>
      <c r="X31" s="41" t="str">
        <f>IF(AND(E31='Povolené hodnoty'!$B$4,F31=1),I31+L31+O31+R31,"")</f>
        <v/>
      </c>
      <c r="Y31" s="39" t="str">
        <f>IF(AND(E31='Povolené hodnoty'!$B$4,F31=10),J31+M31+P31+S31,"")</f>
        <v/>
      </c>
      <c r="Z31" s="41" t="str">
        <f>IF(AND(E31='Povolené hodnoty'!$B$4,F31=9),J31+M31+P31+S31,"")</f>
        <v/>
      </c>
      <c r="AA31" s="39" t="str">
        <f>IF(AND(E31&lt;&gt;'Povolené hodnoty'!$B$4,F31=2),I31+L31+O31+R31,"")</f>
        <v/>
      </c>
      <c r="AB31" s="40" t="str">
        <f>IF(AND(E31&lt;&gt;'Povolené hodnoty'!$B$4,F31=3),I31+L31+O31+R31,"")</f>
        <v/>
      </c>
      <c r="AC31" s="40" t="str">
        <f>IF(AND(E31&lt;&gt;'Povolené hodnoty'!$B$4,F31=4),I31+L31+O31+R31,"")</f>
        <v/>
      </c>
      <c r="AD31" s="40" t="str">
        <f>IF(AND(E31&lt;&gt;'Povolené hodnoty'!$B$4,F31="5a"),I31-J31+L31-M31+O31-P31+R31-S31,"")</f>
        <v/>
      </c>
      <c r="AE31" s="40" t="str">
        <f>IF(AND(E31&lt;&gt;'Povolené hodnoty'!$B$4,F31="5b"),I31-J31+L31-M31+O31-P31+R31-S31,"")</f>
        <v/>
      </c>
      <c r="AF31" s="40" t="str">
        <f>IF(AND(E31&lt;&gt;'Povolené hodnoty'!$B$4,F31=6),I31+L31+O31+R31,"")</f>
        <v/>
      </c>
      <c r="AG31" s="41" t="str">
        <f>IF(AND(E31&lt;&gt;'Povolené hodnoty'!$B$4,F31=7),I31+L31+O31+R31,"")</f>
        <v/>
      </c>
      <c r="AH31" s="39" t="str">
        <f>IF(AND(E31&lt;&gt;'Povolené hodnoty'!$B$4,F31=10),J31+M31+P31+S31,"")</f>
        <v/>
      </c>
      <c r="AI31" s="40" t="str">
        <f>IF(AND(E31&lt;&gt;'Povolené hodnoty'!$B$4,F31=11),J31+M31+P31+S31,"")</f>
        <v/>
      </c>
      <c r="AJ31" s="40" t="str">
        <f>IF(AND(E31&lt;&gt;'Povolené hodnoty'!$B$4,F31=12),J31+M31+P31+S31,"")</f>
        <v/>
      </c>
      <c r="AK31" s="41" t="str">
        <f>IF(AND(E31&lt;&gt;'Povolené hodnoty'!$B$4,F31=13),J31+M31+P31+S31,"")</f>
        <v/>
      </c>
      <c r="AL31" s="39">
        <f>IF(AND($G31='Povolené hodnoty'!$B$13,$H31=AL$4),SUM($I31,$L31,$O31,$R31),"")</f>
        <v>525</v>
      </c>
      <c r="AM31" s="458" t="str">
        <f>IF(AND($G31='Povolené hodnoty'!$B$13,$H31=AM$4),SUM($I31,$L31,$O31,$R31),"")</f>
        <v/>
      </c>
      <c r="AN31" s="458" t="str">
        <f>IF(AND($G31='Povolené hodnoty'!$B$13,$H31=AN$4),SUM($I31,$L31,$O31,$R31),"")</f>
        <v/>
      </c>
      <c r="AO31" s="458" t="str">
        <f>IF(AND($G31='Povolené hodnoty'!$B$13,$H31=AO$4),SUM($I31,$L31,$O31,$R31),"")</f>
        <v/>
      </c>
      <c r="AP31" s="458" t="str">
        <f>IF(AND($G31='Povolené hodnoty'!$B$13,$H31=AP$4),SUM($I31,$L31,$O31,$R31),"")</f>
        <v/>
      </c>
      <c r="AQ31" s="40" t="str">
        <f>IF(AND($G31='Povolené hodnoty'!$B$13,OR($H31=AQ$4,$H31='Povolené hodnoty'!$E$36)),SUM($I31,-$J31,$L31,-$M31,$O31,-$P31,$R31,-$S31),"")</f>
        <v/>
      </c>
      <c r="AR31" s="40" t="str">
        <f>IF(AND($G31='Povolené hodnoty'!$B$13,$H31=AR$4),SUM($I31,$L31,$O31,$R31),"")</f>
        <v/>
      </c>
      <c r="AS31" s="41" t="str">
        <f>IF(AND($G31='Povolené hodnoty'!$B$13,$H31=AS$4),SUM($I31,$L31,$O31,$R31),"")</f>
        <v/>
      </c>
      <c r="AT31" s="39" t="str">
        <f>IF(AND($G31='Povolené hodnoty'!$B$14,$H31=AT$4),SUM($I31,$L31,$O31,$R31),"")</f>
        <v/>
      </c>
      <c r="AU31" s="458" t="str">
        <f>IF(AND($G31='Povolené hodnoty'!$B$14,$H31=AU$4),SUM($I31,$L31,$O31,$R31),"")</f>
        <v/>
      </c>
      <c r="AV31" s="41" t="str">
        <f>IF(AND($G31='Povolené hodnoty'!$B$14,$H31=AV$4),SUM($I31,$L31,$O31,$R31),"")</f>
        <v/>
      </c>
      <c r="AW31" s="39" t="str">
        <f>IF(AND($G31='Povolené hodnoty'!$B$13,$H31=AW$4),SUM($J31,$M31,$P31,$S31),"")</f>
        <v/>
      </c>
      <c r="AX31" s="458" t="str">
        <f>IF(AND($G31='Povolené hodnoty'!$B$13,$H31=AX$4),SUM($J31,$M31,$P31,$S31),"")</f>
        <v/>
      </c>
      <c r="AY31" s="458" t="str">
        <f>IF(AND($G31='Povolené hodnoty'!$B$13,$H31=AY$4),SUM($J31,$M31,$P31,$S31),"")</f>
        <v/>
      </c>
      <c r="AZ31" s="458" t="str">
        <f>IF(AND($G31='Povolené hodnoty'!$B$13,$H31=AZ$4),SUM($J31,$M31,$P31,$S31),"")</f>
        <v/>
      </c>
      <c r="BA31" s="458" t="str">
        <f>IF(AND($G31='Povolené hodnoty'!$B$13,$H31=BA$4),SUM($J31,$M31,$P31,$S31),"")</f>
        <v/>
      </c>
      <c r="BB31" s="40" t="str">
        <f>IF(AND($G31='Povolené hodnoty'!$B$13,$H31=BB$4),SUM($J31,$M31,$P31,$S31),"")</f>
        <v/>
      </c>
      <c r="BC31" s="40" t="str">
        <f>IF(AND($G31='Povolené hodnoty'!$B$13,$H31=BC$4),SUM($J31,$M31,$P31,$S31),"")</f>
        <v/>
      </c>
      <c r="BD31" s="40" t="str">
        <f>IF(AND($G31='Povolené hodnoty'!$B$13,$H31=BD$4),SUM($J31,$M31,$P31,$S31),"")</f>
        <v/>
      </c>
      <c r="BE31" s="41" t="str">
        <f>IF(AND($G31='Povolené hodnoty'!$B$13,$H31=BE$4),SUM($J31,$M31,$P31,$S31),"")</f>
        <v/>
      </c>
      <c r="BF31" s="39" t="str">
        <f>IF(AND($G31='Povolené hodnoty'!$B$14,$H31=BF$4),SUM($J31,$M31,$P31,$S31),"")</f>
        <v/>
      </c>
      <c r="BG31" s="458" t="str">
        <f>IF(AND($G31='Povolené hodnoty'!$B$14,$H31=BG$4),SUM($J31,$M31,$P31,$S31),"")</f>
        <v/>
      </c>
      <c r="BH31" s="458" t="str">
        <f>IF(AND($G31='Povolené hodnoty'!$B$14,$H31=BH$4),SUM($J31,$M31,$P31,$S31),"")</f>
        <v/>
      </c>
      <c r="BI31" s="458" t="str">
        <f>IF(AND($G31='Povolené hodnoty'!$B$14,$H31=BI$4),SUM($J31,$M31,$P31,$S31),"")</f>
        <v/>
      </c>
      <c r="BJ31" s="458" t="str">
        <f>IF(AND($G31='Povolené hodnoty'!$B$14,$H31=BJ$4),SUM($J31,$M31,$P31,$S31),"")</f>
        <v/>
      </c>
      <c r="BK31" s="40" t="str">
        <f>IF(AND($G31='Povolené hodnoty'!$B$14,$H31=BK$4),SUM($J31,$M31,$P31,$S31),"")</f>
        <v/>
      </c>
      <c r="BL31" s="40" t="str">
        <f>IF(AND($G31='Povolené hodnoty'!$B$14,$H31=BL$4),SUM($J31,$M31,$P31,$S31),"")</f>
        <v/>
      </c>
      <c r="BM31" s="41" t="str">
        <f>IF(AND($G31='Povolené hodnoty'!$B$14,$H31=BM$4),SUM($J31,$M31,$P31,$S31),"")</f>
        <v/>
      </c>
      <c r="BO31" s="18" t="b">
        <f t="shared" si="33"/>
        <v>0</v>
      </c>
      <c r="BP31" s="18" t="b">
        <f t="shared" si="1"/>
        <v>0</v>
      </c>
      <c r="BQ31" s="18" t="b">
        <f>AND(E31&lt;&gt;'Povolené hodnoty'!$B$6,F31&lt;&gt;'Povolené hodnoty'!$D$7,F31&lt;&gt;'Povolené hodnoty'!$D$8,OR(SUM(I31,L31,O31,R31)&lt;&gt;SUM(W31:X31,AA31:AG31),SUM(J31,M31,P31,S31)&lt;&gt;SUM(Y31:Z31,AH31:AK31),COUNT(I31:J31,L31:M31,O31:P31,R31:S31)&lt;&gt;COUNT(W31:AK31)))</f>
        <v>0</v>
      </c>
      <c r="BR31" s="18" t="b">
        <f>OR(AND(E31='Povolené hodnoty'!$B$6,$BR$5),AND(E31='Povolené hodnoty'!$B$6,H31&lt;&gt;'Povolené hodnoty'!$E$26,H31&lt;&gt;'Povolené hodnoty'!$E$35),AND(E31&lt;&gt;'Povolené hodnoty'!$B$6,OR(H31='Povolené hodnoty'!$E$26,H31='Povolené hodnoty'!$E$35)))</f>
        <v>0</v>
      </c>
      <c r="BS31" s="18" t="b">
        <f>OR(AND(G31&lt;&gt;'Povolené hodnoty'!$B$13,OR(H31='Povolené hodnoty'!$E$21,H31='Povolené hodnoty'!$E$22,H31='Povolené hodnoty'!$E$23,H31='Povolené hodnoty'!$E$24,H31='Povolené hodnoty'!$E$26,H31='Povolené hodnoty'!$E$36)),COUNT(I31:J31,L31:M31,O31:P31,R31:S31)&lt;&gt;COUNT(AL31:BM31))</f>
        <v>0</v>
      </c>
      <c r="BT31" s="18" t="b">
        <f t="shared" si="2"/>
        <v>0</v>
      </c>
      <c r="BV31" s="39">
        <f t="shared" si="3"/>
        <v>525</v>
      </c>
      <c r="BW31" s="458" t="str">
        <f t="shared" si="4"/>
        <v/>
      </c>
      <c r="BX31" s="458" t="str">
        <f t="shared" si="5"/>
        <v/>
      </c>
      <c r="BY31" s="458" t="str">
        <f t="shared" si="6"/>
        <v/>
      </c>
      <c r="BZ31" s="458" t="str">
        <f t="shared" si="7"/>
        <v/>
      </c>
      <c r="CA31" s="40" t="str">
        <f t="shared" si="8"/>
        <v/>
      </c>
      <c r="CB31" s="40" t="str">
        <f t="shared" si="9"/>
        <v/>
      </c>
      <c r="CC31" s="39" t="str">
        <f t="shared" si="10"/>
        <v/>
      </c>
      <c r="CD31" s="458" t="str">
        <f t="shared" si="11"/>
        <v/>
      </c>
      <c r="CE31" s="41" t="str">
        <f t="shared" si="12"/>
        <v/>
      </c>
      <c r="CF31" s="39" t="str">
        <f t="shared" si="13"/>
        <v/>
      </c>
      <c r="CG31" s="458" t="str">
        <f t="shared" si="14"/>
        <v/>
      </c>
      <c r="CH31" s="458" t="str">
        <f t="shared" si="15"/>
        <v/>
      </c>
      <c r="CI31" s="458" t="str">
        <f t="shared" si="16"/>
        <v/>
      </c>
      <c r="CJ31" s="458" t="str">
        <f t="shared" si="17"/>
        <v/>
      </c>
      <c r="CK31" s="40" t="str">
        <f t="shared" si="18"/>
        <v/>
      </c>
      <c r="CL31" s="40" t="str">
        <f t="shared" si="19"/>
        <v/>
      </c>
      <c r="CM31" s="40" t="str">
        <f t="shared" si="20"/>
        <v/>
      </c>
      <c r="CN31" s="39" t="str">
        <f t="shared" si="21"/>
        <v/>
      </c>
      <c r="CO31" s="458" t="str">
        <f t="shared" si="22"/>
        <v/>
      </c>
      <c r="CP31" s="458" t="str">
        <f t="shared" si="23"/>
        <v/>
      </c>
      <c r="CQ31" s="458" t="str">
        <f t="shared" si="24"/>
        <v/>
      </c>
      <c r="CR31" s="458" t="str">
        <f t="shared" si="25"/>
        <v/>
      </c>
      <c r="CS31" s="40" t="str">
        <f t="shared" si="26"/>
        <v/>
      </c>
      <c r="CT31" s="40" t="str">
        <f t="shared" si="27"/>
        <v/>
      </c>
      <c r="CU31" s="41" t="str">
        <f t="shared" si="28"/>
        <v/>
      </c>
    </row>
    <row r="32" spans="1:99" x14ac:dyDescent="0.2">
      <c r="A32" s="77">
        <f t="shared" si="29"/>
        <v>27</v>
      </c>
      <c r="B32" s="81">
        <v>45230</v>
      </c>
      <c r="C32" s="82" t="s">
        <v>511</v>
      </c>
      <c r="D32" s="71" t="s">
        <v>3491</v>
      </c>
      <c r="E32" s="72" t="s">
        <v>64</v>
      </c>
      <c r="F32" s="73">
        <v>6</v>
      </c>
      <c r="G32" s="443" t="s">
        <v>3308</v>
      </c>
      <c r="H32" s="443" t="s">
        <v>3313</v>
      </c>
      <c r="I32" s="74"/>
      <c r="J32" s="75"/>
      <c r="K32" s="41">
        <f t="shared" ref="K32:K44" si="37">K31+I32-J32</f>
        <v>3625</v>
      </c>
      <c r="L32" s="104">
        <v>3000.5</v>
      </c>
      <c r="M32" s="105"/>
      <c r="N32" s="106">
        <f t="shared" ref="N32:N44" si="38">N31+L32-M32</f>
        <v>8500</v>
      </c>
      <c r="O32" s="104"/>
      <c r="P32" s="105"/>
      <c r="Q32" s="106">
        <f t="shared" si="35"/>
        <v>0</v>
      </c>
      <c r="R32" s="104"/>
      <c r="S32" s="105"/>
      <c r="T32" s="106">
        <f t="shared" si="36"/>
        <v>0</v>
      </c>
      <c r="U32" s="439"/>
      <c r="V32" s="42">
        <f t="shared" si="0"/>
        <v>27</v>
      </c>
      <c r="W32" s="39" t="str">
        <f>IF(AND(E32='Povolené hodnoty'!$B$4,F32=2),I32+L32+O32+R32,"")</f>
        <v/>
      </c>
      <c r="X32" s="41" t="str">
        <f>IF(AND(E32='Povolené hodnoty'!$B$4,F32=1),I32+L32+O32+R32,"")</f>
        <v/>
      </c>
      <c r="Y32" s="39" t="str">
        <f>IF(AND(E32='Povolené hodnoty'!$B$4,F32=10),J32+M32+P32+S32,"")</f>
        <v/>
      </c>
      <c r="Z32" s="41" t="str">
        <f>IF(AND(E32='Povolené hodnoty'!$B$4,F32=9),J32+M32+P32+S32,"")</f>
        <v/>
      </c>
      <c r="AA32" s="39" t="str">
        <f>IF(AND(E32&lt;&gt;'Povolené hodnoty'!$B$4,F32=2),I32+L32+O32+R32,"")</f>
        <v/>
      </c>
      <c r="AB32" s="40" t="str">
        <f>IF(AND(E32&lt;&gt;'Povolené hodnoty'!$B$4,F32=3),I32+L32+O32+R32,"")</f>
        <v/>
      </c>
      <c r="AC32" s="40" t="str">
        <f>IF(AND(E32&lt;&gt;'Povolené hodnoty'!$B$4,F32=4),I32+L32+O32+R32,"")</f>
        <v/>
      </c>
      <c r="AD32" s="40" t="str">
        <f>IF(AND(E32&lt;&gt;'Povolené hodnoty'!$B$4,F32="5a"),I32-J32+L32-M32+O32-P32+R32-S32,"")</f>
        <v/>
      </c>
      <c r="AE32" s="40" t="str">
        <f>IF(AND(E32&lt;&gt;'Povolené hodnoty'!$B$4,F32="5b"),I32-J32+L32-M32+O32-P32+R32-S32,"")</f>
        <v/>
      </c>
      <c r="AF32" s="40">
        <f>IF(AND(E32&lt;&gt;'Povolené hodnoty'!$B$4,F32=6),I32+L32+O32+R32,"")</f>
        <v>3000.5</v>
      </c>
      <c r="AG32" s="41" t="str">
        <f>IF(AND(E32&lt;&gt;'Povolené hodnoty'!$B$4,F32=7),I32+L32+O32+R32,"")</f>
        <v/>
      </c>
      <c r="AH32" s="39" t="str">
        <f>IF(AND(E32&lt;&gt;'Povolené hodnoty'!$B$4,F32=10),J32+M32+P32+S32,"")</f>
        <v/>
      </c>
      <c r="AI32" s="40" t="str">
        <f>IF(AND(E32&lt;&gt;'Povolené hodnoty'!$B$4,F32=11),J32+M32+P32+S32,"")</f>
        <v/>
      </c>
      <c r="AJ32" s="40" t="str">
        <f>IF(AND(E32&lt;&gt;'Povolené hodnoty'!$B$4,F32=12),J32+M32+P32+S32,"")</f>
        <v/>
      </c>
      <c r="AK32" s="41" t="str">
        <f>IF(AND(E32&lt;&gt;'Povolené hodnoty'!$B$4,F32=13),J32+M32+P32+S32,"")</f>
        <v/>
      </c>
      <c r="AL32" s="39" t="str">
        <f>IF(AND($G32='Povolené hodnoty'!$B$13,$H32=AL$4),SUM($I32,$L32,$O32,$R32),"")</f>
        <v/>
      </c>
      <c r="AM32" s="458" t="str">
        <f>IF(AND($G32='Povolené hodnoty'!$B$13,$H32=AM$4),SUM($I32,$L32,$O32,$R32),"")</f>
        <v/>
      </c>
      <c r="AN32" s="458" t="str">
        <f>IF(AND($G32='Povolené hodnoty'!$B$13,$H32=AN$4),SUM($I32,$L32,$O32,$R32),"")</f>
        <v/>
      </c>
      <c r="AO32" s="458">
        <f>IF(AND($G32='Povolené hodnoty'!$B$13,$H32=AO$4),SUM($I32,$L32,$O32,$R32),"")</f>
        <v>3000.5</v>
      </c>
      <c r="AP32" s="458" t="str">
        <f>IF(AND($G32='Povolené hodnoty'!$B$13,$H32=AP$4),SUM($I32,$L32,$O32,$R32),"")</f>
        <v/>
      </c>
      <c r="AQ32" s="40" t="str">
        <f>IF(AND($G32='Povolené hodnoty'!$B$13,OR($H32=AQ$4,$H32='Povolené hodnoty'!$E$36)),SUM($I32,-$J32,$L32,-$M32,$O32,-$P32,$R32,-$S32),"")</f>
        <v/>
      </c>
      <c r="AR32" s="40" t="str">
        <f>IF(AND($G32='Povolené hodnoty'!$B$13,$H32=AR$4),SUM($I32,$L32,$O32,$R32),"")</f>
        <v/>
      </c>
      <c r="AS32" s="41" t="str">
        <f>IF(AND($G32='Povolené hodnoty'!$B$13,$H32=AS$4),SUM($I32,$L32,$O32,$R32),"")</f>
        <v/>
      </c>
      <c r="AT32" s="39" t="str">
        <f>IF(AND($G32='Povolené hodnoty'!$B$14,$H32=AT$4),SUM($I32,$L32,$O32,$R32),"")</f>
        <v/>
      </c>
      <c r="AU32" s="458" t="str">
        <f>IF(AND($G32='Povolené hodnoty'!$B$14,$H32=AU$4),SUM($I32,$L32,$O32,$R32),"")</f>
        <v/>
      </c>
      <c r="AV32" s="41" t="str">
        <f>IF(AND($G32='Povolené hodnoty'!$B$14,$H32=AV$4),SUM($I32,$L32,$O32,$R32),"")</f>
        <v/>
      </c>
      <c r="AW32" s="39" t="str">
        <f>IF(AND($G32='Povolené hodnoty'!$B$13,$H32=AW$4),SUM($J32,$M32,$P32,$S32),"")</f>
        <v/>
      </c>
      <c r="AX32" s="458" t="str">
        <f>IF(AND($G32='Povolené hodnoty'!$B$13,$H32=AX$4),SUM($J32,$M32,$P32,$S32),"")</f>
        <v/>
      </c>
      <c r="AY32" s="458" t="str">
        <f>IF(AND($G32='Povolené hodnoty'!$B$13,$H32=AY$4),SUM($J32,$M32,$P32,$S32),"")</f>
        <v/>
      </c>
      <c r="AZ32" s="458" t="str">
        <f>IF(AND($G32='Povolené hodnoty'!$B$13,$H32=AZ$4),SUM($J32,$M32,$P32,$S32),"")</f>
        <v/>
      </c>
      <c r="BA32" s="458" t="str">
        <f>IF(AND($G32='Povolené hodnoty'!$B$13,$H32=BA$4),SUM($J32,$M32,$P32,$S32),"")</f>
        <v/>
      </c>
      <c r="BB32" s="40" t="str">
        <f>IF(AND($G32='Povolené hodnoty'!$B$13,$H32=BB$4),SUM($J32,$M32,$P32,$S32),"")</f>
        <v/>
      </c>
      <c r="BC32" s="40" t="str">
        <f>IF(AND($G32='Povolené hodnoty'!$B$13,$H32=BC$4),SUM($J32,$M32,$P32,$S32),"")</f>
        <v/>
      </c>
      <c r="BD32" s="40" t="str">
        <f>IF(AND($G32='Povolené hodnoty'!$B$13,$H32=BD$4),SUM($J32,$M32,$P32,$S32),"")</f>
        <v/>
      </c>
      <c r="BE32" s="41" t="str">
        <f>IF(AND($G32='Povolené hodnoty'!$B$13,$H32=BE$4),SUM($J32,$M32,$P32,$S32),"")</f>
        <v/>
      </c>
      <c r="BF32" s="39" t="str">
        <f>IF(AND($G32='Povolené hodnoty'!$B$14,$H32=BF$4),SUM($J32,$M32,$P32,$S32),"")</f>
        <v/>
      </c>
      <c r="BG32" s="458" t="str">
        <f>IF(AND($G32='Povolené hodnoty'!$B$14,$H32=BG$4),SUM($J32,$M32,$P32,$S32),"")</f>
        <v/>
      </c>
      <c r="BH32" s="458" t="str">
        <f>IF(AND($G32='Povolené hodnoty'!$B$14,$H32=BH$4),SUM($J32,$M32,$P32,$S32),"")</f>
        <v/>
      </c>
      <c r="BI32" s="458" t="str">
        <f>IF(AND($G32='Povolené hodnoty'!$B$14,$H32=BI$4),SUM($J32,$M32,$P32,$S32),"")</f>
        <v/>
      </c>
      <c r="BJ32" s="458" t="str">
        <f>IF(AND($G32='Povolené hodnoty'!$B$14,$H32=BJ$4),SUM($J32,$M32,$P32,$S32),"")</f>
        <v/>
      </c>
      <c r="BK32" s="40" t="str">
        <f>IF(AND($G32='Povolené hodnoty'!$B$14,$H32=BK$4),SUM($J32,$M32,$P32,$S32),"")</f>
        <v/>
      </c>
      <c r="BL32" s="40" t="str">
        <f>IF(AND($G32='Povolené hodnoty'!$B$14,$H32=BL$4),SUM($J32,$M32,$P32,$S32),"")</f>
        <v/>
      </c>
      <c r="BM32" s="41" t="str">
        <f>IF(AND($G32='Povolené hodnoty'!$B$14,$H32=BM$4),SUM($J32,$M32,$P32,$S32),"")</f>
        <v/>
      </c>
      <c r="BO32" s="18" t="b">
        <f t="shared" si="33"/>
        <v>0</v>
      </c>
      <c r="BP32" s="18" t="b">
        <f t="shared" si="1"/>
        <v>0</v>
      </c>
      <c r="BQ32" s="18" t="b">
        <f>AND(E32&lt;&gt;'Povolené hodnoty'!$B$6,F32&lt;&gt;'Povolené hodnoty'!$D$7,F32&lt;&gt;'Povolené hodnoty'!$D$8,OR(SUM(I32,L32,O32,R32)&lt;&gt;SUM(W32:X32,AA32:AG32),SUM(J32,M32,P32,S32)&lt;&gt;SUM(Y32:Z32,AH32:AK32),COUNT(I32:J32,L32:M32,O32:P32,R32:S32)&lt;&gt;COUNT(W32:AK32)))</f>
        <v>0</v>
      </c>
      <c r="BR32" s="18" t="b">
        <f>OR(AND(E32='Povolené hodnoty'!$B$6,$BR$5),AND(E32='Povolené hodnoty'!$B$6,H32&lt;&gt;'Povolené hodnoty'!$E$26,H32&lt;&gt;'Povolené hodnoty'!$E$35),AND(E32&lt;&gt;'Povolené hodnoty'!$B$6,OR(H32='Povolené hodnoty'!$E$26,H32='Povolené hodnoty'!$E$35)))</f>
        <v>0</v>
      </c>
      <c r="BS32" s="18" t="b">
        <f>OR(AND(G32&lt;&gt;'Povolené hodnoty'!$B$13,OR(H32='Povolené hodnoty'!$E$21,H32='Povolené hodnoty'!$E$22,H32='Povolené hodnoty'!$E$23,H32='Povolené hodnoty'!$E$24,H32='Povolené hodnoty'!$E$26,H32='Povolené hodnoty'!$E$36)),COUNT(I32:J32,L32:M32,O32:P32,R32:S32)&lt;&gt;COUNT(AL32:BM32))</f>
        <v>0</v>
      </c>
      <c r="BT32" s="18" t="b">
        <f t="shared" si="2"/>
        <v>0</v>
      </c>
      <c r="BV32" s="39" t="str">
        <f t="shared" si="3"/>
        <v/>
      </c>
      <c r="BW32" s="458" t="str">
        <f t="shared" si="4"/>
        <v/>
      </c>
      <c r="BX32" s="458" t="str">
        <f t="shared" si="5"/>
        <v/>
      </c>
      <c r="BY32" s="458" t="str">
        <f t="shared" si="6"/>
        <v/>
      </c>
      <c r="BZ32" s="458" t="str">
        <f t="shared" si="7"/>
        <v/>
      </c>
      <c r="CA32" s="40" t="str">
        <f t="shared" si="8"/>
        <v/>
      </c>
      <c r="CB32" s="40" t="str">
        <f t="shared" si="9"/>
        <v/>
      </c>
      <c r="CC32" s="39" t="str">
        <f t="shared" si="10"/>
        <v/>
      </c>
      <c r="CD32" s="458" t="str">
        <f t="shared" si="11"/>
        <v/>
      </c>
      <c r="CE32" s="41" t="str">
        <f t="shared" si="12"/>
        <v/>
      </c>
      <c r="CF32" s="39" t="str">
        <f t="shared" si="13"/>
        <v/>
      </c>
      <c r="CG32" s="458" t="str">
        <f t="shared" si="14"/>
        <v/>
      </c>
      <c r="CH32" s="458" t="str">
        <f t="shared" si="15"/>
        <v/>
      </c>
      <c r="CI32" s="458" t="str">
        <f t="shared" si="16"/>
        <v/>
      </c>
      <c r="CJ32" s="458" t="str">
        <f t="shared" si="17"/>
        <v/>
      </c>
      <c r="CK32" s="40" t="str">
        <f t="shared" si="18"/>
        <v/>
      </c>
      <c r="CL32" s="40" t="str">
        <f t="shared" si="19"/>
        <v/>
      </c>
      <c r="CM32" s="40" t="str">
        <f t="shared" si="20"/>
        <v/>
      </c>
      <c r="CN32" s="39" t="str">
        <f t="shared" si="21"/>
        <v/>
      </c>
      <c r="CO32" s="458" t="str">
        <f t="shared" si="22"/>
        <v/>
      </c>
      <c r="CP32" s="458" t="str">
        <f t="shared" si="23"/>
        <v/>
      </c>
      <c r="CQ32" s="458" t="str">
        <f t="shared" si="24"/>
        <v/>
      </c>
      <c r="CR32" s="458" t="str">
        <f t="shared" si="25"/>
        <v/>
      </c>
      <c r="CS32" s="40" t="str">
        <f t="shared" si="26"/>
        <v/>
      </c>
      <c r="CT32" s="40" t="str">
        <f t="shared" si="27"/>
        <v/>
      </c>
      <c r="CU32" s="41" t="str">
        <f t="shared" si="28"/>
        <v/>
      </c>
    </row>
    <row r="33" spans="1:99" x14ac:dyDescent="0.2">
      <c r="A33" s="77">
        <f t="shared" si="29"/>
        <v>28</v>
      </c>
      <c r="B33" s="81">
        <v>45245</v>
      </c>
      <c r="C33" s="82" t="s">
        <v>523</v>
      </c>
      <c r="D33" s="71" t="s">
        <v>3492</v>
      </c>
      <c r="E33" s="72" t="s">
        <v>43</v>
      </c>
      <c r="F33" s="73">
        <v>10</v>
      </c>
      <c r="G33" s="443" t="s">
        <v>3308</v>
      </c>
      <c r="H33" s="443" t="s">
        <v>3319</v>
      </c>
      <c r="I33" s="74"/>
      <c r="J33" s="75">
        <v>150</v>
      </c>
      <c r="K33" s="41">
        <f t="shared" si="37"/>
        <v>3475</v>
      </c>
      <c r="L33" s="104"/>
      <c r="M33" s="105"/>
      <c r="N33" s="106">
        <f t="shared" si="38"/>
        <v>8500</v>
      </c>
      <c r="O33" s="104"/>
      <c r="P33" s="105"/>
      <c r="Q33" s="106">
        <f t="shared" si="35"/>
        <v>0</v>
      </c>
      <c r="R33" s="104"/>
      <c r="S33" s="105"/>
      <c r="T33" s="106">
        <f t="shared" si="36"/>
        <v>0</v>
      </c>
      <c r="U33" s="439"/>
      <c r="V33" s="42">
        <f t="shared" si="0"/>
        <v>28</v>
      </c>
      <c r="W33" s="39" t="str">
        <f>IF(AND(E33='Povolené hodnoty'!$B$4,F33=2),I33+L33+O33+R33,"")</f>
        <v/>
      </c>
      <c r="X33" s="41" t="str">
        <f>IF(AND(E33='Povolené hodnoty'!$B$4,F33=1),I33+L33+O33+R33,"")</f>
        <v/>
      </c>
      <c r="Y33" s="39" t="str">
        <f>IF(AND(E33='Povolené hodnoty'!$B$4,F33=10),J33+M33+P33+S33,"")</f>
        <v/>
      </c>
      <c r="Z33" s="41" t="str">
        <f>IF(AND(E33='Povolené hodnoty'!$B$4,F33=9),J33+M33+P33+S33,"")</f>
        <v/>
      </c>
      <c r="AA33" s="39" t="str">
        <f>IF(AND(E33&lt;&gt;'Povolené hodnoty'!$B$4,F33=2),I33+L33+O33+R33,"")</f>
        <v/>
      </c>
      <c r="AB33" s="40" t="str">
        <f>IF(AND(E33&lt;&gt;'Povolené hodnoty'!$B$4,F33=3),I33+L33+O33+R33,"")</f>
        <v/>
      </c>
      <c r="AC33" s="40" t="str">
        <f>IF(AND(E33&lt;&gt;'Povolené hodnoty'!$B$4,F33=4),I33+L33+O33+R33,"")</f>
        <v/>
      </c>
      <c r="AD33" s="40" t="str">
        <f>IF(AND(E33&lt;&gt;'Povolené hodnoty'!$B$4,F33="5a"),I33-J33+L33-M33+O33-P33+R33-S33,"")</f>
        <v/>
      </c>
      <c r="AE33" s="40" t="str">
        <f>IF(AND(E33&lt;&gt;'Povolené hodnoty'!$B$4,F33="5b"),I33-J33+L33-M33+O33-P33+R33-S33,"")</f>
        <v/>
      </c>
      <c r="AF33" s="40" t="str">
        <f>IF(AND(E33&lt;&gt;'Povolené hodnoty'!$B$4,F33=6),I33+L33+O33+R33,"")</f>
        <v/>
      </c>
      <c r="AG33" s="41" t="str">
        <f>IF(AND(E33&lt;&gt;'Povolené hodnoty'!$B$4,F33=7),I33+L33+O33+R33,"")</f>
        <v/>
      </c>
      <c r="AH33" s="39">
        <f>IF(AND(E33&lt;&gt;'Povolené hodnoty'!$B$4,F33=10),J33+M33+P33+S33,"")</f>
        <v>150</v>
      </c>
      <c r="AI33" s="40" t="str">
        <f>IF(AND(E33&lt;&gt;'Povolené hodnoty'!$B$4,F33=11),J33+M33+P33+S33,"")</f>
        <v/>
      </c>
      <c r="AJ33" s="40" t="str">
        <f>IF(AND(E33&lt;&gt;'Povolené hodnoty'!$B$4,F33=12),J33+M33+P33+S33,"")</f>
        <v/>
      </c>
      <c r="AK33" s="41" t="str">
        <f>IF(AND(E33&lt;&gt;'Povolené hodnoty'!$B$4,F33=13),J33+M33+P33+S33,"")</f>
        <v/>
      </c>
      <c r="AL33" s="39" t="str">
        <f>IF(AND($G33='Povolené hodnoty'!$B$13,$H33=AL$4),SUM($I33,$L33,$O33,$R33),"")</f>
        <v/>
      </c>
      <c r="AM33" s="458" t="str">
        <f>IF(AND($G33='Povolené hodnoty'!$B$13,$H33=AM$4),SUM($I33,$L33,$O33,$R33),"")</f>
        <v/>
      </c>
      <c r="AN33" s="458" t="str">
        <f>IF(AND($G33='Povolené hodnoty'!$B$13,$H33=AN$4),SUM($I33,$L33,$O33,$R33),"")</f>
        <v/>
      </c>
      <c r="AO33" s="458" t="str">
        <f>IF(AND($G33='Povolené hodnoty'!$B$13,$H33=AO$4),SUM($I33,$L33,$O33,$R33),"")</f>
        <v/>
      </c>
      <c r="AP33" s="458" t="str">
        <f>IF(AND($G33='Povolené hodnoty'!$B$13,$H33=AP$4),SUM($I33,$L33,$O33,$R33),"")</f>
        <v/>
      </c>
      <c r="AQ33" s="40" t="str">
        <f>IF(AND($G33='Povolené hodnoty'!$B$13,OR($H33=AQ$4,$H33='Povolené hodnoty'!$E$36)),SUM($I33,-$J33,$L33,-$M33,$O33,-$P33,$R33,-$S33),"")</f>
        <v/>
      </c>
      <c r="AR33" s="40" t="str">
        <f>IF(AND($G33='Povolené hodnoty'!$B$13,$H33=AR$4),SUM($I33,$L33,$O33,$R33),"")</f>
        <v/>
      </c>
      <c r="AS33" s="41" t="str">
        <f>IF(AND($G33='Povolené hodnoty'!$B$13,$H33=AS$4),SUM($I33,$L33,$O33,$R33),"")</f>
        <v/>
      </c>
      <c r="AT33" s="39" t="str">
        <f>IF(AND($G33='Povolené hodnoty'!$B$14,$H33=AT$4),SUM($I33,$L33,$O33,$R33),"")</f>
        <v/>
      </c>
      <c r="AU33" s="458" t="str">
        <f>IF(AND($G33='Povolené hodnoty'!$B$14,$H33=AU$4),SUM($I33,$L33,$O33,$R33),"")</f>
        <v/>
      </c>
      <c r="AV33" s="41" t="str">
        <f>IF(AND($G33='Povolené hodnoty'!$B$14,$H33=AV$4),SUM($I33,$L33,$O33,$R33),"")</f>
        <v/>
      </c>
      <c r="AW33" s="39" t="str">
        <f>IF(AND($G33='Povolené hodnoty'!$B$13,$H33=AW$4),SUM($J33,$M33,$P33,$S33),"")</f>
        <v/>
      </c>
      <c r="AX33" s="458">
        <f>IF(AND($G33='Povolené hodnoty'!$B$13,$H33=AX$4),SUM($J33,$M33,$P33,$S33),"")</f>
        <v>150</v>
      </c>
      <c r="AY33" s="458" t="str">
        <f>IF(AND($G33='Povolené hodnoty'!$B$13,$H33=AY$4),SUM($J33,$M33,$P33,$S33),"")</f>
        <v/>
      </c>
      <c r="AZ33" s="458" t="str">
        <f>IF(AND($G33='Povolené hodnoty'!$B$13,$H33=AZ$4),SUM($J33,$M33,$P33,$S33),"")</f>
        <v/>
      </c>
      <c r="BA33" s="458" t="str">
        <f>IF(AND($G33='Povolené hodnoty'!$B$13,$H33=BA$4),SUM($J33,$M33,$P33,$S33),"")</f>
        <v/>
      </c>
      <c r="BB33" s="40" t="str">
        <f>IF(AND($G33='Povolené hodnoty'!$B$13,$H33=BB$4),SUM($J33,$M33,$P33,$S33),"")</f>
        <v/>
      </c>
      <c r="BC33" s="40" t="str">
        <f>IF(AND($G33='Povolené hodnoty'!$B$13,$H33=BC$4),SUM($J33,$M33,$P33,$S33),"")</f>
        <v/>
      </c>
      <c r="BD33" s="40" t="str">
        <f>IF(AND($G33='Povolené hodnoty'!$B$13,$H33=BD$4),SUM($J33,$M33,$P33,$S33),"")</f>
        <v/>
      </c>
      <c r="BE33" s="41" t="str">
        <f>IF(AND($G33='Povolené hodnoty'!$B$13,$H33=BE$4),SUM($J33,$M33,$P33,$S33),"")</f>
        <v/>
      </c>
      <c r="BF33" s="39" t="str">
        <f>IF(AND($G33='Povolené hodnoty'!$B$14,$H33=BF$4),SUM($J33,$M33,$P33,$S33),"")</f>
        <v/>
      </c>
      <c r="BG33" s="458" t="str">
        <f>IF(AND($G33='Povolené hodnoty'!$B$14,$H33=BG$4),SUM($J33,$M33,$P33,$S33),"")</f>
        <v/>
      </c>
      <c r="BH33" s="458" t="str">
        <f>IF(AND($G33='Povolené hodnoty'!$B$14,$H33=BH$4),SUM($J33,$M33,$P33,$S33),"")</f>
        <v/>
      </c>
      <c r="BI33" s="458" t="str">
        <f>IF(AND($G33='Povolené hodnoty'!$B$14,$H33=BI$4),SUM($J33,$M33,$P33,$S33),"")</f>
        <v/>
      </c>
      <c r="BJ33" s="458" t="str">
        <f>IF(AND($G33='Povolené hodnoty'!$B$14,$H33=BJ$4),SUM($J33,$M33,$P33,$S33),"")</f>
        <v/>
      </c>
      <c r="BK33" s="40" t="str">
        <f>IF(AND($G33='Povolené hodnoty'!$B$14,$H33=BK$4),SUM($J33,$M33,$P33,$S33),"")</f>
        <v/>
      </c>
      <c r="BL33" s="40" t="str">
        <f>IF(AND($G33='Povolené hodnoty'!$B$14,$H33=BL$4),SUM($J33,$M33,$P33,$S33),"")</f>
        <v/>
      </c>
      <c r="BM33" s="41" t="str">
        <f>IF(AND($G33='Povolené hodnoty'!$B$14,$H33=BM$4),SUM($J33,$M33,$P33,$S33),"")</f>
        <v/>
      </c>
      <c r="BO33" s="18" t="b">
        <f t="shared" si="33"/>
        <v>0</v>
      </c>
      <c r="BP33" s="18" t="b">
        <f t="shared" si="1"/>
        <v>0</v>
      </c>
      <c r="BQ33" s="18" t="b">
        <f>AND(E33&lt;&gt;'Povolené hodnoty'!$B$6,F33&lt;&gt;'Povolené hodnoty'!$D$7,F33&lt;&gt;'Povolené hodnoty'!$D$8,OR(SUM(I33,L33,O33,R33)&lt;&gt;SUM(W33:X33,AA33:AG33),SUM(J33,M33,P33,S33)&lt;&gt;SUM(Y33:Z33,AH33:AK33),COUNT(I33:J33,L33:M33,O33:P33,R33:S33)&lt;&gt;COUNT(W33:AK33)))</f>
        <v>0</v>
      </c>
      <c r="BR33" s="18" t="b">
        <f>OR(AND(E33='Povolené hodnoty'!$B$6,$BR$5),AND(E33='Povolené hodnoty'!$B$6,H33&lt;&gt;'Povolené hodnoty'!$E$26,H33&lt;&gt;'Povolené hodnoty'!$E$35),AND(E33&lt;&gt;'Povolené hodnoty'!$B$6,OR(H33='Povolené hodnoty'!$E$26,H33='Povolené hodnoty'!$E$35)))</f>
        <v>0</v>
      </c>
      <c r="BS33" s="18" t="b">
        <f>OR(AND(G33&lt;&gt;'Povolené hodnoty'!$B$13,OR(H33='Povolené hodnoty'!$E$21,H33='Povolené hodnoty'!$E$22,H33='Povolené hodnoty'!$E$23,H33='Povolené hodnoty'!$E$24,H33='Povolené hodnoty'!$E$26,H33='Povolené hodnoty'!$E$36)),COUNT(I33:J33,L33:M33,O33:P33,R33:S33)&lt;&gt;COUNT(AL33:BM33))</f>
        <v>0</v>
      </c>
      <c r="BT33" s="18" t="b">
        <f t="shared" si="2"/>
        <v>0</v>
      </c>
      <c r="BV33" s="39" t="str">
        <f t="shared" si="3"/>
        <v/>
      </c>
      <c r="BW33" s="458" t="str">
        <f t="shared" si="4"/>
        <v/>
      </c>
      <c r="BX33" s="458" t="str">
        <f t="shared" si="5"/>
        <v/>
      </c>
      <c r="BY33" s="458" t="str">
        <f t="shared" si="6"/>
        <v/>
      </c>
      <c r="BZ33" s="458" t="str">
        <f t="shared" si="7"/>
        <v/>
      </c>
      <c r="CA33" s="40" t="str">
        <f t="shared" si="8"/>
        <v/>
      </c>
      <c r="CB33" s="40" t="str">
        <f t="shared" si="9"/>
        <v/>
      </c>
      <c r="CC33" s="39" t="str">
        <f t="shared" si="10"/>
        <v/>
      </c>
      <c r="CD33" s="458" t="str">
        <f t="shared" si="11"/>
        <v/>
      </c>
      <c r="CE33" s="41" t="str">
        <f t="shared" si="12"/>
        <v/>
      </c>
      <c r="CF33" s="39" t="str">
        <f t="shared" si="13"/>
        <v/>
      </c>
      <c r="CG33" s="458" t="str">
        <f t="shared" si="14"/>
        <v/>
      </c>
      <c r="CH33" s="458" t="str">
        <f t="shared" si="15"/>
        <v/>
      </c>
      <c r="CI33" s="458" t="str">
        <f t="shared" si="16"/>
        <v/>
      </c>
      <c r="CJ33" s="458" t="str">
        <f t="shared" si="17"/>
        <v/>
      </c>
      <c r="CK33" s="40" t="str">
        <f t="shared" si="18"/>
        <v/>
      </c>
      <c r="CL33" s="40" t="str">
        <f t="shared" si="19"/>
        <v/>
      </c>
      <c r="CM33" s="40" t="str">
        <f t="shared" si="20"/>
        <v/>
      </c>
      <c r="CN33" s="39" t="str">
        <f t="shared" si="21"/>
        <v/>
      </c>
      <c r="CO33" s="458" t="str">
        <f t="shared" si="22"/>
        <v/>
      </c>
      <c r="CP33" s="458" t="str">
        <f t="shared" si="23"/>
        <v/>
      </c>
      <c r="CQ33" s="458" t="str">
        <f t="shared" si="24"/>
        <v/>
      </c>
      <c r="CR33" s="458" t="str">
        <f t="shared" si="25"/>
        <v/>
      </c>
      <c r="CS33" s="40" t="str">
        <f t="shared" si="26"/>
        <v/>
      </c>
      <c r="CT33" s="40" t="str">
        <f t="shared" si="27"/>
        <v/>
      </c>
      <c r="CU33" s="41" t="str">
        <f t="shared" si="28"/>
        <v/>
      </c>
    </row>
    <row r="34" spans="1:99" x14ac:dyDescent="0.2">
      <c r="A34" s="77">
        <f t="shared" si="29"/>
        <v>29</v>
      </c>
      <c r="B34" s="81">
        <v>45250</v>
      </c>
      <c r="C34" s="82" t="s">
        <v>525</v>
      </c>
      <c r="D34" s="71" t="s">
        <v>3259</v>
      </c>
      <c r="E34" s="72" t="s">
        <v>42</v>
      </c>
      <c r="F34" s="73">
        <v>1</v>
      </c>
      <c r="G34" s="443" t="s">
        <v>3379</v>
      </c>
      <c r="H34" s="443" t="s">
        <v>3311</v>
      </c>
      <c r="I34" s="74">
        <v>1000</v>
      </c>
      <c r="J34" s="75"/>
      <c r="K34" s="41">
        <f t="shared" si="37"/>
        <v>4475</v>
      </c>
      <c r="L34" s="104"/>
      <c r="M34" s="105"/>
      <c r="N34" s="106">
        <f t="shared" si="38"/>
        <v>8500</v>
      </c>
      <c r="O34" s="104"/>
      <c r="P34" s="105"/>
      <c r="Q34" s="106">
        <f t="shared" si="35"/>
        <v>0</v>
      </c>
      <c r="R34" s="104"/>
      <c r="S34" s="105"/>
      <c r="T34" s="106">
        <f t="shared" si="36"/>
        <v>0</v>
      </c>
      <c r="U34" s="439"/>
      <c r="V34" s="42">
        <f t="shared" si="0"/>
        <v>29</v>
      </c>
      <c r="W34" s="39" t="str">
        <f>IF(AND(E34='Povolené hodnoty'!$B$4,F34=2),I34+L34+O34+R34,"")</f>
        <v/>
      </c>
      <c r="X34" s="41">
        <f>IF(AND(E34='Povolené hodnoty'!$B$4,F34=1),I34+L34+O34+R34,"")</f>
        <v>1000</v>
      </c>
      <c r="Y34" s="39" t="str">
        <f>IF(AND(E34='Povolené hodnoty'!$B$4,F34=10),J34+M34+P34+S34,"")</f>
        <v/>
      </c>
      <c r="Z34" s="41" t="str">
        <f>IF(AND(E34='Povolené hodnoty'!$B$4,F34=9),J34+M34+P34+S34,"")</f>
        <v/>
      </c>
      <c r="AA34" s="39" t="str">
        <f>IF(AND(E34&lt;&gt;'Povolené hodnoty'!$B$4,F34=2),I34+L34+O34+R34,"")</f>
        <v/>
      </c>
      <c r="AB34" s="40" t="str">
        <f>IF(AND(E34&lt;&gt;'Povolené hodnoty'!$B$4,F34=3),I34+L34+O34+R34,"")</f>
        <v/>
      </c>
      <c r="AC34" s="40" t="str">
        <f>IF(AND(E34&lt;&gt;'Povolené hodnoty'!$B$4,F34=4),I34+L34+O34+R34,"")</f>
        <v/>
      </c>
      <c r="AD34" s="40" t="str">
        <f>IF(AND(E34&lt;&gt;'Povolené hodnoty'!$B$4,F34="5a"),I34-J34+L34-M34+O34-P34+R34-S34,"")</f>
        <v/>
      </c>
      <c r="AE34" s="40" t="str">
        <f>IF(AND(E34&lt;&gt;'Povolené hodnoty'!$B$4,F34="5b"),I34-J34+L34-M34+O34-P34+R34-S34,"")</f>
        <v/>
      </c>
      <c r="AF34" s="40" t="str">
        <f>IF(AND(E34&lt;&gt;'Povolené hodnoty'!$B$4,F34=6),I34+L34+O34+R34,"")</f>
        <v/>
      </c>
      <c r="AG34" s="41" t="str">
        <f>IF(AND(E34&lt;&gt;'Povolené hodnoty'!$B$4,F34=7),I34+L34+O34+R34,"")</f>
        <v/>
      </c>
      <c r="AH34" s="39" t="str">
        <f>IF(AND(E34&lt;&gt;'Povolené hodnoty'!$B$4,F34=10),J34+M34+P34+S34,"")</f>
        <v/>
      </c>
      <c r="AI34" s="40" t="str">
        <f>IF(AND(E34&lt;&gt;'Povolené hodnoty'!$B$4,F34=11),J34+M34+P34+S34,"")</f>
        <v/>
      </c>
      <c r="AJ34" s="40" t="str">
        <f>IF(AND(E34&lt;&gt;'Povolené hodnoty'!$B$4,F34=12),J34+M34+P34+S34,"")</f>
        <v/>
      </c>
      <c r="AK34" s="41" t="str">
        <f>IF(AND(E34&lt;&gt;'Povolené hodnoty'!$B$4,F34=13),J34+M34+P34+S34,"")</f>
        <v/>
      </c>
      <c r="AL34" s="39" t="str">
        <f>IF(AND($G34='Povolené hodnoty'!$B$13,$H34=AL$4),SUM($I34,$L34,$O34,$R34),"")</f>
        <v/>
      </c>
      <c r="AM34" s="458" t="str">
        <f>IF(AND($G34='Povolené hodnoty'!$B$13,$H34=AM$4),SUM($I34,$L34,$O34,$R34),"")</f>
        <v/>
      </c>
      <c r="AN34" s="458" t="str">
        <f>IF(AND($G34='Povolené hodnoty'!$B$13,$H34=AN$4),SUM($I34,$L34,$O34,$R34),"")</f>
        <v/>
      </c>
      <c r="AO34" s="458" t="str">
        <f>IF(AND($G34='Povolené hodnoty'!$B$13,$H34=AO$4),SUM($I34,$L34,$O34,$R34),"")</f>
        <v/>
      </c>
      <c r="AP34" s="458" t="str">
        <f>IF(AND($G34='Povolené hodnoty'!$B$13,$H34=AP$4),SUM($I34,$L34,$O34,$R34),"")</f>
        <v/>
      </c>
      <c r="AQ34" s="40" t="str">
        <f>IF(AND($G34='Povolené hodnoty'!$B$13,OR($H34=AQ$4,$H34='Povolené hodnoty'!$E$36)),SUM($I34,-$J34,$L34,-$M34,$O34,-$P34,$R34,-$S34),"")</f>
        <v/>
      </c>
      <c r="AR34" s="40" t="str">
        <f>IF(AND($G34='Povolené hodnoty'!$B$13,$H34=AR$4),SUM($I34,$L34,$O34,$R34),"")</f>
        <v/>
      </c>
      <c r="AS34" s="41" t="str">
        <f>IF(AND($G34='Povolené hodnoty'!$B$13,$H34=AS$4),SUM($I34,$L34,$O34,$R34),"")</f>
        <v/>
      </c>
      <c r="AT34" s="39" t="str">
        <f>IF(AND($G34='Povolené hodnoty'!$B$14,$H34=AT$4),SUM($I34,$L34,$O34,$R34),"")</f>
        <v/>
      </c>
      <c r="AU34" s="458">
        <f>IF(AND($G34='Povolené hodnoty'!$B$14,$H34=AU$4),SUM($I34,$L34,$O34,$R34),"")</f>
        <v>1000</v>
      </c>
      <c r="AV34" s="41" t="str">
        <f>IF(AND($G34='Povolené hodnoty'!$B$14,$H34=AV$4),SUM($I34,$L34,$O34,$R34),"")</f>
        <v/>
      </c>
      <c r="AW34" s="39" t="str">
        <f>IF(AND($G34='Povolené hodnoty'!$B$13,$H34=AW$4),SUM($J34,$M34,$P34,$S34),"")</f>
        <v/>
      </c>
      <c r="AX34" s="458" t="str">
        <f>IF(AND($G34='Povolené hodnoty'!$B$13,$H34=AX$4),SUM($J34,$M34,$P34,$S34),"")</f>
        <v/>
      </c>
      <c r="AY34" s="458" t="str">
        <f>IF(AND($G34='Povolené hodnoty'!$B$13,$H34=AY$4),SUM($J34,$M34,$P34,$S34),"")</f>
        <v/>
      </c>
      <c r="AZ34" s="458" t="str">
        <f>IF(AND($G34='Povolené hodnoty'!$B$13,$H34=AZ$4),SUM($J34,$M34,$P34,$S34),"")</f>
        <v/>
      </c>
      <c r="BA34" s="458" t="str">
        <f>IF(AND($G34='Povolené hodnoty'!$B$13,$H34=BA$4),SUM($J34,$M34,$P34,$S34),"")</f>
        <v/>
      </c>
      <c r="BB34" s="40" t="str">
        <f>IF(AND($G34='Povolené hodnoty'!$B$13,$H34=BB$4),SUM($J34,$M34,$P34,$S34),"")</f>
        <v/>
      </c>
      <c r="BC34" s="40" t="str">
        <f>IF(AND($G34='Povolené hodnoty'!$B$13,$H34=BC$4),SUM($J34,$M34,$P34,$S34),"")</f>
        <v/>
      </c>
      <c r="BD34" s="40" t="str">
        <f>IF(AND($G34='Povolené hodnoty'!$B$13,$H34=BD$4),SUM($J34,$M34,$P34,$S34),"")</f>
        <v/>
      </c>
      <c r="BE34" s="41" t="str">
        <f>IF(AND($G34='Povolené hodnoty'!$B$13,$H34=BE$4),SUM($J34,$M34,$P34,$S34),"")</f>
        <v/>
      </c>
      <c r="BF34" s="39" t="str">
        <f>IF(AND($G34='Povolené hodnoty'!$B$14,$H34=BF$4),SUM($J34,$M34,$P34,$S34),"")</f>
        <v/>
      </c>
      <c r="BG34" s="458" t="str">
        <f>IF(AND($G34='Povolené hodnoty'!$B$14,$H34=BG$4),SUM($J34,$M34,$P34,$S34),"")</f>
        <v/>
      </c>
      <c r="BH34" s="458" t="str">
        <f>IF(AND($G34='Povolené hodnoty'!$B$14,$H34=BH$4),SUM($J34,$M34,$P34,$S34),"")</f>
        <v/>
      </c>
      <c r="BI34" s="458" t="str">
        <f>IF(AND($G34='Povolené hodnoty'!$B$14,$H34=BI$4),SUM($J34,$M34,$P34,$S34),"")</f>
        <v/>
      </c>
      <c r="BJ34" s="458" t="str">
        <f>IF(AND($G34='Povolené hodnoty'!$B$14,$H34=BJ$4),SUM($J34,$M34,$P34,$S34),"")</f>
        <v/>
      </c>
      <c r="BK34" s="40" t="str">
        <f>IF(AND($G34='Povolené hodnoty'!$B$14,$H34=BK$4),SUM($J34,$M34,$P34,$S34),"")</f>
        <v/>
      </c>
      <c r="BL34" s="40" t="str">
        <f>IF(AND($G34='Povolené hodnoty'!$B$14,$H34=BL$4),SUM($J34,$M34,$P34,$S34),"")</f>
        <v/>
      </c>
      <c r="BM34" s="41" t="str">
        <f>IF(AND($G34='Povolené hodnoty'!$B$14,$H34=BM$4),SUM($J34,$M34,$P34,$S34),"")</f>
        <v/>
      </c>
      <c r="BO34" s="18" t="b">
        <f t="shared" si="33"/>
        <v>0</v>
      </c>
      <c r="BP34" s="18" t="b">
        <f t="shared" si="1"/>
        <v>0</v>
      </c>
      <c r="BQ34" s="18" t="b">
        <f>AND(E34&lt;&gt;'Povolené hodnoty'!$B$6,F34&lt;&gt;'Povolené hodnoty'!$D$7,F34&lt;&gt;'Povolené hodnoty'!$D$8,OR(SUM(I34,L34,O34,R34)&lt;&gt;SUM(W34:X34,AA34:AG34),SUM(J34,M34,P34,S34)&lt;&gt;SUM(Y34:Z34,AH34:AK34),COUNT(I34:J34,L34:M34,O34:P34,R34:S34)&lt;&gt;COUNT(W34:AK34)))</f>
        <v>0</v>
      </c>
      <c r="BR34" s="18" t="b">
        <f>OR(AND(E34='Povolené hodnoty'!$B$6,$BR$5),AND(E34='Povolené hodnoty'!$B$6,H34&lt;&gt;'Povolené hodnoty'!$E$26,H34&lt;&gt;'Povolené hodnoty'!$E$35),AND(E34&lt;&gt;'Povolené hodnoty'!$B$6,OR(H34='Povolené hodnoty'!$E$26,H34='Povolené hodnoty'!$E$35)))</f>
        <v>0</v>
      </c>
      <c r="BS34" s="18" t="b">
        <f>OR(AND(G34&lt;&gt;'Povolené hodnoty'!$B$13,OR(H34='Povolené hodnoty'!$E$21,H34='Povolené hodnoty'!$E$22,H34='Povolené hodnoty'!$E$23,H34='Povolené hodnoty'!$E$24,H34='Povolené hodnoty'!$E$26,H34='Povolené hodnoty'!$E$36)),COUNT(I34:J34,L34:M34,O34:P34,R34:S34)&lt;&gt;COUNT(AL34:BM34))</f>
        <v>0</v>
      </c>
      <c r="BT34" s="18" t="b">
        <f t="shared" si="2"/>
        <v>0</v>
      </c>
      <c r="BV34" s="39" t="str">
        <f t="shared" si="3"/>
        <v/>
      </c>
      <c r="BW34" s="458" t="str">
        <f t="shared" si="4"/>
        <v/>
      </c>
      <c r="BX34" s="458" t="str">
        <f t="shared" si="5"/>
        <v/>
      </c>
      <c r="BY34" s="458" t="str">
        <f t="shared" si="6"/>
        <v/>
      </c>
      <c r="BZ34" s="458" t="str">
        <f t="shared" si="7"/>
        <v/>
      </c>
      <c r="CA34" s="40" t="str">
        <f t="shared" si="8"/>
        <v/>
      </c>
      <c r="CB34" s="40" t="str">
        <f t="shared" si="9"/>
        <v/>
      </c>
      <c r="CC34" s="39" t="str">
        <f t="shared" si="10"/>
        <v/>
      </c>
      <c r="CD34" s="458">
        <f t="shared" si="11"/>
        <v>1000</v>
      </c>
      <c r="CE34" s="41" t="str">
        <f t="shared" si="12"/>
        <v/>
      </c>
      <c r="CF34" s="39" t="str">
        <f t="shared" si="13"/>
        <v/>
      </c>
      <c r="CG34" s="458" t="str">
        <f t="shared" si="14"/>
        <v/>
      </c>
      <c r="CH34" s="458" t="str">
        <f t="shared" si="15"/>
        <v/>
      </c>
      <c r="CI34" s="458" t="str">
        <f t="shared" si="16"/>
        <v/>
      </c>
      <c r="CJ34" s="458" t="str">
        <f t="shared" si="17"/>
        <v/>
      </c>
      <c r="CK34" s="40" t="str">
        <f t="shared" si="18"/>
        <v/>
      </c>
      <c r="CL34" s="40" t="str">
        <f t="shared" si="19"/>
        <v/>
      </c>
      <c r="CM34" s="40" t="str">
        <f t="shared" si="20"/>
        <v/>
      </c>
      <c r="CN34" s="39" t="str">
        <f t="shared" si="21"/>
        <v/>
      </c>
      <c r="CO34" s="458" t="str">
        <f t="shared" si="22"/>
        <v/>
      </c>
      <c r="CP34" s="458" t="str">
        <f t="shared" si="23"/>
        <v/>
      </c>
      <c r="CQ34" s="458" t="str">
        <f t="shared" si="24"/>
        <v/>
      </c>
      <c r="CR34" s="458" t="str">
        <f t="shared" si="25"/>
        <v/>
      </c>
      <c r="CS34" s="40" t="str">
        <f t="shared" si="26"/>
        <v/>
      </c>
      <c r="CT34" s="40" t="str">
        <f t="shared" si="27"/>
        <v/>
      </c>
      <c r="CU34" s="41" t="str">
        <f t="shared" si="28"/>
        <v/>
      </c>
    </row>
    <row r="35" spans="1:99" x14ac:dyDescent="0.2">
      <c r="A35" s="77">
        <f t="shared" si="29"/>
        <v>30</v>
      </c>
      <c r="B35" s="81">
        <v>45260</v>
      </c>
      <c r="C35" s="82" t="s">
        <v>107</v>
      </c>
      <c r="D35" s="71" t="s">
        <v>3493</v>
      </c>
      <c r="E35" s="72" t="s">
        <v>43</v>
      </c>
      <c r="F35" s="73">
        <v>4</v>
      </c>
      <c r="G35" s="443" t="s">
        <v>3308</v>
      </c>
      <c r="H35" s="443" t="s">
        <v>3316</v>
      </c>
      <c r="I35" s="74"/>
      <c r="J35" s="75"/>
      <c r="K35" s="41">
        <f t="shared" si="37"/>
        <v>4475</v>
      </c>
      <c r="L35" s="104">
        <v>50.5</v>
      </c>
      <c r="M35" s="105"/>
      <c r="N35" s="106">
        <f t="shared" si="38"/>
        <v>8550.5</v>
      </c>
      <c r="O35" s="104"/>
      <c r="P35" s="105"/>
      <c r="Q35" s="106">
        <f t="shared" si="35"/>
        <v>0</v>
      </c>
      <c r="R35" s="104"/>
      <c r="S35" s="105"/>
      <c r="T35" s="106">
        <f t="shared" si="36"/>
        <v>0</v>
      </c>
      <c r="U35" s="439"/>
      <c r="V35" s="42">
        <f t="shared" si="0"/>
        <v>30</v>
      </c>
      <c r="W35" s="39" t="str">
        <f>IF(AND(E35='Povolené hodnoty'!$B$4,F35=2),I35+L35+O35+R35,"")</f>
        <v/>
      </c>
      <c r="X35" s="41" t="str">
        <f>IF(AND(E35='Povolené hodnoty'!$B$4,F35=1),I35+L35+O35+R35,"")</f>
        <v/>
      </c>
      <c r="Y35" s="39" t="str">
        <f>IF(AND(E35='Povolené hodnoty'!$B$4,F35=10),J35+M35+P35+S35,"")</f>
        <v/>
      </c>
      <c r="Z35" s="41" t="str">
        <f>IF(AND(E35='Povolené hodnoty'!$B$4,F35=9),J35+M35+P35+S35,"")</f>
        <v/>
      </c>
      <c r="AA35" s="39" t="str">
        <f>IF(AND(E35&lt;&gt;'Povolené hodnoty'!$B$4,F35=2),I35+L35+O35+R35,"")</f>
        <v/>
      </c>
      <c r="AB35" s="40" t="str">
        <f>IF(AND(E35&lt;&gt;'Povolené hodnoty'!$B$4,F35=3),I35+L35+O35+R35,"")</f>
        <v/>
      </c>
      <c r="AC35" s="40">
        <f>IF(AND(E35&lt;&gt;'Povolené hodnoty'!$B$4,F35=4),I35+L35+O35+R35,"")</f>
        <v>50.5</v>
      </c>
      <c r="AD35" s="40" t="str">
        <f>IF(AND(E35&lt;&gt;'Povolené hodnoty'!$B$4,F35="5a"),I35-J35+L35-M35+O35-P35+R35-S35,"")</f>
        <v/>
      </c>
      <c r="AE35" s="40" t="str">
        <f>IF(AND(E35&lt;&gt;'Povolené hodnoty'!$B$4,F35="5b"),I35-J35+L35-M35+O35-P35+R35-S35,"")</f>
        <v/>
      </c>
      <c r="AF35" s="40" t="str">
        <f>IF(AND(E35&lt;&gt;'Povolené hodnoty'!$B$4,F35=6),I35+L35+O35+R35,"")</f>
        <v/>
      </c>
      <c r="AG35" s="41" t="str">
        <f>IF(AND(E35&lt;&gt;'Povolené hodnoty'!$B$4,F35=7),I35+L35+O35+R35,"")</f>
        <v/>
      </c>
      <c r="AH35" s="39" t="str">
        <f>IF(AND(E35&lt;&gt;'Povolené hodnoty'!$B$4,F35=10),J35+M35+P35+S35,"")</f>
        <v/>
      </c>
      <c r="AI35" s="40" t="str">
        <f>IF(AND(E35&lt;&gt;'Povolené hodnoty'!$B$4,F35=11),J35+M35+P35+S35,"")</f>
        <v/>
      </c>
      <c r="AJ35" s="40" t="str">
        <f>IF(AND(E35&lt;&gt;'Povolené hodnoty'!$B$4,F35=12),J35+M35+P35+S35,"")</f>
        <v/>
      </c>
      <c r="AK35" s="41" t="str">
        <f>IF(AND(E35&lt;&gt;'Povolené hodnoty'!$B$4,F35=13),J35+M35+P35+S35,"")</f>
        <v/>
      </c>
      <c r="AL35" s="39" t="str">
        <f>IF(AND($G35='Povolené hodnoty'!$B$13,$H35=AL$4),SUM($I35,$L35,$O35,$R35),"")</f>
        <v/>
      </c>
      <c r="AM35" s="458" t="str">
        <f>IF(AND($G35='Povolené hodnoty'!$B$13,$H35=AM$4),SUM($I35,$L35,$O35,$R35),"")</f>
        <v/>
      </c>
      <c r="AN35" s="458" t="str">
        <f>IF(AND($G35='Povolené hodnoty'!$B$13,$H35=AN$4),SUM($I35,$L35,$O35,$R35),"")</f>
        <v/>
      </c>
      <c r="AO35" s="458" t="str">
        <f>IF(AND($G35='Povolené hodnoty'!$B$13,$H35=AO$4),SUM($I35,$L35,$O35,$R35),"")</f>
        <v/>
      </c>
      <c r="AP35" s="458" t="str">
        <f>IF(AND($G35='Povolené hodnoty'!$B$13,$H35=AP$4),SUM($I35,$L35,$O35,$R35),"")</f>
        <v/>
      </c>
      <c r="AQ35" s="40" t="str">
        <f>IF(AND($G35='Povolené hodnoty'!$B$13,OR($H35=AQ$4,$H35='Povolené hodnoty'!$E$36)),SUM($I35,-$J35,$L35,-$M35,$O35,-$P35,$R35,-$S35),"")</f>
        <v/>
      </c>
      <c r="AR35" s="40">
        <f>IF(AND($G35='Povolené hodnoty'!$B$13,$H35=AR$4),SUM($I35,$L35,$O35,$R35),"")</f>
        <v>50.5</v>
      </c>
      <c r="AS35" s="41" t="str">
        <f>IF(AND($G35='Povolené hodnoty'!$B$13,$H35=AS$4),SUM($I35,$L35,$O35,$R35),"")</f>
        <v/>
      </c>
      <c r="AT35" s="39" t="str">
        <f>IF(AND($G35='Povolené hodnoty'!$B$14,$H35=AT$4),SUM($I35,$L35,$O35,$R35),"")</f>
        <v/>
      </c>
      <c r="AU35" s="458" t="str">
        <f>IF(AND($G35='Povolené hodnoty'!$B$14,$H35=AU$4),SUM($I35,$L35,$O35,$R35),"")</f>
        <v/>
      </c>
      <c r="AV35" s="41" t="str">
        <f>IF(AND($G35='Povolené hodnoty'!$B$14,$H35=AV$4),SUM($I35,$L35,$O35,$R35),"")</f>
        <v/>
      </c>
      <c r="AW35" s="39" t="str">
        <f>IF(AND($G35='Povolené hodnoty'!$B$13,$H35=AW$4),SUM($J35,$M35,$P35,$S35),"")</f>
        <v/>
      </c>
      <c r="AX35" s="458" t="str">
        <f>IF(AND($G35='Povolené hodnoty'!$B$13,$H35=AX$4),SUM($J35,$M35,$P35,$S35),"")</f>
        <v/>
      </c>
      <c r="AY35" s="458" t="str">
        <f>IF(AND($G35='Povolené hodnoty'!$B$13,$H35=AY$4),SUM($J35,$M35,$P35,$S35),"")</f>
        <v/>
      </c>
      <c r="AZ35" s="458" t="str">
        <f>IF(AND($G35='Povolené hodnoty'!$B$13,$H35=AZ$4),SUM($J35,$M35,$P35,$S35),"")</f>
        <v/>
      </c>
      <c r="BA35" s="458" t="str">
        <f>IF(AND($G35='Povolené hodnoty'!$B$13,$H35=BA$4),SUM($J35,$M35,$P35,$S35),"")</f>
        <v/>
      </c>
      <c r="BB35" s="40" t="str">
        <f>IF(AND($G35='Povolené hodnoty'!$B$13,$H35=BB$4),SUM($J35,$M35,$P35,$S35),"")</f>
        <v/>
      </c>
      <c r="BC35" s="40" t="str">
        <f>IF(AND($G35='Povolené hodnoty'!$B$13,$H35=BC$4),SUM($J35,$M35,$P35,$S35),"")</f>
        <v/>
      </c>
      <c r="BD35" s="40" t="str">
        <f>IF(AND($G35='Povolené hodnoty'!$B$13,$H35=BD$4),SUM($J35,$M35,$P35,$S35),"")</f>
        <v/>
      </c>
      <c r="BE35" s="41" t="str">
        <f>IF(AND($G35='Povolené hodnoty'!$B$13,$H35=BE$4),SUM($J35,$M35,$P35,$S35),"")</f>
        <v/>
      </c>
      <c r="BF35" s="39" t="str">
        <f>IF(AND($G35='Povolené hodnoty'!$B$14,$H35=BF$4),SUM($J35,$M35,$P35,$S35),"")</f>
        <v/>
      </c>
      <c r="BG35" s="458" t="str">
        <f>IF(AND($G35='Povolené hodnoty'!$B$14,$H35=BG$4),SUM($J35,$M35,$P35,$S35),"")</f>
        <v/>
      </c>
      <c r="BH35" s="458" t="str">
        <f>IF(AND($G35='Povolené hodnoty'!$B$14,$H35=BH$4),SUM($J35,$M35,$P35,$S35),"")</f>
        <v/>
      </c>
      <c r="BI35" s="458" t="str">
        <f>IF(AND($G35='Povolené hodnoty'!$B$14,$H35=BI$4),SUM($J35,$M35,$P35,$S35),"")</f>
        <v/>
      </c>
      <c r="BJ35" s="458" t="str">
        <f>IF(AND($G35='Povolené hodnoty'!$B$14,$H35=BJ$4),SUM($J35,$M35,$P35,$S35),"")</f>
        <v/>
      </c>
      <c r="BK35" s="40" t="str">
        <f>IF(AND($G35='Povolené hodnoty'!$B$14,$H35=BK$4),SUM($J35,$M35,$P35,$S35),"")</f>
        <v/>
      </c>
      <c r="BL35" s="40" t="str">
        <f>IF(AND($G35='Povolené hodnoty'!$B$14,$H35=BL$4),SUM($J35,$M35,$P35,$S35),"")</f>
        <v/>
      </c>
      <c r="BM35" s="41" t="str">
        <f>IF(AND($G35='Povolené hodnoty'!$B$14,$H35=BM$4),SUM($J35,$M35,$P35,$S35),"")</f>
        <v/>
      </c>
      <c r="BO35" s="18" t="b">
        <f t="shared" si="33"/>
        <v>0</v>
      </c>
      <c r="BP35" s="18" t="b">
        <f t="shared" si="1"/>
        <v>0</v>
      </c>
      <c r="BQ35" s="18" t="b">
        <f>AND(E35&lt;&gt;'Povolené hodnoty'!$B$6,F35&lt;&gt;'Povolené hodnoty'!$D$7,F35&lt;&gt;'Povolené hodnoty'!$D$8,OR(SUM(I35,L35,O35,R35)&lt;&gt;SUM(W35:X35,AA35:AG35),SUM(J35,M35,P35,S35)&lt;&gt;SUM(Y35:Z35,AH35:AK35),COUNT(I35:J35,L35:M35,O35:P35,R35:S35)&lt;&gt;COUNT(W35:AK35)))</f>
        <v>0</v>
      </c>
      <c r="BR35" s="18" t="b">
        <f>OR(AND(E35='Povolené hodnoty'!$B$6,$BR$5),AND(E35='Povolené hodnoty'!$B$6,H35&lt;&gt;'Povolené hodnoty'!$E$26,H35&lt;&gt;'Povolené hodnoty'!$E$35),AND(E35&lt;&gt;'Povolené hodnoty'!$B$6,OR(H35='Povolené hodnoty'!$E$26,H35='Povolené hodnoty'!$E$35)))</f>
        <v>0</v>
      </c>
      <c r="BS35" s="18" t="b">
        <f>OR(AND(G35&lt;&gt;'Povolené hodnoty'!$B$13,OR(H35='Povolené hodnoty'!$E$21,H35='Povolené hodnoty'!$E$22,H35='Povolené hodnoty'!$E$23,H35='Povolené hodnoty'!$E$24,H35='Povolené hodnoty'!$E$26,H35='Povolené hodnoty'!$E$36)),COUNT(I35:J35,L35:M35,O35:P35,R35:S35)&lt;&gt;COUNT(AL35:BM35))</f>
        <v>0</v>
      </c>
      <c r="BT35" s="18" t="b">
        <f t="shared" si="2"/>
        <v>0</v>
      </c>
      <c r="BV35" s="39" t="str">
        <f t="shared" si="3"/>
        <v/>
      </c>
      <c r="BW35" s="458" t="str">
        <f t="shared" si="4"/>
        <v/>
      </c>
      <c r="BX35" s="458" t="str">
        <f t="shared" si="5"/>
        <v/>
      </c>
      <c r="BY35" s="458" t="str">
        <f t="shared" si="6"/>
        <v/>
      </c>
      <c r="BZ35" s="458" t="str">
        <f t="shared" si="7"/>
        <v/>
      </c>
      <c r="CA35" s="40" t="str">
        <f t="shared" si="8"/>
        <v/>
      </c>
      <c r="CB35" s="40" t="str">
        <f t="shared" si="9"/>
        <v/>
      </c>
      <c r="CC35" s="39" t="str">
        <f t="shared" si="10"/>
        <v/>
      </c>
      <c r="CD35" s="458" t="str">
        <f t="shared" si="11"/>
        <v/>
      </c>
      <c r="CE35" s="41" t="str">
        <f t="shared" si="12"/>
        <v/>
      </c>
      <c r="CF35" s="39" t="str">
        <f t="shared" si="13"/>
        <v/>
      </c>
      <c r="CG35" s="458" t="str">
        <f t="shared" si="14"/>
        <v/>
      </c>
      <c r="CH35" s="458" t="str">
        <f t="shared" si="15"/>
        <v/>
      </c>
      <c r="CI35" s="458" t="str">
        <f t="shared" si="16"/>
        <v/>
      </c>
      <c r="CJ35" s="458" t="str">
        <f t="shared" si="17"/>
        <v/>
      </c>
      <c r="CK35" s="40" t="str">
        <f t="shared" si="18"/>
        <v/>
      </c>
      <c r="CL35" s="40" t="str">
        <f t="shared" si="19"/>
        <v/>
      </c>
      <c r="CM35" s="40" t="str">
        <f t="shared" si="20"/>
        <v/>
      </c>
      <c r="CN35" s="39" t="str">
        <f t="shared" si="21"/>
        <v/>
      </c>
      <c r="CO35" s="458" t="str">
        <f t="shared" si="22"/>
        <v/>
      </c>
      <c r="CP35" s="458" t="str">
        <f t="shared" si="23"/>
        <v/>
      </c>
      <c r="CQ35" s="458" t="str">
        <f t="shared" si="24"/>
        <v/>
      </c>
      <c r="CR35" s="458" t="str">
        <f t="shared" si="25"/>
        <v/>
      </c>
      <c r="CS35" s="40" t="str">
        <f t="shared" si="26"/>
        <v/>
      </c>
      <c r="CT35" s="40" t="str">
        <f t="shared" si="27"/>
        <v/>
      </c>
      <c r="CU35" s="41" t="str">
        <f t="shared" si="28"/>
        <v/>
      </c>
    </row>
    <row r="36" spans="1:99" x14ac:dyDescent="0.2">
      <c r="A36" s="77">
        <f t="shared" si="29"/>
        <v>31</v>
      </c>
      <c r="B36" s="81">
        <v>45265</v>
      </c>
      <c r="C36" s="82" t="s">
        <v>513</v>
      </c>
      <c r="D36" s="71" t="s">
        <v>3494</v>
      </c>
      <c r="E36" s="72" t="s">
        <v>43</v>
      </c>
      <c r="F36" s="73" t="s">
        <v>45</v>
      </c>
      <c r="G36" s="443" t="s">
        <v>3308</v>
      </c>
      <c r="H36" s="443" t="s">
        <v>3315</v>
      </c>
      <c r="I36" s="74"/>
      <c r="J36" s="75"/>
      <c r="K36" s="41">
        <f t="shared" si="37"/>
        <v>4475</v>
      </c>
      <c r="L36" s="104">
        <v>2500.5</v>
      </c>
      <c r="M36" s="105"/>
      <c r="N36" s="106">
        <f t="shared" si="38"/>
        <v>11051</v>
      </c>
      <c r="O36" s="104"/>
      <c r="P36" s="105"/>
      <c r="Q36" s="106">
        <f t="shared" si="35"/>
        <v>0</v>
      </c>
      <c r="R36" s="104"/>
      <c r="S36" s="105"/>
      <c r="T36" s="106">
        <f t="shared" si="36"/>
        <v>0</v>
      </c>
      <c r="U36" s="439"/>
      <c r="V36" s="42">
        <f t="shared" si="0"/>
        <v>31</v>
      </c>
      <c r="W36" s="39" t="str">
        <f>IF(AND(E36='Povolené hodnoty'!$B$4,F36=2),I36+L36+O36+R36,"")</f>
        <v/>
      </c>
      <c r="X36" s="41" t="str">
        <f>IF(AND(E36='Povolené hodnoty'!$B$4,F36=1),I36+L36+O36+R36,"")</f>
        <v/>
      </c>
      <c r="Y36" s="39" t="str">
        <f>IF(AND(E36='Povolené hodnoty'!$B$4,F36=10),J36+M36+P36+S36,"")</f>
        <v/>
      </c>
      <c r="Z36" s="41" t="str">
        <f>IF(AND(E36='Povolené hodnoty'!$B$4,F36=9),J36+M36+P36+S36,"")</f>
        <v/>
      </c>
      <c r="AA36" s="39" t="str">
        <f>IF(AND(E36&lt;&gt;'Povolené hodnoty'!$B$4,F36=2),I36+L36+O36+R36,"")</f>
        <v/>
      </c>
      <c r="AB36" s="40" t="str">
        <f>IF(AND(E36&lt;&gt;'Povolené hodnoty'!$B$4,F36=3),I36+L36+O36+R36,"")</f>
        <v/>
      </c>
      <c r="AC36" s="40" t="str">
        <f>IF(AND(E36&lt;&gt;'Povolené hodnoty'!$B$4,F36=4),I36+L36+O36+R36,"")</f>
        <v/>
      </c>
      <c r="AD36" s="40">
        <f>IF(AND(E36&lt;&gt;'Povolené hodnoty'!$B$4,F36="5a"),I36-J36+L36-M36+O36-P36+R36-S36,"")</f>
        <v>2500.5</v>
      </c>
      <c r="AE36" s="40" t="str">
        <f>IF(AND(E36&lt;&gt;'Povolené hodnoty'!$B$4,F36="5b"),I36-J36+L36-M36+O36-P36+R36-S36,"")</f>
        <v/>
      </c>
      <c r="AF36" s="40" t="str">
        <f>IF(AND(E36&lt;&gt;'Povolené hodnoty'!$B$4,F36=6),I36+L36+O36+R36,"")</f>
        <v/>
      </c>
      <c r="AG36" s="41" t="str">
        <f>IF(AND(E36&lt;&gt;'Povolené hodnoty'!$B$4,F36=7),I36+L36+O36+R36,"")</f>
        <v/>
      </c>
      <c r="AH36" s="39" t="str">
        <f>IF(AND(E36&lt;&gt;'Povolené hodnoty'!$B$4,F36=10),J36+M36+P36+S36,"")</f>
        <v/>
      </c>
      <c r="AI36" s="40" t="str">
        <f>IF(AND(E36&lt;&gt;'Povolené hodnoty'!$B$4,F36=11),J36+M36+P36+S36,"")</f>
        <v/>
      </c>
      <c r="AJ36" s="40" t="str">
        <f>IF(AND(E36&lt;&gt;'Povolené hodnoty'!$B$4,F36=12),J36+M36+P36+S36,"")</f>
        <v/>
      </c>
      <c r="AK36" s="41" t="str">
        <f>IF(AND(E36&lt;&gt;'Povolené hodnoty'!$B$4,F36=13),J36+M36+P36+S36,"")</f>
        <v/>
      </c>
      <c r="AL36" s="39" t="str">
        <f>IF(AND($G36='Povolené hodnoty'!$B$13,$H36=AL$4),SUM($I36,$L36,$O36,$R36),"")</f>
        <v/>
      </c>
      <c r="AM36" s="458" t="str">
        <f>IF(AND($G36='Povolené hodnoty'!$B$13,$H36=AM$4),SUM($I36,$L36,$O36,$R36),"")</f>
        <v/>
      </c>
      <c r="AN36" s="458" t="str">
        <f>IF(AND($G36='Povolené hodnoty'!$B$13,$H36=AN$4),SUM($I36,$L36,$O36,$R36),"")</f>
        <v/>
      </c>
      <c r="AO36" s="458" t="str">
        <f>IF(AND($G36='Povolené hodnoty'!$B$13,$H36=AO$4),SUM($I36,$L36,$O36,$R36),"")</f>
        <v/>
      </c>
      <c r="AP36" s="458" t="str">
        <f>IF(AND($G36='Povolené hodnoty'!$B$13,$H36=AP$4),SUM($I36,$L36,$O36,$R36),"")</f>
        <v/>
      </c>
      <c r="AQ36" s="40">
        <f>IF(AND($G36='Povolené hodnoty'!$B$13,OR($H36=AQ$4,$H36='Povolené hodnoty'!$E$36)),SUM($I36,-$J36,$L36,-$M36,$O36,-$P36,$R36,-$S36),"")</f>
        <v>2500.5</v>
      </c>
      <c r="AR36" s="40" t="str">
        <f>IF(AND($G36='Povolené hodnoty'!$B$13,$H36=AR$4),SUM($I36,$L36,$O36,$R36),"")</f>
        <v/>
      </c>
      <c r="AS36" s="41" t="str">
        <f>IF(AND($G36='Povolené hodnoty'!$B$13,$H36=AS$4),SUM($I36,$L36,$O36,$R36),"")</f>
        <v/>
      </c>
      <c r="AT36" s="39" t="str">
        <f>IF(AND($G36='Povolené hodnoty'!$B$14,$H36=AT$4),SUM($I36,$L36,$O36,$R36),"")</f>
        <v/>
      </c>
      <c r="AU36" s="458" t="str">
        <f>IF(AND($G36='Povolené hodnoty'!$B$14,$H36=AU$4),SUM($I36,$L36,$O36,$R36),"")</f>
        <v/>
      </c>
      <c r="AV36" s="41" t="str">
        <f>IF(AND($G36='Povolené hodnoty'!$B$14,$H36=AV$4),SUM($I36,$L36,$O36,$R36),"")</f>
        <v/>
      </c>
      <c r="AW36" s="39" t="str">
        <f>IF(AND($G36='Povolené hodnoty'!$B$13,$H36=AW$4),SUM($J36,$M36,$P36,$S36),"")</f>
        <v/>
      </c>
      <c r="AX36" s="458" t="str">
        <f>IF(AND($G36='Povolené hodnoty'!$B$13,$H36=AX$4),SUM($J36,$M36,$P36,$S36),"")</f>
        <v/>
      </c>
      <c r="AY36" s="458" t="str">
        <f>IF(AND($G36='Povolené hodnoty'!$B$13,$H36=AY$4),SUM($J36,$M36,$P36,$S36),"")</f>
        <v/>
      </c>
      <c r="AZ36" s="458" t="str">
        <f>IF(AND($G36='Povolené hodnoty'!$B$13,$H36=AZ$4),SUM($J36,$M36,$P36,$S36),"")</f>
        <v/>
      </c>
      <c r="BA36" s="458" t="str">
        <f>IF(AND($G36='Povolené hodnoty'!$B$13,$H36=BA$4),SUM($J36,$M36,$P36,$S36),"")</f>
        <v/>
      </c>
      <c r="BB36" s="40" t="str">
        <f>IF(AND($G36='Povolené hodnoty'!$B$13,$H36=BB$4),SUM($J36,$M36,$P36,$S36),"")</f>
        <v/>
      </c>
      <c r="BC36" s="40" t="str">
        <f>IF(AND($G36='Povolené hodnoty'!$B$13,$H36=BC$4),SUM($J36,$M36,$P36,$S36),"")</f>
        <v/>
      </c>
      <c r="BD36" s="40" t="str">
        <f>IF(AND($G36='Povolené hodnoty'!$B$13,$H36=BD$4),SUM($J36,$M36,$P36,$S36),"")</f>
        <v/>
      </c>
      <c r="BE36" s="41" t="str">
        <f>IF(AND($G36='Povolené hodnoty'!$B$13,$H36=BE$4),SUM($J36,$M36,$P36,$S36),"")</f>
        <v/>
      </c>
      <c r="BF36" s="39" t="str">
        <f>IF(AND($G36='Povolené hodnoty'!$B$14,$H36=BF$4),SUM($J36,$M36,$P36,$S36),"")</f>
        <v/>
      </c>
      <c r="BG36" s="458" t="str">
        <f>IF(AND($G36='Povolené hodnoty'!$B$14,$H36=BG$4),SUM($J36,$M36,$P36,$S36),"")</f>
        <v/>
      </c>
      <c r="BH36" s="458" t="str">
        <f>IF(AND($G36='Povolené hodnoty'!$B$14,$H36=BH$4),SUM($J36,$M36,$P36,$S36),"")</f>
        <v/>
      </c>
      <c r="BI36" s="458" t="str">
        <f>IF(AND($G36='Povolené hodnoty'!$B$14,$H36=BI$4),SUM($J36,$M36,$P36,$S36),"")</f>
        <v/>
      </c>
      <c r="BJ36" s="458" t="str">
        <f>IF(AND($G36='Povolené hodnoty'!$B$14,$H36=BJ$4),SUM($J36,$M36,$P36,$S36),"")</f>
        <v/>
      </c>
      <c r="BK36" s="40" t="str">
        <f>IF(AND($G36='Povolené hodnoty'!$B$14,$H36=BK$4),SUM($J36,$M36,$P36,$S36),"")</f>
        <v/>
      </c>
      <c r="BL36" s="40" t="str">
        <f>IF(AND($G36='Povolené hodnoty'!$B$14,$H36=BL$4),SUM($J36,$M36,$P36,$S36),"")</f>
        <v/>
      </c>
      <c r="BM36" s="41" t="str">
        <f>IF(AND($G36='Povolené hodnoty'!$B$14,$H36=BM$4),SUM($J36,$M36,$P36,$S36),"")</f>
        <v/>
      </c>
      <c r="BO36" s="18" t="b">
        <f t="shared" si="33"/>
        <v>0</v>
      </c>
      <c r="BP36" s="18" t="b">
        <f t="shared" si="1"/>
        <v>0</v>
      </c>
      <c r="BQ36" s="18" t="b">
        <f>AND(E36&lt;&gt;'Povolené hodnoty'!$B$6,F36&lt;&gt;'Povolené hodnoty'!$D$7,F36&lt;&gt;'Povolené hodnoty'!$D$8,OR(SUM(I36,L36,O36,R36)&lt;&gt;SUM(W36:X36,AA36:AG36),SUM(J36,M36,P36,S36)&lt;&gt;SUM(Y36:Z36,AH36:AK36),COUNT(I36:J36,L36:M36,O36:P36,R36:S36)&lt;&gt;COUNT(W36:AK36)))</f>
        <v>0</v>
      </c>
      <c r="BR36" s="18" t="b">
        <f>OR(AND(E36='Povolené hodnoty'!$B$6,$BR$5),AND(E36='Povolené hodnoty'!$B$6,H36&lt;&gt;'Povolené hodnoty'!$E$26,H36&lt;&gt;'Povolené hodnoty'!$E$35),AND(E36&lt;&gt;'Povolené hodnoty'!$B$6,OR(H36='Povolené hodnoty'!$E$26,H36='Povolené hodnoty'!$E$35)))</f>
        <v>0</v>
      </c>
      <c r="BS36" s="18" t="b">
        <f>OR(AND(G36&lt;&gt;'Povolené hodnoty'!$B$13,OR(H36='Povolené hodnoty'!$E$21,H36='Povolené hodnoty'!$E$22,H36='Povolené hodnoty'!$E$23,H36='Povolené hodnoty'!$E$24,H36='Povolené hodnoty'!$E$26,H36='Povolené hodnoty'!$E$36)),COUNT(I36:J36,L36:M36,O36:P36,R36:S36)&lt;&gt;COUNT(AL36:BM36))</f>
        <v>0</v>
      </c>
      <c r="BT36" s="18" t="b">
        <f t="shared" si="2"/>
        <v>0</v>
      </c>
      <c r="BV36" s="39" t="str">
        <f t="shared" si="3"/>
        <v/>
      </c>
      <c r="BW36" s="458" t="str">
        <f t="shared" si="4"/>
        <v/>
      </c>
      <c r="BX36" s="458" t="str">
        <f t="shared" si="5"/>
        <v/>
      </c>
      <c r="BY36" s="458" t="str">
        <f t="shared" si="6"/>
        <v/>
      </c>
      <c r="BZ36" s="458" t="str">
        <f t="shared" si="7"/>
        <v/>
      </c>
      <c r="CA36" s="40" t="str">
        <f t="shared" si="8"/>
        <v/>
      </c>
      <c r="CB36" s="40" t="str">
        <f t="shared" si="9"/>
        <v/>
      </c>
      <c r="CC36" s="39" t="str">
        <f t="shared" si="10"/>
        <v/>
      </c>
      <c r="CD36" s="458" t="str">
        <f t="shared" si="11"/>
        <v/>
      </c>
      <c r="CE36" s="41" t="str">
        <f t="shared" si="12"/>
        <v/>
      </c>
      <c r="CF36" s="39" t="str">
        <f t="shared" si="13"/>
        <v/>
      </c>
      <c r="CG36" s="458" t="str">
        <f t="shared" si="14"/>
        <v/>
      </c>
      <c r="CH36" s="458" t="str">
        <f t="shared" si="15"/>
        <v/>
      </c>
      <c r="CI36" s="458" t="str">
        <f t="shared" si="16"/>
        <v/>
      </c>
      <c r="CJ36" s="458" t="str">
        <f t="shared" si="17"/>
        <v/>
      </c>
      <c r="CK36" s="40" t="str">
        <f t="shared" si="18"/>
        <v/>
      </c>
      <c r="CL36" s="40" t="str">
        <f t="shared" si="19"/>
        <v/>
      </c>
      <c r="CM36" s="40" t="str">
        <f t="shared" si="20"/>
        <v/>
      </c>
      <c r="CN36" s="39" t="str">
        <f t="shared" si="21"/>
        <v/>
      </c>
      <c r="CO36" s="458" t="str">
        <f t="shared" si="22"/>
        <v/>
      </c>
      <c r="CP36" s="458" t="str">
        <f t="shared" si="23"/>
        <v/>
      </c>
      <c r="CQ36" s="458" t="str">
        <f t="shared" si="24"/>
        <v/>
      </c>
      <c r="CR36" s="458" t="str">
        <f t="shared" si="25"/>
        <v/>
      </c>
      <c r="CS36" s="40" t="str">
        <f t="shared" si="26"/>
        <v/>
      </c>
      <c r="CT36" s="40" t="str">
        <f t="shared" si="27"/>
        <v/>
      </c>
      <c r="CU36" s="41" t="str">
        <f t="shared" si="28"/>
        <v/>
      </c>
    </row>
    <row r="37" spans="1:99" x14ac:dyDescent="0.2">
      <c r="A37" s="77">
        <f t="shared" si="29"/>
        <v>32</v>
      </c>
      <c r="B37" s="81">
        <v>45266</v>
      </c>
      <c r="C37" s="82" t="s">
        <v>514</v>
      </c>
      <c r="D37" s="71" t="s">
        <v>3424</v>
      </c>
      <c r="E37" s="72" t="s">
        <v>66</v>
      </c>
      <c r="F37" s="73" t="s">
        <v>65</v>
      </c>
      <c r="G37" s="443" t="s">
        <v>3308</v>
      </c>
      <c r="H37" s="443" t="s">
        <v>3326</v>
      </c>
      <c r="I37" s="74"/>
      <c r="J37" s="75"/>
      <c r="K37" s="41">
        <f t="shared" si="37"/>
        <v>4475</v>
      </c>
      <c r="L37" s="104"/>
      <c r="M37" s="105">
        <v>10000</v>
      </c>
      <c r="N37" s="106">
        <f t="shared" si="38"/>
        <v>1051</v>
      </c>
      <c r="O37" s="104"/>
      <c r="P37" s="105"/>
      <c r="Q37" s="106">
        <f t="shared" si="35"/>
        <v>0</v>
      </c>
      <c r="R37" s="104"/>
      <c r="S37" s="105"/>
      <c r="T37" s="106">
        <f t="shared" si="36"/>
        <v>0</v>
      </c>
      <c r="U37" s="439"/>
      <c r="V37" s="42">
        <f t="shared" si="0"/>
        <v>32</v>
      </c>
      <c r="W37" s="39" t="str">
        <f>IF(AND(E37='Povolené hodnoty'!$B$4,F37=2),I37+L37+O37+R37,"")</f>
        <v/>
      </c>
      <c r="X37" s="41" t="str">
        <f>IF(AND(E37='Povolené hodnoty'!$B$4,F37=1),I37+L37+O37+R37,"")</f>
        <v/>
      </c>
      <c r="Y37" s="39" t="str">
        <f>IF(AND(E37='Povolené hodnoty'!$B$4,F37=10),J37+M37+P37+S37,"")</f>
        <v/>
      </c>
      <c r="Z37" s="41" t="str">
        <f>IF(AND(E37='Povolené hodnoty'!$B$4,F37=9),J37+M37+P37+S37,"")</f>
        <v/>
      </c>
      <c r="AA37" s="39" t="str">
        <f>IF(AND(E37&lt;&gt;'Povolené hodnoty'!$B$4,F37=2),I37+L37+O37+R37,"")</f>
        <v/>
      </c>
      <c r="AB37" s="40" t="str">
        <f>IF(AND(E37&lt;&gt;'Povolené hodnoty'!$B$4,F37=3),I37+L37+O37+R37,"")</f>
        <v/>
      </c>
      <c r="AC37" s="40" t="str">
        <f>IF(AND(E37&lt;&gt;'Povolené hodnoty'!$B$4,F37=4),I37+L37+O37+R37,"")</f>
        <v/>
      </c>
      <c r="AD37" s="40" t="str">
        <f>IF(AND(E37&lt;&gt;'Povolené hodnoty'!$B$4,F37="5a"),I37-J37+L37-M37+O37-P37+R37-S37,"")</f>
        <v/>
      </c>
      <c r="AE37" s="40" t="str">
        <f>IF(AND(E37&lt;&gt;'Povolené hodnoty'!$B$4,F37="5b"),I37-J37+L37-M37+O37-P37+R37-S37,"")</f>
        <v/>
      </c>
      <c r="AF37" s="40" t="str">
        <f>IF(AND(E37&lt;&gt;'Povolené hodnoty'!$B$4,F37=6),I37+L37+O37+R37,"")</f>
        <v/>
      </c>
      <c r="AG37" s="41" t="str">
        <f>IF(AND(E37&lt;&gt;'Povolené hodnoty'!$B$4,F37=7),I37+L37+O37+R37,"")</f>
        <v/>
      </c>
      <c r="AH37" s="39" t="str">
        <f>IF(AND(E37&lt;&gt;'Povolené hodnoty'!$B$4,F37=10),J37+M37+P37+S37,"")</f>
        <v/>
      </c>
      <c r="AI37" s="40" t="str">
        <f>IF(AND(E37&lt;&gt;'Povolené hodnoty'!$B$4,F37=11),J37+M37+P37+S37,"")</f>
        <v/>
      </c>
      <c r="AJ37" s="40" t="str">
        <f>IF(AND(E37&lt;&gt;'Povolené hodnoty'!$B$4,F37=12),J37+M37+P37+S37,"")</f>
        <v/>
      </c>
      <c r="AK37" s="41" t="str">
        <f>IF(AND(E37&lt;&gt;'Povolené hodnoty'!$B$4,F37=13),J37+M37+P37+S37,"")</f>
        <v/>
      </c>
      <c r="AL37" s="39" t="str">
        <f>IF(AND($G37='Povolené hodnoty'!$B$13,$H37=AL$4),SUM($I37,$L37,$O37,$R37),"")</f>
        <v/>
      </c>
      <c r="AM37" s="458" t="str">
        <f>IF(AND($G37='Povolené hodnoty'!$B$13,$H37=AM$4),SUM($I37,$L37,$O37,$R37),"")</f>
        <v/>
      </c>
      <c r="AN37" s="458" t="str">
        <f>IF(AND($G37='Povolené hodnoty'!$B$13,$H37=AN$4),SUM($I37,$L37,$O37,$R37),"")</f>
        <v/>
      </c>
      <c r="AO37" s="458" t="str">
        <f>IF(AND($G37='Povolené hodnoty'!$B$13,$H37=AO$4),SUM($I37,$L37,$O37,$R37),"")</f>
        <v/>
      </c>
      <c r="AP37" s="458" t="str">
        <f>IF(AND($G37='Povolené hodnoty'!$B$13,$H37=AP$4),SUM($I37,$L37,$O37,$R37),"")</f>
        <v/>
      </c>
      <c r="AQ37" s="40" t="str">
        <f>IF(AND($G37='Povolené hodnoty'!$B$13,OR($H37=AQ$4,$H37='Povolené hodnoty'!$E$36)),SUM($I37,-$J37,$L37,-$M37,$O37,-$P37,$R37,-$S37),"")</f>
        <v/>
      </c>
      <c r="AR37" s="40" t="str">
        <f>IF(AND($G37='Povolené hodnoty'!$B$13,$H37=AR$4),SUM($I37,$L37,$O37,$R37),"")</f>
        <v/>
      </c>
      <c r="AS37" s="41" t="str">
        <f>IF(AND($G37='Povolené hodnoty'!$B$13,$H37=AS$4),SUM($I37,$L37,$O37,$R37),"")</f>
        <v/>
      </c>
      <c r="AT37" s="39" t="str">
        <f>IF(AND($G37='Povolené hodnoty'!$B$14,$H37=AT$4),SUM($I37,$L37,$O37,$R37),"")</f>
        <v/>
      </c>
      <c r="AU37" s="458" t="str">
        <f>IF(AND($G37='Povolené hodnoty'!$B$14,$H37=AU$4),SUM($I37,$L37,$O37,$R37),"")</f>
        <v/>
      </c>
      <c r="AV37" s="41" t="str">
        <f>IF(AND($G37='Povolené hodnoty'!$B$14,$H37=AV$4),SUM($I37,$L37,$O37,$R37),"")</f>
        <v/>
      </c>
      <c r="AW37" s="39" t="str">
        <f>IF(AND($G37='Povolené hodnoty'!$B$13,$H37=AW$4),SUM($J37,$M37,$P37,$S37),"")</f>
        <v/>
      </c>
      <c r="AX37" s="458" t="str">
        <f>IF(AND($G37='Povolené hodnoty'!$B$13,$H37=AX$4),SUM($J37,$M37,$P37,$S37),"")</f>
        <v/>
      </c>
      <c r="AY37" s="458" t="str">
        <f>IF(AND($G37='Povolené hodnoty'!$B$13,$H37=AY$4),SUM($J37,$M37,$P37,$S37),"")</f>
        <v/>
      </c>
      <c r="AZ37" s="458" t="str">
        <f>IF(AND($G37='Povolené hodnoty'!$B$13,$H37=AZ$4),SUM($J37,$M37,$P37,$S37),"")</f>
        <v/>
      </c>
      <c r="BA37" s="458" t="str">
        <f>IF(AND($G37='Povolené hodnoty'!$B$13,$H37=BA$4),SUM($J37,$M37,$P37,$S37),"")</f>
        <v/>
      </c>
      <c r="BB37" s="40" t="str">
        <f>IF(AND($G37='Povolené hodnoty'!$B$13,$H37=BB$4),SUM($J37,$M37,$P37,$S37),"")</f>
        <v/>
      </c>
      <c r="BC37" s="40" t="str">
        <f>IF(AND($G37='Povolené hodnoty'!$B$13,$H37=BC$4),SUM($J37,$M37,$P37,$S37),"")</f>
        <v/>
      </c>
      <c r="BD37" s="40" t="str">
        <f>IF(AND($G37='Povolené hodnoty'!$B$13,$H37=BD$4),SUM($J37,$M37,$P37,$S37),"")</f>
        <v/>
      </c>
      <c r="BE37" s="41">
        <f>IF(AND($G37='Povolené hodnoty'!$B$13,$H37=BE$4),SUM($J37,$M37,$P37,$S37),"")</f>
        <v>10000</v>
      </c>
      <c r="BF37" s="39" t="str">
        <f>IF(AND($G37='Povolené hodnoty'!$B$14,$H37=BF$4),SUM($J37,$M37,$P37,$S37),"")</f>
        <v/>
      </c>
      <c r="BG37" s="458" t="str">
        <f>IF(AND($G37='Povolené hodnoty'!$B$14,$H37=BG$4),SUM($J37,$M37,$P37,$S37),"")</f>
        <v/>
      </c>
      <c r="BH37" s="458" t="str">
        <f>IF(AND($G37='Povolené hodnoty'!$B$14,$H37=BH$4),SUM($J37,$M37,$P37,$S37),"")</f>
        <v/>
      </c>
      <c r="BI37" s="458" t="str">
        <f>IF(AND($G37='Povolené hodnoty'!$B$14,$H37=BI$4),SUM($J37,$M37,$P37,$S37),"")</f>
        <v/>
      </c>
      <c r="BJ37" s="458" t="str">
        <f>IF(AND($G37='Povolené hodnoty'!$B$14,$H37=BJ$4),SUM($J37,$M37,$P37,$S37),"")</f>
        <v/>
      </c>
      <c r="BK37" s="40" t="str">
        <f>IF(AND($G37='Povolené hodnoty'!$B$14,$H37=BK$4),SUM($J37,$M37,$P37,$S37),"")</f>
        <v/>
      </c>
      <c r="BL37" s="40" t="str">
        <f>IF(AND($G37='Povolené hodnoty'!$B$14,$H37=BL$4),SUM($J37,$M37,$P37,$S37),"")</f>
        <v/>
      </c>
      <c r="BM37" s="41" t="str">
        <f>IF(AND($G37='Povolené hodnoty'!$B$14,$H37=BM$4),SUM($J37,$M37,$P37,$S37),"")</f>
        <v/>
      </c>
      <c r="BO37" s="18" t="b">
        <f t="shared" si="33"/>
        <v>0</v>
      </c>
      <c r="BP37" s="18" t="b">
        <f t="shared" si="1"/>
        <v>0</v>
      </c>
      <c r="BQ37" s="18" t="b">
        <f>AND(E37&lt;&gt;'Povolené hodnoty'!$B$6,F37&lt;&gt;'Povolené hodnoty'!$D$7,F37&lt;&gt;'Povolené hodnoty'!$D$8,OR(SUM(I37,L37,O37,R37)&lt;&gt;SUM(W37:X37,AA37:AG37),SUM(J37,M37,P37,S37)&lt;&gt;SUM(Y37:Z37,AH37:AK37),COUNT(I37:J37,L37:M37,O37:P37,R37:S37)&lt;&gt;COUNT(W37:AK37)))</f>
        <v>0</v>
      </c>
      <c r="BR37" s="18" t="b">
        <f>OR(AND(E37='Povolené hodnoty'!$B$6,$BR$5),AND(E37='Povolené hodnoty'!$B$6,H37&lt;&gt;'Povolené hodnoty'!$E$26,H37&lt;&gt;'Povolené hodnoty'!$E$35),AND(E37&lt;&gt;'Povolené hodnoty'!$B$6,OR(H37='Povolené hodnoty'!$E$26,H37='Povolené hodnoty'!$E$35)))</f>
        <v>0</v>
      </c>
      <c r="BS37" s="18" t="b">
        <f>OR(AND(G37&lt;&gt;'Povolené hodnoty'!$B$13,OR(H37='Povolené hodnoty'!$E$21,H37='Povolené hodnoty'!$E$22,H37='Povolené hodnoty'!$E$23,H37='Povolené hodnoty'!$E$24,H37='Povolené hodnoty'!$E$26,H37='Povolené hodnoty'!$E$36)),COUNT(I37:J37,L37:M37,O37:P37,R37:S37)&lt;&gt;COUNT(AL37:BM37))</f>
        <v>0</v>
      </c>
      <c r="BT37" s="18" t="b">
        <f t="shared" si="2"/>
        <v>0</v>
      </c>
      <c r="BV37" s="39" t="str">
        <f t="shared" si="3"/>
        <v/>
      </c>
      <c r="BW37" s="458" t="str">
        <f t="shared" si="4"/>
        <v/>
      </c>
      <c r="BX37" s="458" t="str">
        <f t="shared" si="5"/>
        <v/>
      </c>
      <c r="BY37" s="458" t="str">
        <f t="shared" si="6"/>
        <v/>
      </c>
      <c r="BZ37" s="458" t="str">
        <f t="shared" si="7"/>
        <v/>
      </c>
      <c r="CA37" s="40" t="str">
        <f t="shared" si="8"/>
        <v/>
      </c>
      <c r="CB37" s="40" t="str">
        <f t="shared" si="9"/>
        <v/>
      </c>
      <c r="CC37" s="39" t="str">
        <f t="shared" si="10"/>
        <v/>
      </c>
      <c r="CD37" s="458" t="str">
        <f t="shared" si="11"/>
        <v/>
      </c>
      <c r="CE37" s="41" t="str">
        <f t="shared" si="12"/>
        <v/>
      </c>
      <c r="CF37" s="39" t="str">
        <f t="shared" si="13"/>
        <v/>
      </c>
      <c r="CG37" s="458" t="str">
        <f t="shared" si="14"/>
        <v/>
      </c>
      <c r="CH37" s="458" t="str">
        <f t="shared" si="15"/>
        <v/>
      </c>
      <c r="CI37" s="458" t="str">
        <f t="shared" si="16"/>
        <v/>
      </c>
      <c r="CJ37" s="458" t="str">
        <f t="shared" si="17"/>
        <v/>
      </c>
      <c r="CK37" s="40" t="str">
        <f t="shared" si="18"/>
        <v/>
      </c>
      <c r="CL37" s="40" t="str">
        <f t="shared" si="19"/>
        <v/>
      </c>
      <c r="CM37" s="40" t="str">
        <f t="shared" si="20"/>
        <v/>
      </c>
      <c r="CN37" s="39" t="str">
        <f t="shared" si="21"/>
        <v/>
      </c>
      <c r="CO37" s="458" t="str">
        <f t="shared" si="22"/>
        <v/>
      </c>
      <c r="CP37" s="458" t="str">
        <f t="shared" si="23"/>
        <v/>
      </c>
      <c r="CQ37" s="458" t="str">
        <f t="shared" si="24"/>
        <v/>
      </c>
      <c r="CR37" s="458" t="str">
        <f t="shared" si="25"/>
        <v/>
      </c>
      <c r="CS37" s="40" t="str">
        <f t="shared" si="26"/>
        <v/>
      </c>
      <c r="CT37" s="40" t="str">
        <f t="shared" si="27"/>
        <v/>
      </c>
      <c r="CU37" s="41" t="str">
        <f t="shared" si="28"/>
        <v/>
      </c>
    </row>
    <row r="38" spans="1:99" x14ac:dyDescent="0.2">
      <c r="A38" s="77">
        <f t="shared" si="29"/>
        <v>33</v>
      </c>
      <c r="B38" s="81">
        <v>45266</v>
      </c>
      <c r="C38" s="82" t="s">
        <v>108</v>
      </c>
      <c r="D38" s="71" t="s">
        <v>3425</v>
      </c>
      <c r="E38" s="72" t="s">
        <v>66</v>
      </c>
      <c r="F38" s="73" t="s">
        <v>65</v>
      </c>
      <c r="G38" s="443" t="s">
        <v>3308</v>
      </c>
      <c r="H38" s="443" t="s">
        <v>3317</v>
      </c>
      <c r="I38" s="74"/>
      <c r="J38" s="75"/>
      <c r="K38" s="41">
        <f t="shared" si="37"/>
        <v>4475</v>
      </c>
      <c r="L38" s="104"/>
      <c r="M38" s="105"/>
      <c r="N38" s="106">
        <f t="shared" si="38"/>
        <v>1051</v>
      </c>
      <c r="O38" s="104">
        <v>10000</v>
      </c>
      <c r="P38" s="105"/>
      <c r="Q38" s="106">
        <f t="shared" si="35"/>
        <v>10000</v>
      </c>
      <c r="R38" s="104"/>
      <c r="S38" s="105"/>
      <c r="T38" s="106">
        <f t="shared" si="36"/>
        <v>0</v>
      </c>
      <c r="U38" s="439"/>
      <c r="V38" s="42">
        <f t="shared" si="0"/>
        <v>33</v>
      </c>
      <c r="W38" s="39" t="str">
        <f>IF(AND(E38='Povolené hodnoty'!$B$4,F38=2),I38+L38+O38+R38,"")</f>
        <v/>
      </c>
      <c r="X38" s="41" t="str">
        <f>IF(AND(E38='Povolené hodnoty'!$B$4,F38=1),I38+L38+O38+R38,"")</f>
        <v/>
      </c>
      <c r="Y38" s="39" t="str">
        <f>IF(AND(E38='Povolené hodnoty'!$B$4,F38=10),J38+M38+P38+S38,"")</f>
        <v/>
      </c>
      <c r="Z38" s="41" t="str">
        <f>IF(AND(E38='Povolené hodnoty'!$B$4,F38=9),J38+M38+P38+S38,"")</f>
        <v/>
      </c>
      <c r="AA38" s="39" t="str">
        <f>IF(AND(E38&lt;&gt;'Povolené hodnoty'!$B$4,F38=2),I38+L38+O38+R38,"")</f>
        <v/>
      </c>
      <c r="AB38" s="40" t="str">
        <f>IF(AND(E38&lt;&gt;'Povolené hodnoty'!$B$4,F38=3),I38+L38+O38+R38,"")</f>
        <v/>
      </c>
      <c r="AC38" s="40" t="str">
        <f>IF(AND(E38&lt;&gt;'Povolené hodnoty'!$B$4,F38=4),I38+L38+O38+R38,"")</f>
        <v/>
      </c>
      <c r="AD38" s="40" t="str">
        <f>IF(AND(E38&lt;&gt;'Povolené hodnoty'!$B$4,F38="5a"),I38-J38+L38-M38+O38-P38+R38-S38,"")</f>
        <v/>
      </c>
      <c r="AE38" s="40" t="str">
        <f>IF(AND(E38&lt;&gt;'Povolené hodnoty'!$B$4,F38="5b"),I38-J38+L38-M38+O38-P38+R38-S38,"")</f>
        <v/>
      </c>
      <c r="AF38" s="40" t="str">
        <f>IF(AND(E38&lt;&gt;'Povolené hodnoty'!$B$4,F38=6),I38+L38+O38+R38,"")</f>
        <v/>
      </c>
      <c r="AG38" s="41" t="str">
        <f>IF(AND(E38&lt;&gt;'Povolené hodnoty'!$B$4,F38=7),I38+L38+O38+R38,"")</f>
        <v/>
      </c>
      <c r="AH38" s="39" t="str">
        <f>IF(AND(E38&lt;&gt;'Povolené hodnoty'!$B$4,F38=10),J38+M38+P38+S38,"")</f>
        <v/>
      </c>
      <c r="AI38" s="40" t="str">
        <f>IF(AND(E38&lt;&gt;'Povolené hodnoty'!$B$4,F38=11),J38+M38+P38+S38,"")</f>
        <v/>
      </c>
      <c r="AJ38" s="40" t="str">
        <f>IF(AND(E38&lt;&gt;'Povolené hodnoty'!$B$4,F38=12),J38+M38+P38+S38,"")</f>
        <v/>
      </c>
      <c r="AK38" s="41" t="str">
        <f>IF(AND(E38&lt;&gt;'Povolené hodnoty'!$B$4,F38=13),J38+M38+P38+S38,"")</f>
        <v/>
      </c>
      <c r="AL38" s="39" t="str">
        <f>IF(AND($G38='Povolené hodnoty'!$B$13,$H38=AL$4),SUM($I38,$L38,$O38,$R38),"")</f>
        <v/>
      </c>
      <c r="AM38" s="458" t="str">
        <f>IF(AND($G38='Povolené hodnoty'!$B$13,$H38=AM$4),SUM($I38,$L38,$O38,$R38),"")</f>
        <v/>
      </c>
      <c r="AN38" s="458" t="str">
        <f>IF(AND($G38='Povolené hodnoty'!$B$13,$H38=AN$4),SUM($I38,$L38,$O38,$R38),"")</f>
        <v/>
      </c>
      <c r="AO38" s="458" t="str">
        <f>IF(AND($G38='Povolené hodnoty'!$B$13,$H38=AO$4),SUM($I38,$L38,$O38,$R38),"")</f>
        <v/>
      </c>
      <c r="AP38" s="458" t="str">
        <f>IF(AND($G38='Povolené hodnoty'!$B$13,$H38=AP$4),SUM($I38,$L38,$O38,$R38),"")</f>
        <v/>
      </c>
      <c r="AQ38" s="40" t="str">
        <f>IF(AND($G38='Povolené hodnoty'!$B$13,OR($H38=AQ$4,$H38='Povolené hodnoty'!$E$36)),SUM($I38,-$J38,$L38,-$M38,$O38,-$P38,$R38,-$S38),"")</f>
        <v/>
      </c>
      <c r="AR38" s="40" t="str">
        <f>IF(AND($G38='Povolené hodnoty'!$B$13,$H38=AR$4),SUM($I38,$L38,$O38,$R38),"")</f>
        <v/>
      </c>
      <c r="AS38" s="41">
        <f>IF(AND($G38='Povolené hodnoty'!$B$13,$H38=AS$4),SUM($I38,$L38,$O38,$R38),"")</f>
        <v>10000</v>
      </c>
      <c r="AT38" s="39" t="str">
        <f>IF(AND($G38='Povolené hodnoty'!$B$14,$H38=AT$4),SUM($I38,$L38,$O38,$R38),"")</f>
        <v/>
      </c>
      <c r="AU38" s="458" t="str">
        <f>IF(AND($G38='Povolené hodnoty'!$B$14,$H38=AU$4),SUM($I38,$L38,$O38,$R38),"")</f>
        <v/>
      </c>
      <c r="AV38" s="41" t="str">
        <f>IF(AND($G38='Povolené hodnoty'!$B$14,$H38=AV$4),SUM($I38,$L38,$O38,$R38),"")</f>
        <v/>
      </c>
      <c r="AW38" s="39" t="str">
        <f>IF(AND($G38='Povolené hodnoty'!$B$13,$H38=AW$4),SUM($J38,$M38,$P38,$S38),"")</f>
        <v/>
      </c>
      <c r="AX38" s="458" t="str">
        <f>IF(AND($G38='Povolené hodnoty'!$B$13,$H38=AX$4),SUM($J38,$M38,$P38,$S38),"")</f>
        <v/>
      </c>
      <c r="AY38" s="458" t="str">
        <f>IF(AND($G38='Povolené hodnoty'!$B$13,$H38=AY$4),SUM($J38,$M38,$P38,$S38),"")</f>
        <v/>
      </c>
      <c r="AZ38" s="458" t="str">
        <f>IF(AND($G38='Povolené hodnoty'!$B$13,$H38=AZ$4),SUM($J38,$M38,$P38,$S38),"")</f>
        <v/>
      </c>
      <c r="BA38" s="458" t="str">
        <f>IF(AND($G38='Povolené hodnoty'!$B$13,$H38=BA$4),SUM($J38,$M38,$P38,$S38),"")</f>
        <v/>
      </c>
      <c r="BB38" s="40" t="str">
        <f>IF(AND($G38='Povolené hodnoty'!$B$13,$H38=BB$4),SUM($J38,$M38,$P38,$S38),"")</f>
        <v/>
      </c>
      <c r="BC38" s="40" t="str">
        <f>IF(AND($G38='Povolené hodnoty'!$B$13,$H38=BC$4),SUM($J38,$M38,$P38,$S38),"")</f>
        <v/>
      </c>
      <c r="BD38" s="40" t="str">
        <f>IF(AND($G38='Povolené hodnoty'!$B$13,$H38=BD$4),SUM($J38,$M38,$P38,$S38),"")</f>
        <v/>
      </c>
      <c r="BE38" s="41" t="str">
        <f>IF(AND($G38='Povolené hodnoty'!$B$13,$H38=BE$4),SUM($J38,$M38,$P38,$S38),"")</f>
        <v/>
      </c>
      <c r="BF38" s="39" t="str">
        <f>IF(AND($G38='Povolené hodnoty'!$B$14,$H38=BF$4),SUM($J38,$M38,$P38,$S38),"")</f>
        <v/>
      </c>
      <c r="BG38" s="458" t="str">
        <f>IF(AND($G38='Povolené hodnoty'!$B$14,$H38=BG$4),SUM($J38,$M38,$P38,$S38),"")</f>
        <v/>
      </c>
      <c r="BH38" s="458" t="str">
        <f>IF(AND($G38='Povolené hodnoty'!$B$14,$H38=BH$4),SUM($J38,$M38,$P38,$S38),"")</f>
        <v/>
      </c>
      <c r="BI38" s="458" t="str">
        <f>IF(AND($G38='Povolené hodnoty'!$B$14,$H38=BI$4),SUM($J38,$M38,$P38,$S38),"")</f>
        <v/>
      </c>
      <c r="BJ38" s="458" t="str">
        <f>IF(AND($G38='Povolené hodnoty'!$B$14,$H38=BJ$4),SUM($J38,$M38,$P38,$S38),"")</f>
        <v/>
      </c>
      <c r="BK38" s="40" t="str">
        <f>IF(AND($G38='Povolené hodnoty'!$B$14,$H38=BK$4),SUM($J38,$M38,$P38,$S38),"")</f>
        <v/>
      </c>
      <c r="BL38" s="40" t="str">
        <f>IF(AND($G38='Povolené hodnoty'!$B$14,$H38=BL$4),SUM($J38,$M38,$P38,$S38),"")</f>
        <v/>
      </c>
      <c r="BM38" s="41" t="str">
        <f>IF(AND($G38='Povolené hodnoty'!$B$14,$H38=BM$4),SUM($J38,$M38,$P38,$S38),"")</f>
        <v/>
      </c>
      <c r="BO38" s="18" t="b">
        <f t="shared" si="33"/>
        <v>0</v>
      </c>
      <c r="BP38" s="18" t="b">
        <f t="shared" si="1"/>
        <v>0</v>
      </c>
      <c r="BQ38" s="18" t="b">
        <f>AND(E38&lt;&gt;'Povolené hodnoty'!$B$6,F38&lt;&gt;'Povolené hodnoty'!$D$7,F38&lt;&gt;'Povolené hodnoty'!$D$8,OR(SUM(I38,L38,O38,R38)&lt;&gt;SUM(W38:X38,AA38:AG38),SUM(J38,M38,P38,S38)&lt;&gt;SUM(Y38:Z38,AH38:AK38),COUNT(I38:J38,L38:M38,O38:P38,R38:S38)&lt;&gt;COUNT(W38:AK38)))</f>
        <v>0</v>
      </c>
      <c r="BR38" s="18" t="b">
        <f>OR(AND(E38='Povolené hodnoty'!$B$6,$BR$5),AND(E38='Povolené hodnoty'!$B$6,H38&lt;&gt;'Povolené hodnoty'!$E$26,H38&lt;&gt;'Povolené hodnoty'!$E$35),AND(E38&lt;&gt;'Povolené hodnoty'!$B$6,OR(H38='Povolené hodnoty'!$E$26,H38='Povolené hodnoty'!$E$35)))</f>
        <v>0</v>
      </c>
      <c r="BS38" s="18" t="b">
        <f>OR(AND(G38&lt;&gt;'Povolené hodnoty'!$B$13,OR(H38='Povolené hodnoty'!$E$21,H38='Povolené hodnoty'!$E$22,H38='Povolené hodnoty'!$E$23,H38='Povolené hodnoty'!$E$24,H38='Povolené hodnoty'!$E$26,H38='Povolené hodnoty'!$E$36)),COUNT(I38:J38,L38:M38,O38:P38,R38:S38)&lt;&gt;COUNT(AL38:BM38))</f>
        <v>0</v>
      </c>
      <c r="BT38" s="18" t="b">
        <f t="shared" si="2"/>
        <v>0</v>
      </c>
      <c r="BV38" s="39" t="str">
        <f t="shared" si="3"/>
        <v/>
      </c>
      <c r="BW38" s="458" t="str">
        <f t="shared" si="4"/>
        <v/>
      </c>
      <c r="BX38" s="458" t="str">
        <f t="shared" si="5"/>
        <v/>
      </c>
      <c r="BY38" s="458" t="str">
        <f t="shared" si="6"/>
        <v/>
      </c>
      <c r="BZ38" s="458" t="str">
        <f t="shared" si="7"/>
        <v/>
      </c>
      <c r="CA38" s="40" t="str">
        <f t="shared" si="8"/>
        <v/>
      </c>
      <c r="CB38" s="40" t="str">
        <f t="shared" si="9"/>
        <v/>
      </c>
      <c r="CC38" s="39" t="str">
        <f t="shared" si="10"/>
        <v/>
      </c>
      <c r="CD38" s="458" t="str">
        <f t="shared" si="11"/>
        <v/>
      </c>
      <c r="CE38" s="41" t="str">
        <f t="shared" si="12"/>
        <v/>
      </c>
      <c r="CF38" s="39" t="str">
        <f t="shared" si="13"/>
        <v/>
      </c>
      <c r="CG38" s="458" t="str">
        <f t="shared" si="14"/>
        <v/>
      </c>
      <c r="CH38" s="458" t="str">
        <f t="shared" si="15"/>
        <v/>
      </c>
      <c r="CI38" s="458" t="str">
        <f t="shared" si="16"/>
        <v/>
      </c>
      <c r="CJ38" s="458" t="str">
        <f t="shared" si="17"/>
        <v/>
      </c>
      <c r="CK38" s="40" t="str">
        <f t="shared" si="18"/>
        <v/>
      </c>
      <c r="CL38" s="40" t="str">
        <f t="shared" si="19"/>
        <v/>
      </c>
      <c r="CM38" s="40" t="str">
        <f t="shared" si="20"/>
        <v/>
      </c>
      <c r="CN38" s="39" t="str">
        <f t="shared" si="21"/>
        <v/>
      </c>
      <c r="CO38" s="458" t="str">
        <f t="shared" si="22"/>
        <v/>
      </c>
      <c r="CP38" s="458" t="str">
        <f t="shared" si="23"/>
        <v/>
      </c>
      <c r="CQ38" s="458" t="str">
        <f t="shared" si="24"/>
        <v/>
      </c>
      <c r="CR38" s="458" t="str">
        <f t="shared" si="25"/>
        <v/>
      </c>
      <c r="CS38" s="40" t="str">
        <f t="shared" si="26"/>
        <v/>
      </c>
      <c r="CT38" s="40" t="str">
        <f t="shared" si="27"/>
        <v/>
      </c>
      <c r="CU38" s="41" t="str">
        <f t="shared" si="28"/>
        <v/>
      </c>
    </row>
    <row r="39" spans="1:99" x14ac:dyDescent="0.2">
      <c r="A39" s="77">
        <f t="shared" si="29"/>
        <v>34</v>
      </c>
      <c r="B39" s="81">
        <v>45273</v>
      </c>
      <c r="C39" s="82" t="s">
        <v>524</v>
      </c>
      <c r="D39" s="71" t="s">
        <v>3496</v>
      </c>
      <c r="E39" s="72" t="s">
        <v>43</v>
      </c>
      <c r="F39" s="73">
        <v>10</v>
      </c>
      <c r="G39" s="443" t="s">
        <v>3308</v>
      </c>
      <c r="H39" s="443" t="s">
        <v>3324</v>
      </c>
      <c r="I39" s="74"/>
      <c r="J39" s="75">
        <v>850</v>
      </c>
      <c r="K39" s="41">
        <f t="shared" si="37"/>
        <v>3625</v>
      </c>
      <c r="L39" s="104"/>
      <c r="M39" s="105"/>
      <c r="N39" s="106">
        <f t="shared" si="38"/>
        <v>1051</v>
      </c>
      <c r="O39" s="104"/>
      <c r="P39" s="105"/>
      <c r="Q39" s="106">
        <f t="shared" si="35"/>
        <v>10000</v>
      </c>
      <c r="R39" s="104"/>
      <c r="S39" s="105"/>
      <c r="T39" s="106">
        <f t="shared" si="36"/>
        <v>0</v>
      </c>
      <c r="U39" s="439"/>
      <c r="V39" s="42">
        <f t="shared" si="0"/>
        <v>34</v>
      </c>
      <c r="W39" s="39" t="str">
        <f>IF(AND(E39='Povolené hodnoty'!$B$4,F39=2),I39+L39+O39+R39,"")</f>
        <v/>
      </c>
      <c r="X39" s="41" t="str">
        <f>IF(AND(E39='Povolené hodnoty'!$B$4,F39=1),I39+L39+O39+R39,"")</f>
        <v/>
      </c>
      <c r="Y39" s="39" t="str">
        <f>IF(AND(E39='Povolené hodnoty'!$B$4,F39=10),J39+M39+P39+S39,"")</f>
        <v/>
      </c>
      <c r="Z39" s="41" t="str">
        <f>IF(AND(E39='Povolené hodnoty'!$B$4,F39=9),J39+M39+P39+S39,"")</f>
        <v/>
      </c>
      <c r="AA39" s="39" t="str">
        <f>IF(AND(E39&lt;&gt;'Povolené hodnoty'!$B$4,F39=2),I39+L39+O39+R39,"")</f>
        <v/>
      </c>
      <c r="AB39" s="40" t="str">
        <f>IF(AND(E39&lt;&gt;'Povolené hodnoty'!$B$4,F39=3),I39+L39+O39+R39,"")</f>
        <v/>
      </c>
      <c r="AC39" s="40" t="str">
        <f>IF(AND(E39&lt;&gt;'Povolené hodnoty'!$B$4,F39=4),I39+L39+O39+R39,"")</f>
        <v/>
      </c>
      <c r="AD39" s="40" t="str">
        <f>IF(AND(E39&lt;&gt;'Povolené hodnoty'!$B$4,F39="5a"),I39-J39+L39-M39+O39-P39+R39-S39,"")</f>
        <v/>
      </c>
      <c r="AE39" s="40" t="str">
        <f>IF(AND(E39&lt;&gt;'Povolené hodnoty'!$B$4,F39="5b"),I39-J39+L39-M39+O39-P39+R39-S39,"")</f>
        <v/>
      </c>
      <c r="AF39" s="40" t="str">
        <f>IF(AND(E39&lt;&gt;'Povolené hodnoty'!$B$4,F39=6),I39+L39+O39+R39,"")</f>
        <v/>
      </c>
      <c r="AG39" s="41" t="str">
        <f>IF(AND(E39&lt;&gt;'Povolené hodnoty'!$B$4,F39=7),I39+L39+O39+R39,"")</f>
        <v/>
      </c>
      <c r="AH39" s="39">
        <f>IF(AND(E39&lt;&gt;'Povolené hodnoty'!$B$4,F39=10),J39+M39+P39+S39,"")</f>
        <v>850</v>
      </c>
      <c r="AI39" s="40" t="str">
        <f>IF(AND(E39&lt;&gt;'Povolené hodnoty'!$B$4,F39=11),J39+M39+P39+S39,"")</f>
        <v/>
      </c>
      <c r="AJ39" s="40" t="str">
        <f>IF(AND(E39&lt;&gt;'Povolené hodnoty'!$B$4,F39=12),J39+M39+P39+S39,"")</f>
        <v/>
      </c>
      <c r="AK39" s="41" t="str">
        <f>IF(AND(E39&lt;&gt;'Povolené hodnoty'!$B$4,F39=13),J39+M39+P39+S39,"")</f>
        <v/>
      </c>
      <c r="AL39" s="39" t="str">
        <f>IF(AND($G39='Povolené hodnoty'!$B$13,$H39=AL$4),SUM($I39,$L39,$O39,$R39),"")</f>
        <v/>
      </c>
      <c r="AM39" s="458" t="str">
        <f>IF(AND($G39='Povolené hodnoty'!$B$13,$H39=AM$4),SUM($I39,$L39,$O39,$R39),"")</f>
        <v/>
      </c>
      <c r="AN39" s="458" t="str">
        <f>IF(AND($G39='Povolené hodnoty'!$B$13,$H39=AN$4),SUM($I39,$L39,$O39,$R39),"")</f>
        <v/>
      </c>
      <c r="AO39" s="458" t="str">
        <f>IF(AND($G39='Povolené hodnoty'!$B$13,$H39=AO$4),SUM($I39,$L39,$O39,$R39),"")</f>
        <v/>
      </c>
      <c r="AP39" s="458" t="str">
        <f>IF(AND($G39='Povolené hodnoty'!$B$13,$H39=AP$4),SUM($I39,$L39,$O39,$R39),"")</f>
        <v/>
      </c>
      <c r="AQ39" s="40" t="str">
        <f>IF(AND($G39='Povolené hodnoty'!$B$13,OR($H39=AQ$4,$H39='Povolené hodnoty'!$E$36)),SUM($I39,-$J39,$L39,-$M39,$O39,-$P39,$R39,-$S39),"")</f>
        <v/>
      </c>
      <c r="AR39" s="40" t="str">
        <f>IF(AND($G39='Povolené hodnoty'!$B$13,$H39=AR$4),SUM($I39,$L39,$O39,$R39),"")</f>
        <v/>
      </c>
      <c r="AS39" s="41" t="str">
        <f>IF(AND($G39='Povolené hodnoty'!$B$13,$H39=AS$4),SUM($I39,$L39,$O39,$R39),"")</f>
        <v/>
      </c>
      <c r="AT39" s="39" t="str">
        <f>IF(AND($G39='Povolené hodnoty'!$B$14,$H39=AT$4),SUM($I39,$L39,$O39,$R39),"")</f>
        <v/>
      </c>
      <c r="AU39" s="458" t="str">
        <f>IF(AND($G39='Povolené hodnoty'!$B$14,$H39=AU$4),SUM($I39,$L39,$O39,$R39),"")</f>
        <v/>
      </c>
      <c r="AV39" s="41" t="str">
        <f>IF(AND($G39='Povolené hodnoty'!$B$14,$H39=AV$4),SUM($I39,$L39,$O39,$R39),"")</f>
        <v/>
      </c>
      <c r="AW39" s="39" t="str">
        <f>IF(AND($G39='Povolené hodnoty'!$B$13,$H39=AW$4),SUM($J39,$M39,$P39,$S39),"")</f>
        <v/>
      </c>
      <c r="AX39" s="458" t="str">
        <f>IF(AND($G39='Povolené hodnoty'!$B$13,$H39=AX$4),SUM($J39,$M39,$P39,$S39),"")</f>
        <v/>
      </c>
      <c r="AY39" s="458" t="str">
        <f>IF(AND($G39='Povolené hodnoty'!$B$13,$H39=AY$4),SUM($J39,$M39,$P39,$S39),"")</f>
        <v/>
      </c>
      <c r="AZ39" s="458" t="str">
        <f>IF(AND($G39='Povolené hodnoty'!$B$13,$H39=AZ$4),SUM($J39,$M39,$P39,$S39),"")</f>
        <v/>
      </c>
      <c r="BA39" s="458" t="str">
        <f>IF(AND($G39='Povolené hodnoty'!$B$13,$H39=BA$4),SUM($J39,$M39,$P39,$S39),"")</f>
        <v/>
      </c>
      <c r="BB39" s="40" t="str">
        <f>IF(AND($G39='Povolené hodnoty'!$B$13,$H39=BB$4),SUM($J39,$M39,$P39,$S39),"")</f>
        <v/>
      </c>
      <c r="BC39" s="40">
        <f>IF(AND($G39='Povolené hodnoty'!$B$13,$H39=BC$4),SUM($J39,$M39,$P39,$S39),"")</f>
        <v>850</v>
      </c>
      <c r="BD39" s="40" t="str">
        <f>IF(AND($G39='Povolené hodnoty'!$B$13,$H39=BD$4),SUM($J39,$M39,$P39,$S39),"")</f>
        <v/>
      </c>
      <c r="BE39" s="41" t="str">
        <f>IF(AND($G39='Povolené hodnoty'!$B$13,$H39=BE$4),SUM($J39,$M39,$P39,$S39),"")</f>
        <v/>
      </c>
      <c r="BF39" s="39" t="str">
        <f>IF(AND($G39='Povolené hodnoty'!$B$14,$H39=BF$4),SUM($J39,$M39,$P39,$S39),"")</f>
        <v/>
      </c>
      <c r="BG39" s="458" t="str">
        <f>IF(AND($G39='Povolené hodnoty'!$B$14,$H39=BG$4),SUM($J39,$M39,$P39,$S39),"")</f>
        <v/>
      </c>
      <c r="BH39" s="458" t="str">
        <f>IF(AND($G39='Povolené hodnoty'!$B$14,$H39=BH$4),SUM($J39,$M39,$P39,$S39),"")</f>
        <v/>
      </c>
      <c r="BI39" s="458" t="str">
        <f>IF(AND($G39='Povolené hodnoty'!$B$14,$H39=BI$4),SUM($J39,$M39,$P39,$S39),"")</f>
        <v/>
      </c>
      <c r="BJ39" s="458" t="str">
        <f>IF(AND($G39='Povolené hodnoty'!$B$14,$H39=BJ$4),SUM($J39,$M39,$P39,$S39),"")</f>
        <v/>
      </c>
      <c r="BK39" s="40" t="str">
        <f>IF(AND($G39='Povolené hodnoty'!$B$14,$H39=BK$4),SUM($J39,$M39,$P39,$S39),"")</f>
        <v/>
      </c>
      <c r="BL39" s="40" t="str">
        <f>IF(AND($G39='Povolené hodnoty'!$B$14,$H39=BL$4),SUM($J39,$M39,$P39,$S39),"")</f>
        <v/>
      </c>
      <c r="BM39" s="41" t="str">
        <f>IF(AND($G39='Povolené hodnoty'!$B$14,$H39=BM$4),SUM($J39,$M39,$P39,$S39),"")</f>
        <v/>
      </c>
      <c r="BO39" s="18" t="b">
        <f t="shared" si="33"/>
        <v>0</v>
      </c>
      <c r="BP39" s="18" t="b">
        <f t="shared" si="1"/>
        <v>0</v>
      </c>
      <c r="BQ39" s="18" t="b">
        <f>AND(E39&lt;&gt;'Povolené hodnoty'!$B$6,F39&lt;&gt;'Povolené hodnoty'!$D$7,F39&lt;&gt;'Povolené hodnoty'!$D$8,OR(SUM(I39,L39,O39,R39)&lt;&gt;SUM(W39:X39,AA39:AG39),SUM(J39,M39,P39,S39)&lt;&gt;SUM(Y39:Z39,AH39:AK39),COUNT(I39:J39,L39:M39,O39:P39,R39:S39)&lt;&gt;COUNT(W39:AK39)))</f>
        <v>0</v>
      </c>
      <c r="BR39" s="18" t="b">
        <f>OR(AND(E39='Povolené hodnoty'!$B$6,$BR$5),AND(E39='Povolené hodnoty'!$B$6,H39&lt;&gt;'Povolené hodnoty'!$E$26,H39&lt;&gt;'Povolené hodnoty'!$E$35),AND(E39&lt;&gt;'Povolené hodnoty'!$B$6,OR(H39='Povolené hodnoty'!$E$26,H39='Povolené hodnoty'!$E$35)))</f>
        <v>0</v>
      </c>
      <c r="BS39" s="18" t="b">
        <f>OR(AND(G39&lt;&gt;'Povolené hodnoty'!$B$13,OR(H39='Povolené hodnoty'!$E$21,H39='Povolené hodnoty'!$E$22,H39='Povolené hodnoty'!$E$23,H39='Povolené hodnoty'!$E$24,H39='Povolené hodnoty'!$E$26,H39='Povolené hodnoty'!$E$36)),COUNT(I39:J39,L39:M39,O39:P39,R39:S39)&lt;&gt;COUNT(AL39:BM39))</f>
        <v>0</v>
      </c>
      <c r="BT39" s="18" t="b">
        <f t="shared" si="2"/>
        <v>0</v>
      </c>
      <c r="BV39" s="39" t="str">
        <f t="shared" si="3"/>
        <v/>
      </c>
      <c r="BW39" s="458" t="str">
        <f t="shared" si="4"/>
        <v/>
      </c>
      <c r="BX39" s="458" t="str">
        <f t="shared" si="5"/>
        <v/>
      </c>
      <c r="BY39" s="458" t="str">
        <f t="shared" si="6"/>
        <v/>
      </c>
      <c r="BZ39" s="458" t="str">
        <f t="shared" si="7"/>
        <v/>
      </c>
      <c r="CA39" s="40" t="str">
        <f t="shared" si="8"/>
        <v/>
      </c>
      <c r="CB39" s="40" t="str">
        <f t="shared" si="9"/>
        <v/>
      </c>
      <c r="CC39" s="39" t="str">
        <f t="shared" si="10"/>
        <v/>
      </c>
      <c r="CD39" s="458" t="str">
        <f t="shared" si="11"/>
        <v/>
      </c>
      <c r="CE39" s="41" t="str">
        <f t="shared" si="12"/>
        <v/>
      </c>
      <c r="CF39" s="39" t="str">
        <f t="shared" si="13"/>
        <v/>
      </c>
      <c r="CG39" s="458" t="str">
        <f t="shared" si="14"/>
        <v/>
      </c>
      <c r="CH39" s="458" t="str">
        <f t="shared" si="15"/>
        <v/>
      </c>
      <c r="CI39" s="458" t="str">
        <f t="shared" si="16"/>
        <v/>
      </c>
      <c r="CJ39" s="458" t="str">
        <f t="shared" si="17"/>
        <v/>
      </c>
      <c r="CK39" s="40" t="str">
        <f t="shared" si="18"/>
        <v/>
      </c>
      <c r="CL39" s="40" t="str">
        <f t="shared" si="19"/>
        <v/>
      </c>
      <c r="CM39" s="40" t="str">
        <f t="shared" si="20"/>
        <v/>
      </c>
      <c r="CN39" s="39" t="str">
        <f t="shared" si="21"/>
        <v/>
      </c>
      <c r="CO39" s="458" t="str">
        <f t="shared" si="22"/>
        <v/>
      </c>
      <c r="CP39" s="458" t="str">
        <f t="shared" si="23"/>
        <v/>
      </c>
      <c r="CQ39" s="458" t="str">
        <f t="shared" si="24"/>
        <v/>
      </c>
      <c r="CR39" s="458" t="str">
        <f t="shared" si="25"/>
        <v/>
      </c>
      <c r="CS39" s="40" t="str">
        <f t="shared" si="26"/>
        <v/>
      </c>
      <c r="CT39" s="40" t="str">
        <f t="shared" si="27"/>
        <v/>
      </c>
      <c r="CU39" s="41" t="str">
        <f t="shared" si="28"/>
        <v/>
      </c>
    </row>
    <row r="40" spans="1:99" x14ac:dyDescent="0.2">
      <c r="A40" s="77">
        <f t="shared" si="29"/>
        <v>35</v>
      </c>
      <c r="B40" s="81">
        <v>45282</v>
      </c>
      <c r="C40" s="82" t="s">
        <v>518</v>
      </c>
      <c r="D40" s="71" t="s">
        <v>3495</v>
      </c>
      <c r="E40" s="72" t="s">
        <v>43</v>
      </c>
      <c r="F40" s="73">
        <v>10</v>
      </c>
      <c r="G40" s="443" t="s">
        <v>3308</v>
      </c>
      <c r="H40" s="443" t="s">
        <v>3324</v>
      </c>
      <c r="I40" s="74"/>
      <c r="J40" s="75"/>
      <c r="K40" s="41">
        <f t="shared" si="37"/>
        <v>3625</v>
      </c>
      <c r="L40" s="104"/>
      <c r="M40" s="105">
        <v>150.5</v>
      </c>
      <c r="N40" s="106">
        <f t="shared" si="38"/>
        <v>900.5</v>
      </c>
      <c r="O40" s="104"/>
      <c r="P40" s="105"/>
      <c r="Q40" s="106">
        <f t="shared" si="35"/>
        <v>10000</v>
      </c>
      <c r="R40" s="104"/>
      <c r="S40" s="105"/>
      <c r="T40" s="106">
        <f t="shared" si="36"/>
        <v>0</v>
      </c>
      <c r="U40" s="439"/>
      <c r="V40" s="42">
        <f t="shared" si="0"/>
        <v>35</v>
      </c>
      <c r="W40" s="39" t="str">
        <f>IF(AND(E40='Povolené hodnoty'!$B$4,F40=2),I40+L40+O40+R40,"")</f>
        <v/>
      </c>
      <c r="X40" s="41" t="str">
        <f>IF(AND(E40='Povolené hodnoty'!$B$4,F40=1),I40+L40+O40+R40,"")</f>
        <v/>
      </c>
      <c r="Y40" s="39" t="str">
        <f>IF(AND(E40='Povolené hodnoty'!$B$4,F40=10),J40+M40+P40+S40,"")</f>
        <v/>
      </c>
      <c r="Z40" s="41" t="str">
        <f>IF(AND(E40='Povolené hodnoty'!$B$4,F40=9),J40+M40+P40+S40,"")</f>
        <v/>
      </c>
      <c r="AA40" s="39" t="str">
        <f>IF(AND(E40&lt;&gt;'Povolené hodnoty'!$B$4,F40=2),I40+L40+O40+R40,"")</f>
        <v/>
      </c>
      <c r="AB40" s="40" t="str">
        <f>IF(AND(E40&lt;&gt;'Povolené hodnoty'!$B$4,F40=3),I40+L40+O40+R40,"")</f>
        <v/>
      </c>
      <c r="AC40" s="40" t="str">
        <f>IF(AND(E40&lt;&gt;'Povolené hodnoty'!$B$4,F40=4),I40+L40+O40+R40,"")</f>
        <v/>
      </c>
      <c r="AD40" s="40" t="str">
        <f>IF(AND(E40&lt;&gt;'Povolené hodnoty'!$B$4,F40="5a"),I40-J40+L40-M40+O40-P40+R40-S40,"")</f>
        <v/>
      </c>
      <c r="AE40" s="40" t="str">
        <f>IF(AND(E40&lt;&gt;'Povolené hodnoty'!$B$4,F40="5b"),I40-J40+L40-M40+O40-P40+R40-S40,"")</f>
        <v/>
      </c>
      <c r="AF40" s="40" t="str">
        <f>IF(AND(E40&lt;&gt;'Povolené hodnoty'!$B$4,F40=6),I40+L40+O40+R40,"")</f>
        <v/>
      </c>
      <c r="AG40" s="41" t="str">
        <f>IF(AND(E40&lt;&gt;'Povolené hodnoty'!$B$4,F40=7),I40+L40+O40+R40,"")</f>
        <v/>
      </c>
      <c r="AH40" s="39">
        <f>IF(AND(E40&lt;&gt;'Povolené hodnoty'!$B$4,F40=10),J40+M40+P40+S40,"")</f>
        <v>150.5</v>
      </c>
      <c r="AI40" s="40" t="str">
        <f>IF(AND(E40&lt;&gt;'Povolené hodnoty'!$B$4,F40=11),J40+M40+P40+S40,"")</f>
        <v/>
      </c>
      <c r="AJ40" s="40" t="str">
        <f>IF(AND(E40&lt;&gt;'Povolené hodnoty'!$B$4,F40=12),J40+M40+P40+S40,"")</f>
        <v/>
      </c>
      <c r="AK40" s="41" t="str">
        <f>IF(AND(E40&lt;&gt;'Povolené hodnoty'!$B$4,F40=13),J40+M40+P40+S40,"")</f>
        <v/>
      </c>
      <c r="AL40" s="39" t="str">
        <f>IF(AND($G40='Povolené hodnoty'!$B$13,$H40=AL$4),SUM($I40,$L40,$O40,$R40),"")</f>
        <v/>
      </c>
      <c r="AM40" s="458" t="str">
        <f>IF(AND($G40='Povolené hodnoty'!$B$13,$H40=AM$4),SUM($I40,$L40,$O40,$R40),"")</f>
        <v/>
      </c>
      <c r="AN40" s="458" t="str">
        <f>IF(AND($G40='Povolené hodnoty'!$B$13,$H40=AN$4),SUM($I40,$L40,$O40,$R40),"")</f>
        <v/>
      </c>
      <c r="AO40" s="458" t="str">
        <f>IF(AND($G40='Povolené hodnoty'!$B$13,$H40=AO$4),SUM($I40,$L40,$O40,$R40),"")</f>
        <v/>
      </c>
      <c r="AP40" s="458" t="str">
        <f>IF(AND($G40='Povolené hodnoty'!$B$13,$H40=AP$4),SUM($I40,$L40,$O40,$R40),"")</f>
        <v/>
      </c>
      <c r="AQ40" s="40" t="str">
        <f>IF(AND($G40='Povolené hodnoty'!$B$13,OR($H40=AQ$4,$H40='Povolené hodnoty'!$E$36)),SUM($I40,-$J40,$L40,-$M40,$O40,-$P40,$R40,-$S40),"")</f>
        <v/>
      </c>
      <c r="AR40" s="40" t="str">
        <f>IF(AND($G40='Povolené hodnoty'!$B$13,$H40=AR$4),SUM($I40,$L40,$O40,$R40),"")</f>
        <v/>
      </c>
      <c r="AS40" s="41" t="str">
        <f>IF(AND($G40='Povolené hodnoty'!$B$13,$H40=AS$4),SUM($I40,$L40,$O40,$R40),"")</f>
        <v/>
      </c>
      <c r="AT40" s="39" t="str">
        <f>IF(AND($G40='Povolené hodnoty'!$B$14,$H40=AT$4),SUM($I40,$L40,$O40,$R40),"")</f>
        <v/>
      </c>
      <c r="AU40" s="458" t="str">
        <f>IF(AND($G40='Povolené hodnoty'!$B$14,$H40=AU$4),SUM($I40,$L40,$O40,$R40),"")</f>
        <v/>
      </c>
      <c r="AV40" s="41" t="str">
        <f>IF(AND($G40='Povolené hodnoty'!$B$14,$H40=AV$4),SUM($I40,$L40,$O40,$R40),"")</f>
        <v/>
      </c>
      <c r="AW40" s="39" t="str">
        <f>IF(AND($G40='Povolené hodnoty'!$B$13,$H40=AW$4),SUM($J40,$M40,$P40,$S40),"")</f>
        <v/>
      </c>
      <c r="AX40" s="458" t="str">
        <f>IF(AND($G40='Povolené hodnoty'!$B$13,$H40=AX$4),SUM($J40,$M40,$P40,$S40),"")</f>
        <v/>
      </c>
      <c r="AY40" s="458" t="str">
        <f>IF(AND($G40='Povolené hodnoty'!$B$13,$H40=AY$4),SUM($J40,$M40,$P40,$S40),"")</f>
        <v/>
      </c>
      <c r="AZ40" s="458" t="str">
        <f>IF(AND($G40='Povolené hodnoty'!$B$13,$H40=AZ$4),SUM($J40,$M40,$P40,$S40),"")</f>
        <v/>
      </c>
      <c r="BA40" s="458" t="str">
        <f>IF(AND($G40='Povolené hodnoty'!$B$13,$H40=BA$4),SUM($J40,$M40,$P40,$S40),"")</f>
        <v/>
      </c>
      <c r="BB40" s="40" t="str">
        <f>IF(AND($G40='Povolené hodnoty'!$B$13,$H40=BB$4),SUM($J40,$M40,$P40,$S40),"")</f>
        <v/>
      </c>
      <c r="BC40" s="40">
        <f>IF(AND($G40='Povolené hodnoty'!$B$13,$H40=BC$4),SUM($J40,$M40,$P40,$S40),"")</f>
        <v>150.5</v>
      </c>
      <c r="BD40" s="40" t="str">
        <f>IF(AND($G40='Povolené hodnoty'!$B$13,$H40=BD$4),SUM($J40,$M40,$P40,$S40),"")</f>
        <v/>
      </c>
      <c r="BE40" s="41" t="str">
        <f>IF(AND($G40='Povolené hodnoty'!$B$13,$H40=BE$4),SUM($J40,$M40,$P40,$S40),"")</f>
        <v/>
      </c>
      <c r="BF40" s="39" t="str">
        <f>IF(AND($G40='Povolené hodnoty'!$B$14,$H40=BF$4),SUM($J40,$M40,$P40,$S40),"")</f>
        <v/>
      </c>
      <c r="BG40" s="458" t="str">
        <f>IF(AND($G40='Povolené hodnoty'!$B$14,$H40=BG$4),SUM($J40,$M40,$P40,$S40),"")</f>
        <v/>
      </c>
      <c r="BH40" s="458" t="str">
        <f>IF(AND($G40='Povolené hodnoty'!$B$14,$H40=BH$4),SUM($J40,$M40,$P40,$S40),"")</f>
        <v/>
      </c>
      <c r="BI40" s="458" t="str">
        <f>IF(AND($G40='Povolené hodnoty'!$B$14,$H40=BI$4),SUM($J40,$M40,$P40,$S40),"")</f>
        <v/>
      </c>
      <c r="BJ40" s="458" t="str">
        <f>IF(AND($G40='Povolené hodnoty'!$B$14,$H40=BJ$4),SUM($J40,$M40,$P40,$S40),"")</f>
        <v/>
      </c>
      <c r="BK40" s="40" t="str">
        <f>IF(AND($G40='Povolené hodnoty'!$B$14,$H40=BK$4),SUM($J40,$M40,$P40,$S40),"")</f>
        <v/>
      </c>
      <c r="BL40" s="40" t="str">
        <f>IF(AND($G40='Povolené hodnoty'!$B$14,$H40=BL$4),SUM($J40,$M40,$P40,$S40),"")</f>
        <v/>
      </c>
      <c r="BM40" s="41" t="str">
        <f>IF(AND($G40='Povolené hodnoty'!$B$14,$H40=BM$4),SUM($J40,$M40,$P40,$S40),"")</f>
        <v/>
      </c>
      <c r="BO40" s="18" t="b">
        <f t="shared" si="33"/>
        <v>0</v>
      </c>
      <c r="BP40" s="18" t="b">
        <f t="shared" si="1"/>
        <v>0</v>
      </c>
      <c r="BQ40" s="18" t="b">
        <f>AND(E40&lt;&gt;'Povolené hodnoty'!$B$6,F40&lt;&gt;'Povolené hodnoty'!$D$7,F40&lt;&gt;'Povolené hodnoty'!$D$8,OR(SUM(I40,L40,O40,R40)&lt;&gt;SUM(W40:X40,AA40:AG40),SUM(J40,M40,P40,S40)&lt;&gt;SUM(Y40:Z40,AH40:AK40),COUNT(I40:J40,L40:M40,O40:P40,R40:S40)&lt;&gt;COUNT(W40:AK40)))</f>
        <v>0</v>
      </c>
      <c r="BR40" s="18" t="b">
        <f>OR(AND(E40='Povolené hodnoty'!$B$6,$BR$5),AND(E40='Povolené hodnoty'!$B$6,H40&lt;&gt;'Povolené hodnoty'!$E$26,H40&lt;&gt;'Povolené hodnoty'!$E$35),AND(E40&lt;&gt;'Povolené hodnoty'!$B$6,OR(H40='Povolené hodnoty'!$E$26,H40='Povolené hodnoty'!$E$35)))</f>
        <v>0</v>
      </c>
      <c r="BS40" s="18" t="b">
        <f>OR(AND(G40&lt;&gt;'Povolené hodnoty'!$B$13,OR(H40='Povolené hodnoty'!$E$21,H40='Povolené hodnoty'!$E$22,H40='Povolené hodnoty'!$E$23,H40='Povolené hodnoty'!$E$24,H40='Povolené hodnoty'!$E$26,H40='Povolené hodnoty'!$E$36)),COUNT(I40:J40,L40:M40,O40:P40,R40:S40)&lt;&gt;COUNT(AL40:BM40))</f>
        <v>0</v>
      </c>
      <c r="BT40" s="18" t="b">
        <f t="shared" si="2"/>
        <v>0</v>
      </c>
      <c r="BV40" s="39" t="str">
        <f t="shared" si="3"/>
        <v/>
      </c>
      <c r="BW40" s="458" t="str">
        <f t="shared" si="4"/>
        <v/>
      </c>
      <c r="BX40" s="458" t="str">
        <f t="shared" si="5"/>
        <v/>
      </c>
      <c r="BY40" s="458" t="str">
        <f t="shared" si="6"/>
        <v/>
      </c>
      <c r="BZ40" s="458" t="str">
        <f t="shared" si="7"/>
        <v/>
      </c>
      <c r="CA40" s="40" t="str">
        <f t="shared" si="8"/>
        <v/>
      </c>
      <c r="CB40" s="40" t="str">
        <f t="shared" si="9"/>
        <v/>
      </c>
      <c r="CC40" s="39" t="str">
        <f t="shared" si="10"/>
        <v/>
      </c>
      <c r="CD40" s="458" t="str">
        <f t="shared" si="11"/>
        <v/>
      </c>
      <c r="CE40" s="41" t="str">
        <f t="shared" si="12"/>
        <v/>
      </c>
      <c r="CF40" s="39" t="str">
        <f t="shared" si="13"/>
        <v/>
      </c>
      <c r="CG40" s="458" t="str">
        <f t="shared" si="14"/>
        <v/>
      </c>
      <c r="CH40" s="458" t="str">
        <f t="shared" si="15"/>
        <v/>
      </c>
      <c r="CI40" s="458" t="str">
        <f t="shared" si="16"/>
        <v/>
      </c>
      <c r="CJ40" s="458" t="str">
        <f t="shared" si="17"/>
        <v/>
      </c>
      <c r="CK40" s="40" t="str">
        <f t="shared" si="18"/>
        <v/>
      </c>
      <c r="CL40" s="40" t="str">
        <f t="shared" si="19"/>
        <v/>
      </c>
      <c r="CM40" s="40" t="str">
        <f t="shared" si="20"/>
        <v/>
      </c>
      <c r="CN40" s="39" t="str">
        <f t="shared" si="21"/>
        <v/>
      </c>
      <c r="CO40" s="458" t="str">
        <f t="shared" si="22"/>
        <v/>
      </c>
      <c r="CP40" s="458" t="str">
        <f t="shared" si="23"/>
        <v/>
      </c>
      <c r="CQ40" s="458" t="str">
        <f t="shared" si="24"/>
        <v/>
      </c>
      <c r="CR40" s="458" t="str">
        <f t="shared" si="25"/>
        <v/>
      </c>
      <c r="CS40" s="40" t="str">
        <f t="shared" si="26"/>
        <v/>
      </c>
      <c r="CT40" s="40" t="str">
        <f t="shared" si="27"/>
        <v/>
      </c>
      <c r="CU40" s="41" t="str">
        <f t="shared" si="28"/>
        <v/>
      </c>
    </row>
    <row r="41" spans="1:99" x14ac:dyDescent="0.2">
      <c r="A41" s="77">
        <f t="shared" si="29"/>
        <v>36</v>
      </c>
      <c r="B41" s="81">
        <v>45291</v>
      </c>
      <c r="C41" s="82" t="s">
        <v>3274</v>
      </c>
      <c r="D41" s="71" t="s">
        <v>3273</v>
      </c>
      <c r="E41" s="72" t="s">
        <v>43</v>
      </c>
      <c r="F41" s="73">
        <v>13</v>
      </c>
      <c r="G41" s="443" t="s">
        <v>3308</v>
      </c>
      <c r="H41" s="443" t="s">
        <v>3325</v>
      </c>
      <c r="I41" s="74"/>
      <c r="J41" s="75"/>
      <c r="K41" s="41">
        <f t="shared" si="37"/>
        <v>3625</v>
      </c>
      <c r="L41" s="104"/>
      <c r="M41" s="105">
        <v>123.5</v>
      </c>
      <c r="N41" s="106">
        <f t="shared" si="38"/>
        <v>777</v>
      </c>
      <c r="O41" s="104"/>
      <c r="P41" s="105"/>
      <c r="Q41" s="106">
        <f t="shared" si="35"/>
        <v>10000</v>
      </c>
      <c r="R41" s="104"/>
      <c r="S41" s="105"/>
      <c r="T41" s="106">
        <f t="shared" si="36"/>
        <v>0</v>
      </c>
      <c r="U41" s="439"/>
      <c r="V41" s="42">
        <f t="shared" si="0"/>
        <v>36</v>
      </c>
      <c r="W41" s="39" t="str">
        <f>IF(AND(E41='Povolené hodnoty'!$B$4,F41=2),I41+L41+O41+R41,"")</f>
        <v/>
      </c>
      <c r="X41" s="41" t="str">
        <f>IF(AND(E41='Povolené hodnoty'!$B$4,F41=1),I41+L41+O41+R41,"")</f>
        <v/>
      </c>
      <c r="Y41" s="39" t="str">
        <f>IF(AND(E41='Povolené hodnoty'!$B$4,F41=10),J41+M41+P41+S41,"")</f>
        <v/>
      </c>
      <c r="Z41" s="41" t="str">
        <f>IF(AND(E41='Povolené hodnoty'!$B$4,F41=9),J41+M41+P41+S41,"")</f>
        <v/>
      </c>
      <c r="AA41" s="39" t="str">
        <f>IF(AND(E41&lt;&gt;'Povolené hodnoty'!$B$4,F41=2),I41+L41+O41+R41,"")</f>
        <v/>
      </c>
      <c r="AB41" s="40" t="str">
        <f>IF(AND(E41&lt;&gt;'Povolené hodnoty'!$B$4,F41=3),I41+L41+O41+R41,"")</f>
        <v/>
      </c>
      <c r="AC41" s="40" t="str">
        <f>IF(AND(E41&lt;&gt;'Povolené hodnoty'!$B$4,F41=4),I41+L41+O41+R41,"")</f>
        <v/>
      </c>
      <c r="AD41" s="40" t="str">
        <f>IF(AND(E41&lt;&gt;'Povolené hodnoty'!$B$4,F41="5a"),I41-J41+L41-M41+O41-P41+R41-S41,"")</f>
        <v/>
      </c>
      <c r="AE41" s="40" t="str">
        <f>IF(AND(E41&lt;&gt;'Povolené hodnoty'!$B$4,F41="5b"),I41-J41+L41-M41+O41-P41+R41-S41,"")</f>
        <v/>
      </c>
      <c r="AF41" s="40" t="str">
        <f>IF(AND(E41&lt;&gt;'Povolené hodnoty'!$B$4,F41=6),I41+L41+O41+R41,"")</f>
        <v/>
      </c>
      <c r="AG41" s="41" t="str">
        <f>IF(AND(E41&lt;&gt;'Povolené hodnoty'!$B$4,F41=7),I41+L41+O41+R41,"")</f>
        <v/>
      </c>
      <c r="AH41" s="39" t="str">
        <f>IF(AND(E41&lt;&gt;'Povolené hodnoty'!$B$4,F41=10),J41+M41+P41+S41,"")</f>
        <v/>
      </c>
      <c r="AI41" s="40" t="str">
        <f>IF(AND(E41&lt;&gt;'Povolené hodnoty'!$B$4,F41=11),J41+M41+P41+S41,"")</f>
        <v/>
      </c>
      <c r="AJ41" s="40" t="str">
        <f>IF(AND(E41&lt;&gt;'Povolené hodnoty'!$B$4,F41=12),J41+M41+P41+S41,"")</f>
        <v/>
      </c>
      <c r="AK41" s="41">
        <f>IF(AND(E41&lt;&gt;'Povolené hodnoty'!$B$4,F41=13),J41+M41+P41+S41,"")</f>
        <v>123.5</v>
      </c>
      <c r="AL41" s="39" t="str">
        <f>IF(AND($G41='Povolené hodnoty'!$B$13,$H41=AL$4),SUM($I41,$L41,$O41,$R41),"")</f>
        <v/>
      </c>
      <c r="AM41" s="458" t="str">
        <f>IF(AND($G41='Povolené hodnoty'!$B$13,$H41=AM$4),SUM($I41,$L41,$O41,$R41),"")</f>
        <v/>
      </c>
      <c r="AN41" s="458" t="str">
        <f>IF(AND($G41='Povolené hodnoty'!$B$13,$H41=AN$4),SUM($I41,$L41,$O41,$R41),"")</f>
        <v/>
      </c>
      <c r="AO41" s="458" t="str">
        <f>IF(AND($G41='Povolené hodnoty'!$B$13,$H41=AO$4),SUM($I41,$L41,$O41,$R41),"")</f>
        <v/>
      </c>
      <c r="AP41" s="458" t="str">
        <f>IF(AND($G41='Povolené hodnoty'!$B$13,$H41=AP$4),SUM($I41,$L41,$O41,$R41),"")</f>
        <v/>
      </c>
      <c r="AQ41" s="40" t="str">
        <f>IF(AND($G41='Povolené hodnoty'!$B$13,OR($H41=AQ$4,$H41='Povolené hodnoty'!$E$36)),SUM($I41,-$J41,$L41,-$M41,$O41,-$P41,$R41,-$S41),"")</f>
        <v/>
      </c>
      <c r="AR41" s="40" t="str">
        <f>IF(AND($G41='Povolené hodnoty'!$B$13,$H41=AR$4),SUM($I41,$L41,$O41,$R41),"")</f>
        <v/>
      </c>
      <c r="AS41" s="41" t="str">
        <f>IF(AND($G41='Povolené hodnoty'!$B$13,$H41=AS$4),SUM($I41,$L41,$O41,$R41),"")</f>
        <v/>
      </c>
      <c r="AT41" s="39" t="str">
        <f>IF(AND($G41='Povolené hodnoty'!$B$14,$H41=AT$4),SUM($I41,$L41,$O41,$R41),"")</f>
        <v/>
      </c>
      <c r="AU41" s="458" t="str">
        <f>IF(AND($G41='Povolené hodnoty'!$B$14,$H41=AU$4),SUM($I41,$L41,$O41,$R41),"")</f>
        <v/>
      </c>
      <c r="AV41" s="41" t="str">
        <f>IF(AND($G41='Povolené hodnoty'!$B$14,$H41=AV$4),SUM($I41,$L41,$O41,$R41),"")</f>
        <v/>
      </c>
      <c r="AW41" s="39" t="str">
        <f>IF(AND($G41='Povolené hodnoty'!$B$13,$H41=AW$4),SUM($J41,$M41,$P41,$S41),"")</f>
        <v/>
      </c>
      <c r="AX41" s="458" t="str">
        <f>IF(AND($G41='Povolené hodnoty'!$B$13,$H41=AX$4),SUM($J41,$M41,$P41,$S41),"")</f>
        <v/>
      </c>
      <c r="AY41" s="458" t="str">
        <f>IF(AND($G41='Povolené hodnoty'!$B$13,$H41=AY$4),SUM($J41,$M41,$P41,$S41),"")</f>
        <v/>
      </c>
      <c r="AZ41" s="458" t="str">
        <f>IF(AND($G41='Povolené hodnoty'!$B$13,$H41=AZ$4),SUM($J41,$M41,$P41,$S41),"")</f>
        <v/>
      </c>
      <c r="BA41" s="458" t="str">
        <f>IF(AND($G41='Povolené hodnoty'!$B$13,$H41=BA$4),SUM($J41,$M41,$P41,$S41),"")</f>
        <v/>
      </c>
      <c r="BB41" s="40" t="str">
        <f>IF(AND($G41='Povolené hodnoty'!$B$13,$H41=BB$4),SUM($J41,$M41,$P41,$S41),"")</f>
        <v/>
      </c>
      <c r="BC41" s="40" t="str">
        <f>IF(AND($G41='Povolené hodnoty'!$B$13,$H41=BC$4),SUM($J41,$M41,$P41,$S41),"")</f>
        <v/>
      </c>
      <c r="BD41" s="40">
        <f>IF(AND($G41='Povolené hodnoty'!$B$13,$H41=BD$4),SUM($J41,$M41,$P41,$S41),"")</f>
        <v>123.5</v>
      </c>
      <c r="BE41" s="41" t="str">
        <f>IF(AND($G41='Povolené hodnoty'!$B$13,$H41=BE$4),SUM($J41,$M41,$P41,$S41),"")</f>
        <v/>
      </c>
      <c r="BF41" s="39" t="str">
        <f>IF(AND($G41='Povolené hodnoty'!$B$14,$H41=BF$4),SUM($J41,$M41,$P41,$S41),"")</f>
        <v/>
      </c>
      <c r="BG41" s="458" t="str">
        <f>IF(AND($G41='Povolené hodnoty'!$B$14,$H41=BG$4),SUM($J41,$M41,$P41,$S41),"")</f>
        <v/>
      </c>
      <c r="BH41" s="458" t="str">
        <f>IF(AND($G41='Povolené hodnoty'!$B$14,$H41=BH$4),SUM($J41,$M41,$P41,$S41),"")</f>
        <v/>
      </c>
      <c r="BI41" s="458" t="str">
        <f>IF(AND($G41='Povolené hodnoty'!$B$14,$H41=BI$4),SUM($J41,$M41,$P41,$S41),"")</f>
        <v/>
      </c>
      <c r="BJ41" s="458" t="str">
        <f>IF(AND($G41='Povolené hodnoty'!$B$14,$H41=BJ$4),SUM($J41,$M41,$P41,$S41),"")</f>
        <v/>
      </c>
      <c r="BK41" s="40" t="str">
        <f>IF(AND($G41='Povolené hodnoty'!$B$14,$H41=BK$4),SUM($J41,$M41,$P41,$S41),"")</f>
        <v/>
      </c>
      <c r="BL41" s="40" t="str">
        <f>IF(AND($G41='Povolené hodnoty'!$B$14,$H41=BL$4),SUM($J41,$M41,$P41,$S41),"")</f>
        <v/>
      </c>
      <c r="BM41" s="41" t="str">
        <f>IF(AND($G41='Povolené hodnoty'!$B$14,$H41=BM$4),SUM($J41,$M41,$P41,$S41),"")</f>
        <v/>
      </c>
      <c r="BO41" s="18" t="b">
        <f t="shared" si="33"/>
        <v>0</v>
      </c>
      <c r="BP41" s="18" t="b">
        <f t="shared" si="1"/>
        <v>0</v>
      </c>
      <c r="BQ41" s="18" t="b">
        <f>AND(E41&lt;&gt;'Povolené hodnoty'!$B$6,F41&lt;&gt;'Povolené hodnoty'!$D$7,F41&lt;&gt;'Povolené hodnoty'!$D$8,OR(SUM(I41,L41,O41,R41)&lt;&gt;SUM(W41:X41,AA41:AG41),SUM(J41,M41,P41,S41)&lt;&gt;SUM(Y41:Z41,AH41:AK41),COUNT(I41:J41,L41:M41,O41:P41,R41:S41)&lt;&gt;COUNT(W41:AK41)))</f>
        <v>0</v>
      </c>
      <c r="BR41" s="18" t="b">
        <f>OR(AND(E41='Povolené hodnoty'!$B$6,$BR$5),AND(E41='Povolené hodnoty'!$B$6,H41&lt;&gt;'Povolené hodnoty'!$E$26,H41&lt;&gt;'Povolené hodnoty'!$E$35),AND(E41&lt;&gt;'Povolené hodnoty'!$B$6,OR(H41='Povolené hodnoty'!$E$26,H41='Povolené hodnoty'!$E$35)))</f>
        <v>0</v>
      </c>
      <c r="BS41" s="18" t="b">
        <f>OR(AND(G41&lt;&gt;'Povolené hodnoty'!$B$13,OR(H41='Povolené hodnoty'!$E$21,H41='Povolené hodnoty'!$E$22,H41='Povolené hodnoty'!$E$23,H41='Povolené hodnoty'!$E$24,H41='Povolené hodnoty'!$E$26,H41='Povolené hodnoty'!$E$36)),COUNT(I41:J41,L41:M41,O41:P41,R41:S41)&lt;&gt;COUNT(AL41:BM41))</f>
        <v>0</v>
      </c>
      <c r="BT41" s="18" t="b">
        <f t="shared" si="2"/>
        <v>0</v>
      </c>
      <c r="BV41" s="39" t="str">
        <f t="shared" si="3"/>
        <v/>
      </c>
      <c r="BW41" s="458" t="str">
        <f t="shared" si="4"/>
        <v/>
      </c>
      <c r="BX41" s="458" t="str">
        <f t="shared" si="5"/>
        <v/>
      </c>
      <c r="BY41" s="458" t="str">
        <f t="shared" si="6"/>
        <v/>
      </c>
      <c r="BZ41" s="458" t="str">
        <f t="shared" si="7"/>
        <v/>
      </c>
      <c r="CA41" s="40" t="str">
        <f t="shared" si="8"/>
        <v/>
      </c>
      <c r="CB41" s="40" t="str">
        <f t="shared" si="9"/>
        <v/>
      </c>
      <c r="CC41" s="39" t="str">
        <f t="shared" si="10"/>
        <v/>
      </c>
      <c r="CD41" s="458" t="str">
        <f t="shared" si="11"/>
        <v/>
      </c>
      <c r="CE41" s="41" t="str">
        <f t="shared" si="12"/>
        <v/>
      </c>
      <c r="CF41" s="39" t="str">
        <f t="shared" si="13"/>
        <v/>
      </c>
      <c r="CG41" s="458" t="str">
        <f t="shared" si="14"/>
        <v/>
      </c>
      <c r="CH41" s="458" t="str">
        <f t="shared" si="15"/>
        <v/>
      </c>
      <c r="CI41" s="458" t="str">
        <f t="shared" si="16"/>
        <v/>
      </c>
      <c r="CJ41" s="458" t="str">
        <f t="shared" si="17"/>
        <v/>
      </c>
      <c r="CK41" s="40" t="str">
        <f t="shared" si="18"/>
        <v/>
      </c>
      <c r="CL41" s="40" t="str">
        <f t="shared" si="19"/>
        <v/>
      </c>
      <c r="CM41" s="40" t="str">
        <f t="shared" si="20"/>
        <v/>
      </c>
      <c r="CN41" s="39" t="str">
        <f t="shared" si="21"/>
        <v/>
      </c>
      <c r="CO41" s="458" t="str">
        <f t="shared" si="22"/>
        <v/>
      </c>
      <c r="CP41" s="458" t="str">
        <f t="shared" si="23"/>
        <v/>
      </c>
      <c r="CQ41" s="458" t="str">
        <f t="shared" si="24"/>
        <v/>
      </c>
      <c r="CR41" s="458" t="str">
        <f t="shared" si="25"/>
        <v/>
      </c>
      <c r="CS41" s="40" t="str">
        <f t="shared" si="26"/>
        <v/>
      </c>
      <c r="CT41" s="40" t="str">
        <f t="shared" si="27"/>
        <v/>
      </c>
      <c r="CU41" s="41" t="str">
        <f t="shared" si="28"/>
        <v/>
      </c>
    </row>
    <row r="42" spans="1:99" x14ac:dyDescent="0.2">
      <c r="A42" s="77">
        <f t="shared" si="29"/>
        <v>37</v>
      </c>
      <c r="B42" s="81">
        <v>45291</v>
      </c>
      <c r="C42" s="82" t="s">
        <v>3275</v>
      </c>
      <c r="D42" s="71" t="s">
        <v>3502</v>
      </c>
      <c r="E42" s="72" t="s">
        <v>42</v>
      </c>
      <c r="F42" s="73">
        <v>1</v>
      </c>
      <c r="G42" s="443" t="s">
        <v>3379</v>
      </c>
      <c r="H42" s="443" t="s">
        <v>3316</v>
      </c>
      <c r="I42" s="74"/>
      <c r="J42" s="75"/>
      <c r="K42" s="41">
        <f t="shared" si="37"/>
        <v>3625</v>
      </c>
      <c r="L42" s="104">
        <v>1234.56</v>
      </c>
      <c r="M42" s="105"/>
      <c r="N42" s="106">
        <f t="shared" si="38"/>
        <v>2011.56</v>
      </c>
      <c r="O42" s="104"/>
      <c r="P42" s="105"/>
      <c r="Q42" s="106">
        <f t="shared" si="35"/>
        <v>10000</v>
      </c>
      <c r="R42" s="104"/>
      <c r="S42" s="105"/>
      <c r="T42" s="106">
        <f t="shared" si="36"/>
        <v>0</v>
      </c>
      <c r="U42" s="439"/>
      <c r="V42" s="42">
        <f t="shared" si="0"/>
        <v>37</v>
      </c>
      <c r="W42" s="39" t="str">
        <f>IF(AND(E42='Povolené hodnoty'!$B$4,F42=2),I42+L42+O42+R42,"")</f>
        <v/>
      </c>
      <c r="X42" s="41">
        <f>IF(AND(E42='Povolené hodnoty'!$B$4,F42=1),I42+L42+O42+R42,"")</f>
        <v>1234.56</v>
      </c>
      <c r="Y42" s="39" t="str">
        <f>IF(AND(E42='Povolené hodnoty'!$B$4,F42=10),J42+M42+P42+S42,"")</f>
        <v/>
      </c>
      <c r="Z42" s="41" t="str">
        <f>IF(AND(E42='Povolené hodnoty'!$B$4,F42=9),J42+M42+P42+S42,"")</f>
        <v/>
      </c>
      <c r="AA42" s="39" t="str">
        <f>IF(AND(E42&lt;&gt;'Povolené hodnoty'!$B$4,F42=2),I42+L42+O42+R42,"")</f>
        <v/>
      </c>
      <c r="AB42" s="40" t="str">
        <f>IF(AND(E42&lt;&gt;'Povolené hodnoty'!$B$4,F42=3),I42+L42+O42+R42,"")</f>
        <v/>
      </c>
      <c r="AC42" s="40" t="str">
        <f>IF(AND(E42&lt;&gt;'Povolené hodnoty'!$B$4,F42=4),I42+L42+O42+R42,"")</f>
        <v/>
      </c>
      <c r="AD42" s="40" t="str">
        <f>IF(AND(E42&lt;&gt;'Povolené hodnoty'!$B$4,F42="5a"),I42-J42+L42-M42+O42-P42+R42-S42,"")</f>
        <v/>
      </c>
      <c r="AE42" s="40" t="str">
        <f>IF(AND(E42&lt;&gt;'Povolené hodnoty'!$B$4,F42="5b"),I42-J42+L42-M42+O42-P42+R42-S42,"")</f>
        <v/>
      </c>
      <c r="AF42" s="40" t="str">
        <f>IF(AND(E42&lt;&gt;'Povolené hodnoty'!$B$4,F42=6),I42+L42+O42+R42,"")</f>
        <v/>
      </c>
      <c r="AG42" s="41" t="str">
        <f>IF(AND(E42&lt;&gt;'Povolené hodnoty'!$B$4,F42=7),I42+L42+O42+R42,"")</f>
        <v/>
      </c>
      <c r="AH42" s="39" t="str">
        <f>IF(AND(E42&lt;&gt;'Povolené hodnoty'!$B$4,F42=10),J42+M42+P42+S42,"")</f>
        <v/>
      </c>
      <c r="AI42" s="40" t="str">
        <f>IF(AND(E42&lt;&gt;'Povolené hodnoty'!$B$4,F42=11),J42+M42+P42+S42,"")</f>
        <v/>
      </c>
      <c r="AJ42" s="40" t="str">
        <f>IF(AND(E42&lt;&gt;'Povolené hodnoty'!$B$4,F42=12),J42+M42+P42+S42,"")</f>
        <v/>
      </c>
      <c r="AK42" s="41" t="str">
        <f>IF(AND(E42&lt;&gt;'Povolené hodnoty'!$B$4,F42=13),J42+M42+P42+S42,"")</f>
        <v/>
      </c>
      <c r="AL42" s="39" t="str">
        <f>IF(AND($G42='Povolené hodnoty'!$B$13,$H42=AL$4),SUM($I42,$L42,$O42,$R42),"")</f>
        <v/>
      </c>
      <c r="AM42" s="458" t="str">
        <f>IF(AND($G42='Povolené hodnoty'!$B$13,$H42=AM$4),SUM($I42,$L42,$O42,$R42),"")</f>
        <v/>
      </c>
      <c r="AN42" s="458" t="str">
        <f>IF(AND($G42='Povolené hodnoty'!$B$13,$H42=AN$4),SUM($I42,$L42,$O42,$R42),"")</f>
        <v/>
      </c>
      <c r="AO42" s="458" t="str">
        <f>IF(AND($G42='Povolené hodnoty'!$B$13,$H42=AO$4),SUM($I42,$L42,$O42,$R42),"")</f>
        <v/>
      </c>
      <c r="AP42" s="458" t="str">
        <f>IF(AND($G42='Povolené hodnoty'!$B$13,$H42=AP$4),SUM($I42,$L42,$O42,$R42),"")</f>
        <v/>
      </c>
      <c r="AQ42" s="40" t="str">
        <f>IF(AND($G42='Povolené hodnoty'!$B$13,OR($H42=AQ$4,$H42='Povolené hodnoty'!$E$36)),SUM($I42,-$J42,$L42,-$M42,$O42,-$P42,$R42,-$S42),"")</f>
        <v/>
      </c>
      <c r="AR42" s="40" t="str">
        <f>IF(AND($G42='Povolené hodnoty'!$B$13,$H42=AR$4),SUM($I42,$L42,$O42,$R42),"")</f>
        <v/>
      </c>
      <c r="AS42" s="41" t="str">
        <f>IF(AND($G42='Povolené hodnoty'!$B$13,$H42=AS$4),SUM($I42,$L42,$O42,$R42),"")</f>
        <v/>
      </c>
      <c r="AT42" s="39" t="str">
        <f>IF(AND($G42='Povolené hodnoty'!$B$14,$H42=AT$4),SUM($I42,$L42,$O42,$R42),"")</f>
        <v/>
      </c>
      <c r="AU42" s="458" t="str">
        <f>IF(AND($G42='Povolené hodnoty'!$B$14,$H42=AU$4),SUM($I42,$L42,$O42,$R42),"")</f>
        <v/>
      </c>
      <c r="AV42" s="41">
        <f>IF(AND($G42='Povolené hodnoty'!$B$14,$H42=AV$4),SUM($I42,$L42,$O42,$R42),"")</f>
        <v>1234.56</v>
      </c>
      <c r="AW42" s="39" t="str">
        <f>IF(AND($G42='Povolené hodnoty'!$B$13,$H42=AW$4),SUM($J42,$M42,$P42,$S42),"")</f>
        <v/>
      </c>
      <c r="AX42" s="458" t="str">
        <f>IF(AND($G42='Povolené hodnoty'!$B$13,$H42=AX$4),SUM($J42,$M42,$P42,$S42),"")</f>
        <v/>
      </c>
      <c r="AY42" s="458" t="str">
        <f>IF(AND($G42='Povolené hodnoty'!$B$13,$H42=AY$4),SUM($J42,$M42,$P42,$S42),"")</f>
        <v/>
      </c>
      <c r="AZ42" s="458" t="str">
        <f>IF(AND($G42='Povolené hodnoty'!$B$13,$H42=AZ$4),SUM($J42,$M42,$P42,$S42),"")</f>
        <v/>
      </c>
      <c r="BA42" s="458" t="str">
        <f>IF(AND($G42='Povolené hodnoty'!$B$13,$H42=BA$4),SUM($J42,$M42,$P42,$S42),"")</f>
        <v/>
      </c>
      <c r="BB42" s="40" t="str">
        <f>IF(AND($G42='Povolené hodnoty'!$B$13,$H42=BB$4),SUM($J42,$M42,$P42,$S42),"")</f>
        <v/>
      </c>
      <c r="BC42" s="40" t="str">
        <f>IF(AND($G42='Povolené hodnoty'!$B$13,$H42=BC$4),SUM($J42,$M42,$P42,$S42),"")</f>
        <v/>
      </c>
      <c r="BD42" s="40" t="str">
        <f>IF(AND($G42='Povolené hodnoty'!$B$13,$H42=BD$4),SUM($J42,$M42,$P42,$S42),"")</f>
        <v/>
      </c>
      <c r="BE42" s="41" t="str">
        <f>IF(AND($G42='Povolené hodnoty'!$B$13,$H42=BE$4),SUM($J42,$M42,$P42,$S42),"")</f>
        <v/>
      </c>
      <c r="BF42" s="39" t="str">
        <f>IF(AND($G42='Povolené hodnoty'!$B$14,$H42=BF$4),SUM($J42,$M42,$P42,$S42),"")</f>
        <v/>
      </c>
      <c r="BG42" s="458" t="str">
        <f>IF(AND($G42='Povolené hodnoty'!$B$14,$H42=BG$4),SUM($J42,$M42,$P42,$S42),"")</f>
        <v/>
      </c>
      <c r="BH42" s="458" t="str">
        <f>IF(AND($G42='Povolené hodnoty'!$B$14,$H42=BH$4),SUM($J42,$M42,$P42,$S42),"")</f>
        <v/>
      </c>
      <c r="BI42" s="458" t="str">
        <f>IF(AND($G42='Povolené hodnoty'!$B$14,$H42=BI$4),SUM($J42,$M42,$P42,$S42),"")</f>
        <v/>
      </c>
      <c r="BJ42" s="458" t="str">
        <f>IF(AND($G42='Povolené hodnoty'!$B$14,$H42=BJ$4),SUM($J42,$M42,$P42,$S42),"")</f>
        <v/>
      </c>
      <c r="BK42" s="40" t="str">
        <f>IF(AND($G42='Povolené hodnoty'!$B$14,$H42=BK$4),SUM($J42,$M42,$P42,$S42),"")</f>
        <v/>
      </c>
      <c r="BL42" s="40" t="str">
        <f>IF(AND($G42='Povolené hodnoty'!$B$14,$H42=BL$4),SUM($J42,$M42,$P42,$S42),"")</f>
        <v/>
      </c>
      <c r="BM42" s="41" t="str">
        <f>IF(AND($G42='Povolené hodnoty'!$B$14,$H42=BM$4),SUM($J42,$M42,$P42,$S42),"")</f>
        <v/>
      </c>
      <c r="BO42" s="18" t="b">
        <f t="shared" si="33"/>
        <v>0</v>
      </c>
      <c r="BP42" s="18" t="b">
        <f t="shared" si="1"/>
        <v>0</v>
      </c>
      <c r="BQ42" s="18" t="b">
        <f>AND(E42&lt;&gt;'Povolené hodnoty'!$B$6,F42&lt;&gt;'Povolené hodnoty'!$D$7,F42&lt;&gt;'Povolené hodnoty'!$D$8,OR(SUM(I42,L42,O42,R42)&lt;&gt;SUM(W42:X42,AA42:AG42),SUM(J42,M42,P42,S42)&lt;&gt;SUM(Y42:Z42,AH42:AK42),COUNT(I42:J42,L42:M42,O42:P42,R42:S42)&lt;&gt;COUNT(W42:AK42)))</f>
        <v>0</v>
      </c>
      <c r="BR42" s="18" t="b">
        <f>OR(AND(E42='Povolené hodnoty'!$B$6,$BR$5),AND(E42='Povolené hodnoty'!$B$6,H42&lt;&gt;'Povolené hodnoty'!$E$26,H42&lt;&gt;'Povolené hodnoty'!$E$35),AND(E42&lt;&gt;'Povolené hodnoty'!$B$6,OR(H42='Povolené hodnoty'!$E$26,H42='Povolené hodnoty'!$E$35)))</f>
        <v>0</v>
      </c>
      <c r="BS42" s="18" t="b">
        <f>OR(AND(G42&lt;&gt;'Povolené hodnoty'!$B$13,OR(H42='Povolené hodnoty'!$E$21,H42='Povolené hodnoty'!$E$22,H42='Povolené hodnoty'!$E$23,H42='Povolené hodnoty'!$E$24,H42='Povolené hodnoty'!$E$26,H42='Povolené hodnoty'!$E$36)),COUNT(I42:J42,L42:M42,O42:P42,R42:S42)&lt;&gt;COUNT(AL42:BM42))</f>
        <v>0</v>
      </c>
      <c r="BT42" s="18" t="b">
        <f t="shared" si="2"/>
        <v>0</v>
      </c>
      <c r="BV42" s="39" t="str">
        <f t="shared" si="3"/>
        <v/>
      </c>
      <c r="BW42" s="458" t="str">
        <f t="shared" si="4"/>
        <v/>
      </c>
      <c r="BX42" s="458" t="str">
        <f t="shared" si="5"/>
        <v/>
      </c>
      <c r="BY42" s="458" t="str">
        <f t="shared" si="6"/>
        <v/>
      </c>
      <c r="BZ42" s="458" t="str">
        <f t="shared" si="7"/>
        <v/>
      </c>
      <c r="CA42" s="40" t="str">
        <f t="shared" si="8"/>
        <v/>
      </c>
      <c r="CB42" s="40" t="str">
        <f t="shared" si="9"/>
        <v/>
      </c>
      <c r="CC42" s="39" t="str">
        <f t="shared" si="10"/>
        <v/>
      </c>
      <c r="CD42" s="458" t="str">
        <f t="shared" si="11"/>
        <v/>
      </c>
      <c r="CE42" s="41">
        <f t="shared" si="12"/>
        <v>1234.56</v>
      </c>
      <c r="CF42" s="39" t="str">
        <f t="shared" si="13"/>
        <v/>
      </c>
      <c r="CG42" s="458" t="str">
        <f t="shared" si="14"/>
        <v/>
      </c>
      <c r="CH42" s="458" t="str">
        <f t="shared" si="15"/>
        <v/>
      </c>
      <c r="CI42" s="458" t="str">
        <f t="shared" si="16"/>
        <v/>
      </c>
      <c r="CJ42" s="458" t="str">
        <f t="shared" si="17"/>
        <v/>
      </c>
      <c r="CK42" s="40" t="str">
        <f t="shared" si="18"/>
        <v/>
      </c>
      <c r="CL42" s="40" t="str">
        <f t="shared" si="19"/>
        <v/>
      </c>
      <c r="CM42" s="40" t="str">
        <f t="shared" si="20"/>
        <v/>
      </c>
      <c r="CN42" s="39" t="str">
        <f t="shared" si="21"/>
        <v/>
      </c>
      <c r="CO42" s="458" t="str">
        <f t="shared" si="22"/>
        <v/>
      </c>
      <c r="CP42" s="458" t="str">
        <f t="shared" si="23"/>
        <v/>
      </c>
      <c r="CQ42" s="458" t="str">
        <f t="shared" si="24"/>
        <v/>
      </c>
      <c r="CR42" s="458" t="str">
        <f t="shared" si="25"/>
        <v/>
      </c>
      <c r="CS42" s="40" t="str">
        <f t="shared" si="26"/>
        <v/>
      </c>
      <c r="CT42" s="40" t="str">
        <f t="shared" si="27"/>
        <v/>
      </c>
      <c r="CU42" s="41" t="str">
        <f t="shared" si="28"/>
        <v/>
      </c>
    </row>
    <row r="43" spans="1:99" x14ac:dyDescent="0.2">
      <c r="A43" s="77">
        <f t="shared" si="29"/>
        <v>38</v>
      </c>
      <c r="B43" s="81">
        <v>45291</v>
      </c>
      <c r="C43" s="82" t="s">
        <v>3421</v>
      </c>
      <c r="D43" s="71" t="s">
        <v>3497</v>
      </c>
      <c r="E43" s="72" t="s">
        <v>43</v>
      </c>
      <c r="F43" s="73">
        <v>10</v>
      </c>
      <c r="G43" s="443" t="s">
        <v>3308</v>
      </c>
      <c r="H43" s="443" t="s">
        <v>3325</v>
      </c>
      <c r="I43" s="74"/>
      <c r="J43" s="75"/>
      <c r="K43" s="41">
        <f t="shared" si="37"/>
        <v>3625</v>
      </c>
      <c r="L43" s="104"/>
      <c r="M43" s="105">
        <v>20.5</v>
      </c>
      <c r="N43" s="106">
        <f t="shared" si="38"/>
        <v>1991.06</v>
      </c>
      <c r="O43" s="104"/>
      <c r="P43" s="105"/>
      <c r="Q43" s="106">
        <f t="shared" si="35"/>
        <v>10000</v>
      </c>
      <c r="R43" s="104"/>
      <c r="S43" s="105"/>
      <c r="T43" s="106">
        <f t="shared" si="36"/>
        <v>0</v>
      </c>
      <c r="U43" s="439"/>
      <c r="V43" s="42">
        <f t="shared" si="0"/>
        <v>38</v>
      </c>
      <c r="W43" s="39" t="str">
        <f>IF(AND(E43='Povolené hodnoty'!$B$4,F43=2),I43+L43+O43+R43,"")</f>
        <v/>
      </c>
      <c r="X43" s="41" t="str">
        <f>IF(AND(E43='Povolené hodnoty'!$B$4,F43=1),I43+L43+O43+R43,"")</f>
        <v/>
      </c>
      <c r="Y43" s="39" t="str">
        <f>IF(AND(E43='Povolené hodnoty'!$B$4,F43=10),J43+M43+P43+S43,"")</f>
        <v/>
      </c>
      <c r="Z43" s="41" t="str">
        <f>IF(AND(E43='Povolené hodnoty'!$B$4,F43=9),J43+M43+P43+S43,"")</f>
        <v/>
      </c>
      <c r="AA43" s="39" t="str">
        <f>IF(AND(E43&lt;&gt;'Povolené hodnoty'!$B$4,F43=2),I43+L43+O43+R43,"")</f>
        <v/>
      </c>
      <c r="AB43" s="40" t="str">
        <f>IF(AND(E43&lt;&gt;'Povolené hodnoty'!$B$4,F43=3),I43+L43+O43+R43,"")</f>
        <v/>
      </c>
      <c r="AC43" s="40" t="str">
        <f>IF(AND(E43&lt;&gt;'Povolené hodnoty'!$B$4,F43=4),I43+L43+O43+R43,"")</f>
        <v/>
      </c>
      <c r="AD43" s="40" t="str">
        <f>IF(AND(E43&lt;&gt;'Povolené hodnoty'!$B$4,F43="5a"),I43-J43+L43-M43+O43-P43+R43-S43,"")</f>
        <v/>
      </c>
      <c r="AE43" s="40" t="str">
        <f>IF(AND(E43&lt;&gt;'Povolené hodnoty'!$B$4,F43="5b"),I43-J43+L43-M43+O43-P43+R43-S43,"")</f>
        <v/>
      </c>
      <c r="AF43" s="40" t="str">
        <f>IF(AND(E43&lt;&gt;'Povolené hodnoty'!$B$4,F43=6),I43+L43+O43+R43,"")</f>
        <v/>
      </c>
      <c r="AG43" s="41" t="str">
        <f>IF(AND(E43&lt;&gt;'Povolené hodnoty'!$B$4,F43=7),I43+L43+O43+R43,"")</f>
        <v/>
      </c>
      <c r="AH43" s="39">
        <f>IF(AND(E43&lt;&gt;'Povolené hodnoty'!$B$4,F43=10),J43+M43+P43+S43,"")</f>
        <v>20.5</v>
      </c>
      <c r="AI43" s="40" t="str">
        <f>IF(AND(E43&lt;&gt;'Povolené hodnoty'!$B$4,F43=11),J43+M43+P43+S43,"")</f>
        <v/>
      </c>
      <c r="AJ43" s="40" t="str">
        <f>IF(AND(E43&lt;&gt;'Povolené hodnoty'!$B$4,F43=12),J43+M43+P43+S43,"")</f>
        <v/>
      </c>
      <c r="AK43" s="41" t="str">
        <f>IF(AND(E43&lt;&gt;'Povolené hodnoty'!$B$4,F43=13),J43+M43+P43+S43,"")</f>
        <v/>
      </c>
      <c r="AL43" s="39" t="str">
        <f>IF(AND($G43='Povolené hodnoty'!$B$13,$H43=AL$4),SUM($I43,$L43,$O43,$R43),"")</f>
        <v/>
      </c>
      <c r="AM43" s="458" t="str">
        <f>IF(AND($G43='Povolené hodnoty'!$B$13,$H43=AM$4),SUM($I43,$L43,$O43,$R43),"")</f>
        <v/>
      </c>
      <c r="AN43" s="458" t="str">
        <f>IF(AND($G43='Povolené hodnoty'!$B$13,$H43=AN$4),SUM($I43,$L43,$O43,$R43),"")</f>
        <v/>
      </c>
      <c r="AO43" s="458" t="str">
        <f>IF(AND($G43='Povolené hodnoty'!$B$13,$H43=AO$4),SUM($I43,$L43,$O43,$R43),"")</f>
        <v/>
      </c>
      <c r="AP43" s="458" t="str">
        <f>IF(AND($G43='Povolené hodnoty'!$B$13,$H43=AP$4),SUM($I43,$L43,$O43,$R43),"")</f>
        <v/>
      </c>
      <c r="AQ43" s="40" t="str">
        <f>IF(AND($G43='Povolené hodnoty'!$B$13,OR($H43=AQ$4,$H43='Povolené hodnoty'!$E$36)),SUM($I43,-$J43,$L43,-$M43,$O43,-$P43,$R43,-$S43),"")</f>
        <v/>
      </c>
      <c r="AR43" s="40" t="str">
        <f>IF(AND($G43='Povolené hodnoty'!$B$13,$H43=AR$4),SUM($I43,$L43,$O43,$R43),"")</f>
        <v/>
      </c>
      <c r="AS43" s="41" t="str">
        <f>IF(AND($G43='Povolené hodnoty'!$B$13,$H43=AS$4),SUM($I43,$L43,$O43,$R43),"")</f>
        <v/>
      </c>
      <c r="AT43" s="39" t="str">
        <f>IF(AND($G43='Povolené hodnoty'!$B$14,$H43=AT$4),SUM($I43,$L43,$O43,$R43),"")</f>
        <v/>
      </c>
      <c r="AU43" s="458" t="str">
        <f>IF(AND($G43='Povolené hodnoty'!$B$14,$H43=AU$4),SUM($I43,$L43,$O43,$R43),"")</f>
        <v/>
      </c>
      <c r="AV43" s="41" t="str">
        <f>IF(AND($G43='Povolené hodnoty'!$B$14,$H43=AV$4),SUM($I43,$L43,$O43,$R43),"")</f>
        <v/>
      </c>
      <c r="AW43" s="39" t="str">
        <f>IF(AND($G43='Povolené hodnoty'!$B$13,$H43=AW$4),SUM($J43,$M43,$P43,$S43),"")</f>
        <v/>
      </c>
      <c r="AX43" s="458" t="str">
        <f>IF(AND($G43='Povolené hodnoty'!$B$13,$H43=AX$4),SUM($J43,$M43,$P43,$S43),"")</f>
        <v/>
      </c>
      <c r="AY43" s="458" t="str">
        <f>IF(AND($G43='Povolené hodnoty'!$B$13,$H43=AY$4),SUM($J43,$M43,$P43,$S43),"")</f>
        <v/>
      </c>
      <c r="AZ43" s="458" t="str">
        <f>IF(AND($G43='Povolené hodnoty'!$B$13,$H43=AZ$4),SUM($J43,$M43,$P43,$S43),"")</f>
        <v/>
      </c>
      <c r="BA43" s="458" t="str">
        <f>IF(AND($G43='Povolené hodnoty'!$B$13,$H43=BA$4),SUM($J43,$M43,$P43,$S43),"")</f>
        <v/>
      </c>
      <c r="BB43" s="40" t="str">
        <f>IF(AND($G43='Povolené hodnoty'!$B$13,$H43=BB$4),SUM($J43,$M43,$P43,$S43),"")</f>
        <v/>
      </c>
      <c r="BC43" s="40" t="str">
        <f>IF(AND($G43='Povolené hodnoty'!$B$13,$H43=BC$4),SUM($J43,$M43,$P43,$S43),"")</f>
        <v/>
      </c>
      <c r="BD43" s="40">
        <f>IF(AND($G43='Povolené hodnoty'!$B$13,$H43=BD$4),SUM($J43,$M43,$P43,$S43),"")</f>
        <v>20.5</v>
      </c>
      <c r="BE43" s="41" t="str">
        <f>IF(AND($G43='Povolené hodnoty'!$B$13,$H43=BE$4),SUM($J43,$M43,$P43,$S43),"")</f>
        <v/>
      </c>
      <c r="BF43" s="39" t="str">
        <f>IF(AND($G43='Povolené hodnoty'!$B$14,$H43=BF$4),SUM($J43,$M43,$P43,$S43),"")</f>
        <v/>
      </c>
      <c r="BG43" s="458" t="str">
        <f>IF(AND($G43='Povolené hodnoty'!$B$14,$H43=BG$4),SUM($J43,$M43,$P43,$S43),"")</f>
        <v/>
      </c>
      <c r="BH43" s="458" t="str">
        <f>IF(AND($G43='Povolené hodnoty'!$B$14,$H43=BH$4),SUM($J43,$M43,$P43,$S43),"")</f>
        <v/>
      </c>
      <c r="BI43" s="458" t="str">
        <f>IF(AND($G43='Povolené hodnoty'!$B$14,$H43=BI$4),SUM($J43,$M43,$P43,$S43),"")</f>
        <v/>
      </c>
      <c r="BJ43" s="458" t="str">
        <f>IF(AND($G43='Povolené hodnoty'!$B$14,$H43=BJ$4),SUM($J43,$M43,$P43,$S43),"")</f>
        <v/>
      </c>
      <c r="BK43" s="40" t="str">
        <f>IF(AND($G43='Povolené hodnoty'!$B$14,$H43=BK$4),SUM($J43,$M43,$P43,$S43),"")</f>
        <v/>
      </c>
      <c r="BL43" s="40" t="str">
        <f>IF(AND($G43='Povolené hodnoty'!$B$14,$H43=BL$4),SUM($J43,$M43,$P43,$S43),"")</f>
        <v/>
      </c>
      <c r="BM43" s="41" t="str">
        <f>IF(AND($G43='Povolené hodnoty'!$B$14,$H43=BM$4),SUM($J43,$M43,$P43,$S43),"")</f>
        <v/>
      </c>
      <c r="BO43" s="18" t="b">
        <f t="shared" si="33"/>
        <v>0</v>
      </c>
      <c r="BP43" s="18" t="b">
        <f t="shared" si="1"/>
        <v>0</v>
      </c>
      <c r="BQ43" s="18" t="b">
        <f>AND(E43&lt;&gt;'Povolené hodnoty'!$B$6,F43&lt;&gt;'Povolené hodnoty'!$D$7,F43&lt;&gt;'Povolené hodnoty'!$D$8,OR(SUM(I43,L43,O43,R43)&lt;&gt;SUM(W43:X43,AA43:AG43),SUM(J43,M43,P43,S43)&lt;&gt;SUM(Y43:Z43,AH43:AK43),COUNT(I43:J43,L43:M43,O43:P43,R43:S43)&lt;&gt;COUNT(W43:AK43)))</f>
        <v>0</v>
      </c>
      <c r="BR43" s="18" t="b">
        <f>OR(AND(E43='Povolené hodnoty'!$B$6,$BR$5),AND(E43='Povolené hodnoty'!$B$6,H43&lt;&gt;'Povolené hodnoty'!$E$26,H43&lt;&gt;'Povolené hodnoty'!$E$35),AND(E43&lt;&gt;'Povolené hodnoty'!$B$6,OR(H43='Povolené hodnoty'!$E$26,H43='Povolené hodnoty'!$E$35)))</f>
        <v>0</v>
      </c>
      <c r="BS43" s="18" t="b">
        <f>OR(AND(G43&lt;&gt;'Povolené hodnoty'!$B$13,OR(H43='Povolené hodnoty'!$E$21,H43='Povolené hodnoty'!$E$22,H43='Povolené hodnoty'!$E$23,H43='Povolené hodnoty'!$E$24,H43='Povolené hodnoty'!$E$26,H43='Povolené hodnoty'!$E$36)),COUNT(I43:J43,L43:M43,O43:P43,R43:S43)&lt;&gt;COUNT(AL43:BM43))</f>
        <v>0</v>
      </c>
      <c r="BT43" s="18" t="b">
        <f t="shared" si="2"/>
        <v>0</v>
      </c>
      <c r="BV43" s="39" t="str">
        <f t="shared" si="3"/>
        <v/>
      </c>
      <c r="BW43" s="458" t="str">
        <f t="shared" si="4"/>
        <v/>
      </c>
      <c r="BX43" s="458" t="str">
        <f t="shared" si="5"/>
        <v/>
      </c>
      <c r="BY43" s="458" t="str">
        <f t="shared" si="6"/>
        <v/>
      </c>
      <c r="BZ43" s="458" t="str">
        <f t="shared" si="7"/>
        <v/>
      </c>
      <c r="CA43" s="40" t="str">
        <f t="shared" si="8"/>
        <v/>
      </c>
      <c r="CB43" s="40" t="str">
        <f t="shared" si="9"/>
        <v/>
      </c>
      <c r="CC43" s="39" t="str">
        <f t="shared" si="10"/>
        <v/>
      </c>
      <c r="CD43" s="458" t="str">
        <f t="shared" si="11"/>
        <v/>
      </c>
      <c r="CE43" s="41" t="str">
        <f t="shared" si="12"/>
        <v/>
      </c>
      <c r="CF43" s="39" t="str">
        <f t="shared" si="13"/>
        <v/>
      </c>
      <c r="CG43" s="458" t="str">
        <f t="shared" si="14"/>
        <v/>
      </c>
      <c r="CH43" s="458" t="str">
        <f t="shared" si="15"/>
        <v/>
      </c>
      <c r="CI43" s="458" t="str">
        <f t="shared" si="16"/>
        <v/>
      </c>
      <c r="CJ43" s="458" t="str">
        <f t="shared" si="17"/>
        <v/>
      </c>
      <c r="CK43" s="40" t="str">
        <f t="shared" si="18"/>
        <v/>
      </c>
      <c r="CL43" s="40" t="str">
        <f t="shared" si="19"/>
        <v/>
      </c>
      <c r="CM43" s="40" t="str">
        <f t="shared" si="20"/>
        <v/>
      </c>
      <c r="CN43" s="39" t="str">
        <f t="shared" si="21"/>
        <v/>
      </c>
      <c r="CO43" s="458" t="str">
        <f t="shared" si="22"/>
        <v/>
      </c>
      <c r="CP43" s="458" t="str">
        <f t="shared" si="23"/>
        <v/>
      </c>
      <c r="CQ43" s="458" t="str">
        <f t="shared" si="24"/>
        <v/>
      </c>
      <c r="CR43" s="458" t="str">
        <f t="shared" si="25"/>
        <v/>
      </c>
      <c r="CS43" s="40" t="str">
        <f t="shared" si="26"/>
        <v/>
      </c>
      <c r="CT43" s="40" t="str">
        <f t="shared" si="27"/>
        <v/>
      </c>
      <c r="CU43" s="41" t="str">
        <f t="shared" si="28"/>
        <v/>
      </c>
    </row>
    <row r="44" spans="1:99" x14ac:dyDescent="0.2">
      <c r="A44" s="77">
        <f t="shared" si="29"/>
        <v>39</v>
      </c>
      <c r="B44" s="81">
        <v>45291</v>
      </c>
      <c r="C44" s="82" t="s">
        <v>3422</v>
      </c>
      <c r="D44" s="71" t="s">
        <v>3498</v>
      </c>
      <c r="E44" s="72" t="s">
        <v>43</v>
      </c>
      <c r="F44" s="73">
        <v>4</v>
      </c>
      <c r="G44" s="443" t="s">
        <v>3308</v>
      </c>
      <c r="H44" s="443" t="s">
        <v>3316</v>
      </c>
      <c r="I44" s="74"/>
      <c r="J44" s="75"/>
      <c r="K44" s="41">
        <f t="shared" si="37"/>
        <v>3625</v>
      </c>
      <c r="L44" s="104">
        <v>2.5</v>
      </c>
      <c r="M44" s="105"/>
      <c r="N44" s="106">
        <f t="shared" si="38"/>
        <v>1993.56</v>
      </c>
      <c r="O44" s="104"/>
      <c r="P44" s="105"/>
      <c r="Q44" s="106">
        <f t="shared" si="35"/>
        <v>10000</v>
      </c>
      <c r="R44" s="104"/>
      <c r="S44" s="105"/>
      <c r="T44" s="106">
        <f t="shared" si="36"/>
        <v>0</v>
      </c>
      <c r="U44" s="439"/>
      <c r="V44" s="42">
        <f t="shared" si="0"/>
        <v>39</v>
      </c>
      <c r="W44" s="39" t="str">
        <f>IF(AND(E44='Povolené hodnoty'!$B$4,F44=2),I44+L44+O44+R44,"")</f>
        <v/>
      </c>
      <c r="X44" s="41" t="str">
        <f>IF(AND(E44='Povolené hodnoty'!$B$4,F44=1),I44+L44+O44+R44,"")</f>
        <v/>
      </c>
      <c r="Y44" s="39" t="str">
        <f>IF(AND(E44='Povolené hodnoty'!$B$4,F44=10),J44+M44+P44+S44,"")</f>
        <v/>
      </c>
      <c r="Z44" s="41" t="str">
        <f>IF(AND(E44='Povolené hodnoty'!$B$4,F44=9),J44+M44+P44+S44,"")</f>
        <v/>
      </c>
      <c r="AA44" s="39" t="str">
        <f>IF(AND(E44&lt;&gt;'Povolené hodnoty'!$B$4,F44=2),I44+L44+O44+R44,"")</f>
        <v/>
      </c>
      <c r="AB44" s="40" t="str">
        <f>IF(AND(E44&lt;&gt;'Povolené hodnoty'!$B$4,F44=3),I44+L44+O44+R44,"")</f>
        <v/>
      </c>
      <c r="AC44" s="40">
        <f>IF(AND(E44&lt;&gt;'Povolené hodnoty'!$B$4,F44=4),I44+L44+O44+R44,"")</f>
        <v>2.5</v>
      </c>
      <c r="AD44" s="40" t="str">
        <f>IF(AND(E44&lt;&gt;'Povolené hodnoty'!$B$4,F44="5a"),I44-J44+L44-M44+O44-P44+R44-S44,"")</f>
        <v/>
      </c>
      <c r="AE44" s="40" t="str">
        <f>IF(AND(E44&lt;&gt;'Povolené hodnoty'!$B$4,F44="5b"),I44-J44+L44-M44+O44-P44+R44-S44,"")</f>
        <v/>
      </c>
      <c r="AF44" s="40" t="str">
        <f>IF(AND(E44&lt;&gt;'Povolené hodnoty'!$B$4,F44=6),I44+L44+O44+R44,"")</f>
        <v/>
      </c>
      <c r="AG44" s="41" t="str">
        <f>IF(AND(E44&lt;&gt;'Povolené hodnoty'!$B$4,F44=7),I44+L44+O44+R44,"")</f>
        <v/>
      </c>
      <c r="AH44" s="39" t="str">
        <f>IF(AND(E44&lt;&gt;'Povolené hodnoty'!$B$4,F44=10),J44+M44+P44+S44,"")</f>
        <v/>
      </c>
      <c r="AI44" s="40" t="str">
        <f>IF(AND(E44&lt;&gt;'Povolené hodnoty'!$B$4,F44=11),J44+M44+P44+S44,"")</f>
        <v/>
      </c>
      <c r="AJ44" s="40" t="str">
        <f>IF(AND(E44&lt;&gt;'Povolené hodnoty'!$B$4,F44=12),J44+M44+P44+S44,"")</f>
        <v/>
      </c>
      <c r="AK44" s="41" t="str">
        <f>IF(AND(E44&lt;&gt;'Povolené hodnoty'!$B$4,F44=13),J44+M44+P44+S44,"")</f>
        <v/>
      </c>
      <c r="AL44" s="39" t="str">
        <f>IF(AND($G44='Povolené hodnoty'!$B$13,$H44=AL$4),SUM($I44,$L44,$O44,$R44),"")</f>
        <v/>
      </c>
      <c r="AM44" s="458" t="str">
        <f>IF(AND($G44='Povolené hodnoty'!$B$13,$H44=AM$4),SUM($I44,$L44,$O44,$R44),"")</f>
        <v/>
      </c>
      <c r="AN44" s="458" t="str">
        <f>IF(AND($G44='Povolené hodnoty'!$B$13,$H44=AN$4),SUM($I44,$L44,$O44,$R44),"")</f>
        <v/>
      </c>
      <c r="AO44" s="458" t="str">
        <f>IF(AND($G44='Povolené hodnoty'!$B$13,$H44=AO$4),SUM($I44,$L44,$O44,$R44),"")</f>
        <v/>
      </c>
      <c r="AP44" s="458" t="str">
        <f>IF(AND($G44='Povolené hodnoty'!$B$13,$H44=AP$4),SUM($I44,$L44,$O44,$R44),"")</f>
        <v/>
      </c>
      <c r="AQ44" s="40" t="str">
        <f>IF(AND($G44='Povolené hodnoty'!$B$13,OR($H44=AQ$4,$H44='Povolené hodnoty'!$E$36)),SUM($I44,-$J44,$L44,-$M44,$O44,-$P44,$R44,-$S44),"")</f>
        <v/>
      </c>
      <c r="AR44" s="40">
        <f>IF(AND($G44='Povolené hodnoty'!$B$13,$H44=AR$4),SUM($I44,$L44,$O44,$R44),"")</f>
        <v>2.5</v>
      </c>
      <c r="AS44" s="41" t="str">
        <f>IF(AND($G44='Povolené hodnoty'!$B$13,$H44=AS$4),SUM($I44,$L44,$O44,$R44),"")</f>
        <v/>
      </c>
      <c r="AT44" s="39" t="str">
        <f>IF(AND($G44='Povolené hodnoty'!$B$14,$H44=AT$4),SUM($I44,$L44,$O44,$R44),"")</f>
        <v/>
      </c>
      <c r="AU44" s="458" t="str">
        <f>IF(AND($G44='Povolené hodnoty'!$B$14,$H44=AU$4),SUM($I44,$L44,$O44,$R44),"")</f>
        <v/>
      </c>
      <c r="AV44" s="41" t="str">
        <f>IF(AND($G44='Povolené hodnoty'!$B$14,$H44=AV$4),SUM($I44,$L44,$O44,$R44),"")</f>
        <v/>
      </c>
      <c r="AW44" s="39" t="str">
        <f>IF(AND($G44='Povolené hodnoty'!$B$13,$H44=AW$4),SUM($J44,$M44,$P44,$S44),"")</f>
        <v/>
      </c>
      <c r="AX44" s="458" t="str">
        <f>IF(AND($G44='Povolené hodnoty'!$B$13,$H44=AX$4),SUM($J44,$M44,$P44,$S44),"")</f>
        <v/>
      </c>
      <c r="AY44" s="458" t="str">
        <f>IF(AND($G44='Povolené hodnoty'!$B$13,$H44=AY$4),SUM($J44,$M44,$P44,$S44),"")</f>
        <v/>
      </c>
      <c r="AZ44" s="458" t="str">
        <f>IF(AND($G44='Povolené hodnoty'!$B$13,$H44=AZ$4),SUM($J44,$M44,$P44,$S44),"")</f>
        <v/>
      </c>
      <c r="BA44" s="458" t="str">
        <f>IF(AND($G44='Povolené hodnoty'!$B$13,$H44=BA$4),SUM($J44,$M44,$P44,$S44),"")</f>
        <v/>
      </c>
      <c r="BB44" s="40" t="str">
        <f>IF(AND($G44='Povolené hodnoty'!$B$13,$H44=BB$4),SUM($J44,$M44,$P44,$S44),"")</f>
        <v/>
      </c>
      <c r="BC44" s="40" t="str">
        <f>IF(AND($G44='Povolené hodnoty'!$B$13,$H44=BC$4),SUM($J44,$M44,$P44,$S44),"")</f>
        <v/>
      </c>
      <c r="BD44" s="40" t="str">
        <f>IF(AND($G44='Povolené hodnoty'!$B$13,$H44=BD$4),SUM($J44,$M44,$P44,$S44),"")</f>
        <v/>
      </c>
      <c r="BE44" s="41" t="str">
        <f>IF(AND($G44='Povolené hodnoty'!$B$13,$H44=BE$4),SUM($J44,$M44,$P44,$S44),"")</f>
        <v/>
      </c>
      <c r="BF44" s="39" t="str">
        <f>IF(AND($G44='Povolené hodnoty'!$B$14,$H44=BF$4),SUM($J44,$M44,$P44,$S44),"")</f>
        <v/>
      </c>
      <c r="BG44" s="458" t="str">
        <f>IF(AND($G44='Povolené hodnoty'!$B$14,$H44=BG$4),SUM($J44,$M44,$P44,$S44),"")</f>
        <v/>
      </c>
      <c r="BH44" s="458" t="str">
        <f>IF(AND($G44='Povolené hodnoty'!$B$14,$H44=BH$4),SUM($J44,$M44,$P44,$S44),"")</f>
        <v/>
      </c>
      <c r="BI44" s="458" t="str">
        <f>IF(AND($G44='Povolené hodnoty'!$B$14,$H44=BI$4),SUM($J44,$M44,$P44,$S44),"")</f>
        <v/>
      </c>
      <c r="BJ44" s="458" t="str">
        <f>IF(AND($G44='Povolené hodnoty'!$B$14,$H44=BJ$4),SUM($J44,$M44,$P44,$S44),"")</f>
        <v/>
      </c>
      <c r="BK44" s="40" t="str">
        <f>IF(AND($G44='Povolené hodnoty'!$B$14,$H44=BK$4),SUM($J44,$M44,$P44,$S44),"")</f>
        <v/>
      </c>
      <c r="BL44" s="40" t="str">
        <f>IF(AND($G44='Povolené hodnoty'!$B$14,$H44=BL$4),SUM($J44,$M44,$P44,$S44),"")</f>
        <v/>
      </c>
      <c r="BM44" s="41" t="str">
        <f>IF(AND($G44='Povolené hodnoty'!$B$14,$H44=BM$4),SUM($J44,$M44,$P44,$S44),"")</f>
        <v/>
      </c>
      <c r="BO44" s="18" t="b">
        <f t="shared" si="33"/>
        <v>0</v>
      </c>
      <c r="BP44" s="18" t="b">
        <f t="shared" si="1"/>
        <v>0</v>
      </c>
      <c r="BQ44" s="18" t="b">
        <f>AND(E44&lt;&gt;'Povolené hodnoty'!$B$6,F44&lt;&gt;'Povolené hodnoty'!$D$7,F44&lt;&gt;'Povolené hodnoty'!$D$8,OR(SUM(I44,L44,O44,R44)&lt;&gt;SUM(W44:X44,AA44:AG44),SUM(J44,M44,P44,S44)&lt;&gt;SUM(Y44:Z44,AH44:AK44),COUNT(I44:J44,L44:M44,O44:P44,R44:S44)&lt;&gt;COUNT(W44:AK44)))</f>
        <v>0</v>
      </c>
      <c r="BR44" s="18" t="b">
        <f>OR(AND(E44='Povolené hodnoty'!$B$6,$BR$5),AND(E44='Povolené hodnoty'!$B$6,H44&lt;&gt;'Povolené hodnoty'!$E$26,H44&lt;&gt;'Povolené hodnoty'!$E$35),AND(E44&lt;&gt;'Povolené hodnoty'!$B$6,OR(H44='Povolené hodnoty'!$E$26,H44='Povolené hodnoty'!$E$35)))</f>
        <v>0</v>
      </c>
      <c r="BS44" s="18" t="b">
        <f>OR(AND(G44&lt;&gt;'Povolené hodnoty'!$B$13,OR(H44='Povolené hodnoty'!$E$21,H44='Povolené hodnoty'!$E$22,H44='Povolené hodnoty'!$E$23,H44='Povolené hodnoty'!$E$24,H44='Povolené hodnoty'!$E$26,H44='Povolené hodnoty'!$E$36)),COUNT(I44:J44,L44:M44,O44:P44,R44:S44)&lt;&gt;COUNT(AL44:BM44))</f>
        <v>0</v>
      </c>
      <c r="BT44" s="18" t="b">
        <f t="shared" si="2"/>
        <v>0</v>
      </c>
      <c r="BV44" s="39" t="str">
        <f t="shared" si="3"/>
        <v/>
      </c>
      <c r="BW44" s="458" t="str">
        <f t="shared" si="4"/>
        <v/>
      </c>
      <c r="BX44" s="458" t="str">
        <f t="shared" si="5"/>
        <v/>
      </c>
      <c r="BY44" s="458" t="str">
        <f t="shared" si="6"/>
        <v/>
      </c>
      <c r="BZ44" s="458" t="str">
        <f t="shared" si="7"/>
        <v/>
      </c>
      <c r="CA44" s="40" t="str">
        <f t="shared" si="8"/>
        <v/>
      </c>
      <c r="CB44" s="40" t="str">
        <f t="shared" si="9"/>
        <v/>
      </c>
      <c r="CC44" s="39" t="str">
        <f t="shared" si="10"/>
        <v/>
      </c>
      <c r="CD44" s="458" t="str">
        <f t="shared" si="11"/>
        <v/>
      </c>
      <c r="CE44" s="41" t="str">
        <f t="shared" si="12"/>
        <v/>
      </c>
      <c r="CF44" s="39" t="str">
        <f t="shared" si="13"/>
        <v/>
      </c>
      <c r="CG44" s="458" t="str">
        <f t="shared" si="14"/>
        <v/>
      </c>
      <c r="CH44" s="458" t="str">
        <f t="shared" si="15"/>
        <v/>
      </c>
      <c r="CI44" s="458" t="str">
        <f t="shared" si="16"/>
        <v/>
      </c>
      <c r="CJ44" s="458" t="str">
        <f t="shared" si="17"/>
        <v/>
      </c>
      <c r="CK44" s="40" t="str">
        <f t="shared" si="18"/>
        <v/>
      </c>
      <c r="CL44" s="40" t="str">
        <f t="shared" si="19"/>
        <v/>
      </c>
      <c r="CM44" s="40" t="str">
        <f t="shared" si="20"/>
        <v/>
      </c>
      <c r="CN44" s="39" t="str">
        <f t="shared" si="21"/>
        <v/>
      </c>
      <c r="CO44" s="458" t="str">
        <f t="shared" si="22"/>
        <v/>
      </c>
      <c r="CP44" s="458" t="str">
        <f t="shared" si="23"/>
        <v/>
      </c>
      <c r="CQ44" s="458" t="str">
        <f t="shared" si="24"/>
        <v/>
      </c>
      <c r="CR44" s="458" t="str">
        <f t="shared" si="25"/>
        <v/>
      </c>
      <c r="CS44" s="40" t="str">
        <f t="shared" si="26"/>
        <v/>
      </c>
      <c r="CT44" s="40" t="str">
        <f t="shared" si="27"/>
        <v/>
      </c>
      <c r="CU44" s="41" t="str">
        <f t="shared" si="28"/>
        <v/>
      </c>
    </row>
    <row r="45" spans="1:99" x14ac:dyDescent="0.2">
      <c r="A45" s="77">
        <f t="shared" si="29"/>
        <v>40</v>
      </c>
      <c r="B45" s="81">
        <v>45291</v>
      </c>
      <c r="C45" s="82" t="s">
        <v>3423</v>
      </c>
      <c r="D45" s="71" t="s">
        <v>58</v>
      </c>
      <c r="E45" s="72" t="s">
        <v>43</v>
      </c>
      <c r="F45" s="73">
        <v>11</v>
      </c>
      <c r="G45" s="443" t="s">
        <v>3308</v>
      </c>
      <c r="H45" s="443" t="s">
        <v>3318</v>
      </c>
      <c r="I45" s="74"/>
      <c r="J45" s="75"/>
      <c r="K45" s="41">
        <f t="shared" ref="K45:K108" si="39">K44+I45-J45</f>
        <v>3625</v>
      </c>
      <c r="L45" s="104"/>
      <c r="M45" s="105">
        <v>456.5</v>
      </c>
      <c r="N45" s="106">
        <f t="shared" ref="N45:N108" si="40">N44+L45-M45</f>
        <v>1537.06</v>
      </c>
      <c r="O45" s="104"/>
      <c r="P45" s="105"/>
      <c r="Q45" s="106">
        <f t="shared" si="35"/>
        <v>10000</v>
      </c>
      <c r="R45" s="104"/>
      <c r="S45" s="105"/>
      <c r="T45" s="106">
        <f t="shared" si="36"/>
        <v>0</v>
      </c>
      <c r="U45" s="439"/>
      <c r="V45" s="42">
        <f t="shared" si="0"/>
        <v>40</v>
      </c>
      <c r="W45" s="39" t="str">
        <f>IF(AND(E45='Povolené hodnoty'!$B$4,F45=2),I45+L45+O45+R45,"")</f>
        <v/>
      </c>
      <c r="X45" s="41" t="str">
        <f>IF(AND(E45='Povolené hodnoty'!$B$4,F45=1),I45+L45+O45+R45,"")</f>
        <v/>
      </c>
      <c r="Y45" s="39" t="str">
        <f>IF(AND(E45='Povolené hodnoty'!$B$4,F45=10),J45+M45+P45+S45,"")</f>
        <v/>
      </c>
      <c r="Z45" s="41" t="str">
        <f>IF(AND(E45='Povolené hodnoty'!$B$4,F45=9),J45+M45+P45+S45,"")</f>
        <v/>
      </c>
      <c r="AA45" s="39" t="str">
        <f>IF(AND(E45&lt;&gt;'Povolené hodnoty'!$B$4,F45=2),I45+L45+O45+R45,"")</f>
        <v/>
      </c>
      <c r="AB45" s="40" t="str">
        <f>IF(AND(E45&lt;&gt;'Povolené hodnoty'!$B$4,F45=3),I45+L45+O45+R45,"")</f>
        <v/>
      </c>
      <c r="AC45" s="40" t="str">
        <f>IF(AND(E45&lt;&gt;'Povolené hodnoty'!$B$4,F45=4),I45+L45+O45+R45,"")</f>
        <v/>
      </c>
      <c r="AD45" s="40" t="str">
        <f>IF(AND(E45&lt;&gt;'Povolené hodnoty'!$B$4,F45="5a"),I45-J45+L45-M45+O45-P45+R45-S45,"")</f>
        <v/>
      </c>
      <c r="AE45" s="40" t="str">
        <f>IF(AND(E45&lt;&gt;'Povolené hodnoty'!$B$4,F45="5b"),I45-J45+L45-M45+O45-P45+R45-S45,"")</f>
        <v/>
      </c>
      <c r="AF45" s="40" t="str">
        <f>IF(AND(E45&lt;&gt;'Povolené hodnoty'!$B$4,F45=6),I45+L45+O45+R45,"")</f>
        <v/>
      </c>
      <c r="AG45" s="41" t="str">
        <f>IF(AND(E45&lt;&gt;'Povolené hodnoty'!$B$4,F45=7),I45+L45+O45+R45,"")</f>
        <v/>
      </c>
      <c r="AH45" s="39" t="str">
        <f>IF(AND(E45&lt;&gt;'Povolené hodnoty'!$B$4,F45=10),J45+M45+P45+S45,"")</f>
        <v/>
      </c>
      <c r="AI45" s="40">
        <f>IF(AND(E45&lt;&gt;'Povolené hodnoty'!$B$4,F45=11),J45+M45+P45+S45,"")</f>
        <v>456.5</v>
      </c>
      <c r="AJ45" s="40" t="str">
        <f>IF(AND(E45&lt;&gt;'Povolené hodnoty'!$B$4,F45=12),J45+M45+P45+S45,"")</f>
        <v/>
      </c>
      <c r="AK45" s="41" t="str">
        <f>IF(AND(E45&lt;&gt;'Povolené hodnoty'!$B$4,F45=13),J45+M45+P45+S45,"")</f>
        <v/>
      </c>
      <c r="AL45" s="39" t="str">
        <f>IF(AND($G45='Povolené hodnoty'!$B$13,$H45=AL$4),SUM($I45,$L45,$O45,$R45),"")</f>
        <v/>
      </c>
      <c r="AM45" s="458" t="str">
        <f>IF(AND($G45='Povolené hodnoty'!$B$13,$H45=AM$4),SUM($I45,$L45,$O45,$R45),"")</f>
        <v/>
      </c>
      <c r="AN45" s="458" t="str">
        <f>IF(AND($G45='Povolené hodnoty'!$B$13,$H45=AN$4),SUM($I45,$L45,$O45,$R45),"")</f>
        <v/>
      </c>
      <c r="AO45" s="458" t="str">
        <f>IF(AND($G45='Povolené hodnoty'!$B$13,$H45=AO$4),SUM($I45,$L45,$O45,$R45),"")</f>
        <v/>
      </c>
      <c r="AP45" s="458" t="str">
        <f>IF(AND($G45='Povolené hodnoty'!$B$13,$H45=AP$4),SUM($I45,$L45,$O45,$R45),"")</f>
        <v/>
      </c>
      <c r="AQ45" s="40" t="str">
        <f>IF(AND($G45='Povolené hodnoty'!$B$13,OR($H45=AQ$4,$H45='Povolené hodnoty'!$E$36)),SUM($I45,-$J45,$L45,-$M45,$O45,-$P45,$R45,-$S45),"")</f>
        <v/>
      </c>
      <c r="AR45" s="40" t="str">
        <f>IF(AND($G45='Povolené hodnoty'!$B$13,$H45=AR$4),SUM($I45,$L45,$O45,$R45),"")</f>
        <v/>
      </c>
      <c r="AS45" s="41" t="str">
        <f>IF(AND($G45='Povolené hodnoty'!$B$13,$H45=AS$4),SUM($I45,$L45,$O45,$R45),"")</f>
        <v/>
      </c>
      <c r="AT45" s="39" t="str">
        <f>IF(AND($G45='Povolené hodnoty'!$B$14,$H45=AT$4),SUM($I45,$L45,$O45,$R45),"")</f>
        <v/>
      </c>
      <c r="AU45" s="458" t="str">
        <f>IF(AND($G45='Povolené hodnoty'!$B$14,$H45=AU$4),SUM($I45,$L45,$O45,$R45),"")</f>
        <v/>
      </c>
      <c r="AV45" s="41" t="str">
        <f>IF(AND($G45='Povolené hodnoty'!$B$14,$H45=AV$4),SUM($I45,$L45,$O45,$R45),"")</f>
        <v/>
      </c>
      <c r="AW45" s="39">
        <f>IF(AND($G45='Povolené hodnoty'!$B$13,$H45=AW$4),SUM($J45,$M45,$P45,$S45),"")</f>
        <v>456.5</v>
      </c>
      <c r="AX45" s="458" t="str">
        <f>IF(AND($G45='Povolené hodnoty'!$B$13,$H45=AX$4),SUM($J45,$M45,$P45,$S45),"")</f>
        <v/>
      </c>
      <c r="AY45" s="458" t="str">
        <f>IF(AND($G45='Povolené hodnoty'!$B$13,$H45=AY$4),SUM($J45,$M45,$P45,$S45),"")</f>
        <v/>
      </c>
      <c r="AZ45" s="458" t="str">
        <f>IF(AND($G45='Povolené hodnoty'!$B$13,$H45=AZ$4),SUM($J45,$M45,$P45,$S45),"")</f>
        <v/>
      </c>
      <c r="BA45" s="458" t="str">
        <f>IF(AND($G45='Povolené hodnoty'!$B$13,$H45=BA$4),SUM($J45,$M45,$P45,$S45),"")</f>
        <v/>
      </c>
      <c r="BB45" s="40" t="str">
        <f>IF(AND($G45='Povolené hodnoty'!$B$13,$H45=BB$4),SUM($J45,$M45,$P45,$S45),"")</f>
        <v/>
      </c>
      <c r="BC45" s="40" t="str">
        <f>IF(AND($G45='Povolené hodnoty'!$B$13,$H45=BC$4),SUM($J45,$M45,$P45,$S45),"")</f>
        <v/>
      </c>
      <c r="BD45" s="40" t="str">
        <f>IF(AND($G45='Povolené hodnoty'!$B$13,$H45=BD$4),SUM($J45,$M45,$P45,$S45),"")</f>
        <v/>
      </c>
      <c r="BE45" s="41" t="str">
        <f>IF(AND($G45='Povolené hodnoty'!$B$13,$H45=BE$4),SUM($J45,$M45,$P45,$S45),"")</f>
        <v/>
      </c>
      <c r="BF45" s="39" t="str">
        <f>IF(AND($G45='Povolené hodnoty'!$B$14,$H45=BF$4),SUM($J45,$M45,$P45,$S45),"")</f>
        <v/>
      </c>
      <c r="BG45" s="458" t="str">
        <f>IF(AND($G45='Povolené hodnoty'!$B$14,$H45=BG$4),SUM($J45,$M45,$P45,$S45),"")</f>
        <v/>
      </c>
      <c r="BH45" s="458" t="str">
        <f>IF(AND($G45='Povolené hodnoty'!$B$14,$H45=BH$4),SUM($J45,$M45,$P45,$S45),"")</f>
        <v/>
      </c>
      <c r="BI45" s="458" t="str">
        <f>IF(AND($G45='Povolené hodnoty'!$B$14,$H45=BI$4),SUM($J45,$M45,$P45,$S45),"")</f>
        <v/>
      </c>
      <c r="BJ45" s="458" t="str">
        <f>IF(AND($G45='Povolené hodnoty'!$B$14,$H45=BJ$4),SUM($J45,$M45,$P45,$S45),"")</f>
        <v/>
      </c>
      <c r="BK45" s="40" t="str">
        <f>IF(AND($G45='Povolené hodnoty'!$B$14,$H45=BK$4),SUM($J45,$M45,$P45,$S45),"")</f>
        <v/>
      </c>
      <c r="BL45" s="40" t="str">
        <f>IF(AND($G45='Povolené hodnoty'!$B$14,$H45=BL$4),SUM($J45,$M45,$P45,$S45),"")</f>
        <v/>
      </c>
      <c r="BM45" s="41" t="str">
        <f>IF(AND($G45='Povolené hodnoty'!$B$14,$H45=BM$4),SUM($J45,$M45,$P45,$S45),"")</f>
        <v/>
      </c>
      <c r="BO45" s="18" t="b">
        <f t="shared" si="33"/>
        <v>0</v>
      </c>
      <c r="BP45" s="18" t="b">
        <f t="shared" si="1"/>
        <v>0</v>
      </c>
      <c r="BQ45" s="18" t="b">
        <f>AND(E45&lt;&gt;'Povolené hodnoty'!$B$6,F45&lt;&gt;'Povolené hodnoty'!$D$7,F45&lt;&gt;'Povolené hodnoty'!$D$8,OR(SUM(I45,L45,O45,R45)&lt;&gt;SUM(W45:X45,AA45:AG45),SUM(J45,M45,P45,S45)&lt;&gt;SUM(Y45:Z45,AH45:AK45),COUNT(I45:J45,L45:M45,O45:P45,R45:S45)&lt;&gt;COUNT(W45:AK45)))</f>
        <v>0</v>
      </c>
      <c r="BR45" s="18" t="b">
        <f>OR(AND(E45='Povolené hodnoty'!$B$6,$BR$5),AND(E45='Povolené hodnoty'!$B$6,H45&lt;&gt;'Povolené hodnoty'!$E$26,H45&lt;&gt;'Povolené hodnoty'!$E$35),AND(E45&lt;&gt;'Povolené hodnoty'!$B$6,OR(H45='Povolené hodnoty'!$E$26,H45='Povolené hodnoty'!$E$35)))</f>
        <v>0</v>
      </c>
      <c r="BS45" s="18" t="b">
        <f>OR(AND(G45&lt;&gt;'Povolené hodnoty'!$B$13,OR(H45='Povolené hodnoty'!$E$21,H45='Povolené hodnoty'!$E$22,H45='Povolené hodnoty'!$E$23,H45='Povolené hodnoty'!$E$24,H45='Povolené hodnoty'!$E$26,H45='Povolené hodnoty'!$E$36)),COUNT(I45:J45,L45:M45,O45:P45,R45:S45)&lt;&gt;COUNT(AL45:BM45))</f>
        <v>0</v>
      </c>
      <c r="BT45" s="18" t="b">
        <f t="shared" si="2"/>
        <v>0</v>
      </c>
      <c r="BV45" s="39" t="str">
        <f t="shared" si="3"/>
        <v/>
      </c>
      <c r="BW45" s="458" t="str">
        <f t="shared" si="4"/>
        <v/>
      </c>
      <c r="BX45" s="458" t="str">
        <f t="shared" si="5"/>
        <v/>
      </c>
      <c r="BY45" s="458" t="str">
        <f t="shared" si="6"/>
        <v/>
      </c>
      <c r="BZ45" s="458" t="str">
        <f t="shared" si="7"/>
        <v/>
      </c>
      <c r="CA45" s="40" t="str">
        <f t="shared" si="8"/>
        <v/>
      </c>
      <c r="CB45" s="40" t="str">
        <f t="shared" si="9"/>
        <v/>
      </c>
      <c r="CC45" s="39" t="str">
        <f t="shared" si="10"/>
        <v/>
      </c>
      <c r="CD45" s="458" t="str">
        <f t="shared" si="11"/>
        <v/>
      </c>
      <c r="CE45" s="41" t="str">
        <f t="shared" si="12"/>
        <v/>
      </c>
      <c r="CF45" s="39" t="str">
        <f t="shared" si="13"/>
        <v/>
      </c>
      <c r="CG45" s="458" t="str">
        <f t="shared" si="14"/>
        <v/>
      </c>
      <c r="CH45" s="458" t="str">
        <f t="shared" si="15"/>
        <v/>
      </c>
      <c r="CI45" s="458" t="str">
        <f t="shared" si="16"/>
        <v/>
      </c>
      <c r="CJ45" s="458" t="str">
        <f t="shared" si="17"/>
        <v/>
      </c>
      <c r="CK45" s="40" t="str">
        <f t="shared" si="18"/>
        <v/>
      </c>
      <c r="CL45" s="40" t="str">
        <f t="shared" si="19"/>
        <v/>
      </c>
      <c r="CM45" s="40" t="str">
        <f t="shared" si="20"/>
        <v/>
      </c>
      <c r="CN45" s="39" t="str">
        <f t="shared" si="21"/>
        <v/>
      </c>
      <c r="CO45" s="458" t="str">
        <f t="shared" si="22"/>
        <v/>
      </c>
      <c r="CP45" s="458" t="str">
        <f t="shared" si="23"/>
        <v/>
      </c>
      <c r="CQ45" s="458" t="str">
        <f t="shared" si="24"/>
        <v/>
      </c>
      <c r="CR45" s="458" t="str">
        <f t="shared" si="25"/>
        <v/>
      </c>
      <c r="CS45" s="40" t="str">
        <f t="shared" si="26"/>
        <v/>
      </c>
      <c r="CT45" s="40" t="str">
        <f t="shared" si="27"/>
        <v/>
      </c>
      <c r="CU45" s="41" t="str">
        <f t="shared" si="28"/>
        <v/>
      </c>
    </row>
    <row r="46" spans="1:99" x14ac:dyDescent="0.2">
      <c r="A46" s="77">
        <f t="shared" si="29"/>
        <v>41</v>
      </c>
      <c r="B46" s="81">
        <v>45291</v>
      </c>
      <c r="C46" s="82" t="s">
        <v>3501</v>
      </c>
      <c r="D46" s="71" t="s">
        <v>3498</v>
      </c>
      <c r="E46" s="72" t="s">
        <v>43</v>
      </c>
      <c r="F46" s="73">
        <v>4</v>
      </c>
      <c r="G46" s="443" t="s">
        <v>3308</v>
      </c>
      <c r="H46" s="443" t="s">
        <v>3316</v>
      </c>
      <c r="I46" s="74"/>
      <c r="J46" s="75"/>
      <c r="K46" s="41">
        <f t="shared" si="39"/>
        <v>3625</v>
      </c>
      <c r="L46" s="104"/>
      <c r="M46" s="105"/>
      <c r="N46" s="106">
        <f t="shared" si="40"/>
        <v>1537.06</v>
      </c>
      <c r="O46" s="104">
        <v>45.83</v>
      </c>
      <c r="P46" s="105"/>
      <c r="Q46" s="106">
        <f t="shared" si="35"/>
        <v>10045.83</v>
      </c>
      <c r="R46" s="104"/>
      <c r="S46" s="105"/>
      <c r="T46" s="106">
        <f t="shared" si="36"/>
        <v>0</v>
      </c>
      <c r="U46" s="439"/>
      <c r="V46" s="42">
        <f t="shared" si="0"/>
        <v>41</v>
      </c>
      <c r="W46" s="39" t="str">
        <f>IF(AND(E46='Povolené hodnoty'!$B$4,F46=2),I46+L46+O46+R46,"")</f>
        <v/>
      </c>
      <c r="X46" s="41" t="str">
        <f>IF(AND(E46='Povolené hodnoty'!$B$4,F46=1),I46+L46+O46+R46,"")</f>
        <v/>
      </c>
      <c r="Y46" s="39" t="str">
        <f>IF(AND(E46='Povolené hodnoty'!$B$4,F46=10),J46+M46+P46+S46,"")</f>
        <v/>
      </c>
      <c r="Z46" s="41" t="str">
        <f>IF(AND(E46='Povolené hodnoty'!$B$4,F46=9),J46+M46+P46+S46,"")</f>
        <v/>
      </c>
      <c r="AA46" s="39" t="str">
        <f>IF(AND(E46&lt;&gt;'Povolené hodnoty'!$B$4,F46=2),I46+L46+O46+R46,"")</f>
        <v/>
      </c>
      <c r="AB46" s="40" t="str">
        <f>IF(AND(E46&lt;&gt;'Povolené hodnoty'!$B$4,F46=3),I46+L46+O46+R46,"")</f>
        <v/>
      </c>
      <c r="AC46" s="40">
        <f>IF(AND(E46&lt;&gt;'Povolené hodnoty'!$B$4,F46=4),I46+L46+O46+R46,"")</f>
        <v>45.83</v>
      </c>
      <c r="AD46" s="40" t="str">
        <f>IF(AND(E46&lt;&gt;'Povolené hodnoty'!$B$4,F46="5a"),I46-J46+L46-M46+O46-P46+R46-S46,"")</f>
        <v/>
      </c>
      <c r="AE46" s="40" t="str">
        <f>IF(AND(E46&lt;&gt;'Povolené hodnoty'!$B$4,F46="5b"),I46-J46+L46-M46+O46-P46+R46-S46,"")</f>
        <v/>
      </c>
      <c r="AF46" s="40" t="str">
        <f>IF(AND(E46&lt;&gt;'Povolené hodnoty'!$B$4,F46=6),I46+L46+O46+R46,"")</f>
        <v/>
      </c>
      <c r="AG46" s="41" t="str">
        <f>IF(AND(E46&lt;&gt;'Povolené hodnoty'!$B$4,F46=7),I46+L46+O46+R46,"")</f>
        <v/>
      </c>
      <c r="AH46" s="39" t="str">
        <f>IF(AND(E46&lt;&gt;'Povolené hodnoty'!$B$4,F46=10),J46+M46+P46+S46,"")</f>
        <v/>
      </c>
      <c r="AI46" s="40" t="str">
        <f>IF(AND(E46&lt;&gt;'Povolené hodnoty'!$B$4,F46=11),J46+M46+P46+S46,"")</f>
        <v/>
      </c>
      <c r="AJ46" s="40" t="str">
        <f>IF(AND(E46&lt;&gt;'Povolené hodnoty'!$B$4,F46=12),J46+M46+P46+S46,"")</f>
        <v/>
      </c>
      <c r="AK46" s="41" t="str">
        <f>IF(AND(E46&lt;&gt;'Povolené hodnoty'!$B$4,F46=13),J46+M46+P46+S46,"")</f>
        <v/>
      </c>
      <c r="AL46" s="39" t="str">
        <f>IF(AND($G46='Povolené hodnoty'!$B$13,$H46=AL$4),SUM($I46,$L46,$O46,$R46),"")</f>
        <v/>
      </c>
      <c r="AM46" s="458" t="str">
        <f>IF(AND($G46='Povolené hodnoty'!$B$13,$H46=AM$4),SUM($I46,$L46,$O46,$R46),"")</f>
        <v/>
      </c>
      <c r="AN46" s="458" t="str">
        <f>IF(AND($G46='Povolené hodnoty'!$B$13,$H46=AN$4),SUM($I46,$L46,$O46,$R46),"")</f>
        <v/>
      </c>
      <c r="AO46" s="458" t="str">
        <f>IF(AND($G46='Povolené hodnoty'!$B$13,$H46=AO$4),SUM($I46,$L46,$O46,$R46),"")</f>
        <v/>
      </c>
      <c r="AP46" s="458" t="str">
        <f>IF(AND($G46='Povolené hodnoty'!$B$13,$H46=AP$4),SUM($I46,$L46,$O46,$R46),"")</f>
        <v/>
      </c>
      <c r="AQ46" s="40" t="str">
        <f>IF(AND($G46='Povolené hodnoty'!$B$13,OR($H46=AQ$4,$H46='Povolené hodnoty'!$E$36)),SUM($I46,-$J46,$L46,-$M46,$O46,-$P46,$R46,-$S46),"")</f>
        <v/>
      </c>
      <c r="AR46" s="40">
        <f>IF(AND($G46='Povolené hodnoty'!$B$13,$H46=AR$4),SUM($I46,$L46,$O46,$R46),"")</f>
        <v>45.83</v>
      </c>
      <c r="AS46" s="41" t="str">
        <f>IF(AND($G46='Povolené hodnoty'!$B$13,$H46=AS$4),SUM($I46,$L46,$O46,$R46),"")</f>
        <v/>
      </c>
      <c r="AT46" s="39" t="str">
        <f>IF(AND($G46='Povolené hodnoty'!$B$14,$H46=AT$4),SUM($I46,$L46,$O46,$R46),"")</f>
        <v/>
      </c>
      <c r="AU46" s="458" t="str">
        <f>IF(AND($G46='Povolené hodnoty'!$B$14,$H46=AU$4),SUM($I46,$L46,$O46,$R46),"")</f>
        <v/>
      </c>
      <c r="AV46" s="41" t="str">
        <f>IF(AND($G46='Povolené hodnoty'!$B$14,$H46=AV$4),SUM($I46,$L46,$O46,$R46),"")</f>
        <v/>
      </c>
      <c r="AW46" s="39" t="str">
        <f>IF(AND($G46='Povolené hodnoty'!$B$13,$H46=AW$4),SUM($J46,$M46,$P46,$S46),"")</f>
        <v/>
      </c>
      <c r="AX46" s="458" t="str">
        <f>IF(AND($G46='Povolené hodnoty'!$B$13,$H46=AX$4),SUM($J46,$M46,$P46,$S46),"")</f>
        <v/>
      </c>
      <c r="AY46" s="458" t="str">
        <f>IF(AND($G46='Povolené hodnoty'!$B$13,$H46=AY$4),SUM($J46,$M46,$P46,$S46),"")</f>
        <v/>
      </c>
      <c r="AZ46" s="458" t="str">
        <f>IF(AND($G46='Povolené hodnoty'!$B$13,$H46=AZ$4),SUM($J46,$M46,$P46,$S46),"")</f>
        <v/>
      </c>
      <c r="BA46" s="458" t="str">
        <f>IF(AND($G46='Povolené hodnoty'!$B$13,$H46=BA$4),SUM($J46,$M46,$P46,$S46),"")</f>
        <v/>
      </c>
      <c r="BB46" s="40" t="str">
        <f>IF(AND($G46='Povolené hodnoty'!$B$13,$H46=BB$4),SUM($J46,$M46,$P46,$S46),"")</f>
        <v/>
      </c>
      <c r="BC46" s="40" t="str">
        <f>IF(AND($G46='Povolené hodnoty'!$B$13,$H46=BC$4),SUM($J46,$M46,$P46,$S46),"")</f>
        <v/>
      </c>
      <c r="BD46" s="40" t="str">
        <f>IF(AND($G46='Povolené hodnoty'!$B$13,$H46=BD$4),SUM($J46,$M46,$P46,$S46),"")</f>
        <v/>
      </c>
      <c r="BE46" s="41" t="str">
        <f>IF(AND($G46='Povolené hodnoty'!$B$13,$H46=BE$4),SUM($J46,$M46,$P46,$S46),"")</f>
        <v/>
      </c>
      <c r="BF46" s="39" t="str">
        <f>IF(AND($G46='Povolené hodnoty'!$B$14,$H46=BF$4),SUM($J46,$M46,$P46,$S46),"")</f>
        <v/>
      </c>
      <c r="BG46" s="458" t="str">
        <f>IF(AND($G46='Povolené hodnoty'!$B$14,$H46=BG$4),SUM($J46,$M46,$P46,$S46),"")</f>
        <v/>
      </c>
      <c r="BH46" s="458" t="str">
        <f>IF(AND($G46='Povolené hodnoty'!$B$14,$H46=BH$4),SUM($J46,$M46,$P46,$S46),"")</f>
        <v/>
      </c>
      <c r="BI46" s="458" t="str">
        <f>IF(AND($G46='Povolené hodnoty'!$B$14,$H46=BI$4),SUM($J46,$M46,$P46,$S46),"")</f>
        <v/>
      </c>
      <c r="BJ46" s="458" t="str">
        <f>IF(AND($G46='Povolené hodnoty'!$B$14,$H46=BJ$4),SUM($J46,$M46,$P46,$S46),"")</f>
        <v/>
      </c>
      <c r="BK46" s="40" t="str">
        <f>IF(AND($G46='Povolené hodnoty'!$B$14,$H46=BK$4),SUM($J46,$M46,$P46,$S46),"")</f>
        <v/>
      </c>
      <c r="BL46" s="40" t="str">
        <f>IF(AND($G46='Povolené hodnoty'!$B$14,$H46=BL$4),SUM($J46,$M46,$P46,$S46),"")</f>
        <v/>
      </c>
      <c r="BM46" s="41" t="str">
        <f>IF(AND($G46='Povolené hodnoty'!$B$14,$H46=BM$4),SUM($J46,$M46,$P46,$S46),"")</f>
        <v/>
      </c>
      <c r="BO46" s="18" t="b">
        <f t="shared" si="33"/>
        <v>0</v>
      </c>
      <c r="BP46" s="18" t="b">
        <f t="shared" si="1"/>
        <v>0</v>
      </c>
      <c r="BQ46" s="18" t="b">
        <f>AND(E46&lt;&gt;'Povolené hodnoty'!$B$6,F46&lt;&gt;'Povolené hodnoty'!$D$7,F46&lt;&gt;'Povolené hodnoty'!$D$8,OR(SUM(I46,L46,O46,R46)&lt;&gt;SUM(W46:X46,AA46:AG46),SUM(J46,M46,P46,S46)&lt;&gt;SUM(Y46:Z46,AH46:AK46),COUNT(I46:J46,L46:M46,O46:P46,R46:S46)&lt;&gt;COUNT(W46:AK46)))</f>
        <v>0</v>
      </c>
      <c r="BR46" s="18" t="b">
        <f>OR(AND(E46='Povolené hodnoty'!$B$6,$BR$5),AND(E46='Povolené hodnoty'!$B$6,H46&lt;&gt;'Povolené hodnoty'!$E$26,H46&lt;&gt;'Povolené hodnoty'!$E$35),AND(E46&lt;&gt;'Povolené hodnoty'!$B$6,OR(H46='Povolené hodnoty'!$E$26,H46='Povolené hodnoty'!$E$35)))</f>
        <v>0</v>
      </c>
      <c r="BS46" s="18" t="b">
        <f>OR(AND(G46&lt;&gt;'Povolené hodnoty'!$B$13,OR(H46='Povolené hodnoty'!$E$21,H46='Povolené hodnoty'!$E$22,H46='Povolené hodnoty'!$E$23,H46='Povolené hodnoty'!$E$24,H46='Povolené hodnoty'!$E$26,H46='Povolené hodnoty'!$E$36)),COUNT(I46:J46,L46:M46,O46:P46,R46:S46)&lt;&gt;COUNT(AL46:BM46))</f>
        <v>0</v>
      </c>
      <c r="BT46" s="18" t="b">
        <f t="shared" si="2"/>
        <v>0</v>
      </c>
      <c r="BV46" s="39" t="str">
        <f t="shared" si="3"/>
        <v/>
      </c>
      <c r="BW46" s="458" t="str">
        <f t="shared" si="4"/>
        <v/>
      </c>
      <c r="BX46" s="458" t="str">
        <f t="shared" si="5"/>
        <v/>
      </c>
      <c r="BY46" s="458" t="str">
        <f t="shared" si="6"/>
        <v/>
      </c>
      <c r="BZ46" s="458" t="str">
        <f t="shared" si="7"/>
        <v/>
      </c>
      <c r="CA46" s="40" t="str">
        <f t="shared" si="8"/>
        <v/>
      </c>
      <c r="CB46" s="40" t="str">
        <f t="shared" si="9"/>
        <v/>
      </c>
      <c r="CC46" s="39" t="str">
        <f t="shared" si="10"/>
        <v/>
      </c>
      <c r="CD46" s="458" t="str">
        <f t="shared" si="11"/>
        <v/>
      </c>
      <c r="CE46" s="41" t="str">
        <f t="shared" si="12"/>
        <v/>
      </c>
      <c r="CF46" s="39" t="str">
        <f t="shared" si="13"/>
        <v/>
      </c>
      <c r="CG46" s="458" t="str">
        <f t="shared" si="14"/>
        <v/>
      </c>
      <c r="CH46" s="458" t="str">
        <f t="shared" si="15"/>
        <v/>
      </c>
      <c r="CI46" s="458" t="str">
        <f t="shared" si="16"/>
        <v/>
      </c>
      <c r="CJ46" s="458" t="str">
        <f t="shared" si="17"/>
        <v/>
      </c>
      <c r="CK46" s="40" t="str">
        <f t="shared" si="18"/>
        <v/>
      </c>
      <c r="CL46" s="40" t="str">
        <f t="shared" si="19"/>
        <v/>
      </c>
      <c r="CM46" s="40" t="str">
        <f t="shared" si="20"/>
        <v/>
      </c>
      <c r="CN46" s="39" t="str">
        <f t="shared" si="21"/>
        <v/>
      </c>
      <c r="CO46" s="458" t="str">
        <f t="shared" si="22"/>
        <v/>
      </c>
      <c r="CP46" s="458" t="str">
        <f t="shared" si="23"/>
        <v/>
      </c>
      <c r="CQ46" s="458" t="str">
        <f t="shared" si="24"/>
        <v/>
      </c>
      <c r="CR46" s="458" t="str">
        <f t="shared" si="25"/>
        <v/>
      </c>
      <c r="CS46" s="40" t="str">
        <f t="shared" si="26"/>
        <v/>
      </c>
      <c r="CT46" s="40" t="str">
        <f t="shared" si="27"/>
        <v/>
      </c>
      <c r="CU46" s="41" t="str">
        <f t="shared" si="28"/>
        <v/>
      </c>
    </row>
    <row r="47" spans="1:99" x14ac:dyDescent="0.2">
      <c r="A47" s="77">
        <f t="shared" si="29"/>
        <v>42</v>
      </c>
      <c r="B47" s="81">
        <v>45291</v>
      </c>
      <c r="C47" s="82" t="s">
        <v>3515</v>
      </c>
      <c r="D47" s="71" t="s">
        <v>3518</v>
      </c>
      <c r="E47" s="72" t="s">
        <v>43</v>
      </c>
      <c r="F47" s="73" t="s">
        <v>45</v>
      </c>
      <c r="G47" s="443" t="s">
        <v>3308</v>
      </c>
      <c r="H47" s="443" t="s">
        <v>3516</v>
      </c>
      <c r="I47" s="74"/>
      <c r="J47" s="75"/>
      <c r="K47" s="41">
        <f t="shared" si="39"/>
        <v>3625</v>
      </c>
      <c r="L47" s="104"/>
      <c r="M47" s="105">
        <v>1000</v>
      </c>
      <c r="N47" s="106">
        <f t="shared" si="40"/>
        <v>537.05999999999995</v>
      </c>
      <c r="O47" s="104"/>
      <c r="P47" s="105"/>
      <c r="Q47" s="106">
        <f t="shared" si="35"/>
        <v>10045.83</v>
      </c>
      <c r="R47" s="104"/>
      <c r="S47" s="105"/>
      <c r="T47" s="106">
        <f t="shared" si="36"/>
        <v>0</v>
      </c>
      <c r="U47" s="439"/>
      <c r="V47" s="42">
        <f t="shared" si="0"/>
        <v>42</v>
      </c>
      <c r="W47" s="39" t="str">
        <f>IF(AND(E47='Povolené hodnoty'!$B$4,F47=2),I47+L47+O47+R47,"")</f>
        <v/>
      </c>
      <c r="X47" s="41" t="str">
        <f>IF(AND(E47='Povolené hodnoty'!$B$4,F47=1),I47+L47+O47+R47,"")</f>
        <v/>
      </c>
      <c r="Y47" s="39" t="str">
        <f>IF(AND(E47='Povolené hodnoty'!$B$4,F47=10),J47+M47+P47+S47,"")</f>
        <v/>
      </c>
      <c r="Z47" s="41" t="str">
        <f>IF(AND(E47='Povolené hodnoty'!$B$4,F47=9),J47+M47+P47+S47,"")</f>
        <v/>
      </c>
      <c r="AA47" s="39" t="str">
        <f>IF(AND(E47&lt;&gt;'Povolené hodnoty'!$B$4,F47=2),I47+L47+O47+R47,"")</f>
        <v/>
      </c>
      <c r="AB47" s="40" t="str">
        <f>IF(AND(E47&lt;&gt;'Povolené hodnoty'!$B$4,F47=3),I47+L47+O47+R47,"")</f>
        <v/>
      </c>
      <c r="AC47" s="40" t="str">
        <f>IF(AND(E47&lt;&gt;'Povolené hodnoty'!$B$4,F47=4),I47+L47+O47+R47,"")</f>
        <v/>
      </c>
      <c r="AD47" s="40">
        <f>IF(AND(E47&lt;&gt;'Povolené hodnoty'!$B$4,F47="5a"),I47-J47+L47-M47+O47-P47+R47-S47,"")</f>
        <v>-1000</v>
      </c>
      <c r="AE47" s="40" t="str">
        <f>IF(AND(E47&lt;&gt;'Povolené hodnoty'!$B$4,F47="5b"),I47-J47+L47-M47+O47-P47+R47-S47,"")</f>
        <v/>
      </c>
      <c r="AF47" s="40" t="str">
        <f>IF(AND(E47&lt;&gt;'Povolené hodnoty'!$B$4,F47=6),I47+L47+O47+R47,"")</f>
        <v/>
      </c>
      <c r="AG47" s="41" t="str">
        <f>IF(AND(E47&lt;&gt;'Povolené hodnoty'!$B$4,F47=7),I47+L47+O47+R47,"")</f>
        <v/>
      </c>
      <c r="AH47" s="39" t="str">
        <f>IF(AND(E47&lt;&gt;'Povolené hodnoty'!$B$4,F47=10),J47+M47+P47+S47,"")</f>
        <v/>
      </c>
      <c r="AI47" s="40" t="str">
        <f>IF(AND(E47&lt;&gt;'Povolené hodnoty'!$B$4,F47=11),J47+M47+P47+S47,"")</f>
        <v/>
      </c>
      <c r="AJ47" s="40" t="str">
        <f>IF(AND(E47&lt;&gt;'Povolené hodnoty'!$B$4,F47=12),J47+M47+P47+S47,"")</f>
        <v/>
      </c>
      <c r="AK47" s="41" t="str">
        <f>IF(AND(E47&lt;&gt;'Povolené hodnoty'!$B$4,F47=13),J47+M47+P47+S47,"")</f>
        <v/>
      </c>
      <c r="AL47" s="39" t="str">
        <f>IF(AND($G47='Povolené hodnoty'!$B$13,$H47=AL$4),SUM($I47,$L47,$O47,$R47),"")</f>
        <v/>
      </c>
      <c r="AM47" s="458" t="str">
        <f>IF(AND($G47='Povolené hodnoty'!$B$13,$H47=AM$4),SUM($I47,$L47,$O47,$R47),"")</f>
        <v/>
      </c>
      <c r="AN47" s="458" t="str">
        <f>IF(AND($G47='Povolené hodnoty'!$B$13,$H47=AN$4),SUM($I47,$L47,$O47,$R47),"")</f>
        <v/>
      </c>
      <c r="AO47" s="458" t="str">
        <f>IF(AND($G47='Povolené hodnoty'!$B$13,$H47=AO$4),SUM($I47,$L47,$O47,$R47),"")</f>
        <v/>
      </c>
      <c r="AP47" s="458" t="str">
        <f>IF(AND($G47='Povolené hodnoty'!$B$13,$H47=AP$4),SUM($I47,$L47,$O47,$R47),"")</f>
        <v/>
      </c>
      <c r="AQ47" s="40">
        <f>IF(AND($G47='Povolené hodnoty'!$B$13,OR($H47=AQ$4,$H47='Povolené hodnoty'!$E$36)),SUM($I47,-$J47,$L47,-$M47,$O47,-$P47,$R47,-$S47),"")</f>
        <v>-1000</v>
      </c>
      <c r="AR47" s="40" t="str">
        <f>IF(AND($G47='Povolené hodnoty'!$B$13,$H47=AR$4),SUM($I47,$L47,$O47,$R47),"")</f>
        <v/>
      </c>
      <c r="AS47" s="41" t="str">
        <f>IF(AND($G47='Povolené hodnoty'!$B$13,$H47=AS$4),SUM($I47,$L47,$O47,$R47),"")</f>
        <v/>
      </c>
      <c r="AT47" s="39" t="str">
        <f>IF(AND($G47='Povolené hodnoty'!$B$14,$H47=AT$4),SUM($I47,$L47,$O47,$R47),"")</f>
        <v/>
      </c>
      <c r="AU47" s="458" t="str">
        <f>IF(AND($G47='Povolené hodnoty'!$B$14,$H47=AU$4),SUM($I47,$L47,$O47,$R47),"")</f>
        <v/>
      </c>
      <c r="AV47" s="41" t="str">
        <f>IF(AND($G47='Povolené hodnoty'!$B$14,$H47=AV$4),SUM($I47,$L47,$O47,$R47),"")</f>
        <v/>
      </c>
      <c r="AW47" s="39" t="str">
        <f>IF(AND($G47='Povolené hodnoty'!$B$13,$H47=AW$4),SUM($J47,$M47,$P47,$S47),"")</f>
        <v/>
      </c>
      <c r="AX47" s="458" t="str">
        <f>IF(AND($G47='Povolené hodnoty'!$B$13,$H47=AX$4),SUM($J47,$M47,$P47,$S47),"")</f>
        <v/>
      </c>
      <c r="AY47" s="458" t="str">
        <f>IF(AND($G47='Povolené hodnoty'!$B$13,$H47=AY$4),SUM($J47,$M47,$P47,$S47),"")</f>
        <v/>
      </c>
      <c r="AZ47" s="458" t="str">
        <f>IF(AND($G47='Povolené hodnoty'!$B$13,$H47=AZ$4),SUM($J47,$M47,$P47,$S47),"")</f>
        <v/>
      </c>
      <c r="BA47" s="458" t="str">
        <f>IF(AND($G47='Povolené hodnoty'!$B$13,$H47=BA$4),SUM($J47,$M47,$P47,$S47),"")</f>
        <v/>
      </c>
      <c r="BB47" s="40" t="str">
        <f>IF(AND($G47='Povolené hodnoty'!$B$13,$H47=BB$4),SUM($J47,$M47,$P47,$S47),"")</f>
        <v/>
      </c>
      <c r="BC47" s="40" t="str">
        <f>IF(AND($G47='Povolené hodnoty'!$B$13,$H47=BC$4),SUM($J47,$M47,$P47,$S47),"")</f>
        <v/>
      </c>
      <c r="BD47" s="40" t="str">
        <f>IF(AND($G47='Povolené hodnoty'!$B$13,$H47=BD$4),SUM($J47,$M47,$P47,$S47),"")</f>
        <v/>
      </c>
      <c r="BE47" s="41" t="str">
        <f>IF(AND($G47='Povolené hodnoty'!$B$13,$H47=BE$4),SUM($J47,$M47,$P47,$S47),"")</f>
        <v/>
      </c>
      <c r="BF47" s="39" t="str">
        <f>IF(AND($G47='Povolené hodnoty'!$B$14,$H47=BF$4),SUM($J47,$M47,$P47,$S47),"")</f>
        <v/>
      </c>
      <c r="BG47" s="458" t="str">
        <f>IF(AND($G47='Povolené hodnoty'!$B$14,$H47=BG$4),SUM($J47,$M47,$P47,$S47),"")</f>
        <v/>
      </c>
      <c r="BH47" s="458" t="str">
        <f>IF(AND($G47='Povolené hodnoty'!$B$14,$H47=BH$4),SUM($J47,$M47,$P47,$S47),"")</f>
        <v/>
      </c>
      <c r="BI47" s="458" t="str">
        <f>IF(AND($G47='Povolené hodnoty'!$B$14,$H47=BI$4),SUM($J47,$M47,$P47,$S47),"")</f>
        <v/>
      </c>
      <c r="BJ47" s="458" t="str">
        <f>IF(AND($G47='Povolené hodnoty'!$B$14,$H47=BJ$4),SUM($J47,$M47,$P47,$S47),"")</f>
        <v/>
      </c>
      <c r="BK47" s="40" t="str">
        <f>IF(AND($G47='Povolené hodnoty'!$B$14,$H47=BK$4),SUM($J47,$M47,$P47,$S47),"")</f>
        <v/>
      </c>
      <c r="BL47" s="40" t="str">
        <f>IF(AND($G47='Povolené hodnoty'!$B$14,$H47=BL$4),SUM($J47,$M47,$P47,$S47),"")</f>
        <v/>
      </c>
      <c r="BM47" s="41" t="str">
        <f>IF(AND($G47='Povolené hodnoty'!$B$14,$H47=BM$4),SUM($J47,$M47,$P47,$S47),"")</f>
        <v/>
      </c>
      <c r="BO47" s="18" t="b">
        <f t="shared" si="33"/>
        <v>0</v>
      </c>
      <c r="BP47" s="18" t="b">
        <f t="shared" si="1"/>
        <v>0</v>
      </c>
      <c r="BQ47" s="18" t="b">
        <f>AND(E47&lt;&gt;'Povolené hodnoty'!$B$6,F47&lt;&gt;'Povolené hodnoty'!$D$7,F47&lt;&gt;'Povolené hodnoty'!$D$8,OR(SUM(I47,L47,O47,R47)&lt;&gt;SUM(W47:X47,AA47:AG47),SUM(J47,M47,P47,S47)&lt;&gt;SUM(Y47:Z47,AH47:AK47),COUNT(I47:J47,L47:M47,O47:P47,R47:S47)&lt;&gt;COUNT(W47:AK47)))</f>
        <v>0</v>
      </c>
      <c r="BR47" s="18" t="b">
        <f>OR(AND(E47='Povolené hodnoty'!$B$6,$BR$5),AND(E47='Povolené hodnoty'!$B$6,H47&lt;&gt;'Povolené hodnoty'!$E$26,H47&lt;&gt;'Povolené hodnoty'!$E$35),AND(E47&lt;&gt;'Povolené hodnoty'!$B$6,OR(H47='Povolené hodnoty'!$E$26,H47='Povolené hodnoty'!$E$35)))</f>
        <v>0</v>
      </c>
      <c r="BS47" s="18" t="b">
        <f>OR(AND(G47&lt;&gt;'Povolené hodnoty'!$B$13,OR(H47='Povolené hodnoty'!$E$21,H47='Povolené hodnoty'!$E$22,H47='Povolené hodnoty'!$E$23,H47='Povolené hodnoty'!$E$24,H47='Povolené hodnoty'!$E$26,H47='Povolené hodnoty'!$E$36)),COUNT(I47:J47,L47:M47,O47:P47,R47:S47)&lt;&gt;COUNT(AL47:BM47))</f>
        <v>0</v>
      </c>
      <c r="BT47" s="18" t="b">
        <f t="shared" si="2"/>
        <v>0</v>
      </c>
      <c r="BV47" s="39" t="str">
        <f t="shared" si="3"/>
        <v/>
      </c>
      <c r="BW47" s="458" t="str">
        <f t="shared" si="4"/>
        <v/>
      </c>
      <c r="BX47" s="458" t="str">
        <f t="shared" si="5"/>
        <v/>
      </c>
      <c r="BY47" s="458" t="str">
        <f t="shared" si="6"/>
        <v/>
      </c>
      <c r="BZ47" s="458" t="str">
        <f t="shared" si="7"/>
        <v/>
      </c>
      <c r="CA47" s="40" t="str">
        <f t="shared" si="8"/>
        <v/>
      </c>
      <c r="CB47" s="40" t="str">
        <f t="shared" si="9"/>
        <v/>
      </c>
      <c r="CC47" s="39" t="str">
        <f t="shared" si="10"/>
        <v/>
      </c>
      <c r="CD47" s="458" t="str">
        <f t="shared" si="11"/>
        <v/>
      </c>
      <c r="CE47" s="41" t="str">
        <f t="shared" si="12"/>
        <v/>
      </c>
      <c r="CF47" s="39" t="str">
        <f t="shared" si="13"/>
        <v/>
      </c>
      <c r="CG47" s="458" t="str">
        <f t="shared" si="14"/>
        <v/>
      </c>
      <c r="CH47" s="458" t="str">
        <f t="shared" si="15"/>
        <v/>
      </c>
      <c r="CI47" s="458" t="str">
        <f t="shared" si="16"/>
        <v/>
      </c>
      <c r="CJ47" s="458" t="str">
        <f t="shared" si="17"/>
        <v/>
      </c>
      <c r="CK47" s="40" t="str">
        <f t="shared" si="18"/>
        <v/>
      </c>
      <c r="CL47" s="40" t="str">
        <f t="shared" si="19"/>
        <v/>
      </c>
      <c r="CM47" s="40" t="str">
        <f t="shared" si="20"/>
        <v/>
      </c>
      <c r="CN47" s="39" t="str">
        <f t="shared" si="21"/>
        <v/>
      </c>
      <c r="CO47" s="458" t="str">
        <f t="shared" si="22"/>
        <v/>
      </c>
      <c r="CP47" s="458" t="str">
        <f t="shared" si="23"/>
        <v/>
      </c>
      <c r="CQ47" s="458" t="str">
        <f t="shared" si="24"/>
        <v/>
      </c>
      <c r="CR47" s="458" t="str">
        <f t="shared" si="25"/>
        <v/>
      </c>
      <c r="CS47" s="40" t="str">
        <f t="shared" si="26"/>
        <v/>
      </c>
      <c r="CT47" s="40" t="str">
        <f t="shared" si="27"/>
        <v/>
      </c>
      <c r="CU47" s="41" t="str">
        <f t="shared" si="28"/>
        <v/>
      </c>
    </row>
    <row r="48" spans="1:99" x14ac:dyDescent="0.2">
      <c r="A48" s="77">
        <f t="shared" si="29"/>
        <v>43</v>
      </c>
      <c r="B48" s="81"/>
      <c r="C48" s="82"/>
      <c r="D48" s="71"/>
      <c r="E48" s="72"/>
      <c r="F48" s="73"/>
      <c r="G48" s="443"/>
      <c r="H48" s="443"/>
      <c r="I48" s="74"/>
      <c r="J48" s="75"/>
      <c r="K48" s="41">
        <f t="shared" si="39"/>
        <v>3625</v>
      </c>
      <c r="L48" s="104"/>
      <c r="M48" s="105"/>
      <c r="N48" s="106">
        <f t="shared" si="40"/>
        <v>537.05999999999995</v>
      </c>
      <c r="O48" s="104"/>
      <c r="P48" s="105"/>
      <c r="Q48" s="106">
        <f t="shared" si="35"/>
        <v>10045.83</v>
      </c>
      <c r="R48" s="104"/>
      <c r="S48" s="105"/>
      <c r="T48" s="106">
        <f t="shared" si="36"/>
        <v>0</v>
      </c>
      <c r="U48" s="439"/>
      <c r="V48" s="42">
        <f t="shared" si="0"/>
        <v>43</v>
      </c>
      <c r="W48" s="39" t="str">
        <f>IF(AND(E48='Povolené hodnoty'!$B$4,F48=2),I48+L48+O48+R48,"")</f>
        <v/>
      </c>
      <c r="X48" s="41" t="str">
        <f>IF(AND(E48='Povolené hodnoty'!$B$4,F48=1),I48+L48+O48+R48,"")</f>
        <v/>
      </c>
      <c r="Y48" s="39" t="str">
        <f>IF(AND(E48='Povolené hodnoty'!$B$4,F48=10),J48+M48+P48+S48,"")</f>
        <v/>
      </c>
      <c r="Z48" s="41" t="str">
        <f>IF(AND(E48='Povolené hodnoty'!$B$4,F48=9),J48+M48+P48+S48,"")</f>
        <v/>
      </c>
      <c r="AA48" s="39" t="str">
        <f>IF(AND(E48&lt;&gt;'Povolené hodnoty'!$B$4,F48=2),I48+L48+O48+R48,"")</f>
        <v/>
      </c>
      <c r="AB48" s="40" t="str">
        <f>IF(AND(E48&lt;&gt;'Povolené hodnoty'!$B$4,F48=3),I48+L48+O48+R48,"")</f>
        <v/>
      </c>
      <c r="AC48" s="40" t="str">
        <f>IF(AND(E48&lt;&gt;'Povolené hodnoty'!$B$4,F48=4),I48+L48+O48+R48,"")</f>
        <v/>
      </c>
      <c r="AD48" s="40" t="str">
        <f>IF(AND(E48&lt;&gt;'Povolené hodnoty'!$B$4,F48="5a"),I48-J48+L48-M48+O48-P48+R48-S48,"")</f>
        <v/>
      </c>
      <c r="AE48" s="40" t="str">
        <f>IF(AND(E48&lt;&gt;'Povolené hodnoty'!$B$4,F48="5b"),I48-J48+L48-M48+O48-P48+R48-S48,"")</f>
        <v/>
      </c>
      <c r="AF48" s="40" t="str">
        <f>IF(AND(E48&lt;&gt;'Povolené hodnoty'!$B$4,F48=6),I48+L48+O48+R48,"")</f>
        <v/>
      </c>
      <c r="AG48" s="41" t="str">
        <f>IF(AND(E48&lt;&gt;'Povolené hodnoty'!$B$4,F48=7),I48+L48+O48+R48,"")</f>
        <v/>
      </c>
      <c r="AH48" s="39" t="str">
        <f>IF(AND(E48&lt;&gt;'Povolené hodnoty'!$B$4,F48=10),J48+M48+P48+S48,"")</f>
        <v/>
      </c>
      <c r="AI48" s="40" t="str">
        <f>IF(AND(E48&lt;&gt;'Povolené hodnoty'!$B$4,F48=11),J48+M48+P48+S48,"")</f>
        <v/>
      </c>
      <c r="AJ48" s="40" t="str">
        <f>IF(AND(E48&lt;&gt;'Povolené hodnoty'!$B$4,F48=12),J48+M48+P48+S48,"")</f>
        <v/>
      </c>
      <c r="AK48" s="41" t="str">
        <f>IF(AND(E48&lt;&gt;'Povolené hodnoty'!$B$4,F48=13),J48+M48+P48+S48,"")</f>
        <v/>
      </c>
      <c r="AL48" s="39" t="str">
        <f>IF(AND($G48='Povolené hodnoty'!$B$13,$H48=AL$4),SUM($I48,$L48,$O48,$R48),"")</f>
        <v/>
      </c>
      <c r="AM48" s="458" t="str">
        <f>IF(AND($G48='Povolené hodnoty'!$B$13,$H48=AM$4),SUM($I48,$L48,$O48,$R48),"")</f>
        <v/>
      </c>
      <c r="AN48" s="458" t="str">
        <f>IF(AND($G48='Povolené hodnoty'!$B$13,$H48=AN$4),SUM($I48,$L48,$O48,$R48),"")</f>
        <v/>
      </c>
      <c r="AO48" s="458" t="str">
        <f>IF(AND($G48='Povolené hodnoty'!$B$13,$H48=AO$4),SUM($I48,$L48,$O48,$R48),"")</f>
        <v/>
      </c>
      <c r="AP48" s="458" t="str">
        <f>IF(AND($G48='Povolené hodnoty'!$B$13,$H48=AP$4),SUM($I48,$L48,$O48,$R48),"")</f>
        <v/>
      </c>
      <c r="AQ48" s="40" t="str">
        <f>IF(AND($G48='Povolené hodnoty'!$B$13,OR($H48=AQ$4,$H48='Povolené hodnoty'!$E$36)),SUM($I48,-$J48,$L48,-$M48,$O48,-$P48,$R48,-$S48),"")</f>
        <v/>
      </c>
      <c r="AR48" s="40" t="str">
        <f>IF(AND($G48='Povolené hodnoty'!$B$13,$H48=AR$4),SUM($I48,$L48,$O48,$R48),"")</f>
        <v/>
      </c>
      <c r="AS48" s="41" t="str">
        <f>IF(AND($G48='Povolené hodnoty'!$B$13,$H48=AS$4),SUM($I48,$L48,$O48,$R48),"")</f>
        <v/>
      </c>
      <c r="AT48" s="39" t="str">
        <f>IF(AND($G48='Povolené hodnoty'!$B$14,$H48=AT$4),SUM($I48,$L48,$O48,$R48),"")</f>
        <v/>
      </c>
      <c r="AU48" s="458" t="str">
        <f>IF(AND($G48='Povolené hodnoty'!$B$14,$H48=AU$4),SUM($I48,$L48,$O48,$R48),"")</f>
        <v/>
      </c>
      <c r="AV48" s="41" t="str">
        <f>IF(AND($G48='Povolené hodnoty'!$B$14,$H48=AV$4),SUM($I48,$L48,$O48,$R48),"")</f>
        <v/>
      </c>
      <c r="AW48" s="39" t="str">
        <f>IF(AND($G48='Povolené hodnoty'!$B$13,$H48=AW$4),SUM($J48,$M48,$P48,$S48),"")</f>
        <v/>
      </c>
      <c r="AX48" s="458" t="str">
        <f>IF(AND($G48='Povolené hodnoty'!$B$13,$H48=AX$4),SUM($J48,$M48,$P48,$S48),"")</f>
        <v/>
      </c>
      <c r="AY48" s="458" t="str">
        <f>IF(AND($G48='Povolené hodnoty'!$B$13,$H48=AY$4),SUM($J48,$M48,$P48,$S48),"")</f>
        <v/>
      </c>
      <c r="AZ48" s="458" t="str">
        <f>IF(AND($G48='Povolené hodnoty'!$B$13,$H48=AZ$4),SUM($J48,$M48,$P48,$S48),"")</f>
        <v/>
      </c>
      <c r="BA48" s="458" t="str">
        <f>IF(AND($G48='Povolené hodnoty'!$B$13,$H48=BA$4),SUM($J48,$M48,$P48,$S48),"")</f>
        <v/>
      </c>
      <c r="BB48" s="40" t="str">
        <f>IF(AND($G48='Povolené hodnoty'!$B$13,$H48=BB$4),SUM($J48,$M48,$P48,$S48),"")</f>
        <v/>
      </c>
      <c r="BC48" s="40" t="str">
        <f>IF(AND($G48='Povolené hodnoty'!$B$13,$H48=BC$4),SUM($J48,$M48,$P48,$S48),"")</f>
        <v/>
      </c>
      <c r="BD48" s="40" t="str">
        <f>IF(AND($G48='Povolené hodnoty'!$B$13,$H48=BD$4),SUM($J48,$M48,$P48,$S48),"")</f>
        <v/>
      </c>
      <c r="BE48" s="41" t="str">
        <f>IF(AND($G48='Povolené hodnoty'!$B$13,$H48=BE$4),SUM($J48,$M48,$P48,$S48),"")</f>
        <v/>
      </c>
      <c r="BF48" s="39" t="str">
        <f>IF(AND($G48='Povolené hodnoty'!$B$14,$H48=BF$4),SUM($J48,$M48,$P48,$S48),"")</f>
        <v/>
      </c>
      <c r="BG48" s="458" t="str">
        <f>IF(AND($G48='Povolené hodnoty'!$B$14,$H48=BG$4),SUM($J48,$M48,$P48,$S48),"")</f>
        <v/>
      </c>
      <c r="BH48" s="458" t="str">
        <f>IF(AND($G48='Povolené hodnoty'!$B$14,$H48=BH$4),SUM($J48,$M48,$P48,$S48),"")</f>
        <v/>
      </c>
      <c r="BI48" s="458" t="str">
        <f>IF(AND($G48='Povolené hodnoty'!$B$14,$H48=BI$4),SUM($J48,$M48,$P48,$S48),"")</f>
        <v/>
      </c>
      <c r="BJ48" s="458" t="str">
        <f>IF(AND($G48='Povolené hodnoty'!$B$14,$H48=BJ$4),SUM($J48,$M48,$P48,$S48),"")</f>
        <v/>
      </c>
      <c r="BK48" s="40" t="str">
        <f>IF(AND($G48='Povolené hodnoty'!$B$14,$H48=BK$4),SUM($J48,$M48,$P48,$S48),"")</f>
        <v/>
      </c>
      <c r="BL48" s="40" t="str">
        <f>IF(AND($G48='Povolené hodnoty'!$B$14,$H48=BL$4),SUM($J48,$M48,$P48,$S48),"")</f>
        <v/>
      </c>
      <c r="BM48" s="41" t="str">
        <f>IF(AND($G48='Povolené hodnoty'!$B$14,$H48=BM$4),SUM($J48,$M48,$P48,$S48),"")</f>
        <v/>
      </c>
      <c r="BO48" s="18" t="b">
        <f t="shared" si="33"/>
        <v>0</v>
      </c>
      <c r="BP48" s="18" t="b">
        <f t="shared" si="1"/>
        <v>0</v>
      </c>
      <c r="BQ48" s="18" t="b">
        <f>AND(E48&lt;&gt;'Povolené hodnoty'!$B$6,F48&lt;&gt;'Povolené hodnoty'!$D$7,F48&lt;&gt;'Povolené hodnoty'!$D$8,OR(SUM(I48,L48,O48,R48)&lt;&gt;SUM(W48:X48,AA48:AG48),SUM(J48,M48,P48,S48)&lt;&gt;SUM(Y48:Z48,AH48:AK48),COUNT(I48:J48,L48:M48,O48:P48,R48:S48)&lt;&gt;COUNT(W48:AK48)))</f>
        <v>0</v>
      </c>
      <c r="BR48" s="18" t="b">
        <f>OR(AND(E48='Povolené hodnoty'!$B$6,$BR$5),AND(E48='Povolené hodnoty'!$B$6,H48&lt;&gt;'Povolené hodnoty'!$E$26,H48&lt;&gt;'Povolené hodnoty'!$E$35),AND(E48&lt;&gt;'Povolené hodnoty'!$B$6,OR(H48='Povolené hodnoty'!$E$26,H48='Povolené hodnoty'!$E$35)))</f>
        <v>0</v>
      </c>
      <c r="BS48" s="18" t="b">
        <f>OR(AND(G48&lt;&gt;'Povolené hodnoty'!$B$13,OR(H48='Povolené hodnoty'!$E$21,H48='Povolené hodnoty'!$E$22,H48='Povolené hodnoty'!$E$23,H48='Povolené hodnoty'!$E$24,H48='Povolené hodnoty'!$E$26,H48='Povolené hodnoty'!$E$36)),COUNT(I48:J48,L48:M48,O48:P48,R48:S48)&lt;&gt;COUNT(AL48:BM48))</f>
        <v>0</v>
      </c>
      <c r="BT48" s="18" t="b">
        <f t="shared" si="2"/>
        <v>0</v>
      </c>
      <c r="BV48" s="39" t="str">
        <f t="shared" si="3"/>
        <v/>
      </c>
      <c r="BW48" s="458" t="str">
        <f t="shared" si="4"/>
        <v/>
      </c>
      <c r="BX48" s="458" t="str">
        <f t="shared" si="5"/>
        <v/>
      </c>
      <c r="BY48" s="458" t="str">
        <f t="shared" si="6"/>
        <v/>
      </c>
      <c r="BZ48" s="458" t="str">
        <f t="shared" si="7"/>
        <v/>
      </c>
      <c r="CA48" s="40" t="str">
        <f t="shared" si="8"/>
        <v/>
      </c>
      <c r="CB48" s="40" t="str">
        <f t="shared" si="9"/>
        <v/>
      </c>
      <c r="CC48" s="39" t="str">
        <f t="shared" si="10"/>
        <v/>
      </c>
      <c r="CD48" s="458" t="str">
        <f t="shared" si="11"/>
        <v/>
      </c>
      <c r="CE48" s="41" t="str">
        <f t="shared" si="12"/>
        <v/>
      </c>
      <c r="CF48" s="39" t="str">
        <f t="shared" si="13"/>
        <v/>
      </c>
      <c r="CG48" s="458" t="str">
        <f t="shared" si="14"/>
        <v/>
      </c>
      <c r="CH48" s="458" t="str">
        <f t="shared" si="15"/>
        <v/>
      </c>
      <c r="CI48" s="458" t="str">
        <f t="shared" si="16"/>
        <v/>
      </c>
      <c r="CJ48" s="458" t="str">
        <f t="shared" si="17"/>
        <v/>
      </c>
      <c r="CK48" s="40" t="str">
        <f t="shared" si="18"/>
        <v/>
      </c>
      <c r="CL48" s="40" t="str">
        <f t="shared" si="19"/>
        <v/>
      </c>
      <c r="CM48" s="40" t="str">
        <f t="shared" si="20"/>
        <v/>
      </c>
      <c r="CN48" s="39" t="str">
        <f t="shared" si="21"/>
        <v/>
      </c>
      <c r="CO48" s="458" t="str">
        <f t="shared" si="22"/>
        <v/>
      </c>
      <c r="CP48" s="458" t="str">
        <f t="shared" si="23"/>
        <v/>
      </c>
      <c r="CQ48" s="458" t="str">
        <f t="shared" si="24"/>
        <v/>
      </c>
      <c r="CR48" s="458" t="str">
        <f t="shared" si="25"/>
        <v/>
      </c>
      <c r="CS48" s="40" t="str">
        <f t="shared" si="26"/>
        <v/>
      </c>
      <c r="CT48" s="40" t="str">
        <f t="shared" si="27"/>
        <v/>
      </c>
      <c r="CU48" s="41" t="str">
        <f t="shared" si="28"/>
        <v/>
      </c>
    </row>
    <row r="49" spans="1:99" x14ac:dyDescent="0.2">
      <c r="A49" s="77">
        <f t="shared" si="29"/>
        <v>44</v>
      </c>
      <c r="B49" s="81"/>
      <c r="C49" s="82"/>
      <c r="D49" s="71"/>
      <c r="E49" s="72"/>
      <c r="F49" s="73"/>
      <c r="G49" s="443"/>
      <c r="H49" s="443"/>
      <c r="I49" s="74"/>
      <c r="J49" s="75"/>
      <c r="K49" s="41">
        <f t="shared" si="39"/>
        <v>3625</v>
      </c>
      <c r="L49" s="104"/>
      <c r="M49" s="105"/>
      <c r="N49" s="106">
        <f t="shared" si="40"/>
        <v>537.05999999999995</v>
      </c>
      <c r="O49" s="104"/>
      <c r="P49" s="105"/>
      <c r="Q49" s="106">
        <f t="shared" si="35"/>
        <v>10045.83</v>
      </c>
      <c r="R49" s="104"/>
      <c r="S49" s="105"/>
      <c r="T49" s="106">
        <f t="shared" si="36"/>
        <v>0</v>
      </c>
      <c r="U49" s="439"/>
      <c r="V49" s="42">
        <f t="shared" si="0"/>
        <v>44</v>
      </c>
      <c r="W49" s="39" t="str">
        <f>IF(AND(E49='Povolené hodnoty'!$B$4,F49=2),I49+L49+O49+R49,"")</f>
        <v/>
      </c>
      <c r="X49" s="41" t="str">
        <f>IF(AND(E49='Povolené hodnoty'!$B$4,F49=1),I49+L49+O49+R49,"")</f>
        <v/>
      </c>
      <c r="Y49" s="39" t="str">
        <f>IF(AND(E49='Povolené hodnoty'!$B$4,F49=10),J49+M49+P49+S49,"")</f>
        <v/>
      </c>
      <c r="Z49" s="41" t="str">
        <f>IF(AND(E49='Povolené hodnoty'!$B$4,F49=9),J49+M49+P49+S49,"")</f>
        <v/>
      </c>
      <c r="AA49" s="39" t="str">
        <f>IF(AND(E49&lt;&gt;'Povolené hodnoty'!$B$4,F49=2),I49+L49+O49+R49,"")</f>
        <v/>
      </c>
      <c r="AB49" s="40" t="str">
        <f>IF(AND(E49&lt;&gt;'Povolené hodnoty'!$B$4,F49=3),I49+L49+O49+R49,"")</f>
        <v/>
      </c>
      <c r="AC49" s="40" t="str">
        <f>IF(AND(E49&lt;&gt;'Povolené hodnoty'!$B$4,F49=4),I49+L49+O49+R49,"")</f>
        <v/>
      </c>
      <c r="AD49" s="40" t="str">
        <f>IF(AND(E49&lt;&gt;'Povolené hodnoty'!$B$4,F49="5a"),I49-J49+L49-M49+O49-P49+R49-S49,"")</f>
        <v/>
      </c>
      <c r="AE49" s="40" t="str">
        <f>IF(AND(E49&lt;&gt;'Povolené hodnoty'!$B$4,F49="5b"),I49-J49+L49-M49+O49-P49+R49-S49,"")</f>
        <v/>
      </c>
      <c r="AF49" s="40" t="str">
        <f>IF(AND(E49&lt;&gt;'Povolené hodnoty'!$B$4,F49=6),I49+L49+O49+R49,"")</f>
        <v/>
      </c>
      <c r="AG49" s="41" t="str">
        <f>IF(AND(E49&lt;&gt;'Povolené hodnoty'!$B$4,F49=7),I49+L49+O49+R49,"")</f>
        <v/>
      </c>
      <c r="AH49" s="39" t="str">
        <f>IF(AND(E49&lt;&gt;'Povolené hodnoty'!$B$4,F49=10),J49+M49+P49+S49,"")</f>
        <v/>
      </c>
      <c r="AI49" s="40" t="str">
        <f>IF(AND(E49&lt;&gt;'Povolené hodnoty'!$B$4,F49=11),J49+M49+P49+S49,"")</f>
        <v/>
      </c>
      <c r="AJ49" s="40" t="str">
        <f>IF(AND(E49&lt;&gt;'Povolené hodnoty'!$B$4,F49=12),J49+M49+P49+S49,"")</f>
        <v/>
      </c>
      <c r="AK49" s="41" t="str">
        <f>IF(AND(E49&lt;&gt;'Povolené hodnoty'!$B$4,F49=13),J49+M49+P49+S49,"")</f>
        <v/>
      </c>
      <c r="AL49" s="39" t="str">
        <f>IF(AND($G49='Povolené hodnoty'!$B$13,$H49=AL$4),SUM($I49,$L49,$O49,$R49),"")</f>
        <v/>
      </c>
      <c r="AM49" s="458" t="str">
        <f>IF(AND($G49='Povolené hodnoty'!$B$13,$H49=AM$4),SUM($I49,$L49,$O49,$R49),"")</f>
        <v/>
      </c>
      <c r="AN49" s="458" t="str">
        <f>IF(AND($G49='Povolené hodnoty'!$B$13,$H49=AN$4),SUM($I49,$L49,$O49,$R49),"")</f>
        <v/>
      </c>
      <c r="AO49" s="458" t="str">
        <f>IF(AND($G49='Povolené hodnoty'!$B$13,$H49=AO$4),SUM($I49,$L49,$O49,$R49),"")</f>
        <v/>
      </c>
      <c r="AP49" s="458" t="str">
        <f>IF(AND($G49='Povolené hodnoty'!$B$13,$H49=AP$4),SUM($I49,$L49,$O49,$R49),"")</f>
        <v/>
      </c>
      <c r="AQ49" s="40" t="str">
        <f>IF(AND($G49='Povolené hodnoty'!$B$13,OR($H49=AQ$4,$H49='Povolené hodnoty'!$E$36)),SUM($I49,-$J49,$L49,-$M49,$O49,-$P49,$R49,-$S49),"")</f>
        <v/>
      </c>
      <c r="AR49" s="40" t="str">
        <f>IF(AND($G49='Povolené hodnoty'!$B$13,$H49=AR$4),SUM($I49,$L49,$O49,$R49),"")</f>
        <v/>
      </c>
      <c r="AS49" s="41" t="str">
        <f>IF(AND($G49='Povolené hodnoty'!$B$13,$H49=AS$4),SUM($I49,$L49,$O49,$R49),"")</f>
        <v/>
      </c>
      <c r="AT49" s="39" t="str">
        <f>IF(AND($G49='Povolené hodnoty'!$B$14,$H49=AT$4),SUM($I49,$L49,$O49,$R49),"")</f>
        <v/>
      </c>
      <c r="AU49" s="458" t="str">
        <f>IF(AND($G49='Povolené hodnoty'!$B$14,$H49=AU$4),SUM($I49,$L49,$O49,$R49),"")</f>
        <v/>
      </c>
      <c r="AV49" s="41" t="str">
        <f>IF(AND($G49='Povolené hodnoty'!$B$14,$H49=AV$4),SUM($I49,$L49,$O49,$R49),"")</f>
        <v/>
      </c>
      <c r="AW49" s="39" t="str">
        <f>IF(AND($G49='Povolené hodnoty'!$B$13,$H49=AW$4),SUM($J49,$M49,$P49,$S49),"")</f>
        <v/>
      </c>
      <c r="AX49" s="458" t="str">
        <f>IF(AND($G49='Povolené hodnoty'!$B$13,$H49=AX$4),SUM($J49,$M49,$P49,$S49),"")</f>
        <v/>
      </c>
      <c r="AY49" s="458" t="str">
        <f>IF(AND($G49='Povolené hodnoty'!$B$13,$H49=AY$4),SUM($J49,$M49,$P49,$S49),"")</f>
        <v/>
      </c>
      <c r="AZ49" s="458" t="str">
        <f>IF(AND($G49='Povolené hodnoty'!$B$13,$H49=AZ$4),SUM($J49,$M49,$P49,$S49),"")</f>
        <v/>
      </c>
      <c r="BA49" s="458" t="str">
        <f>IF(AND($G49='Povolené hodnoty'!$B$13,$H49=BA$4),SUM($J49,$M49,$P49,$S49),"")</f>
        <v/>
      </c>
      <c r="BB49" s="40" t="str">
        <f>IF(AND($G49='Povolené hodnoty'!$B$13,$H49=BB$4),SUM($J49,$M49,$P49,$S49),"")</f>
        <v/>
      </c>
      <c r="BC49" s="40" t="str">
        <f>IF(AND($G49='Povolené hodnoty'!$B$13,$H49=BC$4),SUM($J49,$M49,$P49,$S49),"")</f>
        <v/>
      </c>
      <c r="BD49" s="40" t="str">
        <f>IF(AND($G49='Povolené hodnoty'!$B$13,$H49=BD$4),SUM($J49,$M49,$P49,$S49),"")</f>
        <v/>
      </c>
      <c r="BE49" s="41" t="str">
        <f>IF(AND($G49='Povolené hodnoty'!$B$13,$H49=BE$4),SUM($J49,$M49,$P49,$S49),"")</f>
        <v/>
      </c>
      <c r="BF49" s="39" t="str">
        <f>IF(AND($G49='Povolené hodnoty'!$B$14,$H49=BF$4),SUM($J49,$M49,$P49,$S49),"")</f>
        <v/>
      </c>
      <c r="BG49" s="458" t="str">
        <f>IF(AND($G49='Povolené hodnoty'!$B$14,$H49=BG$4),SUM($J49,$M49,$P49,$S49),"")</f>
        <v/>
      </c>
      <c r="BH49" s="458" t="str">
        <f>IF(AND($G49='Povolené hodnoty'!$B$14,$H49=BH$4),SUM($J49,$M49,$P49,$S49),"")</f>
        <v/>
      </c>
      <c r="BI49" s="458" t="str">
        <f>IF(AND($G49='Povolené hodnoty'!$B$14,$H49=BI$4),SUM($J49,$M49,$P49,$S49),"")</f>
        <v/>
      </c>
      <c r="BJ49" s="458" t="str">
        <f>IF(AND($G49='Povolené hodnoty'!$B$14,$H49=BJ$4),SUM($J49,$M49,$P49,$S49),"")</f>
        <v/>
      </c>
      <c r="BK49" s="40" t="str">
        <f>IF(AND($G49='Povolené hodnoty'!$B$14,$H49=BK$4),SUM($J49,$M49,$P49,$S49),"")</f>
        <v/>
      </c>
      <c r="BL49" s="40" t="str">
        <f>IF(AND($G49='Povolené hodnoty'!$B$14,$H49=BL$4),SUM($J49,$M49,$P49,$S49),"")</f>
        <v/>
      </c>
      <c r="BM49" s="41" t="str">
        <f>IF(AND($G49='Povolené hodnoty'!$B$14,$H49=BM$4),SUM($J49,$M49,$P49,$S49),"")</f>
        <v/>
      </c>
      <c r="BO49" s="18" t="b">
        <f t="shared" si="33"/>
        <v>0</v>
      </c>
      <c r="BP49" s="18" t="b">
        <f t="shared" si="1"/>
        <v>0</v>
      </c>
      <c r="BQ49" s="18" t="b">
        <f>AND(E49&lt;&gt;'Povolené hodnoty'!$B$6,F49&lt;&gt;'Povolené hodnoty'!$D$7,F49&lt;&gt;'Povolené hodnoty'!$D$8,OR(SUM(I49,L49,O49,R49)&lt;&gt;SUM(W49:X49,AA49:AG49),SUM(J49,M49,P49,S49)&lt;&gt;SUM(Y49:Z49,AH49:AK49),COUNT(I49:J49,L49:M49,O49:P49,R49:S49)&lt;&gt;COUNT(W49:AK49)))</f>
        <v>0</v>
      </c>
      <c r="BR49" s="18" t="b">
        <f>OR(AND(E49='Povolené hodnoty'!$B$6,$BR$5),AND(E49='Povolené hodnoty'!$B$6,H49&lt;&gt;'Povolené hodnoty'!$E$26,H49&lt;&gt;'Povolené hodnoty'!$E$35),AND(E49&lt;&gt;'Povolené hodnoty'!$B$6,OR(H49='Povolené hodnoty'!$E$26,H49='Povolené hodnoty'!$E$35)))</f>
        <v>0</v>
      </c>
      <c r="BS49" s="18" t="b">
        <f>OR(AND(G49&lt;&gt;'Povolené hodnoty'!$B$13,OR(H49='Povolené hodnoty'!$E$21,H49='Povolené hodnoty'!$E$22,H49='Povolené hodnoty'!$E$23,H49='Povolené hodnoty'!$E$24,H49='Povolené hodnoty'!$E$26,H49='Povolené hodnoty'!$E$36)),COUNT(I49:J49,L49:M49,O49:P49,R49:S49)&lt;&gt;COUNT(AL49:BM49))</f>
        <v>0</v>
      </c>
      <c r="BT49" s="18" t="b">
        <f t="shared" si="2"/>
        <v>0</v>
      </c>
      <c r="BV49" s="39" t="str">
        <f t="shared" si="3"/>
        <v/>
      </c>
      <c r="BW49" s="458" t="str">
        <f t="shared" si="4"/>
        <v/>
      </c>
      <c r="BX49" s="458" t="str">
        <f t="shared" si="5"/>
        <v/>
      </c>
      <c r="BY49" s="458" t="str">
        <f t="shared" si="6"/>
        <v/>
      </c>
      <c r="BZ49" s="458" t="str">
        <f t="shared" si="7"/>
        <v/>
      </c>
      <c r="CA49" s="40" t="str">
        <f t="shared" si="8"/>
        <v/>
      </c>
      <c r="CB49" s="40" t="str">
        <f t="shared" si="9"/>
        <v/>
      </c>
      <c r="CC49" s="39" t="str">
        <f t="shared" si="10"/>
        <v/>
      </c>
      <c r="CD49" s="458" t="str">
        <f t="shared" si="11"/>
        <v/>
      </c>
      <c r="CE49" s="41" t="str">
        <f t="shared" si="12"/>
        <v/>
      </c>
      <c r="CF49" s="39" t="str">
        <f t="shared" si="13"/>
        <v/>
      </c>
      <c r="CG49" s="458" t="str">
        <f t="shared" si="14"/>
        <v/>
      </c>
      <c r="CH49" s="458" t="str">
        <f t="shared" si="15"/>
        <v/>
      </c>
      <c r="CI49" s="458" t="str">
        <f t="shared" si="16"/>
        <v/>
      </c>
      <c r="CJ49" s="458" t="str">
        <f t="shared" si="17"/>
        <v/>
      </c>
      <c r="CK49" s="40" t="str">
        <f t="shared" si="18"/>
        <v/>
      </c>
      <c r="CL49" s="40" t="str">
        <f t="shared" si="19"/>
        <v/>
      </c>
      <c r="CM49" s="40" t="str">
        <f t="shared" si="20"/>
        <v/>
      </c>
      <c r="CN49" s="39" t="str">
        <f t="shared" si="21"/>
        <v/>
      </c>
      <c r="CO49" s="458" t="str">
        <f t="shared" si="22"/>
        <v/>
      </c>
      <c r="CP49" s="458" t="str">
        <f t="shared" si="23"/>
        <v/>
      </c>
      <c r="CQ49" s="458" t="str">
        <f t="shared" si="24"/>
        <v/>
      </c>
      <c r="CR49" s="458" t="str">
        <f t="shared" si="25"/>
        <v/>
      </c>
      <c r="CS49" s="40" t="str">
        <f t="shared" si="26"/>
        <v/>
      </c>
      <c r="CT49" s="40" t="str">
        <f t="shared" si="27"/>
        <v/>
      </c>
      <c r="CU49" s="41" t="str">
        <f t="shared" si="28"/>
        <v/>
      </c>
    </row>
    <row r="50" spans="1:99" x14ac:dyDescent="0.2">
      <c r="A50" s="77">
        <f t="shared" si="29"/>
        <v>45</v>
      </c>
      <c r="B50" s="81"/>
      <c r="C50" s="82"/>
      <c r="D50" s="71"/>
      <c r="E50" s="72"/>
      <c r="F50" s="73"/>
      <c r="G50" s="443"/>
      <c r="H50" s="443"/>
      <c r="I50" s="74"/>
      <c r="J50" s="75"/>
      <c r="K50" s="41">
        <f t="shared" si="39"/>
        <v>3625</v>
      </c>
      <c r="L50" s="104"/>
      <c r="M50" s="105"/>
      <c r="N50" s="106">
        <f t="shared" si="40"/>
        <v>537.05999999999995</v>
      </c>
      <c r="O50" s="104"/>
      <c r="P50" s="105"/>
      <c r="Q50" s="106">
        <f t="shared" si="35"/>
        <v>10045.83</v>
      </c>
      <c r="R50" s="104"/>
      <c r="S50" s="105"/>
      <c r="T50" s="106">
        <f t="shared" si="36"/>
        <v>0</v>
      </c>
      <c r="U50" s="439"/>
      <c r="V50" s="42">
        <f t="shared" si="0"/>
        <v>45</v>
      </c>
      <c r="W50" s="39" t="str">
        <f>IF(AND(E50='Povolené hodnoty'!$B$4,F50=2),I50+L50+O50+R50,"")</f>
        <v/>
      </c>
      <c r="X50" s="41" t="str">
        <f>IF(AND(E50='Povolené hodnoty'!$B$4,F50=1),I50+L50+O50+R50,"")</f>
        <v/>
      </c>
      <c r="Y50" s="39" t="str">
        <f>IF(AND(E50='Povolené hodnoty'!$B$4,F50=10),J50+M50+P50+S50,"")</f>
        <v/>
      </c>
      <c r="Z50" s="41" t="str">
        <f>IF(AND(E50='Povolené hodnoty'!$B$4,F50=9),J50+M50+P50+S50,"")</f>
        <v/>
      </c>
      <c r="AA50" s="39" t="str">
        <f>IF(AND(E50&lt;&gt;'Povolené hodnoty'!$B$4,F50=2),I50+L50+O50+R50,"")</f>
        <v/>
      </c>
      <c r="AB50" s="40" t="str">
        <f>IF(AND(E50&lt;&gt;'Povolené hodnoty'!$B$4,F50=3),I50+L50+O50+R50,"")</f>
        <v/>
      </c>
      <c r="AC50" s="40" t="str">
        <f>IF(AND(E50&lt;&gt;'Povolené hodnoty'!$B$4,F50=4),I50+L50+O50+R50,"")</f>
        <v/>
      </c>
      <c r="AD50" s="40" t="str">
        <f>IF(AND(E50&lt;&gt;'Povolené hodnoty'!$B$4,F50="5a"),I50-J50+L50-M50+O50-P50+R50-S50,"")</f>
        <v/>
      </c>
      <c r="AE50" s="40" t="str">
        <f>IF(AND(E50&lt;&gt;'Povolené hodnoty'!$B$4,F50="5b"),I50-J50+L50-M50+O50-P50+R50-S50,"")</f>
        <v/>
      </c>
      <c r="AF50" s="40" t="str">
        <f>IF(AND(E50&lt;&gt;'Povolené hodnoty'!$B$4,F50=6),I50+L50+O50+R50,"")</f>
        <v/>
      </c>
      <c r="AG50" s="41" t="str">
        <f>IF(AND(E50&lt;&gt;'Povolené hodnoty'!$B$4,F50=7),I50+L50+O50+R50,"")</f>
        <v/>
      </c>
      <c r="AH50" s="39" t="str">
        <f>IF(AND(E50&lt;&gt;'Povolené hodnoty'!$B$4,F50=10),J50+M50+P50+S50,"")</f>
        <v/>
      </c>
      <c r="AI50" s="40" t="str">
        <f>IF(AND(E50&lt;&gt;'Povolené hodnoty'!$B$4,F50=11),J50+M50+P50+S50,"")</f>
        <v/>
      </c>
      <c r="AJ50" s="40" t="str">
        <f>IF(AND(E50&lt;&gt;'Povolené hodnoty'!$B$4,F50=12),J50+M50+P50+S50,"")</f>
        <v/>
      </c>
      <c r="AK50" s="41" t="str">
        <f>IF(AND(E50&lt;&gt;'Povolené hodnoty'!$B$4,F50=13),J50+M50+P50+S50,"")</f>
        <v/>
      </c>
      <c r="AL50" s="39" t="str">
        <f>IF(AND($G50='Povolené hodnoty'!$B$13,$H50=AL$4),SUM($I50,$L50,$O50,$R50),"")</f>
        <v/>
      </c>
      <c r="AM50" s="458" t="str">
        <f>IF(AND($G50='Povolené hodnoty'!$B$13,$H50=AM$4),SUM($I50,$L50,$O50,$R50),"")</f>
        <v/>
      </c>
      <c r="AN50" s="458" t="str">
        <f>IF(AND($G50='Povolené hodnoty'!$B$13,$H50=AN$4),SUM($I50,$L50,$O50,$R50),"")</f>
        <v/>
      </c>
      <c r="AO50" s="458" t="str">
        <f>IF(AND($G50='Povolené hodnoty'!$B$13,$H50=AO$4),SUM($I50,$L50,$O50,$R50),"")</f>
        <v/>
      </c>
      <c r="AP50" s="458" t="str">
        <f>IF(AND($G50='Povolené hodnoty'!$B$13,$H50=AP$4),SUM($I50,$L50,$O50,$R50),"")</f>
        <v/>
      </c>
      <c r="AQ50" s="40" t="str">
        <f>IF(AND($G50='Povolené hodnoty'!$B$13,OR($H50=AQ$4,$H50='Povolené hodnoty'!$E$36)),SUM($I50,-$J50,$L50,-$M50,$O50,-$P50,$R50,-$S50),"")</f>
        <v/>
      </c>
      <c r="AR50" s="40" t="str">
        <f>IF(AND($G50='Povolené hodnoty'!$B$13,$H50=AR$4),SUM($I50,$L50,$O50,$R50),"")</f>
        <v/>
      </c>
      <c r="AS50" s="41" t="str">
        <f>IF(AND($G50='Povolené hodnoty'!$B$13,$H50=AS$4),SUM($I50,$L50,$O50,$R50),"")</f>
        <v/>
      </c>
      <c r="AT50" s="39" t="str">
        <f>IF(AND($G50='Povolené hodnoty'!$B$14,$H50=AT$4),SUM($I50,$L50,$O50,$R50),"")</f>
        <v/>
      </c>
      <c r="AU50" s="458" t="str">
        <f>IF(AND($G50='Povolené hodnoty'!$B$14,$H50=AU$4),SUM($I50,$L50,$O50,$R50),"")</f>
        <v/>
      </c>
      <c r="AV50" s="41" t="str">
        <f>IF(AND($G50='Povolené hodnoty'!$B$14,$H50=AV$4),SUM($I50,$L50,$O50,$R50),"")</f>
        <v/>
      </c>
      <c r="AW50" s="39" t="str">
        <f>IF(AND($G50='Povolené hodnoty'!$B$13,$H50=AW$4),SUM($J50,$M50,$P50,$S50),"")</f>
        <v/>
      </c>
      <c r="AX50" s="458" t="str">
        <f>IF(AND($G50='Povolené hodnoty'!$B$13,$H50=AX$4),SUM($J50,$M50,$P50,$S50),"")</f>
        <v/>
      </c>
      <c r="AY50" s="458" t="str">
        <f>IF(AND($G50='Povolené hodnoty'!$B$13,$H50=AY$4),SUM($J50,$M50,$P50,$S50),"")</f>
        <v/>
      </c>
      <c r="AZ50" s="458" t="str">
        <f>IF(AND($G50='Povolené hodnoty'!$B$13,$H50=AZ$4),SUM($J50,$M50,$P50,$S50),"")</f>
        <v/>
      </c>
      <c r="BA50" s="458" t="str">
        <f>IF(AND($G50='Povolené hodnoty'!$B$13,$H50=BA$4),SUM($J50,$M50,$P50,$S50),"")</f>
        <v/>
      </c>
      <c r="BB50" s="40" t="str">
        <f>IF(AND($G50='Povolené hodnoty'!$B$13,$H50=BB$4),SUM($J50,$M50,$P50,$S50),"")</f>
        <v/>
      </c>
      <c r="BC50" s="40" t="str">
        <f>IF(AND($G50='Povolené hodnoty'!$B$13,$H50=BC$4),SUM($J50,$M50,$P50,$S50),"")</f>
        <v/>
      </c>
      <c r="BD50" s="40" t="str">
        <f>IF(AND($G50='Povolené hodnoty'!$B$13,$H50=BD$4),SUM($J50,$M50,$P50,$S50),"")</f>
        <v/>
      </c>
      <c r="BE50" s="41" t="str">
        <f>IF(AND($G50='Povolené hodnoty'!$B$13,$H50=BE$4),SUM($J50,$M50,$P50,$S50),"")</f>
        <v/>
      </c>
      <c r="BF50" s="39" t="str">
        <f>IF(AND($G50='Povolené hodnoty'!$B$14,$H50=BF$4),SUM($J50,$M50,$P50,$S50),"")</f>
        <v/>
      </c>
      <c r="BG50" s="458" t="str">
        <f>IF(AND($G50='Povolené hodnoty'!$B$14,$H50=BG$4),SUM($J50,$M50,$P50,$S50),"")</f>
        <v/>
      </c>
      <c r="BH50" s="458" t="str">
        <f>IF(AND($G50='Povolené hodnoty'!$B$14,$H50=BH$4),SUM($J50,$M50,$P50,$S50),"")</f>
        <v/>
      </c>
      <c r="BI50" s="458" t="str">
        <f>IF(AND($G50='Povolené hodnoty'!$B$14,$H50=BI$4),SUM($J50,$M50,$P50,$S50),"")</f>
        <v/>
      </c>
      <c r="BJ50" s="458" t="str">
        <f>IF(AND($G50='Povolené hodnoty'!$B$14,$H50=BJ$4),SUM($J50,$M50,$P50,$S50),"")</f>
        <v/>
      </c>
      <c r="BK50" s="40" t="str">
        <f>IF(AND($G50='Povolené hodnoty'!$B$14,$H50=BK$4),SUM($J50,$M50,$P50,$S50),"")</f>
        <v/>
      </c>
      <c r="BL50" s="40" t="str">
        <f>IF(AND($G50='Povolené hodnoty'!$B$14,$H50=BL$4),SUM($J50,$M50,$P50,$S50),"")</f>
        <v/>
      </c>
      <c r="BM50" s="41" t="str">
        <f>IF(AND($G50='Povolené hodnoty'!$B$14,$H50=BM$4),SUM($J50,$M50,$P50,$S50),"")</f>
        <v/>
      </c>
      <c r="BO50" s="18" t="b">
        <f t="shared" si="33"/>
        <v>0</v>
      </c>
      <c r="BP50" s="18" t="b">
        <f t="shared" si="1"/>
        <v>0</v>
      </c>
      <c r="BQ50" s="18" t="b">
        <f>AND(E50&lt;&gt;'Povolené hodnoty'!$B$6,F50&lt;&gt;'Povolené hodnoty'!$D$7,F50&lt;&gt;'Povolené hodnoty'!$D$8,OR(SUM(I50,L50,O50,R50)&lt;&gt;SUM(W50:X50,AA50:AG50),SUM(J50,M50,P50,S50)&lt;&gt;SUM(Y50:Z50,AH50:AK50),COUNT(I50:J50,L50:M50,O50:P50,R50:S50)&lt;&gt;COUNT(W50:AK50)))</f>
        <v>0</v>
      </c>
      <c r="BR50" s="18" t="b">
        <f>OR(AND(E50='Povolené hodnoty'!$B$6,$BR$5),AND(E50='Povolené hodnoty'!$B$6,H50&lt;&gt;'Povolené hodnoty'!$E$26,H50&lt;&gt;'Povolené hodnoty'!$E$35),AND(E50&lt;&gt;'Povolené hodnoty'!$B$6,OR(H50='Povolené hodnoty'!$E$26,H50='Povolené hodnoty'!$E$35)))</f>
        <v>0</v>
      </c>
      <c r="BS50" s="18" t="b">
        <f>OR(AND(G50&lt;&gt;'Povolené hodnoty'!$B$13,OR(H50='Povolené hodnoty'!$E$21,H50='Povolené hodnoty'!$E$22,H50='Povolené hodnoty'!$E$23,H50='Povolené hodnoty'!$E$24,H50='Povolené hodnoty'!$E$26,H50='Povolené hodnoty'!$E$36)),COUNT(I50:J50,L50:M50,O50:P50,R50:S50)&lt;&gt;COUNT(AL50:BM50))</f>
        <v>0</v>
      </c>
      <c r="BT50" s="18" t="b">
        <f t="shared" si="2"/>
        <v>0</v>
      </c>
      <c r="BV50" s="39" t="str">
        <f t="shared" si="3"/>
        <v/>
      </c>
      <c r="BW50" s="458" t="str">
        <f t="shared" si="4"/>
        <v/>
      </c>
      <c r="BX50" s="458" t="str">
        <f t="shared" si="5"/>
        <v/>
      </c>
      <c r="BY50" s="458" t="str">
        <f t="shared" si="6"/>
        <v/>
      </c>
      <c r="BZ50" s="458" t="str">
        <f t="shared" si="7"/>
        <v/>
      </c>
      <c r="CA50" s="40" t="str">
        <f t="shared" si="8"/>
        <v/>
      </c>
      <c r="CB50" s="40" t="str">
        <f t="shared" si="9"/>
        <v/>
      </c>
      <c r="CC50" s="39" t="str">
        <f t="shared" si="10"/>
        <v/>
      </c>
      <c r="CD50" s="458" t="str">
        <f t="shared" si="11"/>
        <v/>
      </c>
      <c r="CE50" s="41" t="str">
        <f t="shared" si="12"/>
        <v/>
      </c>
      <c r="CF50" s="39" t="str">
        <f t="shared" si="13"/>
        <v/>
      </c>
      <c r="CG50" s="458" t="str">
        <f t="shared" si="14"/>
        <v/>
      </c>
      <c r="CH50" s="458" t="str">
        <f t="shared" si="15"/>
        <v/>
      </c>
      <c r="CI50" s="458" t="str">
        <f t="shared" si="16"/>
        <v/>
      </c>
      <c r="CJ50" s="458" t="str">
        <f t="shared" si="17"/>
        <v/>
      </c>
      <c r="CK50" s="40" t="str">
        <f t="shared" si="18"/>
        <v/>
      </c>
      <c r="CL50" s="40" t="str">
        <f t="shared" si="19"/>
        <v/>
      </c>
      <c r="CM50" s="40" t="str">
        <f t="shared" si="20"/>
        <v/>
      </c>
      <c r="CN50" s="39" t="str">
        <f t="shared" si="21"/>
        <v/>
      </c>
      <c r="CO50" s="458" t="str">
        <f t="shared" si="22"/>
        <v/>
      </c>
      <c r="CP50" s="458" t="str">
        <f t="shared" si="23"/>
        <v/>
      </c>
      <c r="CQ50" s="458" t="str">
        <f t="shared" si="24"/>
        <v/>
      </c>
      <c r="CR50" s="458" t="str">
        <f t="shared" si="25"/>
        <v/>
      </c>
      <c r="CS50" s="40" t="str">
        <f t="shared" si="26"/>
        <v/>
      </c>
      <c r="CT50" s="40" t="str">
        <f t="shared" si="27"/>
        <v/>
      </c>
      <c r="CU50" s="41" t="str">
        <f t="shared" si="28"/>
        <v/>
      </c>
    </row>
    <row r="51" spans="1:99" x14ac:dyDescent="0.2">
      <c r="A51" s="77">
        <f t="shared" si="29"/>
        <v>46</v>
      </c>
      <c r="B51" s="81"/>
      <c r="C51" s="82"/>
      <c r="D51" s="71"/>
      <c r="E51" s="72"/>
      <c r="F51" s="73"/>
      <c r="G51" s="443"/>
      <c r="H51" s="443"/>
      <c r="I51" s="74"/>
      <c r="J51" s="75"/>
      <c r="K51" s="41">
        <f t="shared" si="39"/>
        <v>3625</v>
      </c>
      <c r="L51" s="104"/>
      <c r="M51" s="105"/>
      <c r="N51" s="106">
        <f t="shared" si="40"/>
        <v>537.05999999999995</v>
      </c>
      <c r="O51" s="104"/>
      <c r="P51" s="105"/>
      <c r="Q51" s="106">
        <f t="shared" si="35"/>
        <v>10045.83</v>
      </c>
      <c r="R51" s="104"/>
      <c r="S51" s="105"/>
      <c r="T51" s="106">
        <f t="shared" si="36"/>
        <v>0</v>
      </c>
      <c r="U51" s="439"/>
      <c r="V51" s="42">
        <f t="shared" si="0"/>
        <v>46</v>
      </c>
      <c r="W51" s="39" t="str">
        <f>IF(AND(E51='Povolené hodnoty'!$B$4,F51=2),I51+L51+O51+R51,"")</f>
        <v/>
      </c>
      <c r="X51" s="41" t="str">
        <f>IF(AND(E51='Povolené hodnoty'!$B$4,F51=1),I51+L51+O51+R51,"")</f>
        <v/>
      </c>
      <c r="Y51" s="39" t="str">
        <f>IF(AND(E51='Povolené hodnoty'!$B$4,F51=10),J51+M51+P51+S51,"")</f>
        <v/>
      </c>
      <c r="Z51" s="41" t="str">
        <f>IF(AND(E51='Povolené hodnoty'!$B$4,F51=9),J51+M51+P51+S51,"")</f>
        <v/>
      </c>
      <c r="AA51" s="39" t="str">
        <f>IF(AND(E51&lt;&gt;'Povolené hodnoty'!$B$4,F51=2),I51+L51+O51+R51,"")</f>
        <v/>
      </c>
      <c r="AB51" s="40" t="str">
        <f>IF(AND(E51&lt;&gt;'Povolené hodnoty'!$B$4,F51=3),I51+L51+O51+R51,"")</f>
        <v/>
      </c>
      <c r="AC51" s="40" t="str">
        <f>IF(AND(E51&lt;&gt;'Povolené hodnoty'!$B$4,F51=4),I51+L51+O51+R51,"")</f>
        <v/>
      </c>
      <c r="AD51" s="40" t="str">
        <f>IF(AND(E51&lt;&gt;'Povolené hodnoty'!$B$4,F51="5a"),I51-J51+L51-M51+O51-P51+R51-S51,"")</f>
        <v/>
      </c>
      <c r="AE51" s="40" t="str">
        <f>IF(AND(E51&lt;&gt;'Povolené hodnoty'!$B$4,F51="5b"),I51-J51+L51-M51+O51-P51+R51-S51,"")</f>
        <v/>
      </c>
      <c r="AF51" s="40" t="str">
        <f>IF(AND(E51&lt;&gt;'Povolené hodnoty'!$B$4,F51=6),I51+L51+O51+R51,"")</f>
        <v/>
      </c>
      <c r="AG51" s="41" t="str">
        <f>IF(AND(E51&lt;&gt;'Povolené hodnoty'!$B$4,F51=7),I51+L51+O51+R51,"")</f>
        <v/>
      </c>
      <c r="AH51" s="39" t="str">
        <f>IF(AND(E51&lt;&gt;'Povolené hodnoty'!$B$4,F51=10),J51+M51+P51+S51,"")</f>
        <v/>
      </c>
      <c r="AI51" s="40" t="str">
        <f>IF(AND(E51&lt;&gt;'Povolené hodnoty'!$B$4,F51=11),J51+M51+P51+S51,"")</f>
        <v/>
      </c>
      <c r="AJ51" s="40" t="str">
        <f>IF(AND(E51&lt;&gt;'Povolené hodnoty'!$B$4,F51=12),J51+M51+P51+S51,"")</f>
        <v/>
      </c>
      <c r="AK51" s="41" t="str">
        <f>IF(AND(E51&lt;&gt;'Povolené hodnoty'!$B$4,F51=13),J51+M51+P51+S51,"")</f>
        <v/>
      </c>
      <c r="AL51" s="39" t="str">
        <f>IF(AND($G51='Povolené hodnoty'!$B$13,$H51=AL$4),SUM($I51,$L51,$O51,$R51),"")</f>
        <v/>
      </c>
      <c r="AM51" s="458" t="str">
        <f>IF(AND($G51='Povolené hodnoty'!$B$13,$H51=AM$4),SUM($I51,$L51,$O51,$R51),"")</f>
        <v/>
      </c>
      <c r="AN51" s="458" t="str">
        <f>IF(AND($G51='Povolené hodnoty'!$B$13,$H51=AN$4),SUM($I51,$L51,$O51,$R51),"")</f>
        <v/>
      </c>
      <c r="AO51" s="458" t="str">
        <f>IF(AND($G51='Povolené hodnoty'!$B$13,$H51=AO$4),SUM($I51,$L51,$O51,$R51),"")</f>
        <v/>
      </c>
      <c r="AP51" s="458" t="str">
        <f>IF(AND($G51='Povolené hodnoty'!$B$13,$H51=AP$4),SUM($I51,$L51,$O51,$R51),"")</f>
        <v/>
      </c>
      <c r="AQ51" s="40" t="str">
        <f>IF(AND($G51='Povolené hodnoty'!$B$13,OR($H51=AQ$4,$H51='Povolené hodnoty'!$E$36)),SUM($I51,-$J51,$L51,-$M51,$O51,-$P51,$R51,-$S51),"")</f>
        <v/>
      </c>
      <c r="AR51" s="40" t="str">
        <f>IF(AND($G51='Povolené hodnoty'!$B$13,$H51=AR$4),SUM($I51,$L51,$O51,$R51),"")</f>
        <v/>
      </c>
      <c r="AS51" s="41" t="str">
        <f>IF(AND($G51='Povolené hodnoty'!$B$13,$H51=AS$4),SUM($I51,$L51,$O51,$R51),"")</f>
        <v/>
      </c>
      <c r="AT51" s="39" t="str">
        <f>IF(AND($G51='Povolené hodnoty'!$B$14,$H51=AT$4),SUM($I51,$L51,$O51,$R51),"")</f>
        <v/>
      </c>
      <c r="AU51" s="458" t="str">
        <f>IF(AND($G51='Povolené hodnoty'!$B$14,$H51=AU$4),SUM($I51,$L51,$O51,$R51),"")</f>
        <v/>
      </c>
      <c r="AV51" s="41" t="str">
        <f>IF(AND($G51='Povolené hodnoty'!$B$14,$H51=AV$4),SUM($I51,$L51,$O51,$R51),"")</f>
        <v/>
      </c>
      <c r="AW51" s="39" t="str">
        <f>IF(AND($G51='Povolené hodnoty'!$B$13,$H51=AW$4),SUM($J51,$M51,$P51,$S51),"")</f>
        <v/>
      </c>
      <c r="AX51" s="458" t="str">
        <f>IF(AND($G51='Povolené hodnoty'!$B$13,$H51=AX$4),SUM($J51,$M51,$P51,$S51),"")</f>
        <v/>
      </c>
      <c r="AY51" s="458" t="str">
        <f>IF(AND($G51='Povolené hodnoty'!$B$13,$H51=AY$4),SUM($J51,$M51,$P51,$S51),"")</f>
        <v/>
      </c>
      <c r="AZ51" s="458" t="str">
        <f>IF(AND($G51='Povolené hodnoty'!$B$13,$H51=AZ$4),SUM($J51,$M51,$P51,$S51),"")</f>
        <v/>
      </c>
      <c r="BA51" s="458" t="str">
        <f>IF(AND($G51='Povolené hodnoty'!$B$13,$H51=BA$4),SUM($J51,$M51,$P51,$S51),"")</f>
        <v/>
      </c>
      <c r="BB51" s="40" t="str">
        <f>IF(AND($G51='Povolené hodnoty'!$B$13,$H51=BB$4),SUM($J51,$M51,$P51,$S51),"")</f>
        <v/>
      </c>
      <c r="BC51" s="40" t="str">
        <f>IF(AND($G51='Povolené hodnoty'!$B$13,$H51=BC$4),SUM($J51,$M51,$P51,$S51),"")</f>
        <v/>
      </c>
      <c r="BD51" s="40" t="str">
        <f>IF(AND($G51='Povolené hodnoty'!$B$13,$H51=BD$4),SUM($J51,$M51,$P51,$S51),"")</f>
        <v/>
      </c>
      <c r="BE51" s="41" t="str">
        <f>IF(AND($G51='Povolené hodnoty'!$B$13,$H51=BE$4),SUM($J51,$M51,$P51,$S51),"")</f>
        <v/>
      </c>
      <c r="BF51" s="39" t="str">
        <f>IF(AND($G51='Povolené hodnoty'!$B$14,$H51=BF$4),SUM($J51,$M51,$P51,$S51),"")</f>
        <v/>
      </c>
      <c r="BG51" s="458" t="str">
        <f>IF(AND($G51='Povolené hodnoty'!$B$14,$H51=BG$4),SUM($J51,$M51,$P51,$S51),"")</f>
        <v/>
      </c>
      <c r="BH51" s="458" t="str">
        <f>IF(AND($G51='Povolené hodnoty'!$B$14,$H51=BH$4),SUM($J51,$M51,$P51,$S51),"")</f>
        <v/>
      </c>
      <c r="BI51" s="458" t="str">
        <f>IF(AND($G51='Povolené hodnoty'!$B$14,$H51=BI$4),SUM($J51,$M51,$P51,$S51),"")</f>
        <v/>
      </c>
      <c r="BJ51" s="458" t="str">
        <f>IF(AND($G51='Povolené hodnoty'!$B$14,$H51=BJ$4),SUM($J51,$M51,$P51,$S51),"")</f>
        <v/>
      </c>
      <c r="BK51" s="40" t="str">
        <f>IF(AND($G51='Povolené hodnoty'!$B$14,$H51=BK$4),SUM($J51,$M51,$P51,$S51),"")</f>
        <v/>
      </c>
      <c r="BL51" s="40" t="str">
        <f>IF(AND($G51='Povolené hodnoty'!$B$14,$H51=BL$4),SUM($J51,$M51,$P51,$S51),"")</f>
        <v/>
      </c>
      <c r="BM51" s="41" t="str">
        <f>IF(AND($G51='Povolené hodnoty'!$B$14,$H51=BM$4),SUM($J51,$M51,$P51,$S51),"")</f>
        <v/>
      </c>
      <c r="BO51" s="18" t="b">
        <f t="shared" si="33"/>
        <v>0</v>
      </c>
      <c r="BP51" s="18" t="b">
        <f t="shared" si="1"/>
        <v>0</v>
      </c>
      <c r="BQ51" s="18" t="b">
        <f>AND(E51&lt;&gt;'Povolené hodnoty'!$B$6,F51&lt;&gt;'Povolené hodnoty'!$D$7,F51&lt;&gt;'Povolené hodnoty'!$D$8,OR(SUM(I51,L51,O51,R51)&lt;&gt;SUM(W51:X51,AA51:AG51),SUM(J51,M51,P51,S51)&lt;&gt;SUM(Y51:Z51,AH51:AK51),COUNT(I51:J51,L51:M51,O51:P51,R51:S51)&lt;&gt;COUNT(W51:AK51)))</f>
        <v>0</v>
      </c>
      <c r="BR51" s="18" t="b">
        <f>OR(AND(E51='Povolené hodnoty'!$B$6,$BR$5),AND(E51='Povolené hodnoty'!$B$6,H51&lt;&gt;'Povolené hodnoty'!$E$26,H51&lt;&gt;'Povolené hodnoty'!$E$35),AND(E51&lt;&gt;'Povolené hodnoty'!$B$6,OR(H51='Povolené hodnoty'!$E$26,H51='Povolené hodnoty'!$E$35)))</f>
        <v>0</v>
      </c>
      <c r="BS51" s="18" t="b">
        <f>OR(AND(G51&lt;&gt;'Povolené hodnoty'!$B$13,OR(H51='Povolené hodnoty'!$E$21,H51='Povolené hodnoty'!$E$22,H51='Povolené hodnoty'!$E$23,H51='Povolené hodnoty'!$E$24,H51='Povolené hodnoty'!$E$26,H51='Povolené hodnoty'!$E$36)),COUNT(I51:J51,L51:M51,O51:P51,R51:S51)&lt;&gt;COUNT(AL51:BM51))</f>
        <v>0</v>
      </c>
      <c r="BT51" s="18" t="b">
        <f t="shared" si="2"/>
        <v>0</v>
      </c>
      <c r="BV51" s="39" t="str">
        <f t="shared" si="3"/>
        <v/>
      </c>
      <c r="BW51" s="458" t="str">
        <f t="shared" si="4"/>
        <v/>
      </c>
      <c r="BX51" s="458" t="str">
        <f t="shared" si="5"/>
        <v/>
      </c>
      <c r="BY51" s="458" t="str">
        <f t="shared" si="6"/>
        <v/>
      </c>
      <c r="BZ51" s="458" t="str">
        <f t="shared" si="7"/>
        <v/>
      </c>
      <c r="CA51" s="40" t="str">
        <f t="shared" si="8"/>
        <v/>
      </c>
      <c r="CB51" s="40" t="str">
        <f t="shared" si="9"/>
        <v/>
      </c>
      <c r="CC51" s="39" t="str">
        <f t="shared" si="10"/>
        <v/>
      </c>
      <c r="CD51" s="458" t="str">
        <f t="shared" si="11"/>
        <v/>
      </c>
      <c r="CE51" s="41" t="str">
        <f t="shared" si="12"/>
        <v/>
      </c>
      <c r="CF51" s="39" t="str">
        <f t="shared" si="13"/>
        <v/>
      </c>
      <c r="CG51" s="458" t="str">
        <f t="shared" si="14"/>
        <v/>
      </c>
      <c r="CH51" s="458" t="str">
        <f t="shared" si="15"/>
        <v/>
      </c>
      <c r="CI51" s="458" t="str">
        <f t="shared" si="16"/>
        <v/>
      </c>
      <c r="CJ51" s="458" t="str">
        <f t="shared" si="17"/>
        <v/>
      </c>
      <c r="CK51" s="40" t="str">
        <f t="shared" si="18"/>
        <v/>
      </c>
      <c r="CL51" s="40" t="str">
        <f t="shared" si="19"/>
        <v/>
      </c>
      <c r="CM51" s="40" t="str">
        <f t="shared" si="20"/>
        <v/>
      </c>
      <c r="CN51" s="39" t="str">
        <f t="shared" si="21"/>
        <v/>
      </c>
      <c r="CO51" s="458" t="str">
        <f t="shared" si="22"/>
        <v/>
      </c>
      <c r="CP51" s="458" t="str">
        <f t="shared" si="23"/>
        <v/>
      </c>
      <c r="CQ51" s="458" t="str">
        <f t="shared" si="24"/>
        <v/>
      </c>
      <c r="CR51" s="458" t="str">
        <f t="shared" si="25"/>
        <v/>
      </c>
      <c r="CS51" s="40" t="str">
        <f t="shared" si="26"/>
        <v/>
      </c>
      <c r="CT51" s="40" t="str">
        <f t="shared" si="27"/>
        <v/>
      </c>
      <c r="CU51" s="41" t="str">
        <f t="shared" si="28"/>
        <v/>
      </c>
    </row>
    <row r="52" spans="1:99" x14ac:dyDescent="0.2">
      <c r="A52" s="77">
        <f t="shared" si="29"/>
        <v>47</v>
      </c>
      <c r="B52" s="81"/>
      <c r="C52" s="82"/>
      <c r="D52" s="71"/>
      <c r="E52" s="72"/>
      <c r="F52" s="73"/>
      <c r="G52" s="443"/>
      <c r="H52" s="443"/>
      <c r="I52" s="74"/>
      <c r="J52" s="75"/>
      <c r="K52" s="41">
        <f t="shared" si="39"/>
        <v>3625</v>
      </c>
      <c r="L52" s="104"/>
      <c r="M52" s="105"/>
      <c r="N52" s="106">
        <f t="shared" si="40"/>
        <v>537.05999999999995</v>
      </c>
      <c r="O52" s="104"/>
      <c r="P52" s="105"/>
      <c r="Q52" s="106">
        <f t="shared" si="35"/>
        <v>10045.83</v>
      </c>
      <c r="R52" s="104"/>
      <c r="S52" s="105"/>
      <c r="T52" s="106">
        <f t="shared" si="36"/>
        <v>0</v>
      </c>
      <c r="U52" s="439"/>
      <c r="V52" s="42">
        <f t="shared" si="0"/>
        <v>47</v>
      </c>
      <c r="W52" s="39" t="str">
        <f>IF(AND(E52='Povolené hodnoty'!$B$4,F52=2),I52+L52+O52+R52,"")</f>
        <v/>
      </c>
      <c r="X52" s="41" t="str">
        <f>IF(AND(E52='Povolené hodnoty'!$B$4,F52=1),I52+L52+O52+R52,"")</f>
        <v/>
      </c>
      <c r="Y52" s="39" t="str">
        <f>IF(AND(E52='Povolené hodnoty'!$B$4,F52=10),J52+M52+P52+S52,"")</f>
        <v/>
      </c>
      <c r="Z52" s="41" t="str">
        <f>IF(AND(E52='Povolené hodnoty'!$B$4,F52=9),J52+M52+P52+S52,"")</f>
        <v/>
      </c>
      <c r="AA52" s="39" t="str">
        <f>IF(AND(E52&lt;&gt;'Povolené hodnoty'!$B$4,F52=2),I52+L52+O52+R52,"")</f>
        <v/>
      </c>
      <c r="AB52" s="40" t="str">
        <f>IF(AND(E52&lt;&gt;'Povolené hodnoty'!$B$4,F52=3),I52+L52+O52+R52,"")</f>
        <v/>
      </c>
      <c r="AC52" s="40" t="str">
        <f>IF(AND(E52&lt;&gt;'Povolené hodnoty'!$B$4,F52=4),I52+L52+O52+R52,"")</f>
        <v/>
      </c>
      <c r="AD52" s="40" t="str">
        <f>IF(AND(E52&lt;&gt;'Povolené hodnoty'!$B$4,F52="5a"),I52-J52+L52-M52+O52-P52+R52-S52,"")</f>
        <v/>
      </c>
      <c r="AE52" s="40" t="str">
        <f>IF(AND(E52&lt;&gt;'Povolené hodnoty'!$B$4,F52="5b"),I52-J52+L52-M52+O52-P52+R52-S52,"")</f>
        <v/>
      </c>
      <c r="AF52" s="40" t="str">
        <f>IF(AND(E52&lt;&gt;'Povolené hodnoty'!$B$4,F52=6),I52+L52+O52+R52,"")</f>
        <v/>
      </c>
      <c r="AG52" s="41" t="str">
        <f>IF(AND(E52&lt;&gt;'Povolené hodnoty'!$B$4,F52=7),I52+L52+O52+R52,"")</f>
        <v/>
      </c>
      <c r="AH52" s="39" t="str">
        <f>IF(AND(E52&lt;&gt;'Povolené hodnoty'!$B$4,F52=10),J52+M52+P52+S52,"")</f>
        <v/>
      </c>
      <c r="AI52" s="40" t="str">
        <f>IF(AND(E52&lt;&gt;'Povolené hodnoty'!$B$4,F52=11),J52+M52+P52+S52,"")</f>
        <v/>
      </c>
      <c r="AJ52" s="40" t="str">
        <f>IF(AND(E52&lt;&gt;'Povolené hodnoty'!$B$4,F52=12),J52+M52+P52+S52,"")</f>
        <v/>
      </c>
      <c r="AK52" s="41" t="str">
        <f>IF(AND(E52&lt;&gt;'Povolené hodnoty'!$B$4,F52=13),J52+M52+P52+S52,"")</f>
        <v/>
      </c>
      <c r="AL52" s="39" t="str">
        <f>IF(AND($G52='Povolené hodnoty'!$B$13,$H52=AL$4),SUM($I52,$L52,$O52,$R52),"")</f>
        <v/>
      </c>
      <c r="AM52" s="458" t="str">
        <f>IF(AND($G52='Povolené hodnoty'!$B$13,$H52=AM$4),SUM($I52,$L52,$O52,$R52),"")</f>
        <v/>
      </c>
      <c r="AN52" s="458" t="str">
        <f>IF(AND($G52='Povolené hodnoty'!$B$13,$H52=AN$4),SUM($I52,$L52,$O52,$R52),"")</f>
        <v/>
      </c>
      <c r="AO52" s="458" t="str">
        <f>IF(AND($G52='Povolené hodnoty'!$B$13,$H52=AO$4),SUM($I52,$L52,$O52,$R52),"")</f>
        <v/>
      </c>
      <c r="AP52" s="458" t="str">
        <f>IF(AND($G52='Povolené hodnoty'!$B$13,$H52=AP$4),SUM($I52,$L52,$O52,$R52),"")</f>
        <v/>
      </c>
      <c r="AQ52" s="40" t="str">
        <f>IF(AND($G52='Povolené hodnoty'!$B$13,OR($H52=AQ$4,$H52='Povolené hodnoty'!$E$36)),SUM($I52,-$J52,$L52,-$M52,$O52,-$P52,$R52,-$S52),"")</f>
        <v/>
      </c>
      <c r="AR52" s="40" t="str">
        <f>IF(AND($G52='Povolené hodnoty'!$B$13,$H52=AR$4),SUM($I52,$L52,$O52,$R52),"")</f>
        <v/>
      </c>
      <c r="AS52" s="41" t="str">
        <f>IF(AND($G52='Povolené hodnoty'!$B$13,$H52=AS$4),SUM($I52,$L52,$O52,$R52),"")</f>
        <v/>
      </c>
      <c r="AT52" s="39" t="str">
        <f>IF(AND($G52='Povolené hodnoty'!$B$14,$H52=AT$4),SUM($I52,$L52,$O52,$R52),"")</f>
        <v/>
      </c>
      <c r="AU52" s="458" t="str">
        <f>IF(AND($G52='Povolené hodnoty'!$B$14,$H52=AU$4),SUM($I52,$L52,$O52,$R52),"")</f>
        <v/>
      </c>
      <c r="AV52" s="41" t="str">
        <f>IF(AND($G52='Povolené hodnoty'!$B$14,$H52=AV$4),SUM($I52,$L52,$O52,$R52),"")</f>
        <v/>
      </c>
      <c r="AW52" s="39" t="str">
        <f>IF(AND($G52='Povolené hodnoty'!$B$13,$H52=AW$4),SUM($J52,$M52,$P52,$S52),"")</f>
        <v/>
      </c>
      <c r="AX52" s="458" t="str">
        <f>IF(AND($G52='Povolené hodnoty'!$B$13,$H52=AX$4),SUM($J52,$M52,$P52,$S52),"")</f>
        <v/>
      </c>
      <c r="AY52" s="458" t="str">
        <f>IF(AND($G52='Povolené hodnoty'!$B$13,$H52=AY$4),SUM($J52,$M52,$P52,$S52),"")</f>
        <v/>
      </c>
      <c r="AZ52" s="458" t="str">
        <f>IF(AND($G52='Povolené hodnoty'!$B$13,$H52=AZ$4),SUM($J52,$M52,$P52,$S52),"")</f>
        <v/>
      </c>
      <c r="BA52" s="458" t="str">
        <f>IF(AND($G52='Povolené hodnoty'!$B$13,$H52=BA$4),SUM($J52,$M52,$P52,$S52),"")</f>
        <v/>
      </c>
      <c r="BB52" s="40" t="str">
        <f>IF(AND($G52='Povolené hodnoty'!$B$13,$H52=BB$4),SUM($J52,$M52,$P52,$S52),"")</f>
        <v/>
      </c>
      <c r="BC52" s="40" t="str">
        <f>IF(AND($G52='Povolené hodnoty'!$B$13,$H52=BC$4),SUM($J52,$M52,$P52,$S52),"")</f>
        <v/>
      </c>
      <c r="BD52" s="40" t="str">
        <f>IF(AND($G52='Povolené hodnoty'!$B$13,$H52=BD$4),SUM($J52,$M52,$P52,$S52),"")</f>
        <v/>
      </c>
      <c r="BE52" s="41" t="str">
        <f>IF(AND($G52='Povolené hodnoty'!$B$13,$H52=BE$4),SUM($J52,$M52,$P52,$S52),"")</f>
        <v/>
      </c>
      <c r="BF52" s="39" t="str">
        <f>IF(AND($G52='Povolené hodnoty'!$B$14,$H52=BF$4),SUM($J52,$M52,$P52,$S52),"")</f>
        <v/>
      </c>
      <c r="BG52" s="458" t="str">
        <f>IF(AND($G52='Povolené hodnoty'!$B$14,$H52=BG$4),SUM($J52,$M52,$P52,$S52),"")</f>
        <v/>
      </c>
      <c r="BH52" s="458" t="str">
        <f>IF(AND($G52='Povolené hodnoty'!$B$14,$H52=BH$4),SUM($J52,$M52,$P52,$S52),"")</f>
        <v/>
      </c>
      <c r="BI52" s="458" t="str">
        <f>IF(AND($G52='Povolené hodnoty'!$B$14,$H52=BI$4),SUM($J52,$M52,$P52,$S52),"")</f>
        <v/>
      </c>
      <c r="BJ52" s="458" t="str">
        <f>IF(AND($G52='Povolené hodnoty'!$B$14,$H52=BJ$4),SUM($J52,$M52,$P52,$S52),"")</f>
        <v/>
      </c>
      <c r="BK52" s="40" t="str">
        <f>IF(AND($G52='Povolené hodnoty'!$B$14,$H52=BK$4),SUM($J52,$M52,$P52,$S52),"")</f>
        <v/>
      </c>
      <c r="BL52" s="40" t="str">
        <f>IF(AND($G52='Povolené hodnoty'!$B$14,$H52=BL$4),SUM($J52,$M52,$P52,$S52),"")</f>
        <v/>
      </c>
      <c r="BM52" s="41" t="str">
        <f>IF(AND($G52='Povolené hodnoty'!$B$14,$H52=BM$4),SUM($J52,$M52,$P52,$S52),"")</f>
        <v/>
      </c>
      <c r="BO52" s="18" t="b">
        <f t="shared" si="33"/>
        <v>0</v>
      </c>
      <c r="BP52" s="18" t="b">
        <f t="shared" si="1"/>
        <v>0</v>
      </c>
      <c r="BQ52" s="18" t="b">
        <f>AND(E52&lt;&gt;'Povolené hodnoty'!$B$6,F52&lt;&gt;'Povolené hodnoty'!$D$7,F52&lt;&gt;'Povolené hodnoty'!$D$8,OR(SUM(I52,L52,O52,R52)&lt;&gt;SUM(W52:X52,AA52:AG52),SUM(J52,M52,P52,S52)&lt;&gt;SUM(Y52:Z52,AH52:AK52),COUNT(I52:J52,L52:M52,O52:P52,R52:S52)&lt;&gt;COUNT(W52:AK52)))</f>
        <v>0</v>
      </c>
      <c r="BR52" s="18" t="b">
        <f>OR(AND(E52='Povolené hodnoty'!$B$6,$BR$5),AND(E52='Povolené hodnoty'!$B$6,H52&lt;&gt;'Povolené hodnoty'!$E$26,H52&lt;&gt;'Povolené hodnoty'!$E$35),AND(E52&lt;&gt;'Povolené hodnoty'!$B$6,OR(H52='Povolené hodnoty'!$E$26,H52='Povolené hodnoty'!$E$35)))</f>
        <v>0</v>
      </c>
      <c r="BS52" s="18" t="b">
        <f>OR(AND(G52&lt;&gt;'Povolené hodnoty'!$B$13,OR(H52='Povolené hodnoty'!$E$21,H52='Povolené hodnoty'!$E$22,H52='Povolené hodnoty'!$E$23,H52='Povolené hodnoty'!$E$24,H52='Povolené hodnoty'!$E$26,H52='Povolené hodnoty'!$E$36)),COUNT(I52:J52,L52:M52,O52:P52,R52:S52)&lt;&gt;COUNT(AL52:BM52))</f>
        <v>0</v>
      </c>
      <c r="BT52" s="18" t="b">
        <f t="shared" si="2"/>
        <v>0</v>
      </c>
      <c r="BV52" s="39" t="str">
        <f t="shared" si="3"/>
        <v/>
      </c>
      <c r="BW52" s="458" t="str">
        <f t="shared" si="4"/>
        <v/>
      </c>
      <c r="BX52" s="458" t="str">
        <f t="shared" si="5"/>
        <v/>
      </c>
      <c r="BY52" s="458" t="str">
        <f t="shared" si="6"/>
        <v/>
      </c>
      <c r="BZ52" s="458" t="str">
        <f t="shared" si="7"/>
        <v/>
      </c>
      <c r="CA52" s="40" t="str">
        <f t="shared" si="8"/>
        <v/>
      </c>
      <c r="CB52" s="40" t="str">
        <f t="shared" si="9"/>
        <v/>
      </c>
      <c r="CC52" s="39" t="str">
        <f t="shared" si="10"/>
        <v/>
      </c>
      <c r="CD52" s="458" t="str">
        <f t="shared" si="11"/>
        <v/>
      </c>
      <c r="CE52" s="41" t="str">
        <f t="shared" si="12"/>
        <v/>
      </c>
      <c r="CF52" s="39" t="str">
        <f t="shared" si="13"/>
        <v/>
      </c>
      <c r="CG52" s="458" t="str">
        <f t="shared" si="14"/>
        <v/>
      </c>
      <c r="CH52" s="458" t="str">
        <f t="shared" si="15"/>
        <v/>
      </c>
      <c r="CI52" s="458" t="str">
        <f t="shared" si="16"/>
        <v/>
      </c>
      <c r="CJ52" s="458" t="str">
        <f t="shared" si="17"/>
        <v/>
      </c>
      <c r="CK52" s="40" t="str">
        <f t="shared" si="18"/>
        <v/>
      </c>
      <c r="CL52" s="40" t="str">
        <f t="shared" si="19"/>
        <v/>
      </c>
      <c r="CM52" s="40" t="str">
        <f t="shared" si="20"/>
        <v/>
      </c>
      <c r="CN52" s="39" t="str">
        <f t="shared" si="21"/>
        <v/>
      </c>
      <c r="CO52" s="458" t="str">
        <f t="shared" si="22"/>
        <v/>
      </c>
      <c r="CP52" s="458" t="str">
        <f t="shared" si="23"/>
        <v/>
      </c>
      <c r="CQ52" s="458" t="str">
        <f t="shared" si="24"/>
        <v/>
      </c>
      <c r="CR52" s="458" t="str">
        <f t="shared" si="25"/>
        <v/>
      </c>
      <c r="CS52" s="40" t="str">
        <f t="shared" si="26"/>
        <v/>
      </c>
      <c r="CT52" s="40" t="str">
        <f t="shared" si="27"/>
        <v/>
      </c>
      <c r="CU52" s="41" t="str">
        <f t="shared" si="28"/>
        <v/>
      </c>
    </row>
    <row r="53" spans="1:99" x14ac:dyDescent="0.2">
      <c r="A53" s="77">
        <f t="shared" si="29"/>
        <v>48</v>
      </c>
      <c r="B53" s="81"/>
      <c r="C53" s="82"/>
      <c r="D53" s="71"/>
      <c r="E53" s="72"/>
      <c r="F53" s="73"/>
      <c r="G53" s="443"/>
      <c r="H53" s="443"/>
      <c r="I53" s="74"/>
      <c r="J53" s="75"/>
      <c r="K53" s="41">
        <f t="shared" si="39"/>
        <v>3625</v>
      </c>
      <c r="L53" s="104"/>
      <c r="M53" s="105"/>
      <c r="N53" s="106">
        <f t="shared" si="40"/>
        <v>537.05999999999995</v>
      </c>
      <c r="O53" s="104"/>
      <c r="P53" s="105"/>
      <c r="Q53" s="106">
        <f t="shared" si="35"/>
        <v>10045.83</v>
      </c>
      <c r="R53" s="104"/>
      <c r="S53" s="105"/>
      <c r="T53" s="106">
        <f t="shared" si="36"/>
        <v>0</v>
      </c>
      <c r="U53" s="439"/>
      <c r="V53" s="42">
        <f t="shared" si="0"/>
        <v>48</v>
      </c>
      <c r="W53" s="39" t="str">
        <f>IF(AND(E53='Povolené hodnoty'!$B$4,F53=2),I53+L53+O53+R53,"")</f>
        <v/>
      </c>
      <c r="X53" s="41" t="str">
        <f>IF(AND(E53='Povolené hodnoty'!$B$4,F53=1),I53+L53+O53+R53,"")</f>
        <v/>
      </c>
      <c r="Y53" s="39" t="str">
        <f>IF(AND(E53='Povolené hodnoty'!$B$4,F53=10),J53+M53+P53+S53,"")</f>
        <v/>
      </c>
      <c r="Z53" s="41" t="str">
        <f>IF(AND(E53='Povolené hodnoty'!$B$4,F53=9),J53+M53+P53+S53,"")</f>
        <v/>
      </c>
      <c r="AA53" s="39" t="str">
        <f>IF(AND(E53&lt;&gt;'Povolené hodnoty'!$B$4,F53=2),I53+L53+O53+R53,"")</f>
        <v/>
      </c>
      <c r="AB53" s="40" t="str">
        <f>IF(AND(E53&lt;&gt;'Povolené hodnoty'!$B$4,F53=3),I53+L53+O53+R53,"")</f>
        <v/>
      </c>
      <c r="AC53" s="40" t="str">
        <f>IF(AND(E53&lt;&gt;'Povolené hodnoty'!$B$4,F53=4),I53+L53+O53+R53,"")</f>
        <v/>
      </c>
      <c r="AD53" s="40" t="str">
        <f>IF(AND(E53&lt;&gt;'Povolené hodnoty'!$B$4,F53="5a"),I53-J53+L53-M53+O53-P53+R53-S53,"")</f>
        <v/>
      </c>
      <c r="AE53" s="40" t="str">
        <f>IF(AND(E53&lt;&gt;'Povolené hodnoty'!$B$4,F53="5b"),I53-J53+L53-M53+O53-P53+R53-S53,"")</f>
        <v/>
      </c>
      <c r="AF53" s="40" t="str">
        <f>IF(AND(E53&lt;&gt;'Povolené hodnoty'!$B$4,F53=6),I53+L53+O53+R53,"")</f>
        <v/>
      </c>
      <c r="AG53" s="41" t="str">
        <f>IF(AND(E53&lt;&gt;'Povolené hodnoty'!$B$4,F53=7),I53+L53+O53+R53,"")</f>
        <v/>
      </c>
      <c r="AH53" s="39" t="str">
        <f>IF(AND(E53&lt;&gt;'Povolené hodnoty'!$B$4,F53=10),J53+M53+P53+S53,"")</f>
        <v/>
      </c>
      <c r="AI53" s="40" t="str">
        <f>IF(AND(E53&lt;&gt;'Povolené hodnoty'!$B$4,F53=11),J53+M53+P53+S53,"")</f>
        <v/>
      </c>
      <c r="AJ53" s="40" t="str">
        <f>IF(AND(E53&lt;&gt;'Povolené hodnoty'!$B$4,F53=12),J53+M53+P53+S53,"")</f>
        <v/>
      </c>
      <c r="AK53" s="41" t="str">
        <f>IF(AND(E53&lt;&gt;'Povolené hodnoty'!$B$4,F53=13),J53+M53+P53+S53,"")</f>
        <v/>
      </c>
      <c r="AL53" s="39" t="str">
        <f>IF(AND($G53='Povolené hodnoty'!$B$13,$H53=AL$4),SUM($I53,$L53,$O53,$R53),"")</f>
        <v/>
      </c>
      <c r="AM53" s="458" t="str">
        <f>IF(AND($G53='Povolené hodnoty'!$B$13,$H53=AM$4),SUM($I53,$L53,$O53,$R53),"")</f>
        <v/>
      </c>
      <c r="AN53" s="458" t="str">
        <f>IF(AND($G53='Povolené hodnoty'!$B$13,$H53=AN$4),SUM($I53,$L53,$O53,$R53),"")</f>
        <v/>
      </c>
      <c r="AO53" s="458" t="str">
        <f>IF(AND($G53='Povolené hodnoty'!$B$13,$H53=AO$4),SUM($I53,$L53,$O53,$R53),"")</f>
        <v/>
      </c>
      <c r="AP53" s="458" t="str">
        <f>IF(AND($G53='Povolené hodnoty'!$B$13,$H53=AP$4),SUM($I53,$L53,$O53,$R53),"")</f>
        <v/>
      </c>
      <c r="AQ53" s="40" t="str">
        <f>IF(AND($G53='Povolené hodnoty'!$B$13,OR($H53=AQ$4,$H53='Povolené hodnoty'!$E$36)),SUM($I53,-$J53,$L53,-$M53,$O53,-$P53,$R53,-$S53),"")</f>
        <v/>
      </c>
      <c r="AR53" s="40" t="str">
        <f>IF(AND($G53='Povolené hodnoty'!$B$13,$H53=AR$4),SUM($I53,$L53,$O53,$R53),"")</f>
        <v/>
      </c>
      <c r="AS53" s="41" t="str">
        <f>IF(AND($G53='Povolené hodnoty'!$B$13,$H53=AS$4),SUM($I53,$L53,$O53,$R53),"")</f>
        <v/>
      </c>
      <c r="AT53" s="39" t="str">
        <f>IF(AND($G53='Povolené hodnoty'!$B$14,$H53=AT$4),SUM($I53,$L53,$O53,$R53),"")</f>
        <v/>
      </c>
      <c r="AU53" s="458" t="str">
        <f>IF(AND($G53='Povolené hodnoty'!$B$14,$H53=AU$4),SUM($I53,$L53,$O53,$R53),"")</f>
        <v/>
      </c>
      <c r="AV53" s="41" t="str">
        <f>IF(AND($G53='Povolené hodnoty'!$B$14,$H53=AV$4),SUM($I53,$L53,$O53,$R53),"")</f>
        <v/>
      </c>
      <c r="AW53" s="39" t="str">
        <f>IF(AND($G53='Povolené hodnoty'!$B$13,$H53=AW$4),SUM($J53,$M53,$P53,$S53),"")</f>
        <v/>
      </c>
      <c r="AX53" s="458" t="str">
        <f>IF(AND($G53='Povolené hodnoty'!$B$13,$H53=AX$4),SUM($J53,$M53,$P53,$S53),"")</f>
        <v/>
      </c>
      <c r="AY53" s="458" t="str">
        <f>IF(AND($G53='Povolené hodnoty'!$B$13,$H53=AY$4),SUM($J53,$M53,$P53,$S53),"")</f>
        <v/>
      </c>
      <c r="AZ53" s="458" t="str">
        <f>IF(AND($G53='Povolené hodnoty'!$B$13,$H53=AZ$4),SUM($J53,$M53,$P53,$S53),"")</f>
        <v/>
      </c>
      <c r="BA53" s="458" t="str">
        <f>IF(AND($G53='Povolené hodnoty'!$B$13,$H53=BA$4),SUM($J53,$M53,$P53,$S53),"")</f>
        <v/>
      </c>
      <c r="BB53" s="40" t="str">
        <f>IF(AND($G53='Povolené hodnoty'!$B$13,$H53=BB$4),SUM($J53,$M53,$P53,$S53),"")</f>
        <v/>
      </c>
      <c r="BC53" s="40" t="str">
        <f>IF(AND($G53='Povolené hodnoty'!$B$13,$H53=BC$4),SUM($J53,$M53,$P53,$S53),"")</f>
        <v/>
      </c>
      <c r="BD53" s="40" t="str">
        <f>IF(AND($G53='Povolené hodnoty'!$B$13,$H53=BD$4),SUM($J53,$M53,$P53,$S53),"")</f>
        <v/>
      </c>
      <c r="BE53" s="41" t="str">
        <f>IF(AND($G53='Povolené hodnoty'!$B$13,$H53=BE$4),SUM($J53,$M53,$P53,$S53),"")</f>
        <v/>
      </c>
      <c r="BF53" s="39" t="str">
        <f>IF(AND($G53='Povolené hodnoty'!$B$14,$H53=BF$4),SUM($J53,$M53,$P53,$S53),"")</f>
        <v/>
      </c>
      <c r="BG53" s="458" t="str">
        <f>IF(AND($G53='Povolené hodnoty'!$B$14,$H53=BG$4),SUM($J53,$M53,$P53,$S53),"")</f>
        <v/>
      </c>
      <c r="BH53" s="458" t="str">
        <f>IF(AND($G53='Povolené hodnoty'!$B$14,$H53=BH$4),SUM($J53,$M53,$P53,$S53),"")</f>
        <v/>
      </c>
      <c r="BI53" s="458" t="str">
        <f>IF(AND($G53='Povolené hodnoty'!$B$14,$H53=BI$4),SUM($J53,$M53,$P53,$S53),"")</f>
        <v/>
      </c>
      <c r="BJ53" s="458" t="str">
        <f>IF(AND($G53='Povolené hodnoty'!$B$14,$H53=BJ$4),SUM($J53,$M53,$P53,$S53),"")</f>
        <v/>
      </c>
      <c r="BK53" s="40" t="str">
        <f>IF(AND($G53='Povolené hodnoty'!$B$14,$H53=BK$4),SUM($J53,$M53,$P53,$S53),"")</f>
        <v/>
      </c>
      <c r="BL53" s="40" t="str">
        <f>IF(AND($G53='Povolené hodnoty'!$B$14,$H53=BL$4),SUM($J53,$M53,$P53,$S53),"")</f>
        <v/>
      </c>
      <c r="BM53" s="41" t="str">
        <f>IF(AND($G53='Povolené hodnoty'!$B$14,$H53=BM$4),SUM($J53,$M53,$P53,$S53),"")</f>
        <v/>
      </c>
      <c r="BO53" s="18" t="b">
        <f t="shared" si="33"/>
        <v>0</v>
      </c>
      <c r="BP53" s="18" t="b">
        <f t="shared" si="1"/>
        <v>0</v>
      </c>
      <c r="BQ53" s="18" t="b">
        <f>AND(E53&lt;&gt;'Povolené hodnoty'!$B$6,F53&lt;&gt;'Povolené hodnoty'!$D$7,F53&lt;&gt;'Povolené hodnoty'!$D$8,OR(SUM(I53,L53,O53,R53)&lt;&gt;SUM(W53:X53,AA53:AG53),SUM(J53,M53,P53,S53)&lt;&gt;SUM(Y53:Z53,AH53:AK53),COUNT(I53:J53,L53:M53,O53:P53,R53:S53)&lt;&gt;COUNT(W53:AK53)))</f>
        <v>0</v>
      </c>
      <c r="BR53" s="18" t="b">
        <f>OR(AND(E53='Povolené hodnoty'!$B$6,$BR$5),AND(E53='Povolené hodnoty'!$B$6,H53&lt;&gt;'Povolené hodnoty'!$E$26,H53&lt;&gt;'Povolené hodnoty'!$E$35),AND(E53&lt;&gt;'Povolené hodnoty'!$B$6,OR(H53='Povolené hodnoty'!$E$26,H53='Povolené hodnoty'!$E$35)))</f>
        <v>0</v>
      </c>
      <c r="BS53" s="18" t="b">
        <f>OR(AND(G53&lt;&gt;'Povolené hodnoty'!$B$13,OR(H53='Povolené hodnoty'!$E$21,H53='Povolené hodnoty'!$E$22,H53='Povolené hodnoty'!$E$23,H53='Povolené hodnoty'!$E$24,H53='Povolené hodnoty'!$E$26,H53='Povolené hodnoty'!$E$36)),COUNT(I53:J53,L53:M53,O53:P53,R53:S53)&lt;&gt;COUNT(AL53:BM53))</f>
        <v>0</v>
      </c>
      <c r="BT53" s="18" t="b">
        <f t="shared" si="2"/>
        <v>0</v>
      </c>
      <c r="BV53" s="39" t="str">
        <f t="shared" si="3"/>
        <v/>
      </c>
      <c r="BW53" s="458" t="str">
        <f t="shared" si="4"/>
        <v/>
      </c>
      <c r="BX53" s="458" t="str">
        <f t="shared" si="5"/>
        <v/>
      </c>
      <c r="BY53" s="458" t="str">
        <f t="shared" si="6"/>
        <v/>
      </c>
      <c r="BZ53" s="458" t="str">
        <f t="shared" si="7"/>
        <v/>
      </c>
      <c r="CA53" s="40" t="str">
        <f t="shared" si="8"/>
        <v/>
      </c>
      <c r="CB53" s="40" t="str">
        <f t="shared" si="9"/>
        <v/>
      </c>
      <c r="CC53" s="39" t="str">
        <f t="shared" si="10"/>
        <v/>
      </c>
      <c r="CD53" s="458" t="str">
        <f t="shared" si="11"/>
        <v/>
      </c>
      <c r="CE53" s="41" t="str">
        <f t="shared" si="12"/>
        <v/>
      </c>
      <c r="CF53" s="39" t="str">
        <f t="shared" si="13"/>
        <v/>
      </c>
      <c r="CG53" s="458" t="str">
        <f t="shared" si="14"/>
        <v/>
      </c>
      <c r="CH53" s="458" t="str">
        <f t="shared" si="15"/>
        <v/>
      </c>
      <c r="CI53" s="458" t="str">
        <f t="shared" si="16"/>
        <v/>
      </c>
      <c r="CJ53" s="458" t="str">
        <f t="shared" si="17"/>
        <v/>
      </c>
      <c r="CK53" s="40" t="str">
        <f t="shared" si="18"/>
        <v/>
      </c>
      <c r="CL53" s="40" t="str">
        <f t="shared" si="19"/>
        <v/>
      </c>
      <c r="CM53" s="40" t="str">
        <f t="shared" si="20"/>
        <v/>
      </c>
      <c r="CN53" s="39" t="str">
        <f t="shared" si="21"/>
        <v/>
      </c>
      <c r="CO53" s="458" t="str">
        <f t="shared" si="22"/>
        <v/>
      </c>
      <c r="CP53" s="458" t="str">
        <f t="shared" si="23"/>
        <v/>
      </c>
      <c r="CQ53" s="458" t="str">
        <f t="shared" si="24"/>
        <v/>
      </c>
      <c r="CR53" s="458" t="str">
        <f t="shared" si="25"/>
        <v/>
      </c>
      <c r="CS53" s="40" t="str">
        <f t="shared" si="26"/>
        <v/>
      </c>
      <c r="CT53" s="40" t="str">
        <f t="shared" si="27"/>
        <v/>
      </c>
      <c r="CU53" s="41" t="str">
        <f t="shared" si="28"/>
        <v/>
      </c>
    </row>
    <row r="54" spans="1:99" x14ac:dyDescent="0.2">
      <c r="A54" s="77">
        <f t="shared" si="29"/>
        <v>49</v>
      </c>
      <c r="B54" s="81"/>
      <c r="C54" s="82"/>
      <c r="D54" s="71"/>
      <c r="E54" s="72"/>
      <c r="F54" s="73"/>
      <c r="G54" s="443"/>
      <c r="H54" s="443"/>
      <c r="I54" s="74"/>
      <c r="J54" s="75"/>
      <c r="K54" s="41">
        <f t="shared" si="39"/>
        <v>3625</v>
      </c>
      <c r="L54" s="104"/>
      <c r="M54" s="105"/>
      <c r="N54" s="106">
        <f t="shared" si="40"/>
        <v>537.05999999999995</v>
      </c>
      <c r="O54" s="104"/>
      <c r="P54" s="105"/>
      <c r="Q54" s="106">
        <f t="shared" si="35"/>
        <v>10045.83</v>
      </c>
      <c r="R54" s="104"/>
      <c r="S54" s="105"/>
      <c r="T54" s="106">
        <f t="shared" si="36"/>
        <v>0</v>
      </c>
      <c r="U54" s="439"/>
      <c r="V54" s="42">
        <f t="shared" si="0"/>
        <v>49</v>
      </c>
      <c r="W54" s="39" t="str">
        <f>IF(AND(E54='Povolené hodnoty'!$B$4,F54=2),I54+L54+O54+R54,"")</f>
        <v/>
      </c>
      <c r="X54" s="41" t="str">
        <f>IF(AND(E54='Povolené hodnoty'!$B$4,F54=1),I54+L54+O54+R54,"")</f>
        <v/>
      </c>
      <c r="Y54" s="39" t="str">
        <f>IF(AND(E54='Povolené hodnoty'!$B$4,F54=10),J54+M54+P54+S54,"")</f>
        <v/>
      </c>
      <c r="Z54" s="41" t="str">
        <f>IF(AND(E54='Povolené hodnoty'!$B$4,F54=9),J54+M54+P54+S54,"")</f>
        <v/>
      </c>
      <c r="AA54" s="39" t="str">
        <f>IF(AND(E54&lt;&gt;'Povolené hodnoty'!$B$4,F54=2),I54+L54+O54+R54,"")</f>
        <v/>
      </c>
      <c r="AB54" s="40" t="str">
        <f>IF(AND(E54&lt;&gt;'Povolené hodnoty'!$B$4,F54=3),I54+L54+O54+R54,"")</f>
        <v/>
      </c>
      <c r="AC54" s="40" t="str">
        <f>IF(AND(E54&lt;&gt;'Povolené hodnoty'!$B$4,F54=4),I54+L54+O54+R54,"")</f>
        <v/>
      </c>
      <c r="AD54" s="40" t="str">
        <f>IF(AND(E54&lt;&gt;'Povolené hodnoty'!$B$4,F54="5a"),I54-J54+L54-M54+O54-P54+R54-S54,"")</f>
        <v/>
      </c>
      <c r="AE54" s="40" t="str">
        <f>IF(AND(E54&lt;&gt;'Povolené hodnoty'!$B$4,F54="5b"),I54-J54+L54-M54+O54-P54+R54-S54,"")</f>
        <v/>
      </c>
      <c r="AF54" s="40" t="str">
        <f>IF(AND(E54&lt;&gt;'Povolené hodnoty'!$B$4,F54=6),I54+L54+O54+R54,"")</f>
        <v/>
      </c>
      <c r="AG54" s="41" t="str">
        <f>IF(AND(E54&lt;&gt;'Povolené hodnoty'!$B$4,F54=7),I54+L54+O54+R54,"")</f>
        <v/>
      </c>
      <c r="AH54" s="39" t="str">
        <f>IF(AND(E54&lt;&gt;'Povolené hodnoty'!$B$4,F54=10),J54+M54+P54+S54,"")</f>
        <v/>
      </c>
      <c r="AI54" s="40" t="str">
        <f>IF(AND(E54&lt;&gt;'Povolené hodnoty'!$B$4,F54=11),J54+M54+P54+S54,"")</f>
        <v/>
      </c>
      <c r="AJ54" s="40" t="str">
        <f>IF(AND(E54&lt;&gt;'Povolené hodnoty'!$B$4,F54=12),J54+M54+P54+S54,"")</f>
        <v/>
      </c>
      <c r="AK54" s="41" t="str">
        <f>IF(AND(E54&lt;&gt;'Povolené hodnoty'!$B$4,F54=13),J54+M54+P54+S54,"")</f>
        <v/>
      </c>
      <c r="AL54" s="39" t="str">
        <f>IF(AND($G54='Povolené hodnoty'!$B$13,$H54=AL$4),SUM($I54,$L54,$O54,$R54),"")</f>
        <v/>
      </c>
      <c r="AM54" s="458" t="str">
        <f>IF(AND($G54='Povolené hodnoty'!$B$13,$H54=AM$4),SUM($I54,$L54,$O54,$R54),"")</f>
        <v/>
      </c>
      <c r="AN54" s="458" t="str">
        <f>IF(AND($G54='Povolené hodnoty'!$B$13,$H54=AN$4),SUM($I54,$L54,$O54,$R54),"")</f>
        <v/>
      </c>
      <c r="AO54" s="458" t="str">
        <f>IF(AND($G54='Povolené hodnoty'!$B$13,$H54=AO$4),SUM($I54,$L54,$O54,$R54),"")</f>
        <v/>
      </c>
      <c r="AP54" s="458" t="str">
        <f>IF(AND($G54='Povolené hodnoty'!$B$13,$H54=AP$4),SUM($I54,$L54,$O54,$R54),"")</f>
        <v/>
      </c>
      <c r="AQ54" s="40" t="str">
        <f>IF(AND($G54='Povolené hodnoty'!$B$13,OR($H54=AQ$4,$H54='Povolené hodnoty'!$E$36)),SUM($I54,-$J54,$L54,-$M54,$O54,-$P54,$R54,-$S54),"")</f>
        <v/>
      </c>
      <c r="AR54" s="40" t="str">
        <f>IF(AND($G54='Povolené hodnoty'!$B$13,$H54=AR$4),SUM($I54,$L54,$O54,$R54),"")</f>
        <v/>
      </c>
      <c r="AS54" s="41" t="str">
        <f>IF(AND($G54='Povolené hodnoty'!$B$13,$H54=AS$4),SUM($I54,$L54,$O54,$R54),"")</f>
        <v/>
      </c>
      <c r="AT54" s="39" t="str">
        <f>IF(AND($G54='Povolené hodnoty'!$B$14,$H54=AT$4),SUM($I54,$L54,$O54,$R54),"")</f>
        <v/>
      </c>
      <c r="AU54" s="458" t="str">
        <f>IF(AND($G54='Povolené hodnoty'!$B$14,$H54=AU$4),SUM($I54,$L54,$O54,$R54),"")</f>
        <v/>
      </c>
      <c r="AV54" s="41" t="str">
        <f>IF(AND($G54='Povolené hodnoty'!$B$14,$H54=AV$4),SUM($I54,$L54,$O54,$R54),"")</f>
        <v/>
      </c>
      <c r="AW54" s="39" t="str">
        <f>IF(AND($G54='Povolené hodnoty'!$B$13,$H54=AW$4),SUM($J54,$M54,$P54,$S54),"")</f>
        <v/>
      </c>
      <c r="AX54" s="458" t="str">
        <f>IF(AND($G54='Povolené hodnoty'!$B$13,$H54=AX$4),SUM($J54,$M54,$P54,$S54),"")</f>
        <v/>
      </c>
      <c r="AY54" s="458" t="str">
        <f>IF(AND($G54='Povolené hodnoty'!$B$13,$H54=AY$4),SUM($J54,$M54,$P54,$S54),"")</f>
        <v/>
      </c>
      <c r="AZ54" s="458" t="str">
        <f>IF(AND($G54='Povolené hodnoty'!$B$13,$H54=AZ$4),SUM($J54,$M54,$P54,$S54),"")</f>
        <v/>
      </c>
      <c r="BA54" s="458" t="str">
        <f>IF(AND($G54='Povolené hodnoty'!$B$13,$H54=BA$4),SUM($J54,$M54,$P54,$S54),"")</f>
        <v/>
      </c>
      <c r="BB54" s="40" t="str">
        <f>IF(AND($G54='Povolené hodnoty'!$B$13,$H54=BB$4),SUM($J54,$M54,$P54,$S54),"")</f>
        <v/>
      </c>
      <c r="BC54" s="40" t="str">
        <f>IF(AND($G54='Povolené hodnoty'!$B$13,$H54=BC$4),SUM($J54,$M54,$P54,$S54),"")</f>
        <v/>
      </c>
      <c r="BD54" s="40" t="str">
        <f>IF(AND($G54='Povolené hodnoty'!$B$13,$H54=BD$4),SUM($J54,$M54,$P54,$S54),"")</f>
        <v/>
      </c>
      <c r="BE54" s="41" t="str">
        <f>IF(AND($G54='Povolené hodnoty'!$B$13,$H54=BE$4),SUM($J54,$M54,$P54,$S54),"")</f>
        <v/>
      </c>
      <c r="BF54" s="39" t="str">
        <f>IF(AND($G54='Povolené hodnoty'!$B$14,$H54=BF$4),SUM($J54,$M54,$P54,$S54),"")</f>
        <v/>
      </c>
      <c r="BG54" s="458" t="str">
        <f>IF(AND($G54='Povolené hodnoty'!$B$14,$H54=BG$4),SUM($J54,$M54,$P54,$S54),"")</f>
        <v/>
      </c>
      <c r="BH54" s="458" t="str">
        <f>IF(AND($G54='Povolené hodnoty'!$B$14,$H54=BH$4),SUM($J54,$M54,$P54,$S54),"")</f>
        <v/>
      </c>
      <c r="BI54" s="458" t="str">
        <f>IF(AND($G54='Povolené hodnoty'!$B$14,$H54=BI$4),SUM($J54,$M54,$P54,$S54),"")</f>
        <v/>
      </c>
      <c r="BJ54" s="458" t="str">
        <f>IF(AND($G54='Povolené hodnoty'!$B$14,$H54=BJ$4),SUM($J54,$M54,$P54,$S54),"")</f>
        <v/>
      </c>
      <c r="BK54" s="40" t="str">
        <f>IF(AND($G54='Povolené hodnoty'!$B$14,$H54=BK$4),SUM($J54,$M54,$P54,$S54),"")</f>
        <v/>
      </c>
      <c r="BL54" s="40" t="str">
        <f>IF(AND($G54='Povolené hodnoty'!$B$14,$H54=BL$4),SUM($J54,$M54,$P54,$S54),"")</f>
        <v/>
      </c>
      <c r="BM54" s="41" t="str">
        <f>IF(AND($G54='Povolené hodnoty'!$B$14,$H54=BM$4),SUM($J54,$M54,$P54,$S54),"")</f>
        <v/>
      </c>
      <c r="BO54" s="18" t="b">
        <f t="shared" si="33"/>
        <v>0</v>
      </c>
      <c r="BP54" s="18" t="b">
        <f t="shared" si="1"/>
        <v>0</v>
      </c>
      <c r="BQ54" s="18" t="b">
        <f>AND(E54&lt;&gt;'Povolené hodnoty'!$B$6,F54&lt;&gt;'Povolené hodnoty'!$D$7,F54&lt;&gt;'Povolené hodnoty'!$D$8,OR(SUM(I54,L54,O54,R54)&lt;&gt;SUM(W54:X54,AA54:AG54),SUM(J54,M54,P54,S54)&lt;&gt;SUM(Y54:Z54,AH54:AK54),COUNT(I54:J54,L54:M54,O54:P54,R54:S54)&lt;&gt;COUNT(W54:AK54)))</f>
        <v>0</v>
      </c>
      <c r="BR54" s="18" t="b">
        <f>OR(AND(E54='Povolené hodnoty'!$B$6,$BR$5),AND(E54='Povolené hodnoty'!$B$6,H54&lt;&gt;'Povolené hodnoty'!$E$26,H54&lt;&gt;'Povolené hodnoty'!$E$35),AND(E54&lt;&gt;'Povolené hodnoty'!$B$6,OR(H54='Povolené hodnoty'!$E$26,H54='Povolené hodnoty'!$E$35)))</f>
        <v>0</v>
      </c>
      <c r="BS54" s="18" t="b">
        <f>OR(AND(G54&lt;&gt;'Povolené hodnoty'!$B$13,OR(H54='Povolené hodnoty'!$E$21,H54='Povolené hodnoty'!$E$22,H54='Povolené hodnoty'!$E$23,H54='Povolené hodnoty'!$E$24,H54='Povolené hodnoty'!$E$26,H54='Povolené hodnoty'!$E$36)),COUNT(I54:J54,L54:M54,O54:P54,R54:S54)&lt;&gt;COUNT(AL54:BM54))</f>
        <v>0</v>
      </c>
      <c r="BT54" s="18" t="b">
        <f t="shared" si="2"/>
        <v>0</v>
      </c>
      <c r="BV54" s="39" t="str">
        <f t="shared" si="3"/>
        <v/>
      </c>
      <c r="BW54" s="458" t="str">
        <f t="shared" si="4"/>
        <v/>
      </c>
      <c r="BX54" s="458" t="str">
        <f t="shared" si="5"/>
        <v/>
      </c>
      <c r="BY54" s="458" t="str">
        <f t="shared" si="6"/>
        <v/>
      </c>
      <c r="BZ54" s="458" t="str">
        <f t="shared" si="7"/>
        <v/>
      </c>
      <c r="CA54" s="40" t="str">
        <f t="shared" si="8"/>
        <v/>
      </c>
      <c r="CB54" s="40" t="str">
        <f t="shared" si="9"/>
        <v/>
      </c>
      <c r="CC54" s="39" t="str">
        <f t="shared" si="10"/>
        <v/>
      </c>
      <c r="CD54" s="458" t="str">
        <f t="shared" si="11"/>
        <v/>
      </c>
      <c r="CE54" s="41" t="str">
        <f t="shared" si="12"/>
        <v/>
      </c>
      <c r="CF54" s="39" t="str">
        <f t="shared" si="13"/>
        <v/>
      </c>
      <c r="CG54" s="458" t="str">
        <f t="shared" si="14"/>
        <v/>
      </c>
      <c r="CH54" s="458" t="str">
        <f t="shared" si="15"/>
        <v/>
      </c>
      <c r="CI54" s="458" t="str">
        <f t="shared" si="16"/>
        <v/>
      </c>
      <c r="CJ54" s="458" t="str">
        <f t="shared" si="17"/>
        <v/>
      </c>
      <c r="CK54" s="40" t="str">
        <f t="shared" si="18"/>
        <v/>
      </c>
      <c r="CL54" s="40" t="str">
        <f t="shared" si="19"/>
        <v/>
      </c>
      <c r="CM54" s="40" t="str">
        <f t="shared" si="20"/>
        <v/>
      </c>
      <c r="CN54" s="39" t="str">
        <f t="shared" si="21"/>
        <v/>
      </c>
      <c r="CO54" s="458" t="str">
        <f t="shared" si="22"/>
        <v/>
      </c>
      <c r="CP54" s="458" t="str">
        <f t="shared" si="23"/>
        <v/>
      </c>
      <c r="CQ54" s="458" t="str">
        <f t="shared" si="24"/>
        <v/>
      </c>
      <c r="CR54" s="458" t="str">
        <f t="shared" si="25"/>
        <v/>
      </c>
      <c r="CS54" s="40" t="str">
        <f t="shared" si="26"/>
        <v/>
      </c>
      <c r="CT54" s="40" t="str">
        <f t="shared" si="27"/>
        <v/>
      </c>
      <c r="CU54" s="41" t="str">
        <f t="shared" si="28"/>
        <v/>
      </c>
    </row>
    <row r="55" spans="1:99" x14ac:dyDescent="0.2">
      <c r="A55" s="77">
        <f t="shared" si="29"/>
        <v>50</v>
      </c>
      <c r="B55" s="81"/>
      <c r="C55" s="82"/>
      <c r="D55" s="71"/>
      <c r="E55" s="72"/>
      <c r="F55" s="73"/>
      <c r="G55" s="443"/>
      <c r="H55" s="443"/>
      <c r="I55" s="74"/>
      <c r="J55" s="75"/>
      <c r="K55" s="41">
        <f t="shared" si="39"/>
        <v>3625</v>
      </c>
      <c r="L55" s="104"/>
      <c r="M55" s="105"/>
      <c r="N55" s="106">
        <f t="shared" si="40"/>
        <v>537.05999999999995</v>
      </c>
      <c r="O55" s="104"/>
      <c r="P55" s="105"/>
      <c r="Q55" s="106">
        <f t="shared" si="35"/>
        <v>10045.83</v>
      </c>
      <c r="R55" s="104"/>
      <c r="S55" s="105"/>
      <c r="T55" s="106">
        <f t="shared" si="36"/>
        <v>0</v>
      </c>
      <c r="U55" s="439"/>
      <c r="V55" s="42">
        <f t="shared" si="0"/>
        <v>50</v>
      </c>
      <c r="W55" s="39" t="str">
        <f>IF(AND(E55='Povolené hodnoty'!$B$4,F55=2),I55+L55+O55+R55,"")</f>
        <v/>
      </c>
      <c r="X55" s="41" t="str">
        <f>IF(AND(E55='Povolené hodnoty'!$B$4,F55=1),I55+L55+O55+R55,"")</f>
        <v/>
      </c>
      <c r="Y55" s="39" t="str">
        <f>IF(AND(E55='Povolené hodnoty'!$B$4,F55=10),J55+M55+P55+S55,"")</f>
        <v/>
      </c>
      <c r="Z55" s="41" t="str">
        <f>IF(AND(E55='Povolené hodnoty'!$B$4,F55=9),J55+M55+P55+S55,"")</f>
        <v/>
      </c>
      <c r="AA55" s="39" t="str">
        <f>IF(AND(E55&lt;&gt;'Povolené hodnoty'!$B$4,F55=2),I55+L55+O55+R55,"")</f>
        <v/>
      </c>
      <c r="AB55" s="40" t="str">
        <f>IF(AND(E55&lt;&gt;'Povolené hodnoty'!$B$4,F55=3),I55+L55+O55+R55,"")</f>
        <v/>
      </c>
      <c r="AC55" s="40" t="str">
        <f>IF(AND(E55&lt;&gt;'Povolené hodnoty'!$B$4,F55=4),I55+L55+O55+R55,"")</f>
        <v/>
      </c>
      <c r="AD55" s="40" t="str">
        <f>IF(AND(E55&lt;&gt;'Povolené hodnoty'!$B$4,F55="5a"),I55-J55+L55-M55+O55-P55+R55-S55,"")</f>
        <v/>
      </c>
      <c r="AE55" s="40" t="str">
        <f>IF(AND(E55&lt;&gt;'Povolené hodnoty'!$B$4,F55="5b"),I55-J55+L55-M55+O55-P55+R55-S55,"")</f>
        <v/>
      </c>
      <c r="AF55" s="40" t="str">
        <f>IF(AND(E55&lt;&gt;'Povolené hodnoty'!$B$4,F55=6),I55+L55+O55+R55,"")</f>
        <v/>
      </c>
      <c r="AG55" s="41" t="str">
        <f>IF(AND(E55&lt;&gt;'Povolené hodnoty'!$B$4,F55=7),I55+L55+O55+R55,"")</f>
        <v/>
      </c>
      <c r="AH55" s="39" t="str">
        <f>IF(AND(E55&lt;&gt;'Povolené hodnoty'!$B$4,F55=10),J55+M55+P55+S55,"")</f>
        <v/>
      </c>
      <c r="AI55" s="40" t="str">
        <f>IF(AND(E55&lt;&gt;'Povolené hodnoty'!$B$4,F55=11),J55+M55+P55+S55,"")</f>
        <v/>
      </c>
      <c r="AJ55" s="40" t="str">
        <f>IF(AND(E55&lt;&gt;'Povolené hodnoty'!$B$4,F55=12),J55+M55+P55+S55,"")</f>
        <v/>
      </c>
      <c r="AK55" s="41" t="str">
        <f>IF(AND(E55&lt;&gt;'Povolené hodnoty'!$B$4,F55=13),J55+M55+P55+S55,"")</f>
        <v/>
      </c>
      <c r="AL55" s="39" t="str">
        <f>IF(AND($G55='Povolené hodnoty'!$B$13,$H55=AL$4),SUM($I55,$L55,$O55,$R55),"")</f>
        <v/>
      </c>
      <c r="AM55" s="458" t="str">
        <f>IF(AND($G55='Povolené hodnoty'!$B$13,$H55=AM$4),SUM($I55,$L55,$O55,$R55),"")</f>
        <v/>
      </c>
      <c r="AN55" s="458" t="str">
        <f>IF(AND($G55='Povolené hodnoty'!$B$13,$H55=AN$4),SUM($I55,$L55,$O55,$R55),"")</f>
        <v/>
      </c>
      <c r="AO55" s="458" t="str">
        <f>IF(AND($G55='Povolené hodnoty'!$B$13,$H55=AO$4),SUM($I55,$L55,$O55,$R55),"")</f>
        <v/>
      </c>
      <c r="AP55" s="458" t="str">
        <f>IF(AND($G55='Povolené hodnoty'!$B$13,$H55=AP$4),SUM($I55,$L55,$O55,$R55),"")</f>
        <v/>
      </c>
      <c r="AQ55" s="40" t="str">
        <f>IF(AND($G55='Povolené hodnoty'!$B$13,OR($H55=AQ$4,$H55='Povolené hodnoty'!$E$36)),SUM($I55,-$J55,$L55,-$M55,$O55,-$P55,$R55,-$S55),"")</f>
        <v/>
      </c>
      <c r="AR55" s="40" t="str">
        <f>IF(AND($G55='Povolené hodnoty'!$B$13,$H55=AR$4),SUM($I55,$L55,$O55,$R55),"")</f>
        <v/>
      </c>
      <c r="AS55" s="41" t="str">
        <f>IF(AND($G55='Povolené hodnoty'!$B$13,$H55=AS$4),SUM($I55,$L55,$O55,$R55),"")</f>
        <v/>
      </c>
      <c r="AT55" s="39" t="str">
        <f>IF(AND($G55='Povolené hodnoty'!$B$14,$H55=AT$4),SUM($I55,$L55,$O55,$R55),"")</f>
        <v/>
      </c>
      <c r="AU55" s="458" t="str">
        <f>IF(AND($G55='Povolené hodnoty'!$B$14,$H55=AU$4),SUM($I55,$L55,$O55,$R55),"")</f>
        <v/>
      </c>
      <c r="AV55" s="41" t="str">
        <f>IF(AND($G55='Povolené hodnoty'!$B$14,$H55=AV$4),SUM($I55,$L55,$O55,$R55),"")</f>
        <v/>
      </c>
      <c r="AW55" s="39" t="str">
        <f>IF(AND($G55='Povolené hodnoty'!$B$13,$H55=AW$4),SUM($J55,$M55,$P55,$S55),"")</f>
        <v/>
      </c>
      <c r="AX55" s="458" t="str">
        <f>IF(AND($G55='Povolené hodnoty'!$B$13,$H55=AX$4),SUM($J55,$M55,$P55,$S55),"")</f>
        <v/>
      </c>
      <c r="AY55" s="458" t="str">
        <f>IF(AND($G55='Povolené hodnoty'!$B$13,$H55=AY$4),SUM($J55,$M55,$P55,$S55),"")</f>
        <v/>
      </c>
      <c r="AZ55" s="458" t="str">
        <f>IF(AND($G55='Povolené hodnoty'!$B$13,$H55=AZ$4),SUM($J55,$M55,$P55,$S55),"")</f>
        <v/>
      </c>
      <c r="BA55" s="458" t="str">
        <f>IF(AND($G55='Povolené hodnoty'!$B$13,$H55=BA$4),SUM($J55,$M55,$P55,$S55),"")</f>
        <v/>
      </c>
      <c r="BB55" s="40" t="str">
        <f>IF(AND($G55='Povolené hodnoty'!$B$13,$H55=BB$4),SUM($J55,$M55,$P55,$S55),"")</f>
        <v/>
      </c>
      <c r="BC55" s="40" t="str">
        <f>IF(AND($G55='Povolené hodnoty'!$B$13,$H55=BC$4),SUM($J55,$M55,$P55,$S55),"")</f>
        <v/>
      </c>
      <c r="BD55" s="40" t="str">
        <f>IF(AND($G55='Povolené hodnoty'!$B$13,$H55=BD$4),SUM($J55,$M55,$P55,$S55),"")</f>
        <v/>
      </c>
      <c r="BE55" s="41" t="str">
        <f>IF(AND($G55='Povolené hodnoty'!$B$13,$H55=BE$4),SUM($J55,$M55,$P55,$S55),"")</f>
        <v/>
      </c>
      <c r="BF55" s="39" t="str">
        <f>IF(AND($G55='Povolené hodnoty'!$B$14,$H55=BF$4),SUM($J55,$M55,$P55,$S55),"")</f>
        <v/>
      </c>
      <c r="BG55" s="458" t="str">
        <f>IF(AND($G55='Povolené hodnoty'!$B$14,$H55=BG$4),SUM($J55,$M55,$P55,$S55),"")</f>
        <v/>
      </c>
      <c r="BH55" s="458" t="str">
        <f>IF(AND($G55='Povolené hodnoty'!$B$14,$H55=BH$4),SUM($J55,$M55,$P55,$S55),"")</f>
        <v/>
      </c>
      <c r="BI55" s="458" t="str">
        <f>IF(AND($G55='Povolené hodnoty'!$B$14,$H55=BI$4),SUM($J55,$M55,$P55,$S55),"")</f>
        <v/>
      </c>
      <c r="BJ55" s="458" t="str">
        <f>IF(AND($G55='Povolené hodnoty'!$B$14,$H55=BJ$4),SUM($J55,$M55,$P55,$S55),"")</f>
        <v/>
      </c>
      <c r="BK55" s="40" t="str">
        <f>IF(AND($G55='Povolené hodnoty'!$B$14,$H55=BK$4),SUM($J55,$M55,$P55,$S55),"")</f>
        <v/>
      </c>
      <c r="BL55" s="40" t="str">
        <f>IF(AND($G55='Povolené hodnoty'!$B$14,$H55=BL$4),SUM($J55,$M55,$P55,$S55),"")</f>
        <v/>
      </c>
      <c r="BM55" s="41" t="str">
        <f>IF(AND($G55='Povolené hodnoty'!$B$14,$H55=BM$4),SUM($J55,$M55,$P55,$S55),"")</f>
        <v/>
      </c>
      <c r="BO55" s="18" t="b">
        <f t="shared" si="33"/>
        <v>0</v>
      </c>
      <c r="BP55" s="18" t="b">
        <f t="shared" si="1"/>
        <v>0</v>
      </c>
      <c r="BQ55" s="18" t="b">
        <f>AND(E55&lt;&gt;'Povolené hodnoty'!$B$6,F55&lt;&gt;'Povolené hodnoty'!$D$7,F55&lt;&gt;'Povolené hodnoty'!$D$8,OR(SUM(I55,L55,O55,R55)&lt;&gt;SUM(W55:X55,AA55:AG55),SUM(J55,M55,P55,S55)&lt;&gt;SUM(Y55:Z55,AH55:AK55),COUNT(I55:J55,L55:M55,O55:P55,R55:S55)&lt;&gt;COUNT(W55:AK55)))</f>
        <v>0</v>
      </c>
      <c r="BR55" s="18" t="b">
        <f>OR(AND(E55='Povolené hodnoty'!$B$6,$BR$5),AND(E55='Povolené hodnoty'!$B$6,H55&lt;&gt;'Povolené hodnoty'!$E$26,H55&lt;&gt;'Povolené hodnoty'!$E$35),AND(E55&lt;&gt;'Povolené hodnoty'!$B$6,OR(H55='Povolené hodnoty'!$E$26,H55='Povolené hodnoty'!$E$35)))</f>
        <v>0</v>
      </c>
      <c r="BS55" s="18" t="b">
        <f>OR(AND(G55&lt;&gt;'Povolené hodnoty'!$B$13,OR(H55='Povolené hodnoty'!$E$21,H55='Povolené hodnoty'!$E$22,H55='Povolené hodnoty'!$E$23,H55='Povolené hodnoty'!$E$24,H55='Povolené hodnoty'!$E$26,H55='Povolené hodnoty'!$E$36)),COUNT(I55:J55,L55:M55,O55:P55,R55:S55)&lt;&gt;COUNT(AL55:BM55))</f>
        <v>0</v>
      </c>
      <c r="BT55" s="18" t="b">
        <f t="shared" si="2"/>
        <v>0</v>
      </c>
      <c r="BV55" s="39" t="str">
        <f t="shared" si="3"/>
        <v/>
      </c>
      <c r="BW55" s="458" t="str">
        <f t="shared" si="4"/>
        <v/>
      </c>
      <c r="BX55" s="458" t="str">
        <f t="shared" si="5"/>
        <v/>
      </c>
      <c r="BY55" s="458" t="str">
        <f t="shared" si="6"/>
        <v/>
      </c>
      <c r="BZ55" s="458" t="str">
        <f t="shared" si="7"/>
        <v/>
      </c>
      <c r="CA55" s="40" t="str">
        <f t="shared" si="8"/>
        <v/>
      </c>
      <c r="CB55" s="40" t="str">
        <f t="shared" si="9"/>
        <v/>
      </c>
      <c r="CC55" s="39" t="str">
        <f t="shared" si="10"/>
        <v/>
      </c>
      <c r="CD55" s="458" t="str">
        <f t="shared" si="11"/>
        <v/>
      </c>
      <c r="CE55" s="41" t="str">
        <f t="shared" si="12"/>
        <v/>
      </c>
      <c r="CF55" s="39" t="str">
        <f t="shared" si="13"/>
        <v/>
      </c>
      <c r="CG55" s="458" t="str">
        <f t="shared" si="14"/>
        <v/>
      </c>
      <c r="CH55" s="458" t="str">
        <f t="shared" si="15"/>
        <v/>
      </c>
      <c r="CI55" s="458" t="str">
        <f t="shared" si="16"/>
        <v/>
      </c>
      <c r="CJ55" s="458" t="str">
        <f t="shared" si="17"/>
        <v/>
      </c>
      <c r="CK55" s="40" t="str">
        <f t="shared" si="18"/>
        <v/>
      </c>
      <c r="CL55" s="40" t="str">
        <f t="shared" si="19"/>
        <v/>
      </c>
      <c r="CM55" s="40" t="str">
        <f t="shared" si="20"/>
        <v/>
      </c>
      <c r="CN55" s="39" t="str">
        <f t="shared" si="21"/>
        <v/>
      </c>
      <c r="CO55" s="458" t="str">
        <f t="shared" si="22"/>
        <v/>
      </c>
      <c r="CP55" s="458" t="str">
        <f t="shared" si="23"/>
        <v/>
      </c>
      <c r="CQ55" s="458" t="str">
        <f t="shared" si="24"/>
        <v/>
      </c>
      <c r="CR55" s="458" t="str">
        <f t="shared" si="25"/>
        <v/>
      </c>
      <c r="CS55" s="40" t="str">
        <f t="shared" si="26"/>
        <v/>
      </c>
      <c r="CT55" s="40" t="str">
        <f t="shared" si="27"/>
        <v/>
      </c>
      <c r="CU55" s="41" t="str">
        <f t="shared" si="28"/>
        <v/>
      </c>
    </row>
    <row r="56" spans="1:99" x14ac:dyDescent="0.2">
      <c r="A56" s="77">
        <f t="shared" si="29"/>
        <v>51</v>
      </c>
      <c r="B56" s="81"/>
      <c r="C56" s="82"/>
      <c r="D56" s="71"/>
      <c r="E56" s="72"/>
      <c r="F56" s="73"/>
      <c r="G56" s="443"/>
      <c r="H56" s="443"/>
      <c r="I56" s="74"/>
      <c r="J56" s="75"/>
      <c r="K56" s="41">
        <f t="shared" si="39"/>
        <v>3625</v>
      </c>
      <c r="L56" s="104"/>
      <c r="M56" s="105"/>
      <c r="N56" s="106">
        <f t="shared" si="40"/>
        <v>537.05999999999995</v>
      </c>
      <c r="O56" s="104"/>
      <c r="P56" s="105"/>
      <c r="Q56" s="106">
        <f t="shared" si="35"/>
        <v>10045.83</v>
      </c>
      <c r="R56" s="104"/>
      <c r="S56" s="105"/>
      <c r="T56" s="106">
        <f t="shared" si="36"/>
        <v>0</v>
      </c>
      <c r="U56" s="439"/>
      <c r="V56" s="42">
        <f t="shared" si="0"/>
        <v>51</v>
      </c>
      <c r="W56" s="39" t="str">
        <f>IF(AND(E56='Povolené hodnoty'!$B$4,F56=2),I56+L56+O56+R56,"")</f>
        <v/>
      </c>
      <c r="X56" s="41" t="str">
        <f>IF(AND(E56='Povolené hodnoty'!$B$4,F56=1),I56+L56+O56+R56,"")</f>
        <v/>
      </c>
      <c r="Y56" s="39" t="str">
        <f>IF(AND(E56='Povolené hodnoty'!$B$4,F56=10),J56+M56+P56+S56,"")</f>
        <v/>
      </c>
      <c r="Z56" s="41" t="str">
        <f>IF(AND(E56='Povolené hodnoty'!$B$4,F56=9),J56+M56+P56+S56,"")</f>
        <v/>
      </c>
      <c r="AA56" s="39" t="str">
        <f>IF(AND(E56&lt;&gt;'Povolené hodnoty'!$B$4,F56=2),I56+L56+O56+R56,"")</f>
        <v/>
      </c>
      <c r="AB56" s="40" t="str">
        <f>IF(AND(E56&lt;&gt;'Povolené hodnoty'!$B$4,F56=3),I56+L56+O56+R56,"")</f>
        <v/>
      </c>
      <c r="AC56" s="40" t="str">
        <f>IF(AND(E56&lt;&gt;'Povolené hodnoty'!$B$4,F56=4),I56+L56+O56+R56,"")</f>
        <v/>
      </c>
      <c r="AD56" s="40" t="str">
        <f>IF(AND(E56&lt;&gt;'Povolené hodnoty'!$B$4,F56="5a"),I56-J56+L56-M56+O56-P56+R56-S56,"")</f>
        <v/>
      </c>
      <c r="AE56" s="40" t="str">
        <f>IF(AND(E56&lt;&gt;'Povolené hodnoty'!$B$4,F56="5b"),I56-J56+L56-M56+O56-P56+R56-S56,"")</f>
        <v/>
      </c>
      <c r="AF56" s="40" t="str">
        <f>IF(AND(E56&lt;&gt;'Povolené hodnoty'!$B$4,F56=6),I56+L56+O56+R56,"")</f>
        <v/>
      </c>
      <c r="AG56" s="41" t="str">
        <f>IF(AND(E56&lt;&gt;'Povolené hodnoty'!$B$4,F56=7),I56+L56+O56+R56,"")</f>
        <v/>
      </c>
      <c r="AH56" s="39" t="str">
        <f>IF(AND(E56&lt;&gt;'Povolené hodnoty'!$B$4,F56=10),J56+M56+P56+S56,"")</f>
        <v/>
      </c>
      <c r="AI56" s="40" t="str">
        <f>IF(AND(E56&lt;&gt;'Povolené hodnoty'!$B$4,F56=11),J56+M56+P56+S56,"")</f>
        <v/>
      </c>
      <c r="AJ56" s="40" t="str">
        <f>IF(AND(E56&lt;&gt;'Povolené hodnoty'!$B$4,F56=12),J56+M56+P56+S56,"")</f>
        <v/>
      </c>
      <c r="AK56" s="41" t="str">
        <f>IF(AND(E56&lt;&gt;'Povolené hodnoty'!$B$4,F56=13),J56+M56+P56+S56,"")</f>
        <v/>
      </c>
      <c r="AL56" s="39" t="str">
        <f>IF(AND($G56='Povolené hodnoty'!$B$13,$H56=AL$4),SUM($I56,$L56,$O56,$R56),"")</f>
        <v/>
      </c>
      <c r="AM56" s="458" t="str">
        <f>IF(AND($G56='Povolené hodnoty'!$B$13,$H56=AM$4),SUM($I56,$L56,$O56,$R56),"")</f>
        <v/>
      </c>
      <c r="AN56" s="458" t="str">
        <f>IF(AND($G56='Povolené hodnoty'!$B$13,$H56=AN$4),SUM($I56,$L56,$O56,$R56),"")</f>
        <v/>
      </c>
      <c r="AO56" s="458" t="str">
        <f>IF(AND($G56='Povolené hodnoty'!$B$13,$H56=AO$4),SUM($I56,$L56,$O56,$R56),"")</f>
        <v/>
      </c>
      <c r="AP56" s="458" t="str">
        <f>IF(AND($G56='Povolené hodnoty'!$B$13,$H56=AP$4),SUM($I56,$L56,$O56,$R56),"")</f>
        <v/>
      </c>
      <c r="AQ56" s="40" t="str">
        <f>IF(AND($G56='Povolené hodnoty'!$B$13,OR($H56=AQ$4,$H56='Povolené hodnoty'!$E$36)),SUM($I56,-$J56,$L56,-$M56,$O56,-$P56,$R56,-$S56),"")</f>
        <v/>
      </c>
      <c r="AR56" s="40" t="str">
        <f>IF(AND($G56='Povolené hodnoty'!$B$13,$H56=AR$4),SUM($I56,$L56,$O56,$R56),"")</f>
        <v/>
      </c>
      <c r="AS56" s="41" t="str">
        <f>IF(AND($G56='Povolené hodnoty'!$B$13,$H56=AS$4),SUM($I56,$L56,$O56,$R56),"")</f>
        <v/>
      </c>
      <c r="AT56" s="39" t="str">
        <f>IF(AND($G56='Povolené hodnoty'!$B$14,$H56=AT$4),SUM($I56,$L56,$O56,$R56),"")</f>
        <v/>
      </c>
      <c r="AU56" s="458" t="str">
        <f>IF(AND($G56='Povolené hodnoty'!$B$14,$H56=AU$4),SUM($I56,$L56,$O56,$R56),"")</f>
        <v/>
      </c>
      <c r="AV56" s="41" t="str">
        <f>IF(AND($G56='Povolené hodnoty'!$B$14,$H56=AV$4),SUM($I56,$L56,$O56,$R56),"")</f>
        <v/>
      </c>
      <c r="AW56" s="39" t="str">
        <f>IF(AND($G56='Povolené hodnoty'!$B$13,$H56=AW$4),SUM($J56,$M56,$P56,$S56),"")</f>
        <v/>
      </c>
      <c r="AX56" s="458" t="str">
        <f>IF(AND($G56='Povolené hodnoty'!$B$13,$H56=AX$4),SUM($J56,$M56,$P56,$S56),"")</f>
        <v/>
      </c>
      <c r="AY56" s="458" t="str">
        <f>IF(AND($G56='Povolené hodnoty'!$B$13,$H56=AY$4),SUM($J56,$M56,$P56,$S56),"")</f>
        <v/>
      </c>
      <c r="AZ56" s="458" t="str">
        <f>IF(AND($G56='Povolené hodnoty'!$B$13,$H56=AZ$4),SUM($J56,$M56,$P56,$S56),"")</f>
        <v/>
      </c>
      <c r="BA56" s="458" t="str">
        <f>IF(AND($G56='Povolené hodnoty'!$B$13,$H56=BA$4),SUM($J56,$M56,$P56,$S56),"")</f>
        <v/>
      </c>
      <c r="BB56" s="40" t="str">
        <f>IF(AND($G56='Povolené hodnoty'!$B$13,$H56=BB$4),SUM($J56,$M56,$P56,$S56),"")</f>
        <v/>
      </c>
      <c r="BC56" s="40" t="str">
        <f>IF(AND($G56='Povolené hodnoty'!$B$13,$H56=BC$4),SUM($J56,$M56,$P56,$S56),"")</f>
        <v/>
      </c>
      <c r="BD56" s="40" t="str">
        <f>IF(AND($G56='Povolené hodnoty'!$B$13,$H56=BD$4),SUM($J56,$M56,$P56,$S56),"")</f>
        <v/>
      </c>
      <c r="BE56" s="41" t="str">
        <f>IF(AND($G56='Povolené hodnoty'!$B$13,$H56=BE$4),SUM($J56,$M56,$P56,$S56),"")</f>
        <v/>
      </c>
      <c r="BF56" s="39" t="str">
        <f>IF(AND($G56='Povolené hodnoty'!$B$14,$H56=BF$4),SUM($J56,$M56,$P56,$S56),"")</f>
        <v/>
      </c>
      <c r="BG56" s="458" t="str">
        <f>IF(AND($G56='Povolené hodnoty'!$B$14,$H56=BG$4),SUM($J56,$M56,$P56,$S56),"")</f>
        <v/>
      </c>
      <c r="BH56" s="458" t="str">
        <f>IF(AND($G56='Povolené hodnoty'!$B$14,$H56=BH$4),SUM($J56,$M56,$P56,$S56),"")</f>
        <v/>
      </c>
      <c r="BI56" s="458" t="str">
        <f>IF(AND($G56='Povolené hodnoty'!$B$14,$H56=BI$4),SUM($J56,$M56,$P56,$S56),"")</f>
        <v/>
      </c>
      <c r="BJ56" s="458" t="str">
        <f>IF(AND($G56='Povolené hodnoty'!$B$14,$H56=BJ$4),SUM($J56,$M56,$P56,$S56),"")</f>
        <v/>
      </c>
      <c r="BK56" s="40" t="str">
        <f>IF(AND($G56='Povolené hodnoty'!$B$14,$H56=BK$4),SUM($J56,$M56,$P56,$S56),"")</f>
        <v/>
      </c>
      <c r="BL56" s="40" t="str">
        <f>IF(AND($G56='Povolené hodnoty'!$B$14,$H56=BL$4),SUM($J56,$M56,$P56,$S56),"")</f>
        <v/>
      </c>
      <c r="BM56" s="41" t="str">
        <f>IF(AND($G56='Povolené hodnoty'!$B$14,$H56=BM$4),SUM($J56,$M56,$P56,$S56),"")</f>
        <v/>
      </c>
      <c r="BO56" s="18" t="b">
        <f t="shared" si="33"/>
        <v>0</v>
      </c>
      <c r="BP56" s="18" t="b">
        <f t="shared" si="1"/>
        <v>0</v>
      </c>
      <c r="BQ56" s="18" t="b">
        <f>AND(E56&lt;&gt;'Povolené hodnoty'!$B$6,F56&lt;&gt;'Povolené hodnoty'!$D$7,F56&lt;&gt;'Povolené hodnoty'!$D$8,OR(SUM(I56,L56,O56,R56)&lt;&gt;SUM(W56:X56,AA56:AG56),SUM(J56,M56,P56,S56)&lt;&gt;SUM(Y56:Z56,AH56:AK56),COUNT(I56:J56,L56:M56,O56:P56,R56:S56)&lt;&gt;COUNT(W56:AK56)))</f>
        <v>0</v>
      </c>
      <c r="BR56" s="18" t="b">
        <f>OR(AND(E56='Povolené hodnoty'!$B$6,$BR$5),AND(E56='Povolené hodnoty'!$B$6,H56&lt;&gt;'Povolené hodnoty'!$E$26,H56&lt;&gt;'Povolené hodnoty'!$E$35),AND(E56&lt;&gt;'Povolené hodnoty'!$B$6,OR(H56='Povolené hodnoty'!$E$26,H56='Povolené hodnoty'!$E$35)))</f>
        <v>0</v>
      </c>
      <c r="BS56" s="18" t="b">
        <f>OR(AND(G56&lt;&gt;'Povolené hodnoty'!$B$13,OR(H56='Povolené hodnoty'!$E$21,H56='Povolené hodnoty'!$E$22,H56='Povolené hodnoty'!$E$23,H56='Povolené hodnoty'!$E$24,H56='Povolené hodnoty'!$E$26,H56='Povolené hodnoty'!$E$36)),COUNT(I56:J56,L56:M56,O56:P56,R56:S56)&lt;&gt;COUNT(AL56:BM56))</f>
        <v>0</v>
      </c>
      <c r="BT56" s="18" t="b">
        <f t="shared" si="2"/>
        <v>0</v>
      </c>
      <c r="BV56" s="39" t="str">
        <f t="shared" si="3"/>
        <v/>
      </c>
      <c r="BW56" s="458" t="str">
        <f t="shared" si="4"/>
        <v/>
      </c>
      <c r="BX56" s="458" t="str">
        <f t="shared" si="5"/>
        <v/>
      </c>
      <c r="BY56" s="458" t="str">
        <f t="shared" si="6"/>
        <v/>
      </c>
      <c r="BZ56" s="458" t="str">
        <f t="shared" si="7"/>
        <v/>
      </c>
      <c r="CA56" s="40" t="str">
        <f t="shared" si="8"/>
        <v/>
      </c>
      <c r="CB56" s="40" t="str">
        <f t="shared" si="9"/>
        <v/>
      </c>
      <c r="CC56" s="39" t="str">
        <f t="shared" si="10"/>
        <v/>
      </c>
      <c r="CD56" s="458" t="str">
        <f t="shared" si="11"/>
        <v/>
      </c>
      <c r="CE56" s="41" t="str">
        <f t="shared" si="12"/>
        <v/>
      </c>
      <c r="CF56" s="39" t="str">
        <f t="shared" si="13"/>
        <v/>
      </c>
      <c r="CG56" s="458" t="str">
        <f t="shared" si="14"/>
        <v/>
      </c>
      <c r="CH56" s="458" t="str">
        <f t="shared" si="15"/>
        <v/>
      </c>
      <c r="CI56" s="458" t="str">
        <f t="shared" si="16"/>
        <v/>
      </c>
      <c r="CJ56" s="458" t="str">
        <f t="shared" si="17"/>
        <v/>
      </c>
      <c r="CK56" s="40" t="str">
        <f t="shared" si="18"/>
        <v/>
      </c>
      <c r="CL56" s="40" t="str">
        <f t="shared" si="19"/>
        <v/>
      </c>
      <c r="CM56" s="40" t="str">
        <f t="shared" si="20"/>
        <v/>
      </c>
      <c r="CN56" s="39" t="str">
        <f t="shared" si="21"/>
        <v/>
      </c>
      <c r="CO56" s="458" t="str">
        <f t="shared" si="22"/>
        <v/>
      </c>
      <c r="CP56" s="458" t="str">
        <f t="shared" si="23"/>
        <v/>
      </c>
      <c r="CQ56" s="458" t="str">
        <f t="shared" si="24"/>
        <v/>
      </c>
      <c r="CR56" s="458" t="str">
        <f t="shared" si="25"/>
        <v/>
      </c>
      <c r="CS56" s="40" t="str">
        <f t="shared" si="26"/>
        <v/>
      </c>
      <c r="CT56" s="40" t="str">
        <f t="shared" si="27"/>
        <v/>
      </c>
      <c r="CU56" s="41" t="str">
        <f t="shared" si="28"/>
        <v/>
      </c>
    </row>
    <row r="57" spans="1:99" x14ac:dyDescent="0.2">
      <c r="A57" s="77">
        <f t="shared" si="29"/>
        <v>52</v>
      </c>
      <c r="B57" s="81"/>
      <c r="C57" s="82"/>
      <c r="D57" s="71"/>
      <c r="E57" s="72"/>
      <c r="F57" s="73"/>
      <c r="G57" s="443"/>
      <c r="H57" s="443"/>
      <c r="I57" s="74"/>
      <c r="J57" s="75"/>
      <c r="K57" s="41">
        <f t="shared" si="39"/>
        <v>3625</v>
      </c>
      <c r="L57" s="104"/>
      <c r="M57" s="105"/>
      <c r="N57" s="106">
        <f t="shared" si="40"/>
        <v>537.05999999999995</v>
      </c>
      <c r="O57" s="104"/>
      <c r="P57" s="105"/>
      <c r="Q57" s="106">
        <f t="shared" si="35"/>
        <v>10045.83</v>
      </c>
      <c r="R57" s="104"/>
      <c r="S57" s="105"/>
      <c r="T57" s="106">
        <f t="shared" si="36"/>
        <v>0</v>
      </c>
      <c r="U57" s="439"/>
      <c r="V57" s="42">
        <f t="shared" si="0"/>
        <v>52</v>
      </c>
      <c r="W57" s="39" t="str">
        <f>IF(AND(E57='Povolené hodnoty'!$B$4,F57=2),I57+L57+O57+R57,"")</f>
        <v/>
      </c>
      <c r="X57" s="41" t="str">
        <f>IF(AND(E57='Povolené hodnoty'!$B$4,F57=1),I57+L57+O57+R57,"")</f>
        <v/>
      </c>
      <c r="Y57" s="39" t="str">
        <f>IF(AND(E57='Povolené hodnoty'!$B$4,F57=10),J57+M57+P57+S57,"")</f>
        <v/>
      </c>
      <c r="Z57" s="41" t="str">
        <f>IF(AND(E57='Povolené hodnoty'!$B$4,F57=9),J57+M57+P57+S57,"")</f>
        <v/>
      </c>
      <c r="AA57" s="39" t="str">
        <f>IF(AND(E57&lt;&gt;'Povolené hodnoty'!$B$4,F57=2),I57+L57+O57+R57,"")</f>
        <v/>
      </c>
      <c r="AB57" s="40" t="str">
        <f>IF(AND(E57&lt;&gt;'Povolené hodnoty'!$B$4,F57=3),I57+L57+O57+R57,"")</f>
        <v/>
      </c>
      <c r="AC57" s="40" t="str">
        <f>IF(AND(E57&lt;&gt;'Povolené hodnoty'!$B$4,F57=4),I57+L57+O57+R57,"")</f>
        <v/>
      </c>
      <c r="AD57" s="40" t="str">
        <f>IF(AND(E57&lt;&gt;'Povolené hodnoty'!$B$4,F57="5a"),I57-J57+L57-M57+O57-P57+R57-S57,"")</f>
        <v/>
      </c>
      <c r="AE57" s="40" t="str">
        <f>IF(AND(E57&lt;&gt;'Povolené hodnoty'!$B$4,F57="5b"),I57-J57+L57-M57+O57-P57+R57-S57,"")</f>
        <v/>
      </c>
      <c r="AF57" s="40" t="str">
        <f>IF(AND(E57&lt;&gt;'Povolené hodnoty'!$B$4,F57=6),I57+L57+O57+R57,"")</f>
        <v/>
      </c>
      <c r="AG57" s="41" t="str">
        <f>IF(AND(E57&lt;&gt;'Povolené hodnoty'!$B$4,F57=7),I57+L57+O57+R57,"")</f>
        <v/>
      </c>
      <c r="AH57" s="39" t="str">
        <f>IF(AND(E57&lt;&gt;'Povolené hodnoty'!$B$4,F57=10),J57+M57+P57+S57,"")</f>
        <v/>
      </c>
      <c r="AI57" s="40" t="str">
        <f>IF(AND(E57&lt;&gt;'Povolené hodnoty'!$B$4,F57=11),J57+M57+P57+S57,"")</f>
        <v/>
      </c>
      <c r="AJ57" s="40" t="str">
        <f>IF(AND(E57&lt;&gt;'Povolené hodnoty'!$B$4,F57=12),J57+M57+P57+S57,"")</f>
        <v/>
      </c>
      <c r="AK57" s="41" t="str">
        <f>IF(AND(E57&lt;&gt;'Povolené hodnoty'!$B$4,F57=13),J57+M57+P57+S57,"")</f>
        <v/>
      </c>
      <c r="AL57" s="39" t="str">
        <f>IF(AND($G57='Povolené hodnoty'!$B$13,$H57=AL$4),SUM($I57,$L57,$O57,$R57),"")</f>
        <v/>
      </c>
      <c r="AM57" s="458" t="str">
        <f>IF(AND($G57='Povolené hodnoty'!$B$13,$H57=AM$4),SUM($I57,$L57,$O57,$R57),"")</f>
        <v/>
      </c>
      <c r="AN57" s="458" t="str">
        <f>IF(AND($G57='Povolené hodnoty'!$B$13,$H57=AN$4),SUM($I57,$L57,$O57,$R57),"")</f>
        <v/>
      </c>
      <c r="AO57" s="458" t="str">
        <f>IF(AND($G57='Povolené hodnoty'!$B$13,$H57=AO$4),SUM($I57,$L57,$O57,$R57),"")</f>
        <v/>
      </c>
      <c r="AP57" s="458" t="str">
        <f>IF(AND($G57='Povolené hodnoty'!$B$13,$H57=AP$4),SUM($I57,$L57,$O57,$R57),"")</f>
        <v/>
      </c>
      <c r="AQ57" s="40" t="str">
        <f>IF(AND($G57='Povolené hodnoty'!$B$13,OR($H57=AQ$4,$H57='Povolené hodnoty'!$E$36)),SUM($I57,-$J57,$L57,-$M57,$O57,-$P57,$R57,-$S57),"")</f>
        <v/>
      </c>
      <c r="AR57" s="40" t="str">
        <f>IF(AND($G57='Povolené hodnoty'!$B$13,$H57=AR$4),SUM($I57,$L57,$O57,$R57),"")</f>
        <v/>
      </c>
      <c r="AS57" s="41" t="str">
        <f>IF(AND($G57='Povolené hodnoty'!$B$13,$H57=AS$4),SUM($I57,$L57,$O57,$R57),"")</f>
        <v/>
      </c>
      <c r="AT57" s="39" t="str">
        <f>IF(AND($G57='Povolené hodnoty'!$B$14,$H57=AT$4),SUM($I57,$L57,$O57,$R57),"")</f>
        <v/>
      </c>
      <c r="AU57" s="458" t="str">
        <f>IF(AND($G57='Povolené hodnoty'!$B$14,$H57=AU$4),SUM($I57,$L57,$O57,$R57),"")</f>
        <v/>
      </c>
      <c r="AV57" s="41" t="str">
        <f>IF(AND($G57='Povolené hodnoty'!$B$14,$H57=AV$4),SUM($I57,$L57,$O57,$R57),"")</f>
        <v/>
      </c>
      <c r="AW57" s="39" t="str">
        <f>IF(AND($G57='Povolené hodnoty'!$B$13,$H57=AW$4),SUM($J57,$M57,$P57,$S57),"")</f>
        <v/>
      </c>
      <c r="AX57" s="458" t="str">
        <f>IF(AND($G57='Povolené hodnoty'!$B$13,$H57=AX$4),SUM($J57,$M57,$P57,$S57),"")</f>
        <v/>
      </c>
      <c r="AY57" s="458" t="str">
        <f>IF(AND($G57='Povolené hodnoty'!$B$13,$H57=AY$4),SUM($J57,$M57,$P57,$S57),"")</f>
        <v/>
      </c>
      <c r="AZ57" s="458" t="str">
        <f>IF(AND($G57='Povolené hodnoty'!$B$13,$H57=AZ$4),SUM($J57,$M57,$P57,$S57),"")</f>
        <v/>
      </c>
      <c r="BA57" s="458" t="str">
        <f>IF(AND($G57='Povolené hodnoty'!$B$13,$H57=BA$4),SUM($J57,$M57,$P57,$S57),"")</f>
        <v/>
      </c>
      <c r="BB57" s="40" t="str">
        <f>IF(AND($G57='Povolené hodnoty'!$B$13,$H57=BB$4),SUM($J57,$M57,$P57,$S57),"")</f>
        <v/>
      </c>
      <c r="BC57" s="40" t="str">
        <f>IF(AND($G57='Povolené hodnoty'!$B$13,$H57=BC$4),SUM($J57,$M57,$P57,$S57),"")</f>
        <v/>
      </c>
      <c r="BD57" s="40" t="str">
        <f>IF(AND($G57='Povolené hodnoty'!$B$13,$H57=BD$4),SUM($J57,$M57,$P57,$S57),"")</f>
        <v/>
      </c>
      <c r="BE57" s="41" t="str">
        <f>IF(AND($G57='Povolené hodnoty'!$B$13,$H57=BE$4),SUM($J57,$M57,$P57,$S57),"")</f>
        <v/>
      </c>
      <c r="BF57" s="39" t="str">
        <f>IF(AND($G57='Povolené hodnoty'!$B$14,$H57=BF$4),SUM($J57,$M57,$P57,$S57),"")</f>
        <v/>
      </c>
      <c r="BG57" s="458" t="str">
        <f>IF(AND($G57='Povolené hodnoty'!$B$14,$H57=BG$4),SUM($J57,$M57,$P57,$S57),"")</f>
        <v/>
      </c>
      <c r="BH57" s="458" t="str">
        <f>IF(AND($G57='Povolené hodnoty'!$B$14,$H57=BH$4),SUM($J57,$M57,$P57,$S57),"")</f>
        <v/>
      </c>
      <c r="BI57" s="458" t="str">
        <f>IF(AND($G57='Povolené hodnoty'!$B$14,$H57=BI$4),SUM($J57,$M57,$P57,$S57),"")</f>
        <v/>
      </c>
      <c r="BJ57" s="458" t="str">
        <f>IF(AND($G57='Povolené hodnoty'!$B$14,$H57=BJ$4),SUM($J57,$M57,$P57,$S57),"")</f>
        <v/>
      </c>
      <c r="BK57" s="40" t="str">
        <f>IF(AND($G57='Povolené hodnoty'!$B$14,$H57=BK$4),SUM($J57,$M57,$P57,$S57),"")</f>
        <v/>
      </c>
      <c r="BL57" s="40" t="str">
        <f>IF(AND($G57='Povolené hodnoty'!$B$14,$H57=BL$4),SUM($J57,$M57,$P57,$S57),"")</f>
        <v/>
      </c>
      <c r="BM57" s="41" t="str">
        <f>IF(AND($G57='Povolené hodnoty'!$B$14,$H57=BM$4),SUM($J57,$M57,$P57,$S57),"")</f>
        <v/>
      </c>
      <c r="BO57" s="18" t="b">
        <f t="shared" si="33"/>
        <v>0</v>
      </c>
      <c r="BP57" s="18" t="b">
        <f t="shared" si="1"/>
        <v>0</v>
      </c>
      <c r="BQ57" s="18" t="b">
        <f>AND(E57&lt;&gt;'Povolené hodnoty'!$B$6,F57&lt;&gt;'Povolené hodnoty'!$D$7,F57&lt;&gt;'Povolené hodnoty'!$D$8,OR(SUM(I57,L57,O57,R57)&lt;&gt;SUM(W57:X57,AA57:AG57),SUM(J57,M57,P57,S57)&lt;&gt;SUM(Y57:Z57,AH57:AK57),COUNT(I57:J57,L57:M57,O57:P57,R57:S57)&lt;&gt;COUNT(W57:AK57)))</f>
        <v>0</v>
      </c>
      <c r="BR57" s="18" t="b">
        <f>OR(AND(E57='Povolené hodnoty'!$B$6,$BR$5),AND(E57='Povolené hodnoty'!$B$6,H57&lt;&gt;'Povolené hodnoty'!$E$26,H57&lt;&gt;'Povolené hodnoty'!$E$35),AND(E57&lt;&gt;'Povolené hodnoty'!$B$6,OR(H57='Povolené hodnoty'!$E$26,H57='Povolené hodnoty'!$E$35)))</f>
        <v>0</v>
      </c>
      <c r="BS57" s="18" t="b">
        <f>OR(AND(G57&lt;&gt;'Povolené hodnoty'!$B$13,OR(H57='Povolené hodnoty'!$E$21,H57='Povolené hodnoty'!$E$22,H57='Povolené hodnoty'!$E$23,H57='Povolené hodnoty'!$E$24,H57='Povolené hodnoty'!$E$26,H57='Povolené hodnoty'!$E$36)),COUNT(I57:J57,L57:M57,O57:P57,R57:S57)&lt;&gt;COUNT(AL57:BM57))</f>
        <v>0</v>
      </c>
      <c r="BT57" s="18" t="b">
        <f t="shared" si="2"/>
        <v>0</v>
      </c>
      <c r="BV57" s="39" t="str">
        <f t="shared" si="3"/>
        <v/>
      </c>
      <c r="BW57" s="458" t="str">
        <f t="shared" si="4"/>
        <v/>
      </c>
      <c r="BX57" s="458" t="str">
        <f t="shared" si="5"/>
        <v/>
      </c>
      <c r="BY57" s="458" t="str">
        <f t="shared" si="6"/>
        <v/>
      </c>
      <c r="BZ57" s="458" t="str">
        <f t="shared" si="7"/>
        <v/>
      </c>
      <c r="CA57" s="40" t="str">
        <f t="shared" si="8"/>
        <v/>
      </c>
      <c r="CB57" s="40" t="str">
        <f t="shared" si="9"/>
        <v/>
      </c>
      <c r="CC57" s="39" t="str">
        <f t="shared" si="10"/>
        <v/>
      </c>
      <c r="CD57" s="458" t="str">
        <f t="shared" si="11"/>
        <v/>
      </c>
      <c r="CE57" s="41" t="str">
        <f t="shared" si="12"/>
        <v/>
      </c>
      <c r="CF57" s="39" t="str">
        <f t="shared" si="13"/>
        <v/>
      </c>
      <c r="CG57" s="458" t="str">
        <f t="shared" si="14"/>
        <v/>
      </c>
      <c r="CH57" s="458" t="str">
        <f t="shared" si="15"/>
        <v/>
      </c>
      <c r="CI57" s="458" t="str">
        <f t="shared" si="16"/>
        <v/>
      </c>
      <c r="CJ57" s="458" t="str">
        <f t="shared" si="17"/>
        <v/>
      </c>
      <c r="CK57" s="40" t="str">
        <f t="shared" si="18"/>
        <v/>
      </c>
      <c r="CL57" s="40" t="str">
        <f t="shared" si="19"/>
        <v/>
      </c>
      <c r="CM57" s="40" t="str">
        <f t="shared" si="20"/>
        <v/>
      </c>
      <c r="CN57" s="39" t="str">
        <f t="shared" si="21"/>
        <v/>
      </c>
      <c r="CO57" s="458" t="str">
        <f t="shared" si="22"/>
        <v/>
      </c>
      <c r="CP57" s="458" t="str">
        <f t="shared" si="23"/>
        <v/>
      </c>
      <c r="CQ57" s="458" t="str">
        <f t="shared" si="24"/>
        <v/>
      </c>
      <c r="CR57" s="458" t="str">
        <f t="shared" si="25"/>
        <v/>
      </c>
      <c r="CS57" s="40" t="str">
        <f t="shared" si="26"/>
        <v/>
      </c>
      <c r="CT57" s="40" t="str">
        <f t="shared" si="27"/>
        <v/>
      </c>
      <c r="CU57" s="41" t="str">
        <f t="shared" si="28"/>
        <v/>
      </c>
    </row>
    <row r="58" spans="1:99" x14ac:dyDescent="0.2">
      <c r="A58" s="77">
        <f t="shared" si="29"/>
        <v>53</v>
      </c>
      <c r="B58" s="81"/>
      <c r="C58" s="82"/>
      <c r="D58" s="71"/>
      <c r="E58" s="72"/>
      <c r="F58" s="73"/>
      <c r="G58" s="443"/>
      <c r="H58" s="443"/>
      <c r="I58" s="74"/>
      <c r="J58" s="75"/>
      <c r="K58" s="41">
        <f t="shared" si="39"/>
        <v>3625</v>
      </c>
      <c r="L58" s="104"/>
      <c r="M58" s="105"/>
      <c r="N58" s="106">
        <f t="shared" si="40"/>
        <v>537.05999999999995</v>
      </c>
      <c r="O58" s="104"/>
      <c r="P58" s="105"/>
      <c r="Q58" s="106">
        <f t="shared" si="35"/>
        <v>10045.83</v>
      </c>
      <c r="R58" s="104"/>
      <c r="S58" s="105"/>
      <c r="T58" s="106">
        <f t="shared" si="36"/>
        <v>0</v>
      </c>
      <c r="U58" s="439"/>
      <c r="V58" s="42">
        <f t="shared" si="0"/>
        <v>53</v>
      </c>
      <c r="W58" s="39" t="str">
        <f>IF(AND(E58='Povolené hodnoty'!$B$4,F58=2),I58+L58+O58+R58,"")</f>
        <v/>
      </c>
      <c r="X58" s="41" t="str">
        <f>IF(AND(E58='Povolené hodnoty'!$B$4,F58=1),I58+L58+O58+R58,"")</f>
        <v/>
      </c>
      <c r="Y58" s="39" t="str">
        <f>IF(AND(E58='Povolené hodnoty'!$B$4,F58=10),J58+M58+P58+S58,"")</f>
        <v/>
      </c>
      <c r="Z58" s="41" t="str">
        <f>IF(AND(E58='Povolené hodnoty'!$B$4,F58=9),J58+M58+P58+S58,"")</f>
        <v/>
      </c>
      <c r="AA58" s="39" t="str">
        <f>IF(AND(E58&lt;&gt;'Povolené hodnoty'!$B$4,F58=2),I58+L58+O58+R58,"")</f>
        <v/>
      </c>
      <c r="AB58" s="40" t="str">
        <f>IF(AND(E58&lt;&gt;'Povolené hodnoty'!$B$4,F58=3),I58+L58+O58+R58,"")</f>
        <v/>
      </c>
      <c r="AC58" s="40" t="str">
        <f>IF(AND(E58&lt;&gt;'Povolené hodnoty'!$B$4,F58=4),I58+L58+O58+R58,"")</f>
        <v/>
      </c>
      <c r="AD58" s="40" t="str">
        <f>IF(AND(E58&lt;&gt;'Povolené hodnoty'!$B$4,F58="5a"),I58-J58+L58-M58+O58-P58+R58-S58,"")</f>
        <v/>
      </c>
      <c r="AE58" s="40" t="str">
        <f>IF(AND(E58&lt;&gt;'Povolené hodnoty'!$B$4,F58="5b"),I58-J58+L58-M58+O58-P58+R58-S58,"")</f>
        <v/>
      </c>
      <c r="AF58" s="40" t="str">
        <f>IF(AND(E58&lt;&gt;'Povolené hodnoty'!$B$4,F58=6),I58+L58+O58+R58,"")</f>
        <v/>
      </c>
      <c r="AG58" s="41" t="str">
        <f>IF(AND(E58&lt;&gt;'Povolené hodnoty'!$B$4,F58=7),I58+L58+O58+R58,"")</f>
        <v/>
      </c>
      <c r="AH58" s="39" t="str">
        <f>IF(AND(E58&lt;&gt;'Povolené hodnoty'!$B$4,F58=10),J58+M58+P58+S58,"")</f>
        <v/>
      </c>
      <c r="AI58" s="40" t="str">
        <f>IF(AND(E58&lt;&gt;'Povolené hodnoty'!$B$4,F58=11),J58+M58+P58+S58,"")</f>
        <v/>
      </c>
      <c r="AJ58" s="40" t="str">
        <f>IF(AND(E58&lt;&gt;'Povolené hodnoty'!$B$4,F58=12),J58+M58+P58+S58,"")</f>
        <v/>
      </c>
      <c r="AK58" s="41" t="str">
        <f>IF(AND(E58&lt;&gt;'Povolené hodnoty'!$B$4,F58=13),J58+M58+P58+S58,"")</f>
        <v/>
      </c>
      <c r="AL58" s="39" t="str">
        <f>IF(AND($G58='Povolené hodnoty'!$B$13,$H58=AL$4),SUM($I58,$L58,$O58,$R58),"")</f>
        <v/>
      </c>
      <c r="AM58" s="458" t="str">
        <f>IF(AND($G58='Povolené hodnoty'!$B$13,$H58=AM$4),SUM($I58,$L58,$O58,$R58),"")</f>
        <v/>
      </c>
      <c r="AN58" s="458" t="str">
        <f>IF(AND($G58='Povolené hodnoty'!$B$13,$H58=AN$4),SUM($I58,$L58,$O58,$R58),"")</f>
        <v/>
      </c>
      <c r="AO58" s="458" t="str">
        <f>IF(AND($G58='Povolené hodnoty'!$B$13,$H58=AO$4),SUM($I58,$L58,$O58,$R58),"")</f>
        <v/>
      </c>
      <c r="AP58" s="458" t="str">
        <f>IF(AND($G58='Povolené hodnoty'!$B$13,$H58=AP$4),SUM($I58,$L58,$O58,$R58),"")</f>
        <v/>
      </c>
      <c r="AQ58" s="40" t="str">
        <f>IF(AND($G58='Povolené hodnoty'!$B$13,OR($H58=AQ$4,$H58='Povolené hodnoty'!$E$36)),SUM($I58,-$J58,$L58,-$M58,$O58,-$P58,$R58,-$S58),"")</f>
        <v/>
      </c>
      <c r="AR58" s="40" t="str">
        <f>IF(AND($G58='Povolené hodnoty'!$B$13,$H58=AR$4),SUM($I58,$L58,$O58,$R58),"")</f>
        <v/>
      </c>
      <c r="AS58" s="41" t="str">
        <f>IF(AND($G58='Povolené hodnoty'!$B$13,$H58=AS$4),SUM($I58,$L58,$O58,$R58),"")</f>
        <v/>
      </c>
      <c r="AT58" s="39" t="str">
        <f>IF(AND($G58='Povolené hodnoty'!$B$14,$H58=AT$4),SUM($I58,$L58,$O58,$R58),"")</f>
        <v/>
      </c>
      <c r="AU58" s="458" t="str">
        <f>IF(AND($G58='Povolené hodnoty'!$B$14,$H58=AU$4),SUM($I58,$L58,$O58,$R58),"")</f>
        <v/>
      </c>
      <c r="AV58" s="41" t="str">
        <f>IF(AND($G58='Povolené hodnoty'!$B$14,$H58=AV$4),SUM($I58,$L58,$O58,$R58),"")</f>
        <v/>
      </c>
      <c r="AW58" s="39" t="str">
        <f>IF(AND($G58='Povolené hodnoty'!$B$13,$H58=AW$4),SUM($J58,$M58,$P58,$S58),"")</f>
        <v/>
      </c>
      <c r="AX58" s="458" t="str">
        <f>IF(AND($G58='Povolené hodnoty'!$B$13,$H58=AX$4),SUM($J58,$M58,$P58,$S58),"")</f>
        <v/>
      </c>
      <c r="AY58" s="458" t="str">
        <f>IF(AND($G58='Povolené hodnoty'!$B$13,$H58=AY$4),SUM($J58,$M58,$P58,$S58),"")</f>
        <v/>
      </c>
      <c r="AZ58" s="458" t="str">
        <f>IF(AND($G58='Povolené hodnoty'!$B$13,$H58=AZ$4),SUM($J58,$M58,$P58,$S58),"")</f>
        <v/>
      </c>
      <c r="BA58" s="458" t="str">
        <f>IF(AND($G58='Povolené hodnoty'!$B$13,$H58=BA$4),SUM($J58,$M58,$P58,$S58),"")</f>
        <v/>
      </c>
      <c r="BB58" s="40" t="str">
        <f>IF(AND($G58='Povolené hodnoty'!$B$13,$H58=BB$4),SUM($J58,$M58,$P58,$S58),"")</f>
        <v/>
      </c>
      <c r="BC58" s="40" t="str">
        <f>IF(AND($G58='Povolené hodnoty'!$B$13,$H58=BC$4),SUM($J58,$M58,$P58,$S58),"")</f>
        <v/>
      </c>
      <c r="BD58" s="40" t="str">
        <f>IF(AND($G58='Povolené hodnoty'!$B$13,$H58=BD$4),SUM($J58,$M58,$P58,$S58),"")</f>
        <v/>
      </c>
      <c r="BE58" s="41" t="str">
        <f>IF(AND($G58='Povolené hodnoty'!$B$13,$H58=BE$4),SUM($J58,$M58,$P58,$S58),"")</f>
        <v/>
      </c>
      <c r="BF58" s="39" t="str">
        <f>IF(AND($G58='Povolené hodnoty'!$B$14,$H58=BF$4),SUM($J58,$M58,$P58,$S58),"")</f>
        <v/>
      </c>
      <c r="BG58" s="458" t="str">
        <f>IF(AND($G58='Povolené hodnoty'!$B$14,$H58=BG$4),SUM($J58,$M58,$P58,$S58),"")</f>
        <v/>
      </c>
      <c r="BH58" s="458" t="str">
        <f>IF(AND($G58='Povolené hodnoty'!$B$14,$H58=BH$4),SUM($J58,$M58,$P58,$S58),"")</f>
        <v/>
      </c>
      <c r="BI58" s="458" t="str">
        <f>IF(AND($G58='Povolené hodnoty'!$B$14,$H58=BI$4),SUM($J58,$M58,$P58,$S58),"")</f>
        <v/>
      </c>
      <c r="BJ58" s="458" t="str">
        <f>IF(AND($G58='Povolené hodnoty'!$B$14,$H58=BJ$4),SUM($J58,$M58,$P58,$S58),"")</f>
        <v/>
      </c>
      <c r="BK58" s="40" t="str">
        <f>IF(AND($G58='Povolené hodnoty'!$B$14,$H58=BK$4),SUM($J58,$M58,$P58,$S58),"")</f>
        <v/>
      </c>
      <c r="BL58" s="40" t="str">
        <f>IF(AND($G58='Povolené hodnoty'!$B$14,$H58=BL$4),SUM($J58,$M58,$P58,$S58),"")</f>
        <v/>
      </c>
      <c r="BM58" s="41" t="str">
        <f>IF(AND($G58='Povolené hodnoty'!$B$14,$H58=BM$4),SUM($J58,$M58,$P58,$S58),"")</f>
        <v/>
      </c>
      <c r="BO58" s="18" t="b">
        <f t="shared" si="33"/>
        <v>0</v>
      </c>
      <c r="BP58" s="18" t="b">
        <f t="shared" si="1"/>
        <v>0</v>
      </c>
      <c r="BQ58" s="18" t="b">
        <f>AND(E58&lt;&gt;'Povolené hodnoty'!$B$6,F58&lt;&gt;'Povolené hodnoty'!$D$7,F58&lt;&gt;'Povolené hodnoty'!$D$8,OR(SUM(I58,L58,O58,R58)&lt;&gt;SUM(W58:X58,AA58:AG58),SUM(J58,M58,P58,S58)&lt;&gt;SUM(Y58:Z58,AH58:AK58),COUNT(I58:J58,L58:M58,O58:P58,R58:S58)&lt;&gt;COUNT(W58:AK58)))</f>
        <v>0</v>
      </c>
      <c r="BR58" s="18" t="b">
        <f>OR(AND(E58='Povolené hodnoty'!$B$6,$BR$5),AND(E58='Povolené hodnoty'!$B$6,H58&lt;&gt;'Povolené hodnoty'!$E$26,H58&lt;&gt;'Povolené hodnoty'!$E$35),AND(E58&lt;&gt;'Povolené hodnoty'!$B$6,OR(H58='Povolené hodnoty'!$E$26,H58='Povolené hodnoty'!$E$35)))</f>
        <v>0</v>
      </c>
      <c r="BS58" s="18" t="b">
        <f>OR(AND(G58&lt;&gt;'Povolené hodnoty'!$B$13,OR(H58='Povolené hodnoty'!$E$21,H58='Povolené hodnoty'!$E$22,H58='Povolené hodnoty'!$E$23,H58='Povolené hodnoty'!$E$24,H58='Povolené hodnoty'!$E$26,H58='Povolené hodnoty'!$E$36)),COUNT(I58:J58,L58:M58,O58:P58,R58:S58)&lt;&gt;COUNT(AL58:BM58))</f>
        <v>0</v>
      </c>
      <c r="BT58" s="18" t="b">
        <f t="shared" si="2"/>
        <v>0</v>
      </c>
      <c r="BV58" s="39" t="str">
        <f t="shared" si="3"/>
        <v/>
      </c>
      <c r="BW58" s="458" t="str">
        <f t="shared" si="4"/>
        <v/>
      </c>
      <c r="BX58" s="458" t="str">
        <f t="shared" si="5"/>
        <v/>
      </c>
      <c r="BY58" s="458" t="str">
        <f t="shared" si="6"/>
        <v/>
      </c>
      <c r="BZ58" s="458" t="str">
        <f t="shared" si="7"/>
        <v/>
      </c>
      <c r="CA58" s="40" t="str">
        <f t="shared" si="8"/>
        <v/>
      </c>
      <c r="CB58" s="40" t="str">
        <f t="shared" si="9"/>
        <v/>
      </c>
      <c r="CC58" s="39" t="str">
        <f t="shared" si="10"/>
        <v/>
      </c>
      <c r="CD58" s="458" t="str">
        <f t="shared" si="11"/>
        <v/>
      </c>
      <c r="CE58" s="41" t="str">
        <f t="shared" si="12"/>
        <v/>
      </c>
      <c r="CF58" s="39" t="str">
        <f t="shared" si="13"/>
        <v/>
      </c>
      <c r="CG58" s="458" t="str">
        <f t="shared" si="14"/>
        <v/>
      </c>
      <c r="CH58" s="458" t="str">
        <f t="shared" si="15"/>
        <v/>
      </c>
      <c r="CI58" s="458" t="str">
        <f t="shared" si="16"/>
        <v/>
      </c>
      <c r="CJ58" s="458" t="str">
        <f t="shared" si="17"/>
        <v/>
      </c>
      <c r="CK58" s="40" t="str">
        <f t="shared" si="18"/>
        <v/>
      </c>
      <c r="CL58" s="40" t="str">
        <f t="shared" si="19"/>
        <v/>
      </c>
      <c r="CM58" s="40" t="str">
        <f t="shared" si="20"/>
        <v/>
      </c>
      <c r="CN58" s="39" t="str">
        <f t="shared" si="21"/>
        <v/>
      </c>
      <c r="CO58" s="458" t="str">
        <f t="shared" si="22"/>
        <v/>
      </c>
      <c r="CP58" s="458" t="str">
        <f t="shared" si="23"/>
        <v/>
      </c>
      <c r="CQ58" s="458" t="str">
        <f t="shared" si="24"/>
        <v/>
      </c>
      <c r="CR58" s="458" t="str">
        <f t="shared" si="25"/>
        <v/>
      </c>
      <c r="CS58" s="40" t="str">
        <f t="shared" si="26"/>
        <v/>
      </c>
      <c r="CT58" s="40" t="str">
        <f t="shared" si="27"/>
        <v/>
      </c>
      <c r="CU58" s="41" t="str">
        <f t="shared" si="28"/>
        <v/>
      </c>
    </row>
    <row r="59" spans="1:99" x14ac:dyDescent="0.2">
      <c r="A59" s="77">
        <f t="shared" si="29"/>
        <v>54</v>
      </c>
      <c r="B59" s="81"/>
      <c r="C59" s="82"/>
      <c r="D59" s="71"/>
      <c r="E59" s="72"/>
      <c r="F59" s="73"/>
      <c r="G59" s="443"/>
      <c r="H59" s="443"/>
      <c r="I59" s="74"/>
      <c r="J59" s="75"/>
      <c r="K59" s="41">
        <f t="shared" si="39"/>
        <v>3625</v>
      </c>
      <c r="L59" s="104"/>
      <c r="M59" s="105"/>
      <c r="N59" s="106">
        <f t="shared" si="40"/>
        <v>537.05999999999995</v>
      </c>
      <c r="O59" s="104"/>
      <c r="P59" s="105"/>
      <c r="Q59" s="106">
        <f t="shared" si="35"/>
        <v>10045.83</v>
      </c>
      <c r="R59" s="104"/>
      <c r="S59" s="105"/>
      <c r="T59" s="106">
        <f t="shared" si="36"/>
        <v>0</v>
      </c>
      <c r="U59" s="439"/>
      <c r="V59" s="42">
        <f t="shared" si="0"/>
        <v>54</v>
      </c>
      <c r="W59" s="39" t="str">
        <f>IF(AND(E59='Povolené hodnoty'!$B$4,F59=2),I59+L59+O59+R59,"")</f>
        <v/>
      </c>
      <c r="X59" s="41" t="str">
        <f>IF(AND(E59='Povolené hodnoty'!$B$4,F59=1),I59+L59+O59+R59,"")</f>
        <v/>
      </c>
      <c r="Y59" s="39" t="str">
        <f>IF(AND(E59='Povolené hodnoty'!$B$4,F59=10),J59+M59+P59+S59,"")</f>
        <v/>
      </c>
      <c r="Z59" s="41" t="str">
        <f>IF(AND(E59='Povolené hodnoty'!$B$4,F59=9),J59+M59+P59+S59,"")</f>
        <v/>
      </c>
      <c r="AA59" s="39" t="str">
        <f>IF(AND(E59&lt;&gt;'Povolené hodnoty'!$B$4,F59=2),I59+L59+O59+R59,"")</f>
        <v/>
      </c>
      <c r="AB59" s="40" t="str">
        <f>IF(AND(E59&lt;&gt;'Povolené hodnoty'!$B$4,F59=3),I59+L59+O59+R59,"")</f>
        <v/>
      </c>
      <c r="AC59" s="40" t="str">
        <f>IF(AND(E59&lt;&gt;'Povolené hodnoty'!$B$4,F59=4),I59+L59+O59+R59,"")</f>
        <v/>
      </c>
      <c r="AD59" s="40" t="str">
        <f>IF(AND(E59&lt;&gt;'Povolené hodnoty'!$B$4,F59="5a"),I59-J59+L59-M59+O59-P59+R59-S59,"")</f>
        <v/>
      </c>
      <c r="AE59" s="40" t="str">
        <f>IF(AND(E59&lt;&gt;'Povolené hodnoty'!$B$4,F59="5b"),I59-J59+L59-M59+O59-P59+R59-S59,"")</f>
        <v/>
      </c>
      <c r="AF59" s="40" t="str">
        <f>IF(AND(E59&lt;&gt;'Povolené hodnoty'!$B$4,F59=6),I59+L59+O59+R59,"")</f>
        <v/>
      </c>
      <c r="AG59" s="41" t="str">
        <f>IF(AND(E59&lt;&gt;'Povolené hodnoty'!$B$4,F59=7),I59+L59+O59+R59,"")</f>
        <v/>
      </c>
      <c r="AH59" s="39" t="str">
        <f>IF(AND(E59&lt;&gt;'Povolené hodnoty'!$B$4,F59=10),J59+M59+P59+S59,"")</f>
        <v/>
      </c>
      <c r="AI59" s="40" t="str">
        <f>IF(AND(E59&lt;&gt;'Povolené hodnoty'!$B$4,F59=11),J59+M59+P59+S59,"")</f>
        <v/>
      </c>
      <c r="AJ59" s="40" t="str">
        <f>IF(AND(E59&lt;&gt;'Povolené hodnoty'!$B$4,F59=12),J59+M59+P59+S59,"")</f>
        <v/>
      </c>
      <c r="AK59" s="41" t="str">
        <f>IF(AND(E59&lt;&gt;'Povolené hodnoty'!$B$4,F59=13),J59+M59+P59+S59,"")</f>
        <v/>
      </c>
      <c r="AL59" s="39" t="str">
        <f>IF(AND($G59='Povolené hodnoty'!$B$13,$H59=AL$4),SUM($I59,$L59,$O59,$R59),"")</f>
        <v/>
      </c>
      <c r="AM59" s="458" t="str">
        <f>IF(AND($G59='Povolené hodnoty'!$B$13,$H59=AM$4),SUM($I59,$L59,$O59,$R59),"")</f>
        <v/>
      </c>
      <c r="AN59" s="458" t="str">
        <f>IF(AND($G59='Povolené hodnoty'!$B$13,$H59=AN$4),SUM($I59,$L59,$O59,$R59),"")</f>
        <v/>
      </c>
      <c r="AO59" s="458" t="str">
        <f>IF(AND($G59='Povolené hodnoty'!$B$13,$H59=AO$4),SUM($I59,$L59,$O59,$R59),"")</f>
        <v/>
      </c>
      <c r="AP59" s="458" t="str">
        <f>IF(AND($G59='Povolené hodnoty'!$B$13,$H59=AP$4),SUM($I59,$L59,$O59,$R59),"")</f>
        <v/>
      </c>
      <c r="AQ59" s="40" t="str">
        <f>IF(AND($G59='Povolené hodnoty'!$B$13,OR($H59=AQ$4,$H59='Povolené hodnoty'!$E$36)),SUM($I59,-$J59,$L59,-$M59,$O59,-$P59,$R59,-$S59),"")</f>
        <v/>
      </c>
      <c r="AR59" s="40" t="str">
        <f>IF(AND($G59='Povolené hodnoty'!$B$13,$H59=AR$4),SUM($I59,$L59,$O59,$R59),"")</f>
        <v/>
      </c>
      <c r="AS59" s="41" t="str">
        <f>IF(AND($G59='Povolené hodnoty'!$B$13,$H59=AS$4),SUM($I59,$L59,$O59,$R59),"")</f>
        <v/>
      </c>
      <c r="AT59" s="39" t="str">
        <f>IF(AND($G59='Povolené hodnoty'!$B$14,$H59=AT$4),SUM($I59,$L59,$O59,$R59),"")</f>
        <v/>
      </c>
      <c r="AU59" s="458" t="str">
        <f>IF(AND($G59='Povolené hodnoty'!$B$14,$H59=AU$4),SUM($I59,$L59,$O59,$R59),"")</f>
        <v/>
      </c>
      <c r="AV59" s="41" t="str">
        <f>IF(AND($G59='Povolené hodnoty'!$B$14,$H59=AV$4),SUM($I59,$L59,$O59,$R59),"")</f>
        <v/>
      </c>
      <c r="AW59" s="39" t="str">
        <f>IF(AND($G59='Povolené hodnoty'!$B$13,$H59=AW$4),SUM($J59,$M59,$P59,$S59),"")</f>
        <v/>
      </c>
      <c r="AX59" s="458" t="str">
        <f>IF(AND($G59='Povolené hodnoty'!$B$13,$H59=AX$4),SUM($J59,$M59,$P59,$S59),"")</f>
        <v/>
      </c>
      <c r="AY59" s="458" t="str">
        <f>IF(AND($G59='Povolené hodnoty'!$B$13,$H59=AY$4),SUM($J59,$M59,$P59,$S59),"")</f>
        <v/>
      </c>
      <c r="AZ59" s="458" t="str">
        <f>IF(AND($G59='Povolené hodnoty'!$B$13,$H59=AZ$4),SUM($J59,$M59,$P59,$S59),"")</f>
        <v/>
      </c>
      <c r="BA59" s="458" t="str">
        <f>IF(AND($G59='Povolené hodnoty'!$B$13,$H59=BA$4),SUM($J59,$M59,$P59,$S59),"")</f>
        <v/>
      </c>
      <c r="BB59" s="40" t="str">
        <f>IF(AND($G59='Povolené hodnoty'!$B$13,$H59=BB$4),SUM($J59,$M59,$P59,$S59),"")</f>
        <v/>
      </c>
      <c r="BC59" s="40" t="str">
        <f>IF(AND($G59='Povolené hodnoty'!$B$13,$H59=BC$4),SUM($J59,$M59,$P59,$S59),"")</f>
        <v/>
      </c>
      <c r="BD59" s="40" t="str">
        <f>IF(AND($G59='Povolené hodnoty'!$B$13,$H59=BD$4),SUM($J59,$M59,$P59,$S59),"")</f>
        <v/>
      </c>
      <c r="BE59" s="41" t="str">
        <f>IF(AND($G59='Povolené hodnoty'!$B$13,$H59=BE$4),SUM($J59,$M59,$P59,$S59),"")</f>
        <v/>
      </c>
      <c r="BF59" s="39" t="str">
        <f>IF(AND($G59='Povolené hodnoty'!$B$14,$H59=BF$4),SUM($J59,$M59,$P59,$S59),"")</f>
        <v/>
      </c>
      <c r="BG59" s="458" t="str">
        <f>IF(AND($G59='Povolené hodnoty'!$B$14,$H59=BG$4),SUM($J59,$M59,$P59,$S59),"")</f>
        <v/>
      </c>
      <c r="BH59" s="458" t="str">
        <f>IF(AND($G59='Povolené hodnoty'!$B$14,$H59=BH$4),SUM($J59,$M59,$P59,$S59),"")</f>
        <v/>
      </c>
      <c r="BI59" s="458" t="str">
        <f>IF(AND($G59='Povolené hodnoty'!$B$14,$H59=BI$4),SUM($J59,$M59,$P59,$S59),"")</f>
        <v/>
      </c>
      <c r="BJ59" s="458" t="str">
        <f>IF(AND($G59='Povolené hodnoty'!$B$14,$H59=BJ$4),SUM($J59,$M59,$P59,$S59),"")</f>
        <v/>
      </c>
      <c r="BK59" s="40" t="str">
        <f>IF(AND($G59='Povolené hodnoty'!$B$14,$H59=BK$4),SUM($J59,$M59,$P59,$S59),"")</f>
        <v/>
      </c>
      <c r="BL59" s="40" t="str">
        <f>IF(AND($G59='Povolené hodnoty'!$B$14,$H59=BL$4),SUM($J59,$M59,$P59,$S59),"")</f>
        <v/>
      </c>
      <c r="BM59" s="41" t="str">
        <f>IF(AND($G59='Povolené hodnoty'!$B$14,$H59=BM$4),SUM($J59,$M59,$P59,$S59),"")</f>
        <v/>
      </c>
      <c r="BO59" s="18" t="b">
        <f t="shared" si="33"/>
        <v>0</v>
      </c>
      <c r="BP59" s="18" t="b">
        <f t="shared" si="1"/>
        <v>0</v>
      </c>
      <c r="BQ59" s="18" t="b">
        <f>AND(E59&lt;&gt;'Povolené hodnoty'!$B$6,F59&lt;&gt;'Povolené hodnoty'!$D$7,F59&lt;&gt;'Povolené hodnoty'!$D$8,OR(SUM(I59,L59,O59,R59)&lt;&gt;SUM(W59:X59,AA59:AG59),SUM(J59,M59,P59,S59)&lt;&gt;SUM(Y59:Z59,AH59:AK59),COUNT(I59:J59,L59:M59,O59:P59,R59:S59)&lt;&gt;COUNT(W59:AK59)))</f>
        <v>0</v>
      </c>
      <c r="BR59" s="18" t="b">
        <f>OR(AND(E59='Povolené hodnoty'!$B$6,$BR$5),AND(E59='Povolené hodnoty'!$B$6,H59&lt;&gt;'Povolené hodnoty'!$E$26,H59&lt;&gt;'Povolené hodnoty'!$E$35),AND(E59&lt;&gt;'Povolené hodnoty'!$B$6,OR(H59='Povolené hodnoty'!$E$26,H59='Povolené hodnoty'!$E$35)))</f>
        <v>0</v>
      </c>
      <c r="BS59" s="18" t="b">
        <f>OR(AND(G59&lt;&gt;'Povolené hodnoty'!$B$13,OR(H59='Povolené hodnoty'!$E$21,H59='Povolené hodnoty'!$E$22,H59='Povolené hodnoty'!$E$23,H59='Povolené hodnoty'!$E$24,H59='Povolené hodnoty'!$E$26,H59='Povolené hodnoty'!$E$36)),COUNT(I59:J59,L59:M59,O59:P59,R59:S59)&lt;&gt;COUNT(AL59:BM59))</f>
        <v>0</v>
      </c>
      <c r="BT59" s="18" t="b">
        <f t="shared" si="2"/>
        <v>0</v>
      </c>
      <c r="BV59" s="39" t="str">
        <f t="shared" si="3"/>
        <v/>
      </c>
      <c r="BW59" s="458" t="str">
        <f t="shared" si="4"/>
        <v/>
      </c>
      <c r="BX59" s="458" t="str">
        <f t="shared" si="5"/>
        <v/>
      </c>
      <c r="BY59" s="458" t="str">
        <f t="shared" si="6"/>
        <v/>
      </c>
      <c r="BZ59" s="458" t="str">
        <f t="shared" si="7"/>
        <v/>
      </c>
      <c r="CA59" s="40" t="str">
        <f t="shared" si="8"/>
        <v/>
      </c>
      <c r="CB59" s="40" t="str">
        <f t="shared" si="9"/>
        <v/>
      </c>
      <c r="CC59" s="39" t="str">
        <f t="shared" si="10"/>
        <v/>
      </c>
      <c r="CD59" s="458" t="str">
        <f t="shared" si="11"/>
        <v/>
      </c>
      <c r="CE59" s="41" t="str">
        <f t="shared" si="12"/>
        <v/>
      </c>
      <c r="CF59" s="39" t="str">
        <f t="shared" si="13"/>
        <v/>
      </c>
      <c r="CG59" s="458" t="str">
        <f t="shared" si="14"/>
        <v/>
      </c>
      <c r="CH59" s="458" t="str">
        <f t="shared" si="15"/>
        <v/>
      </c>
      <c r="CI59" s="458" t="str">
        <f t="shared" si="16"/>
        <v/>
      </c>
      <c r="CJ59" s="458" t="str">
        <f t="shared" si="17"/>
        <v/>
      </c>
      <c r="CK59" s="40" t="str">
        <f t="shared" si="18"/>
        <v/>
      </c>
      <c r="CL59" s="40" t="str">
        <f t="shared" si="19"/>
        <v/>
      </c>
      <c r="CM59" s="40" t="str">
        <f t="shared" si="20"/>
        <v/>
      </c>
      <c r="CN59" s="39" t="str">
        <f t="shared" si="21"/>
        <v/>
      </c>
      <c r="CO59" s="458" t="str">
        <f t="shared" si="22"/>
        <v/>
      </c>
      <c r="CP59" s="458" t="str">
        <f t="shared" si="23"/>
        <v/>
      </c>
      <c r="CQ59" s="458" t="str">
        <f t="shared" si="24"/>
        <v/>
      </c>
      <c r="CR59" s="458" t="str">
        <f t="shared" si="25"/>
        <v/>
      </c>
      <c r="CS59" s="40" t="str">
        <f t="shared" si="26"/>
        <v/>
      </c>
      <c r="CT59" s="40" t="str">
        <f t="shared" si="27"/>
        <v/>
      </c>
      <c r="CU59" s="41" t="str">
        <f t="shared" si="28"/>
        <v/>
      </c>
    </row>
    <row r="60" spans="1:99" x14ac:dyDescent="0.2">
      <c r="A60" s="77">
        <f t="shared" si="29"/>
        <v>55</v>
      </c>
      <c r="B60" s="81"/>
      <c r="C60" s="82"/>
      <c r="D60" s="71"/>
      <c r="E60" s="72"/>
      <c r="F60" s="73"/>
      <c r="G60" s="443"/>
      <c r="H60" s="443"/>
      <c r="I60" s="74"/>
      <c r="J60" s="75"/>
      <c r="K60" s="41">
        <f t="shared" si="39"/>
        <v>3625</v>
      </c>
      <c r="L60" s="104"/>
      <c r="M60" s="105"/>
      <c r="N60" s="106">
        <f t="shared" si="40"/>
        <v>537.05999999999995</v>
      </c>
      <c r="O60" s="104"/>
      <c r="P60" s="105"/>
      <c r="Q60" s="106">
        <f t="shared" si="35"/>
        <v>10045.83</v>
      </c>
      <c r="R60" s="104"/>
      <c r="S60" s="105"/>
      <c r="T60" s="106">
        <f t="shared" si="36"/>
        <v>0</v>
      </c>
      <c r="U60" s="439"/>
      <c r="V60" s="42">
        <f t="shared" si="0"/>
        <v>55</v>
      </c>
      <c r="W60" s="39" t="str">
        <f>IF(AND(E60='Povolené hodnoty'!$B$4,F60=2),I60+L60+O60+R60,"")</f>
        <v/>
      </c>
      <c r="X60" s="41" t="str">
        <f>IF(AND(E60='Povolené hodnoty'!$B$4,F60=1),I60+L60+O60+R60,"")</f>
        <v/>
      </c>
      <c r="Y60" s="39" t="str">
        <f>IF(AND(E60='Povolené hodnoty'!$B$4,F60=10),J60+M60+P60+S60,"")</f>
        <v/>
      </c>
      <c r="Z60" s="41" t="str">
        <f>IF(AND(E60='Povolené hodnoty'!$B$4,F60=9),J60+M60+P60+S60,"")</f>
        <v/>
      </c>
      <c r="AA60" s="39" t="str">
        <f>IF(AND(E60&lt;&gt;'Povolené hodnoty'!$B$4,F60=2),I60+L60+O60+R60,"")</f>
        <v/>
      </c>
      <c r="AB60" s="40" t="str">
        <f>IF(AND(E60&lt;&gt;'Povolené hodnoty'!$B$4,F60=3),I60+L60+O60+R60,"")</f>
        <v/>
      </c>
      <c r="AC60" s="40" t="str">
        <f>IF(AND(E60&lt;&gt;'Povolené hodnoty'!$B$4,F60=4),I60+L60+O60+R60,"")</f>
        <v/>
      </c>
      <c r="AD60" s="40" t="str">
        <f>IF(AND(E60&lt;&gt;'Povolené hodnoty'!$B$4,F60="5a"),I60-J60+L60-M60+O60-P60+R60-S60,"")</f>
        <v/>
      </c>
      <c r="AE60" s="40" t="str">
        <f>IF(AND(E60&lt;&gt;'Povolené hodnoty'!$B$4,F60="5b"),I60-J60+L60-M60+O60-P60+R60-S60,"")</f>
        <v/>
      </c>
      <c r="AF60" s="40" t="str">
        <f>IF(AND(E60&lt;&gt;'Povolené hodnoty'!$B$4,F60=6),I60+L60+O60+R60,"")</f>
        <v/>
      </c>
      <c r="AG60" s="41" t="str">
        <f>IF(AND(E60&lt;&gt;'Povolené hodnoty'!$B$4,F60=7),I60+L60+O60+R60,"")</f>
        <v/>
      </c>
      <c r="AH60" s="39" t="str">
        <f>IF(AND(E60&lt;&gt;'Povolené hodnoty'!$B$4,F60=10),J60+M60+P60+S60,"")</f>
        <v/>
      </c>
      <c r="AI60" s="40" t="str">
        <f>IF(AND(E60&lt;&gt;'Povolené hodnoty'!$B$4,F60=11),J60+M60+P60+S60,"")</f>
        <v/>
      </c>
      <c r="AJ60" s="40" t="str">
        <f>IF(AND(E60&lt;&gt;'Povolené hodnoty'!$B$4,F60=12),J60+M60+P60+S60,"")</f>
        <v/>
      </c>
      <c r="AK60" s="41" t="str">
        <f>IF(AND(E60&lt;&gt;'Povolené hodnoty'!$B$4,F60=13),J60+M60+P60+S60,"")</f>
        <v/>
      </c>
      <c r="AL60" s="39" t="str">
        <f>IF(AND($G60='Povolené hodnoty'!$B$13,$H60=AL$4),SUM($I60,$L60,$O60,$R60),"")</f>
        <v/>
      </c>
      <c r="AM60" s="458" t="str">
        <f>IF(AND($G60='Povolené hodnoty'!$B$13,$H60=AM$4),SUM($I60,$L60,$O60,$R60),"")</f>
        <v/>
      </c>
      <c r="AN60" s="458" t="str">
        <f>IF(AND($G60='Povolené hodnoty'!$B$13,$H60=AN$4),SUM($I60,$L60,$O60,$R60),"")</f>
        <v/>
      </c>
      <c r="AO60" s="458" t="str">
        <f>IF(AND($G60='Povolené hodnoty'!$B$13,$H60=AO$4),SUM($I60,$L60,$O60,$R60),"")</f>
        <v/>
      </c>
      <c r="AP60" s="458" t="str">
        <f>IF(AND($G60='Povolené hodnoty'!$B$13,$H60=AP$4),SUM($I60,$L60,$O60,$R60),"")</f>
        <v/>
      </c>
      <c r="AQ60" s="40" t="str">
        <f>IF(AND($G60='Povolené hodnoty'!$B$13,OR($H60=AQ$4,$H60='Povolené hodnoty'!$E$36)),SUM($I60,-$J60,$L60,-$M60,$O60,-$P60,$R60,-$S60),"")</f>
        <v/>
      </c>
      <c r="AR60" s="40" t="str">
        <f>IF(AND($G60='Povolené hodnoty'!$B$13,$H60=AR$4),SUM($I60,$L60,$O60,$R60),"")</f>
        <v/>
      </c>
      <c r="AS60" s="41" t="str">
        <f>IF(AND($G60='Povolené hodnoty'!$B$13,$H60=AS$4),SUM($I60,$L60,$O60,$R60),"")</f>
        <v/>
      </c>
      <c r="AT60" s="39" t="str">
        <f>IF(AND($G60='Povolené hodnoty'!$B$14,$H60=AT$4),SUM($I60,$L60,$O60,$R60),"")</f>
        <v/>
      </c>
      <c r="AU60" s="458" t="str">
        <f>IF(AND($G60='Povolené hodnoty'!$B$14,$H60=AU$4),SUM($I60,$L60,$O60,$R60),"")</f>
        <v/>
      </c>
      <c r="AV60" s="41" t="str">
        <f>IF(AND($G60='Povolené hodnoty'!$B$14,$H60=AV$4),SUM($I60,$L60,$O60,$R60),"")</f>
        <v/>
      </c>
      <c r="AW60" s="39" t="str">
        <f>IF(AND($G60='Povolené hodnoty'!$B$13,$H60=AW$4),SUM($J60,$M60,$P60,$S60),"")</f>
        <v/>
      </c>
      <c r="AX60" s="458" t="str">
        <f>IF(AND($G60='Povolené hodnoty'!$B$13,$H60=AX$4),SUM($J60,$M60,$P60,$S60),"")</f>
        <v/>
      </c>
      <c r="AY60" s="458" t="str">
        <f>IF(AND($G60='Povolené hodnoty'!$B$13,$H60=AY$4),SUM($J60,$M60,$P60,$S60),"")</f>
        <v/>
      </c>
      <c r="AZ60" s="458" t="str">
        <f>IF(AND($G60='Povolené hodnoty'!$B$13,$H60=AZ$4),SUM($J60,$M60,$P60,$S60),"")</f>
        <v/>
      </c>
      <c r="BA60" s="458" t="str">
        <f>IF(AND($G60='Povolené hodnoty'!$B$13,$H60=BA$4),SUM($J60,$M60,$P60,$S60),"")</f>
        <v/>
      </c>
      <c r="BB60" s="40" t="str">
        <f>IF(AND($G60='Povolené hodnoty'!$B$13,$H60=BB$4),SUM($J60,$M60,$P60,$S60),"")</f>
        <v/>
      </c>
      <c r="BC60" s="40" t="str">
        <f>IF(AND($G60='Povolené hodnoty'!$B$13,$H60=BC$4),SUM($J60,$M60,$P60,$S60),"")</f>
        <v/>
      </c>
      <c r="BD60" s="40" t="str">
        <f>IF(AND($G60='Povolené hodnoty'!$B$13,$H60=BD$4),SUM($J60,$M60,$P60,$S60),"")</f>
        <v/>
      </c>
      <c r="BE60" s="41" t="str">
        <f>IF(AND($G60='Povolené hodnoty'!$B$13,$H60=BE$4),SUM($J60,$M60,$P60,$S60),"")</f>
        <v/>
      </c>
      <c r="BF60" s="39" t="str">
        <f>IF(AND($G60='Povolené hodnoty'!$B$14,$H60=BF$4),SUM($J60,$M60,$P60,$S60),"")</f>
        <v/>
      </c>
      <c r="BG60" s="458" t="str">
        <f>IF(AND($G60='Povolené hodnoty'!$B$14,$H60=BG$4),SUM($J60,$M60,$P60,$S60),"")</f>
        <v/>
      </c>
      <c r="BH60" s="458" t="str">
        <f>IF(AND($G60='Povolené hodnoty'!$B$14,$H60=BH$4),SUM($J60,$M60,$P60,$S60),"")</f>
        <v/>
      </c>
      <c r="BI60" s="458" t="str">
        <f>IF(AND($G60='Povolené hodnoty'!$B$14,$H60=BI$4),SUM($J60,$M60,$P60,$S60),"")</f>
        <v/>
      </c>
      <c r="BJ60" s="458" t="str">
        <f>IF(AND($G60='Povolené hodnoty'!$B$14,$H60=BJ$4),SUM($J60,$M60,$P60,$S60),"")</f>
        <v/>
      </c>
      <c r="BK60" s="40" t="str">
        <f>IF(AND($G60='Povolené hodnoty'!$B$14,$H60=BK$4),SUM($J60,$M60,$P60,$S60),"")</f>
        <v/>
      </c>
      <c r="BL60" s="40" t="str">
        <f>IF(AND($G60='Povolené hodnoty'!$B$14,$H60=BL$4),SUM($J60,$M60,$P60,$S60),"")</f>
        <v/>
      </c>
      <c r="BM60" s="41" t="str">
        <f>IF(AND($G60='Povolené hodnoty'!$B$14,$H60=BM$4),SUM($J60,$M60,$P60,$S60),"")</f>
        <v/>
      </c>
      <c r="BO60" s="18" t="b">
        <f t="shared" si="33"/>
        <v>0</v>
      </c>
      <c r="BP60" s="18" t="b">
        <f t="shared" si="1"/>
        <v>0</v>
      </c>
      <c r="BQ60" s="18" t="b">
        <f>AND(E60&lt;&gt;'Povolené hodnoty'!$B$6,F60&lt;&gt;'Povolené hodnoty'!$D$7,F60&lt;&gt;'Povolené hodnoty'!$D$8,OR(SUM(I60,L60,O60,R60)&lt;&gt;SUM(W60:X60,AA60:AG60),SUM(J60,M60,P60,S60)&lt;&gt;SUM(Y60:Z60,AH60:AK60),COUNT(I60:J60,L60:M60,O60:P60,R60:S60)&lt;&gt;COUNT(W60:AK60)))</f>
        <v>0</v>
      </c>
      <c r="BR60" s="18" t="b">
        <f>OR(AND(E60='Povolené hodnoty'!$B$6,$BR$5),AND(E60='Povolené hodnoty'!$B$6,H60&lt;&gt;'Povolené hodnoty'!$E$26,H60&lt;&gt;'Povolené hodnoty'!$E$35),AND(E60&lt;&gt;'Povolené hodnoty'!$B$6,OR(H60='Povolené hodnoty'!$E$26,H60='Povolené hodnoty'!$E$35)))</f>
        <v>0</v>
      </c>
      <c r="BS60" s="18" t="b">
        <f>OR(AND(G60&lt;&gt;'Povolené hodnoty'!$B$13,OR(H60='Povolené hodnoty'!$E$21,H60='Povolené hodnoty'!$E$22,H60='Povolené hodnoty'!$E$23,H60='Povolené hodnoty'!$E$24,H60='Povolené hodnoty'!$E$26,H60='Povolené hodnoty'!$E$36)),COUNT(I60:J60,L60:M60,O60:P60,R60:S60)&lt;&gt;COUNT(AL60:BM60))</f>
        <v>0</v>
      </c>
      <c r="BT60" s="18" t="b">
        <f t="shared" si="2"/>
        <v>0</v>
      </c>
      <c r="BV60" s="39" t="str">
        <f t="shared" si="3"/>
        <v/>
      </c>
      <c r="BW60" s="458" t="str">
        <f t="shared" si="4"/>
        <v/>
      </c>
      <c r="BX60" s="458" t="str">
        <f t="shared" si="5"/>
        <v/>
      </c>
      <c r="BY60" s="458" t="str">
        <f t="shared" si="6"/>
        <v/>
      </c>
      <c r="BZ60" s="458" t="str">
        <f t="shared" si="7"/>
        <v/>
      </c>
      <c r="CA60" s="40" t="str">
        <f t="shared" si="8"/>
        <v/>
      </c>
      <c r="CB60" s="40" t="str">
        <f t="shared" si="9"/>
        <v/>
      </c>
      <c r="CC60" s="39" t="str">
        <f t="shared" si="10"/>
        <v/>
      </c>
      <c r="CD60" s="458" t="str">
        <f t="shared" si="11"/>
        <v/>
      </c>
      <c r="CE60" s="41" t="str">
        <f t="shared" si="12"/>
        <v/>
      </c>
      <c r="CF60" s="39" t="str">
        <f t="shared" si="13"/>
        <v/>
      </c>
      <c r="CG60" s="458" t="str">
        <f t="shared" si="14"/>
        <v/>
      </c>
      <c r="CH60" s="458" t="str">
        <f t="shared" si="15"/>
        <v/>
      </c>
      <c r="CI60" s="458" t="str">
        <f t="shared" si="16"/>
        <v/>
      </c>
      <c r="CJ60" s="458" t="str">
        <f t="shared" si="17"/>
        <v/>
      </c>
      <c r="CK60" s="40" t="str">
        <f t="shared" si="18"/>
        <v/>
      </c>
      <c r="CL60" s="40" t="str">
        <f t="shared" si="19"/>
        <v/>
      </c>
      <c r="CM60" s="40" t="str">
        <f t="shared" si="20"/>
        <v/>
      </c>
      <c r="CN60" s="39" t="str">
        <f t="shared" si="21"/>
        <v/>
      </c>
      <c r="CO60" s="458" t="str">
        <f t="shared" si="22"/>
        <v/>
      </c>
      <c r="CP60" s="458" t="str">
        <f t="shared" si="23"/>
        <v/>
      </c>
      <c r="CQ60" s="458" t="str">
        <f t="shared" si="24"/>
        <v/>
      </c>
      <c r="CR60" s="458" t="str">
        <f t="shared" si="25"/>
        <v/>
      </c>
      <c r="CS60" s="40" t="str">
        <f t="shared" si="26"/>
        <v/>
      </c>
      <c r="CT60" s="40" t="str">
        <f t="shared" si="27"/>
        <v/>
      </c>
      <c r="CU60" s="41" t="str">
        <f t="shared" si="28"/>
        <v/>
      </c>
    </row>
    <row r="61" spans="1:99" x14ac:dyDescent="0.2">
      <c r="A61" s="77">
        <f t="shared" si="29"/>
        <v>56</v>
      </c>
      <c r="B61" s="81"/>
      <c r="C61" s="82"/>
      <c r="D61" s="71"/>
      <c r="E61" s="72"/>
      <c r="F61" s="73"/>
      <c r="G61" s="443"/>
      <c r="H61" s="443"/>
      <c r="I61" s="74"/>
      <c r="J61" s="75"/>
      <c r="K61" s="41">
        <f t="shared" si="39"/>
        <v>3625</v>
      </c>
      <c r="L61" s="104"/>
      <c r="M61" s="105"/>
      <c r="N61" s="106">
        <f t="shared" si="40"/>
        <v>537.05999999999995</v>
      </c>
      <c r="O61" s="104"/>
      <c r="P61" s="105"/>
      <c r="Q61" s="106">
        <f t="shared" si="35"/>
        <v>10045.83</v>
      </c>
      <c r="R61" s="104"/>
      <c r="S61" s="105"/>
      <c r="T61" s="106">
        <f t="shared" si="36"/>
        <v>0</v>
      </c>
      <c r="U61" s="439"/>
      <c r="V61" s="42">
        <f t="shared" si="0"/>
        <v>56</v>
      </c>
      <c r="W61" s="39" t="str">
        <f>IF(AND(E61='Povolené hodnoty'!$B$4,F61=2),I61+L61+O61+R61,"")</f>
        <v/>
      </c>
      <c r="X61" s="41" t="str">
        <f>IF(AND(E61='Povolené hodnoty'!$B$4,F61=1),I61+L61+O61+R61,"")</f>
        <v/>
      </c>
      <c r="Y61" s="39" t="str">
        <f>IF(AND(E61='Povolené hodnoty'!$B$4,F61=10),J61+M61+P61+S61,"")</f>
        <v/>
      </c>
      <c r="Z61" s="41" t="str">
        <f>IF(AND(E61='Povolené hodnoty'!$B$4,F61=9),J61+M61+P61+S61,"")</f>
        <v/>
      </c>
      <c r="AA61" s="39" t="str">
        <f>IF(AND(E61&lt;&gt;'Povolené hodnoty'!$B$4,F61=2),I61+L61+O61+R61,"")</f>
        <v/>
      </c>
      <c r="AB61" s="40" t="str">
        <f>IF(AND(E61&lt;&gt;'Povolené hodnoty'!$B$4,F61=3),I61+L61+O61+R61,"")</f>
        <v/>
      </c>
      <c r="AC61" s="40" t="str">
        <f>IF(AND(E61&lt;&gt;'Povolené hodnoty'!$B$4,F61=4),I61+L61+O61+R61,"")</f>
        <v/>
      </c>
      <c r="AD61" s="40" t="str">
        <f>IF(AND(E61&lt;&gt;'Povolené hodnoty'!$B$4,F61="5a"),I61-J61+L61-M61+O61-P61+R61-S61,"")</f>
        <v/>
      </c>
      <c r="AE61" s="40" t="str">
        <f>IF(AND(E61&lt;&gt;'Povolené hodnoty'!$B$4,F61="5b"),I61-J61+L61-M61+O61-P61+R61-S61,"")</f>
        <v/>
      </c>
      <c r="AF61" s="40" t="str">
        <f>IF(AND(E61&lt;&gt;'Povolené hodnoty'!$B$4,F61=6),I61+L61+O61+R61,"")</f>
        <v/>
      </c>
      <c r="AG61" s="41" t="str">
        <f>IF(AND(E61&lt;&gt;'Povolené hodnoty'!$B$4,F61=7),I61+L61+O61+R61,"")</f>
        <v/>
      </c>
      <c r="AH61" s="39" t="str">
        <f>IF(AND(E61&lt;&gt;'Povolené hodnoty'!$B$4,F61=10),J61+M61+P61+S61,"")</f>
        <v/>
      </c>
      <c r="AI61" s="40" t="str">
        <f>IF(AND(E61&lt;&gt;'Povolené hodnoty'!$B$4,F61=11),J61+M61+P61+S61,"")</f>
        <v/>
      </c>
      <c r="AJ61" s="40" t="str">
        <f>IF(AND(E61&lt;&gt;'Povolené hodnoty'!$B$4,F61=12),J61+M61+P61+S61,"")</f>
        <v/>
      </c>
      <c r="AK61" s="41" t="str">
        <f>IF(AND(E61&lt;&gt;'Povolené hodnoty'!$B$4,F61=13),J61+M61+P61+S61,"")</f>
        <v/>
      </c>
      <c r="AL61" s="39" t="str">
        <f>IF(AND($G61='Povolené hodnoty'!$B$13,$H61=AL$4),SUM($I61,$L61,$O61,$R61),"")</f>
        <v/>
      </c>
      <c r="AM61" s="458" t="str">
        <f>IF(AND($G61='Povolené hodnoty'!$B$13,$H61=AM$4),SUM($I61,$L61,$O61,$R61),"")</f>
        <v/>
      </c>
      <c r="AN61" s="458" t="str">
        <f>IF(AND($G61='Povolené hodnoty'!$B$13,$H61=AN$4),SUM($I61,$L61,$O61,$R61),"")</f>
        <v/>
      </c>
      <c r="AO61" s="458" t="str">
        <f>IF(AND($G61='Povolené hodnoty'!$B$13,$H61=AO$4),SUM($I61,$L61,$O61,$R61),"")</f>
        <v/>
      </c>
      <c r="AP61" s="458" t="str">
        <f>IF(AND($G61='Povolené hodnoty'!$B$13,$H61=AP$4),SUM($I61,$L61,$O61,$R61),"")</f>
        <v/>
      </c>
      <c r="AQ61" s="40" t="str">
        <f>IF(AND($G61='Povolené hodnoty'!$B$13,OR($H61=AQ$4,$H61='Povolené hodnoty'!$E$36)),SUM($I61,-$J61,$L61,-$M61,$O61,-$P61,$R61,-$S61),"")</f>
        <v/>
      </c>
      <c r="AR61" s="40" t="str">
        <f>IF(AND($G61='Povolené hodnoty'!$B$13,$H61=AR$4),SUM($I61,$L61,$O61,$R61),"")</f>
        <v/>
      </c>
      <c r="AS61" s="41" t="str">
        <f>IF(AND($G61='Povolené hodnoty'!$B$13,$H61=AS$4),SUM($I61,$L61,$O61,$R61),"")</f>
        <v/>
      </c>
      <c r="AT61" s="39" t="str">
        <f>IF(AND($G61='Povolené hodnoty'!$B$14,$H61=AT$4),SUM($I61,$L61,$O61,$R61),"")</f>
        <v/>
      </c>
      <c r="AU61" s="458" t="str">
        <f>IF(AND($G61='Povolené hodnoty'!$B$14,$H61=AU$4),SUM($I61,$L61,$O61,$R61),"")</f>
        <v/>
      </c>
      <c r="AV61" s="41" t="str">
        <f>IF(AND($G61='Povolené hodnoty'!$B$14,$H61=AV$4),SUM($I61,$L61,$O61,$R61),"")</f>
        <v/>
      </c>
      <c r="AW61" s="39" t="str">
        <f>IF(AND($G61='Povolené hodnoty'!$B$13,$H61=AW$4),SUM($J61,$M61,$P61,$S61),"")</f>
        <v/>
      </c>
      <c r="AX61" s="458" t="str">
        <f>IF(AND($G61='Povolené hodnoty'!$B$13,$H61=AX$4),SUM($J61,$M61,$P61,$S61),"")</f>
        <v/>
      </c>
      <c r="AY61" s="458" t="str">
        <f>IF(AND($G61='Povolené hodnoty'!$B$13,$H61=AY$4),SUM($J61,$M61,$P61,$S61),"")</f>
        <v/>
      </c>
      <c r="AZ61" s="458" t="str">
        <f>IF(AND($G61='Povolené hodnoty'!$B$13,$H61=AZ$4),SUM($J61,$M61,$P61,$S61),"")</f>
        <v/>
      </c>
      <c r="BA61" s="458" t="str">
        <f>IF(AND($G61='Povolené hodnoty'!$B$13,$H61=BA$4),SUM($J61,$M61,$P61,$S61),"")</f>
        <v/>
      </c>
      <c r="BB61" s="40" t="str">
        <f>IF(AND($G61='Povolené hodnoty'!$B$13,$H61=BB$4),SUM($J61,$M61,$P61,$S61),"")</f>
        <v/>
      </c>
      <c r="BC61" s="40" t="str">
        <f>IF(AND($G61='Povolené hodnoty'!$B$13,$H61=BC$4),SUM($J61,$M61,$P61,$S61),"")</f>
        <v/>
      </c>
      <c r="BD61" s="40" t="str">
        <f>IF(AND($G61='Povolené hodnoty'!$B$13,$H61=BD$4),SUM($J61,$M61,$P61,$S61),"")</f>
        <v/>
      </c>
      <c r="BE61" s="41" t="str">
        <f>IF(AND($G61='Povolené hodnoty'!$B$13,$H61=BE$4),SUM($J61,$M61,$P61,$S61),"")</f>
        <v/>
      </c>
      <c r="BF61" s="39" t="str">
        <f>IF(AND($G61='Povolené hodnoty'!$B$14,$H61=BF$4),SUM($J61,$M61,$P61,$S61),"")</f>
        <v/>
      </c>
      <c r="BG61" s="458" t="str">
        <f>IF(AND($G61='Povolené hodnoty'!$B$14,$H61=BG$4),SUM($J61,$M61,$P61,$S61),"")</f>
        <v/>
      </c>
      <c r="BH61" s="458" t="str">
        <f>IF(AND($G61='Povolené hodnoty'!$B$14,$H61=BH$4),SUM($J61,$M61,$P61,$S61),"")</f>
        <v/>
      </c>
      <c r="BI61" s="458" t="str">
        <f>IF(AND($G61='Povolené hodnoty'!$B$14,$H61=BI$4),SUM($J61,$M61,$P61,$S61),"")</f>
        <v/>
      </c>
      <c r="BJ61" s="458" t="str">
        <f>IF(AND($G61='Povolené hodnoty'!$B$14,$H61=BJ$4),SUM($J61,$M61,$P61,$S61),"")</f>
        <v/>
      </c>
      <c r="BK61" s="40" t="str">
        <f>IF(AND($G61='Povolené hodnoty'!$B$14,$H61=BK$4),SUM($J61,$M61,$P61,$S61),"")</f>
        <v/>
      </c>
      <c r="BL61" s="40" t="str">
        <f>IF(AND($G61='Povolené hodnoty'!$B$14,$H61=BL$4),SUM($J61,$M61,$P61,$S61),"")</f>
        <v/>
      </c>
      <c r="BM61" s="41" t="str">
        <f>IF(AND($G61='Povolené hodnoty'!$B$14,$H61=BM$4),SUM($J61,$M61,$P61,$S61),"")</f>
        <v/>
      </c>
      <c r="BO61" s="18" t="b">
        <f t="shared" si="33"/>
        <v>0</v>
      </c>
      <c r="BP61" s="18" t="b">
        <f t="shared" si="1"/>
        <v>0</v>
      </c>
      <c r="BQ61" s="18" t="b">
        <f>AND(E61&lt;&gt;'Povolené hodnoty'!$B$6,F61&lt;&gt;'Povolené hodnoty'!$D$7,F61&lt;&gt;'Povolené hodnoty'!$D$8,OR(SUM(I61,L61,O61,R61)&lt;&gt;SUM(W61:X61,AA61:AG61),SUM(J61,M61,P61,S61)&lt;&gt;SUM(Y61:Z61,AH61:AK61),COUNT(I61:J61,L61:M61,O61:P61,R61:S61)&lt;&gt;COUNT(W61:AK61)))</f>
        <v>0</v>
      </c>
      <c r="BR61" s="18" t="b">
        <f>OR(AND(E61='Povolené hodnoty'!$B$6,$BR$5),AND(E61='Povolené hodnoty'!$B$6,H61&lt;&gt;'Povolené hodnoty'!$E$26,H61&lt;&gt;'Povolené hodnoty'!$E$35),AND(E61&lt;&gt;'Povolené hodnoty'!$B$6,OR(H61='Povolené hodnoty'!$E$26,H61='Povolené hodnoty'!$E$35)))</f>
        <v>0</v>
      </c>
      <c r="BS61" s="18" t="b">
        <f>OR(AND(G61&lt;&gt;'Povolené hodnoty'!$B$13,OR(H61='Povolené hodnoty'!$E$21,H61='Povolené hodnoty'!$E$22,H61='Povolené hodnoty'!$E$23,H61='Povolené hodnoty'!$E$24,H61='Povolené hodnoty'!$E$26,H61='Povolené hodnoty'!$E$36)),COUNT(I61:J61,L61:M61,O61:P61,R61:S61)&lt;&gt;COUNT(AL61:BM61))</f>
        <v>0</v>
      </c>
      <c r="BT61" s="18" t="b">
        <f t="shared" si="2"/>
        <v>0</v>
      </c>
      <c r="BV61" s="39" t="str">
        <f t="shared" si="3"/>
        <v/>
      </c>
      <c r="BW61" s="458" t="str">
        <f t="shared" si="4"/>
        <v/>
      </c>
      <c r="BX61" s="458" t="str">
        <f t="shared" si="5"/>
        <v/>
      </c>
      <c r="BY61" s="458" t="str">
        <f t="shared" si="6"/>
        <v/>
      </c>
      <c r="BZ61" s="458" t="str">
        <f t="shared" si="7"/>
        <v/>
      </c>
      <c r="CA61" s="40" t="str">
        <f t="shared" si="8"/>
        <v/>
      </c>
      <c r="CB61" s="40" t="str">
        <f t="shared" si="9"/>
        <v/>
      </c>
      <c r="CC61" s="39" t="str">
        <f t="shared" si="10"/>
        <v/>
      </c>
      <c r="CD61" s="458" t="str">
        <f t="shared" si="11"/>
        <v/>
      </c>
      <c r="CE61" s="41" t="str">
        <f t="shared" si="12"/>
        <v/>
      </c>
      <c r="CF61" s="39" t="str">
        <f t="shared" si="13"/>
        <v/>
      </c>
      <c r="CG61" s="458" t="str">
        <f t="shared" si="14"/>
        <v/>
      </c>
      <c r="CH61" s="458" t="str">
        <f t="shared" si="15"/>
        <v/>
      </c>
      <c r="CI61" s="458" t="str">
        <f t="shared" si="16"/>
        <v/>
      </c>
      <c r="CJ61" s="458" t="str">
        <f t="shared" si="17"/>
        <v/>
      </c>
      <c r="CK61" s="40" t="str">
        <f t="shared" si="18"/>
        <v/>
      </c>
      <c r="CL61" s="40" t="str">
        <f t="shared" si="19"/>
        <v/>
      </c>
      <c r="CM61" s="40" t="str">
        <f t="shared" si="20"/>
        <v/>
      </c>
      <c r="CN61" s="39" t="str">
        <f t="shared" si="21"/>
        <v/>
      </c>
      <c r="CO61" s="458" t="str">
        <f t="shared" si="22"/>
        <v/>
      </c>
      <c r="CP61" s="458" t="str">
        <f t="shared" si="23"/>
        <v/>
      </c>
      <c r="CQ61" s="458" t="str">
        <f t="shared" si="24"/>
        <v/>
      </c>
      <c r="CR61" s="458" t="str">
        <f t="shared" si="25"/>
        <v/>
      </c>
      <c r="CS61" s="40" t="str">
        <f t="shared" si="26"/>
        <v/>
      </c>
      <c r="CT61" s="40" t="str">
        <f t="shared" si="27"/>
        <v/>
      </c>
      <c r="CU61" s="41" t="str">
        <f t="shared" si="28"/>
        <v/>
      </c>
    </row>
    <row r="62" spans="1:99" x14ac:dyDescent="0.2">
      <c r="A62" s="77">
        <f t="shared" si="29"/>
        <v>57</v>
      </c>
      <c r="B62" s="81"/>
      <c r="C62" s="82"/>
      <c r="D62" s="71"/>
      <c r="E62" s="72"/>
      <c r="F62" s="73"/>
      <c r="G62" s="443"/>
      <c r="H62" s="443"/>
      <c r="I62" s="74"/>
      <c r="J62" s="75"/>
      <c r="K62" s="41">
        <f t="shared" si="39"/>
        <v>3625</v>
      </c>
      <c r="L62" s="104"/>
      <c r="M62" s="105"/>
      <c r="N62" s="106">
        <f t="shared" si="40"/>
        <v>537.05999999999995</v>
      </c>
      <c r="O62" s="104"/>
      <c r="P62" s="105"/>
      <c r="Q62" s="106">
        <f t="shared" si="35"/>
        <v>10045.83</v>
      </c>
      <c r="R62" s="104"/>
      <c r="S62" s="105"/>
      <c r="T62" s="106">
        <f t="shared" si="36"/>
        <v>0</v>
      </c>
      <c r="U62" s="439"/>
      <c r="V62" s="42">
        <f t="shared" si="0"/>
        <v>57</v>
      </c>
      <c r="W62" s="39" t="str">
        <f>IF(AND(E62='Povolené hodnoty'!$B$4,F62=2),I62+L62+O62+R62,"")</f>
        <v/>
      </c>
      <c r="X62" s="41" t="str">
        <f>IF(AND(E62='Povolené hodnoty'!$B$4,F62=1),I62+L62+O62+R62,"")</f>
        <v/>
      </c>
      <c r="Y62" s="39" t="str">
        <f>IF(AND(E62='Povolené hodnoty'!$B$4,F62=10),J62+M62+P62+S62,"")</f>
        <v/>
      </c>
      <c r="Z62" s="41" t="str">
        <f>IF(AND(E62='Povolené hodnoty'!$B$4,F62=9),J62+M62+P62+S62,"")</f>
        <v/>
      </c>
      <c r="AA62" s="39" t="str">
        <f>IF(AND(E62&lt;&gt;'Povolené hodnoty'!$B$4,F62=2),I62+L62+O62+R62,"")</f>
        <v/>
      </c>
      <c r="AB62" s="40" t="str">
        <f>IF(AND(E62&lt;&gt;'Povolené hodnoty'!$B$4,F62=3),I62+L62+O62+R62,"")</f>
        <v/>
      </c>
      <c r="AC62" s="40" t="str">
        <f>IF(AND(E62&lt;&gt;'Povolené hodnoty'!$B$4,F62=4),I62+L62+O62+R62,"")</f>
        <v/>
      </c>
      <c r="AD62" s="40" t="str">
        <f>IF(AND(E62&lt;&gt;'Povolené hodnoty'!$B$4,F62="5a"),I62-J62+L62-M62+O62-P62+R62-S62,"")</f>
        <v/>
      </c>
      <c r="AE62" s="40" t="str">
        <f>IF(AND(E62&lt;&gt;'Povolené hodnoty'!$B$4,F62="5b"),I62-J62+L62-M62+O62-P62+R62-S62,"")</f>
        <v/>
      </c>
      <c r="AF62" s="40" t="str">
        <f>IF(AND(E62&lt;&gt;'Povolené hodnoty'!$B$4,F62=6),I62+L62+O62+R62,"")</f>
        <v/>
      </c>
      <c r="AG62" s="41" t="str">
        <f>IF(AND(E62&lt;&gt;'Povolené hodnoty'!$B$4,F62=7),I62+L62+O62+R62,"")</f>
        <v/>
      </c>
      <c r="AH62" s="39" t="str">
        <f>IF(AND(E62&lt;&gt;'Povolené hodnoty'!$B$4,F62=10),J62+M62+P62+S62,"")</f>
        <v/>
      </c>
      <c r="AI62" s="40" t="str">
        <f>IF(AND(E62&lt;&gt;'Povolené hodnoty'!$B$4,F62=11),J62+M62+P62+S62,"")</f>
        <v/>
      </c>
      <c r="AJ62" s="40" t="str">
        <f>IF(AND(E62&lt;&gt;'Povolené hodnoty'!$B$4,F62=12),J62+M62+P62+S62,"")</f>
        <v/>
      </c>
      <c r="AK62" s="41" t="str">
        <f>IF(AND(E62&lt;&gt;'Povolené hodnoty'!$B$4,F62=13),J62+M62+P62+S62,"")</f>
        <v/>
      </c>
      <c r="AL62" s="39" t="str">
        <f>IF(AND($G62='Povolené hodnoty'!$B$13,$H62=AL$4),SUM($I62,$L62,$O62,$R62),"")</f>
        <v/>
      </c>
      <c r="AM62" s="458" t="str">
        <f>IF(AND($G62='Povolené hodnoty'!$B$13,$H62=AM$4),SUM($I62,$L62,$O62,$R62),"")</f>
        <v/>
      </c>
      <c r="AN62" s="458" t="str">
        <f>IF(AND($G62='Povolené hodnoty'!$B$13,$H62=AN$4),SUM($I62,$L62,$O62,$R62),"")</f>
        <v/>
      </c>
      <c r="AO62" s="458" t="str">
        <f>IF(AND($G62='Povolené hodnoty'!$B$13,$H62=AO$4),SUM($I62,$L62,$O62,$R62),"")</f>
        <v/>
      </c>
      <c r="AP62" s="458" t="str">
        <f>IF(AND($G62='Povolené hodnoty'!$B$13,$H62=AP$4),SUM($I62,$L62,$O62,$R62),"")</f>
        <v/>
      </c>
      <c r="AQ62" s="40" t="str">
        <f>IF(AND($G62='Povolené hodnoty'!$B$13,OR($H62=AQ$4,$H62='Povolené hodnoty'!$E$36)),SUM($I62,-$J62,$L62,-$M62,$O62,-$P62,$R62,-$S62),"")</f>
        <v/>
      </c>
      <c r="AR62" s="40" t="str">
        <f>IF(AND($G62='Povolené hodnoty'!$B$13,$H62=AR$4),SUM($I62,$L62,$O62,$R62),"")</f>
        <v/>
      </c>
      <c r="AS62" s="41" t="str">
        <f>IF(AND($G62='Povolené hodnoty'!$B$13,$H62=AS$4),SUM($I62,$L62,$O62,$R62),"")</f>
        <v/>
      </c>
      <c r="AT62" s="39" t="str">
        <f>IF(AND($G62='Povolené hodnoty'!$B$14,$H62=AT$4),SUM($I62,$L62,$O62,$R62),"")</f>
        <v/>
      </c>
      <c r="AU62" s="458" t="str">
        <f>IF(AND($G62='Povolené hodnoty'!$B$14,$H62=AU$4),SUM($I62,$L62,$O62,$R62),"")</f>
        <v/>
      </c>
      <c r="AV62" s="41" t="str">
        <f>IF(AND($G62='Povolené hodnoty'!$B$14,$H62=AV$4),SUM($I62,$L62,$O62,$R62),"")</f>
        <v/>
      </c>
      <c r="AW62" s="39" t="str">
        <f>IF(AND($G62='Povolené hodnoty'!$B$13,$H62=AW$4),SUM($J62,$M62,$P62,$S62),"")</f>
        <v/>
      </c>
      <c r="AX62" s="458" t="str">
        <f>IF(AND($G62='Povolené hodnoty'!$B$13,$H62=AX$4),SUM($J62,$M62,$P62,$S62),"")</f>
        <v/>
      </c>
      <c r="AY62" s="458" t="str">
        <f>IF(AND($G62='Povolené hodnoty'!$B$13,$H62=AY$4),SUM($J62,$M62,$P62,$S62),"")</f>
        <v/>
      </c>
      <c r="AZ62" s="458" t="str">
        <f>IF(AND($G62='Povolené hodnoty'!$B$13,$H62=AZ$4),SUM($J62,$M62,$P62,$S62),"")</f>
        <v/>
      </c>
      <c r="BA62" s="458" t="str">
        <f>IF(AND($G62='Povolené hodnoty'!$B$13,$H62=BA$4),SUM($J62,$M62,$P62,$S62),"")</f>
        <v/>
      </c>
      <c r="BB62" s="40" t="str">
        <f>IF(AND($G62='Povolené hodnoty'!$B$13,$H62=BB$4),SUM($J62,$M62,$P62,$S62),"")</f>
        <v/>
      </c>
      <c r="BC62" s="40" t="str">
        <f>IF(AND($G62='Povolené hodnoty'!$B$13,$H62=BC$4),SUM($J62,$M62,$P62,$S62),"")</f>
        <v/>
      </c>
      <c r="BD62" s="40" t="str">
        <f>IF(AND($G62='Povolené hodnoty'!$B$13,$H62=BD$4),SUM($J62,$M62,$P62,$S62),"")</f>
        <v/>
      </c>
      <c r="BE62" s="41" t="str">
        <f>IF(AND($G62='Povolené hodnoty'!$B$13,$H62=BE$4),SUM($J62,$M62,$P62,$S62),"")</f>
        <v/>
      </c>
      <c r="BF62" s="39" t="str">
        <f>IF(AND($G62='Povolené hodnoty'!$B$14,$H62=BF$4),SUM($J62,$M62,$P62,$S62),"")</f>
        <v/>
      </c>
      <c r="BG62" s="458" t="str">
        <f>IF(AND($G62='Povolené hodnoty'!$B$14,$H62=BG$4),SUM($J62,$M62,$P62,$S62),"")</f>
        <v/>
      </c>
      <c r="BH62" s="458" t="str">
        <f>IF(AND($G62='Povolené hodnoty'!$B$14,$H62=BH$4),SUM($J62,$M62,$P62,$S62),"")</f>
        <v/>
      </c>
      <c r="BI62" s="458" t="str">
        <f>IF(AND($G62='Povolené hodnoty'!$B$14,$H62=BI$4),SUM($J62,$M62,$P62,$S62),"")</f>
        <v/>
      </c>
      <c r="BJ62" s="458" t="str">
        <f>IF(AND($G62='Povolené hodnoty'!$B$14,$H62=BJ$4),SUM($J62,$M62,$P62,$S62),"")</f>
        <v/>
      </c>
      <c r="BK62" s="40" t="str">
        <f>IF(AND($G62='Povolené hodnoty'!$B$14,$H62=BK$4),SUM($J62,$M62,$P62,$S62),"")</f>
        <v/>
      </c>
      <c r="BL62" s="40" t="str">
        <f>IF(AND($G62='Povolené hodnoty'!$B$14,$H62=BL$4),SUM($J62,$M62,$P62,$S62),"")</f>
        <v/>
      </c>
      <c r="BM62" s="41" t="str">
        <f>IF(AND($G62='Povolené hodnoty'!$B$14,$H62=BM$4),SUM($J62,$M62,$P62,$S62),"")</f>
        <v/>
      </c>
      <c r="BO62" s="18" t="b">
        <f t="shared" si="33"/>
        <v>0</v>
      </c>
      <c r="BP62" s="18" t="b">
        <f t="shared" si="1"/>
        <v>0</v>
      </c>
      <c r="BQ62" s="18" t="b">
        <f>AND(E62&lt;&gt;'Povolené hodnoty'!$B$6,F62&lt;&gt;'Povolené hodnoty'!$D$7,F62&lt;&gt;'Povolené hodnoty'!$D$8,OR(SUM(I62,L62,O62,R62)&lt;&gt;SUM(W62:X62,AA62:AG62),SUM(J62,M62,P62,S62)&lt;&gt;SUM(Y62:Z62,AH62:AK62),COUNT(I62:J62,L62:M62,O62:P62,R62:S62)&lt;&gt;COUNT(W62:AK62)))</f>
        <v>0</v>
      </c>
      <c r="BR62" s="18" t="b">
        <f>OR(AND(E62='Povolené hodnoty'!$B$6,$BR$5),AND(E62='Povolené hodnoty'!$B$6,H62&lt;&gt;'Povolené hodnoty'!$E$26,H62&lt;&gt;'Povolené hodnoty'!$E$35),AND(E62&lt;&gt;'Povolené hodnoty'!$B$6,OR(H62='Povolené hodnoty'!$E$26,H62='Povolené hodnoty'!$E$35)))</f>
        <v>0</v>
      </c>
      <c r="BS62" s="18" t="b">
        <f>OR(AND(G62&lt;&gt;'Povolené hodnoty'!$B$13,OR(H62='Povolené hodnoty'!$E$21,H62='Povolené hodnoty'!$E$22,H62='Povolené hodnoty'!$E$23,H62='Povolené hodnoty'!$E$24,H62='Povolené hodnoty'!$E$26,H62='Povolené hodnoty'!$E$36)),COUNT(I62:J62,L62:M62,O62:P62,R62:S62)&lt;&gt;COUNT(AL62:BM62))</f>
        <v>0</v>
      </c>
      <c r="BT62" s="18" t="b">
        <f t="shared" si="2"/>
        <v>0</v>
      </c>
      <c r="BV62" s="39" t="str">
        <f t="shared" si="3"/>
        <v/>
      </c>
      <c r="BW62" s="458" t="str">
        <f t="shared" si="4"/>
        <v/>
      </c>
      <c r="BX62" s="458" t="str">
        <f t="shared" si="5"/>
        <v/>
      </c>
      <c r="BY62" s="458" t="str">
        <f t="shared" si="6"/>
        <v/>
      </c>
      <c r="BZ62" s="458" t="str">
        <f t="shared" si="7"/>
        <v/>
      </c>
      <c r="CA62" s="40" t="str">
        <f t="shared" si="8"/>
        <v/>
      </c>
      <c r="CB62" s="40" t="str">
        <f t="shared" si="9"/>
        <v/>
      </c>
      <c r="CC62" s="39" t="str">
        <f t="shared" si="10"/>
        <v/>
      </c>
      <c r="CD62" s="458" t="str">
        <f t="shared" si="11"/>
        <v/>
      </c>
      <c r="CE62" s="41" t="str">
        <f t="shared" si="12"/>
        <v/>
      </c>
      <c r="CF62" s="39" t="str">
        <f t="shared" si="13"/>
        <v/>
      </c>
      <c r="CG62" s="458" t="str">
        <f t="shared" si="14"/>
        <v/>
      </c>
      <c r="CH62" s="458" t="str">
        <f t="shared" si="15"/>
        <v/>
      </c>
      <c r="CI62" s="458" t="str">
        <f t="shared" si="16"/>
        <v/>
      </c>
      <c r="CJ62" s="458" t="str">
        <f t="shared" si="17"/>
        <v/>
      </c>
      <c r="CK62" s="40" t="str">
        <f t="shared" si="18"/>
        <v/>
      </c>
      <c r="CL62" s="40" t="str">
        <f t="shared" si="19"/>
        <v/>
      </c>
      <c r="CM62" s="40" t="str">
        <f t="shared" si="20"/>
        <v/>
      </c>
      <c r="CN62" s="39" t="str">
        <f t="shared" si="21"/>
        <v/>
      </c>
      <c r="CO62" s="458" t="str">
        <f t="shared" si="22"/>
        <v/>
      </c>
      <c r="CP62" s="458" t="str">
        <f t="shared" si="23"/>
        <v/>
      </c>
      <c r="CQ62" s="458" t="str">
        <f t="shared" si="24"/>
        <v/>
      </c>
      <c r="CR62" s="458" t="str">
        <f t="shared" si="25"/>
        <v/>
      </c>
      <c r="CS62" s="40" t="str">
        <f t="shared" si="26"/>
        <v/>
      </c>
      <c r="CT62" s="40" t="str">
        <f t="shared" si="27"/>
        <v/>
      </c>
      <c r="CU62" s="41" t="str">
        <f t="shared" si="28"/>
        <v/>
      </c>
    </row>
    <row r="63" spans="1:99" x14ac:dyDescent="0.2">
      <c r="A63" s="77">
        <f t="shared" si="29"/>
        <v>58</v>
      </c>
      <c r="B63" s="81"/>
      <c r="C63" s="82"/>
      <c r="D63" s="71"/>
      <c r="E63" s="72"/>
      <c r="F63" s="73"/>
      <c r="G63" s="443"/>
      <c r="H63" s="443"/>
      <c r="I63" s="74"/>
      <c r="J63" s="75"/>
      <c r="K63" s="41">
        <f t="shared" si="39"/>
        <v>3625</v>
      </c>
      <c r="L63" s="104"/>
      <c r="M63" s="105"/>
      <c r="N63" s="106">
        <f t="shared" si="40"/>
        <v>537.05999999999995</v>
      </c>
      <c r="O63" s="104"/>
      <c r="P63" s="105"/>
      <c r="Q63" s="106">
        <f t="shared" si="35"/>
        <v>10045.83</v>
      </c>
      <c r="R63" s="104"/>
      <c r="S63" s="105"/>
      <c r="T63" s="106">
        <f t="shared" si="36"/>
        <v>0</v>
      </c>
      <c r="U63" s="439"/>
      <c r="V63" s="42">
        <f t="shared" si="0"/>
        <v>58</v>
      </c>
      <c r="W63" s="39" t="str">
        <f>IF(AND(E63='Povolené hodnoty'!$B$4,F63=2),I63+L63+O63+R63,"")</f>
        <v/>
      </c>
      <c r="X63" s="41" t="str">
        <f>IF(AND(E63='Povolené hodnoty'!$B$4,F63=1),I63+L63+O63+R63,"")</f>
        <v/>
      </c>
      <c r="Y63" s="39" t="str">
        <f>IF(AND(E63='Povolené hodnoty'!$B$4,F63=10),J63+M63+P63+S63,"")</f>
        <v/>
      </c>
      <c r="Z63" s="41" t="str">
        <f>IF(AND(E63='Povolené hodnoty'!$B$4,F63=9),J63+M63+P63+S63,"")</f>
        <v/>
      </c>
      <c r="AA63" s="39" t="str">
        <f>IF(AND(E63&lt;&gt;'Povolené hodnoty'!$B$4,F63=2),I63+L63+O63+R63,"")</f>
        <v/>
      </c>
      <c r="AB63" s="40" t="str">
        <f>IF(AND(E63&lt;&gt;'Povolené hodnoty'!$B$4,F63=3),I63+L63+O63+R63,"")</f>
        <v/>
      </c>
      <c r="AC63" s="40" t="str">
        <f>IF(AND(E63&lt;&gt;'Povolené hodnoty'!$B$4,F63=4),I63+L63+O63+R63,"")</f>
        <v/>
      </c>
      <c r="AD63" s="40" t="str">
        <f>IF(AND(E63&lt;&gt;'Povolené hodnoty'!$B$4,F63="5a"),I63-J63+L63-M63+O63-P63+R63-S63,"")</f>
        <v/>
      </c>
      <c r="AE63" s="40" t="str">
        <f>IF(AND(E63&lt;&gt;'Povolené hodnoty'!$B$4,F63="5b"),I63-J63+L63-M63+O63-P63+R63-S63,"")</f>
        <v/>
      </c>
      <c r="AF63" s="40" t="str">
        <f>IF(AND(E63&lt;&gt;'Povolené hodnoty'!$B$4,F63=6),I63+L63+O63+R63,"")</f>
        <v/>
      </c>
      <c r="AG63" s="41" t="str">
        <f>IF(AND(E63&lt;&gt;'Povolené hodnoty'!$B$4,F63=7),I63+L63+O63+R63,"")</f>
        <v/>
      </c>
      <c r="AH63" s="39" t="str">
        <f>IF(AND(E63&lt;&gt;'Povolené hodnoty'!$B$4,F63=10),J63+M63+P63+S63,"")</f>
        <v/>
      </c>
      <c r="AI63" s="40" t="str">
        <f>IF(AND(E63&lt;&gt;'Povolené hodnoty'!$B$4,F63=11),J63+M63+P63+S63,"")</f>
        <v/>
      </c>
      <c r="AJ63" s="40" t="str">
        <f>IF(AND(E63&lt;&gt;'Povolené hodnoty'!$B$4,F63=12),J63+M63+P63+S63,"")</f>
        <v/>
      </c>
      <c r="AK63" s="41" t="str">
        <f>IF(AND(E63&lt;&gt;'Povolené hodnoty'!$B$4,F63=13),J63+M63+P63+S63,"")</f>
        <v/>
      </c>
      <c r="AL63" s="39" t="str">
        <f>IF(AND($G63='Povolené hodnoty'!$B$13,$H63=AL$4),SUM($I63,$L63,$O63,$R63),"")</f>
        <v/>
      </c>
      <c r="AM63" s="458" t="str">
        <f>IF(AND($G63='Povolené hodnoty'!$B$13,$H63=AM$4),SUM($I63,$L63,$O63,$R63),"")</f>
        <v/>
      </c>
      <c r="AN63" s="458" t="str">
        <f>IF(AND($G63='Povolené hodnoty'!$B$13,$H63=AN$4),SUM($I63,$L63,$O63,$R63),"")</f>
        <v/>
      </c>
      <c r="AO63" s="458" t="str">
        <f>IF(AND($G63='Povolené hodnoty'!$B$13,$H63=AO$4),SUM($I63,$L63,$O63,$R63),"")</f>
        <v/>
      </c>
      <c r="AP63" s="458" t="str">
        <f>IF(AND($G63='Povolené hodnoty'!$B$13,$H63=AP$4),SUM($I63,$L63,$O63,$R63),"")</f>
        <v/>
      </c>
      <c r="AQ63" s="40" t="str">
        <f>IF(AND($G63='Povolené hodnoty'!$B$13,OR($H63=AQ$4,$H63='Povolené hodnoty'!$E$36)),SUM($I63,-$J63,$L63,-$M63,$O63,-$P63,$R63,-$S63),"")</f>
        <v/>
      </c>
      <c r="AR63" s="40" t="str">
        <f>IF(AND($G63='Povolené hodnoty'!$B$13,$H63=AR$4),SUM($I63,$L63,$O63,$R63),"")</f>
        <v/>
      </c>
      <c r="AS63" s="41" t="str">
        <f>IF(AND($G63='Povolené hodnoty'!$B$13,$H63=AS$4),SUM($I63,$L63,$O63,$R63),"")</f>
        <v/>
      </c>
      <c r="AT63" s="39" t="str">
        <f>IF(AND($G63='Povolené hodnoty'!$B$14,$H63=AT$4),SUM($I63,$L63,$O63,$R63),"")</f>
        <v/>
      </c>
      <c r="AU63" s="458" t="str">
        <f>IF(AND($G63='Povolené hodnoty'!$B$14,$H63=AU$4),SUM($I63,$L63,$O63,$R63),"")</f>
        <v/>
      </c>
      <c r="AV63" s="41" t="str">
        <f>IF(AND($G63='Povolené hodnoty'!$B$14,$H63=AV$4),SUM($I63,$L63,$O63,$R63),"")</f>
        <v/>
      </c>
      <c r="AW63" s="39" t="str">
        <f>IF(AND($G63='Povolené hodnoty'!$B$13,$H63=AW$4),SUM($J63,$M63,$P63,$S63),"")</f>
        <v/>
      </c>
      <c r="AX63" s="458" t="str">
        <f>IF(AND($G63='Povolené hodnoty'!$B$13,$H63=AX$4),SUM($J63,$M63,$P63,$S63),"")</f>
        <v/>
      </c>
      <c r="AY63" s="458" t="str">
        <f>IF(AND($G63='Povolené hodnoty'!$B$13,$H63=AY$4),SUM($J63,$M63,$P63,$S63),"")</f>
        <v/>
      </c>
      <c r="AZ63" s="458" t="str">
        <f>IF(AND($G63='Povolené hodnoty'!$B$13,$H63=AZ$4),SUM($J63,$M63,$P63,$S63),"")</f>
        <v/>
      </c>
      <c r="BA63" s="458" t="str">
        <f>IF(AND($G63='Povolené hodnoty'!$B$13,$H63=BA$4),SUM($J63,$M63,$P63,$S63),"")</f>
        <v/>
      </c>
      <c r="BB63" s="40" t="str">
        <f>IF(AND($G63='Povolené hodnoty'!$B$13,$H63=BB$4),SUM($J63,$M63,$P63,$S63),"")</f>
        <v/>
      </c>
      <c r="BC63" s="40" t="str">
        <f>IF(AND($G63='Povolené hodnoty'!$B$13,$H63=BC$4),SUM($J63,$M63,$P63,$S63),"")</f>
        <v/>
      </c>
      <c r="BD63" s="40" t="str">
        <f>IF(AND($G63='Povolené hodnoty'!$B$13,$H63=BD$4),SUM($J63,$M63,$P63,$S63),"")</f>
        <v/>
      </c>
      <c r="BE63" s="41" t="str">
        <f>IF(AND($G63='Povolené hodnoty'!$B$13,$H63=BE$4),SUM($J63,$M63,$P63,$S63),"")</f>
        <v/>
      </c>
      <c r="BF63" s="39" t="str">
        <f>IF(AND($G63='Povolené hodnoty'!$B$14,$H63=BF$4),SUM($J63,$M63,$P63,$S63),"")</f>
        <v/>
      </c>
      <c r="BG63" s="458" t="str">
        <f>IF(AND($G63='Povolené hodnoty'!$B$14,$H63=BG$4),SUM($J63,$M63,$P63,$S63),"")</f>
        <v/>
      </c>
      <c r="BH63" s="458" t="str">
        <f>IF(AND($G63='Povolené hodnoty'!$B$14,$H63=BH$4),SUM($J63,$M63,$P63,$S63),"")</f>
        <v/>
      </c>
      <c r="BI63" s="458" t="str">
        <f>IF(AND($G63='Povolené hodnoty'!$B$14,$H63=BI$4),SUM($J63,$M63,$P63,$S63),"")</f>
        <v/>
      </c>
      <c r="BJ63" s="458" t="str">
        <f>IF(AND($G63='Povolené hodnoty'!$B$14,$H63=BJ$4),SUM($J63,$M63,$P63,$S63),"")</f>
        <v/>
      </c>
      <c r="BK63" s="40" t="str">
        <f>IF(AND($G63='Povolené hodnoty'!$B$14,$H63=BK$4),SUM($J63,$M63,$P63,$S63),"")</f>
        <v/>
      </c>
      <c r="BL63" s="40" t="str">
        <f>IF(AND($G63='Povolené hodnoty'!$B$14,$H63=BL$4),SUM($J63,$M63,$P63,$S63),"")</f>
        <v/>
      </c>
      <c r="BM63" s="41" t="str">
        <f>IF(AND($G63='Povolené hodnoty'!$B$14,$H63=BM$4),SUM($J63,$M63,$P63,$S63),"")</f>
        <v/>
      </c>
      <c r="BO63" s="18" t="b">
        <f t="shared" si="33"/>
        <v>0</v>
      </c>
      <c r="BP63" s="18" t="b">
        <f t="shared" si="1"/>
        <v>0</v>
      </c>
      <c r="BQ63" s="18" t="b">
        <f>AND(E63&lt;&gt;'Povolené hodnoty'!$B$6,F63&lt;&gt;'Povolené hodnoty'!$D$7,F63&lt;&gt;'Povolené hodnoty'!$D$8,OR(SUM(I63,L63,O63,R63)&lt;&gt;SUM(W63:X63,AA63:AG63),SUM(J63,M63,P63,S63)&lt;&gt;SUM(Y63:Z63,AH63:AK63),COUNT(I63:J63,L63:M63,O63:P63,R63:S63)&lt;&gt;COUNT(W63:AK63)))</f>
        <v>0</v>
      </c>
      <c r="BR63" s="18" t="b">
        <f>OR(AND(E63='Povolené hodnoty'!$B$6,$BR$5),AND(E63='Povolené hodnoty'!$B$6,H63&lt;&gt;'Povolené hodnoty'!$E$26,H63&lt;&gt;'Povolené hodnoty'!$E$35),AND(E63&lt;&gt;'Povolené hodnoty'!$B$6,OR(H63='Povolené hodnoty'!$E$26,H63='Povolené hodnoty'!$E$35)))</f>
        <v>0</v>
      </c>
      <c r="BS63" s="18" t="b">
        <f>OR(AND(G63&lt;&gt;'Povolené hodnoty'!$B$13,OR(H63='Povolené hodnoty'!$E$21,H63='Povolené hodnoty'!$E$22,H63='Povolené hodnoty'!$E$23,H63='Povolené hodnoty'!$E$24,H63='Povolené hodnoty'!$E$26,H63='Povolené hodnoty'!$E$36)),COUNT(I63:J63,L63:M63,O63:P63,R63:S63)&lt;&gt;COUNT(AL63:BM63))</f>
        <v>0</v>
      </c>
      <c r="BT63" s="18" t="b">
        <f t="shared" si="2"/>
        <v>0</v>
      </c>
      <c r="BV63" s="39" t="str">
        <f t="shared" si="3"/>
        <v/>
      </c>
      <c r="BW63" s="458" t="str">
        <f t="shared" si="4"/>
        <v/>
      </c>
      <c r="BX63" s="458" t="str">
        <f t="shared" si="5"/>
        <v/>
      </c>
      <c r="BY63" s="458" t="str">
        <f t="shared" si="6"/>
        <v/>
      </c>
      <c r="BZ63" s="458" t="str">
        <f t="shared" si="7"/>
        <v/>
      </c>
      <c r="CA63" s="40" t="str">
        <f t="shared" si="8"/>
        <v/>
      </c>
      <c r="CB63" s="40" t="str">
        <f t="shared" si="9"/>
        <v/>
      </c>
      <c r="CC63" s="39" t="str">
        <f t="shared" si="10"/>
        <v/>
      </c>
      <c r="CD63" s="458" t="str">
        <f t="shared" si="11"/>
        <v/>
      </c>
      <c r="CE63" s="41" t="str">
        <f t="shared" si="12"/>
        <v/>
      </c>
      <c r="CF63" s="39" t="str">
        <f t="shared" si="13"/>
        <v/>
      </c>
      <c r="CG63" s="458" t="str">
        <f t="shared" si="14"/>
        <v/>
      </c>
      <c r="CH63" s="458" t="str">
        <f t="shared" si="15"/>
        <v/>
      </c>
      <c r="CI63" s="458" t="str">
        <f t="shared" si="16"/>
        <v/>
      </c>
      <c r="CJ63" s="458" t="str">
        <f t="shared" si="17"/>
        <v/>
      </c>
      <c r="CK63" s="40" t="str">
        <f t="shared" si="18"/>
        <v/>
      </c>
      <c r="CL63" s="40" t="str">
        <f t="shared" si="19"/>
        <v/>
      </c>
      <c r="CM63" s="40" t="str">
        <f t="shared" si="20"/>
        <v/>
      </c>
      <c r="CN63" s="39" t="str">
        <f t="shared" si="21"/>
        <v/>
      </c>
      <c r="CO63" s="458" t="str">
        <f t="shared" si="22"/>
        <v/>
      </c>
      <c r="CP63" s="458" t="str">
        <f t="shared" si="23"/>
        <v/>
      </c>
      <c r="CQ63" s="458" t="str">
        <f t="shared" si="24"/>
        <v/>
      </c>
      <c r="CR63" s="458" t="str">
        <f t="shared" si="25"/>
        <v/>
      </c>
      <c r="CS63" s="40" t="str">
        <f t="shared" si="26"/>
        <v/>
      </c>
      <c r="CT63" s="40" t="str">
        <f t="shared" si="27"/>
        <v/>
      </c>
      <c r="CU63" s="41" t="str">
        <f t="shared" si="28"/>
        <v/>
      </c>
    </row>
    <row r="64" spans="1:99" x14ac:dyDescent="0.2">
      <c r="A64" s="77">
        <f t="shared" si="29"/>
        <v>59</v>
      </c>
      <c r="B64" s="81"/>
      <c r="C64" s="82"/>
      <c r="D64" s="71"/>
      <c r="E64" s="72"/>
      <c r="F64" s="73"/>
      <c r="G64" s="443"/>
      <c r="H64" s="443"/>
      <c r="I64" s="74"/>
      <c r="J64" s="75"/>
      <c r="K64" s="41">
        <f t="shared" si="39"/>
        <v>3625</v>
      </c>
      <c r="L64" s="104"/>
      <c r="M64" s="105"/>
      <c r="N64" s="106">
        <f t="shared" si="40"/>
        <v>537.05999999999995</v>
      </c>
      <c r="O64" s="104"/>
      <c r="P64" s="105"/>
      <c r="Q64" s="106">
        <f t="shared" si="35"/>
        <v>10045.83</v>
      </c>
      <c r="R64" s="104"/>
      <c r="S64" s="105"/>
      <c r="T64" s="106">
        <f t="shared" si="36"/>
        <v>0</v>
      </c>
      <c r="U64" s="439"/>
      <c r="V64" s="42">
        <f t="shared" si="0"/>
        <v>59</v>
      </c>
      <c r="W64" s="39" t="str">
        <f>IF(AND(E64='Povolené hodnoty'!$B$4,F64=2),I64+L64+O64+R64,"")</f>
        <v/>
      </c>
      <c r="X64" s="41" t="str">
        <f>IF(AND(E64='Povolené hodnoty'!$B$4,F64=1),I64+L64+O64+R64,"")</f>
        <v/>
      </c>
      <c r="Y64" s="39" t="str">
        <f>IF(AND(E64='Povolené hodnoty'!$B$4,F64=10),J64+M64+P64+S64,"")</f>
        <v/>
      </c>
      <c r="Z64" s="41" t="str">
        <f>IF(AND(E64='Povolené hodnoty'!$B$4,F64=9),J64+M64+P64+S64,"")</f>
        <v/>
      </c>
      <c r="AA64" s="39" t="str">
        <f>IF(AND(E64&lt;&gt;'Povolené hodnoty'!$B$4,F64=2),I64+L64+O64+R64,"")</f>
        <v/>
      </c>
      <c r="AB64" s="40" t="str">
        <f>IF(AND(E64&lt;&gt;'Povolené hodnoty'!$B$4,F64=3),I64+L64+O64+R64,"")</f>
        <v/>
      </c>
      <c r="AC64" s="40" t="str">
        <f>IF(AND(E64&lt;&gt;'Povolené hodnoty'!$B$4,F64=4),I64+L64+O64+R64,"")</f>
        <v/>
      </c>
      <c r="AD64" s="40" t="str">
        <f>IF(AND(E64&lt;&gt;'Povolené hodnoty'!$B$4,F64="5a"),I64-J64+L64-M64+O64-P64+R64-S64,"")</f>
        <v/>
      </c>
      <c r="AE64" s="40" t="str">
        <f>IF(AND(E64&lt;&gt;'Povolené hodnoty'!$B$4,F64="5b"),I64-J64+L64-M64+O64-P64+R64-S64,"")</f>
        <v/>
      </c>
      <c r="AF64" s="40" t="str">
        <f>IF(AND(E64&lt;&gt;'Povolené hodnoty'!$B$4,F64=6),I64+L64+O64+R64,"")</f>
        <v/>
      </c>
      <c r="AG64" s="41" t="str">
        <f>IF(AND(E64&lt;&gt;'Povolené hodnoty'!$B$4,F64=7),I64+L64+O64+R64,"")</f>
        <v/>
      </c>
      <c r="AH64" s="39" t="str">
        <f>IF(AND(E64&lt;&gt;'Povolené hodnoty'!$B$4,F64=10),J64+M64+P64+S64,"")</f>
        <v/>
      </c>
      <c r="AI64" s="40" t="str">
        <f>IF(AND(E64&lt;&gt;'Povolené hodnoty'!$B$4,F64=11),J64+M64+P64+S64,"")</f>
        <v/>
      </c>
      <c r="AJ64" s="40" t="str">
        <f>IF(AND(E64&lt;&gt;'Povolené hodnoty'!$B$4,F64=12),J64+M64+P64+S64,"")</f>
        <v/>
      </c>
      <c r="AK64" s="41" t="str">
        <f>IF(AND(E64&lt;&gt;'Povolené hodnoty'!$B$4,F64=13),J64+M64+P64+S64,"")</f>
        <v/>
      </c>
      <c r="AL64" s="39" t="str">
        <f>IF(AND($G64='Povolené hodnoty'!$B$13,$H64=AL$4),SUM($I64,$L64,$O64,$R64),"")</f>
        <v/>
      </c>
      <c r="AM64" s="458" t="str">
        <f>IF(AND($G64='Povolené hodnoty'!$B$13,$H64=AM$4),SUM($I64,$L64,$O64,$R64),"")</f>
        <v/>
      </c>
      <c r="AN64" s="458" t="str">
        <f>IF(AND($G64='Povolené hodnoty'!$B$13,$H64=AN$4),SUM($I64,$L64,$O64,$R64),"")</f>
        <v/>
      </c>
      <c r="AO64" s="458" t="str">
        <f>IF(AND($G64='Povolené hodnoty'!$B$13,$H64=AO$4),SUM($I64,$L64,$O64,$R64),"")</f>
        <v/>
      </c>
      <c r="AP64" s="458" t="str">
        <f>IF(AND($G64='Povolené hodnoty'!$B$13,$H64=AP$4),SUM($I64,$L64,$O64,$R64),"")</f>
        <v/>
      </c>
      <c r="AQ64" s="40" t="str">
        <f>IF(AND($G64='Povolené hodnoty'!$B$13,OR($H64=AQ$4,$H64='Povolené hodnoty'!$E$36)),SUM($I64,-$J64,$L64,-$M64,$O64,-$P64,$R64,-$S64),"")</f>
        <v/>
      </c>
      <c r="AR64" s="40" t="str">
        <f>IF(AND($G64='Povolené hodnoty'!$B$13,$H64=AR$4),SUM($I64,$L64,$O64,$R64),"")</f>
        <v/>
      </c>
      <c r="AS64" s="41" t="str">
        <f>IF(AND($G64='Povolené hodnoty'!$B$13,$H64=AS$4),SUM($I64,$L64,$O64,$R64),"")</f>
        <v/>
      </c>
      <c r="AT64" s="39" t="str">
        <f>IF(AND($G64='Povolené hodnoty'!$B$14,$H64=AT$4),SUM($I64,$L64,$O64,$R64),"")</f>
        <v/>
      </c>
      <c r="AU64" s="458" t="str">
        <f>IF(AND($G64='Povolené hodnoty'!$B$14,$H64=AU$4),SUM($I64,$L64,$O64,$R64),"")</f>
        <v/>
      </c>
      <c r="AV64" s="41" t="str">
        <f>IF(AND($G64='Povolené hodnoty'!$B$14,$H64=AV$4),SUM($I64,$L64,$O64,$R64),"")</f>
        <v/>
      </c>
      <c r="AW64" s="39" t="str">
        <f>IF(AND($G64='Povolené hodnoty'!$B$13,$H64=AW$4),SUM($J64,$M64,$P64,$S64),"")</f>
        <v/>
      </c>
      <c r="AX64" s="458" t="str">
        <f>IF(AND($G64='Povolené hodnoty'!$B$13,$H64=AX$4),SUM($J64,$M64,$P64,$S64),"")</f>
        <v/>
      </c>
      <c r="AY64" s="458" t="str">
        <f>IF(AND($G64='Povolené hodnoty'!$B$13,$H64=AY$4),SUM($J64,$M64,$P64,$S64),"")</f>
        <v/>
      </c>
      <c r="AZ64" s="458" t="str">
        <f>IF(AND($G64='Povolené hodnoty'!$B$13,$H64=AZ$4),SUM($J64,$M64,$P64,$S64),"")</f>
        <v/>
      </c>
      <c r="BA64" s="458" t="str">
        <f>IF(AND($G64='Povolené hodnoty'!$B$13,$H64=BA$4),SUM($J64,$M64,$P64,$S64),"")</f>
        <v/>
      </c>
      <c r="BB64" s="40" t="str">
        <f>IF(AND($G64='Povolené hodnoty'!$B$13,$H64=BB$4),SUM($J64,$M64,$P64,$S64),"")</f>
        <v/>
      </c>
      <c r="BC64" s="40" t="str">
        <f>IF(AND($G64='Povolené hodnoty'!$B$13,$H64=BC$4),SUM($J64,$M64,$P64,$S64),"")</f>
        <v/>
      </c>
      <c r="BD64" s="40" t="str">
        <f>IF(AND($G64='Povolené hodnoty'!$B$13,$H64=BD$4),SUM($J64,$M64,$P64,$S64),"")</f>
        <v/>
      </c>
      <c r="BE64" s="41" t="str">
        <f>IF(AND($G64='Povolené hodnoty'!$B$13,$H64=BE$4),SUM($J64,$M64,$P64,$S64),"")</f>
        <v/>
      </c>
      <c r="BF64" s="39" t="str">
        <f>IF(AND($G64='Povolené hodnoty'!$B$14,$H64=BF$4),SUM($J64,$M64,$P64,$S64),"")</f>
        <v/>
      </c>
      <c r="BG64" s="458" t="str">
        <f>IF(AND($G64='Povolené hodnoty'!$B$14,$H64=BG$4),SUM($J64,$M64,$P64,$S64),"")</f>
        <v/>
      </c>
      <c r="BH64" s="458" t="str">
        <f>IF(AND($G64='Povolené hodnoty'!$B$14,$H64=BH$4),SUM($J64,$M64,$P64,$S64),"")</f>
        <v/>
      </c>
      <c r="BI64" s="458" t="str">
        <f>IF(AND($G64='Povolené hodnoty'!$B$14,$H64=BI$4),SUM($J64,$M64,$P64,$S64),"")</f>
        <v/>
      </c>
      <c r="BJ64" s="458" t="str">
        <f>IF(AND($G64='Povolené hodnoty'!$B$14,$H64=BJ$4),SUM($J64,$M64,$P64,$S64),"")</f>
        <v/>
      </c>
      <c r="BK64" s="40" t="str">
        <f>IF(AND($G64='Povolené hodnoty'!$B$14,$H64=BK$4),SUM($J64,$M64,$P64,$S64),"")</f>
        <v/>
      </c>
      <c r="BL64" s="40" t="str">
        <f>IF(AND($G64='Povolené hodnoty'!$B$14,$H64=BL$4),SUM($J64,$M64,$P64,$S64),"")</f>
        <v/>
      </c>
      <c r="BM64" s="41" t="str">
        <f>IF(AND($G64='Povolené hodnoty'!$B$14,$H64=BM$4),SUM($J64,$M64,$P64,$S64),"")</f>
        <v/>
      </c>
      <c r="BO64" s="18" t="b">
        <f t="shared" si="33"/>
        <v>0</v>
      </c>
      <c r="BP64" s="18" t="b">
        <f t="shared" si="1"/>
        <v>0</v>
      </c>
      <c r="BQ64" s="18" t="b">
        <f>AND(E64&lt;&gt;'Povolené hodnoty'!$B$6,F64&lt;&gt;'Povolené hodnoty'!$D$7,F64&lt;&gt;'Povolené hodnoty'!$D$8,OR(SUM(I64,L64,O64,R64)&lt;&gt;SUM(W64:X64,AA64:AG64),SUM(J64,M64,P64,S64)&lt;&gt;SUM(Y64:Z64,AH64:AK64),COUNT(I64:J64,L64:M64,O64:P64,R64:S64)&lt;&gt;COUNT(W64:AK64)))</f>
        <v>0</v>
      </c>
      <c r="BR64" s="18" t="b">
        <f>OR(AND(E64='Povolené hodnoty'!$B$6,$BR$5),AND(E64='Povolené hodnoty'!$B$6,H64&lt;&gt;'Povolené hodnoty'!$E$26,H64&lt;&gt;'Povolené hodnoty'!$E$35),AND(E64&lt;&gt;'Povolené hodnoty'!$B$6,OR(H64='Povolené hodnoty'!$E$26,H64='Povolené hodnoty'!$E$35)))</f>
        <v>0</v>
      </c>
      <c r="BS64" s="18" t="b">
        <f>OR(AND(G64&lt;&gt;'Povolené hodnoty'!$B$13,OR(H64='Povolené hodnoty'!$E$21,H64='Povolené hodnoty'!$E$22,H64='Povolené hodnoty'!$E$23,H64='Povolené hodnoty'!$E$24,H64='Povolené hodnoty'!$E$26,H64='Povolené hodnoty'!$E$36)),COUNT(I64:J64,L64:M64,O64:P64,R64:S64)&lt;&gt;COUNT(AL64:BM64))</f>
        <v>0</v>
      </c>
      <c r="BT64" s="18" t="b">
        <f t="shared" si="2"/>
        <v>0</v>
      </c>
      <c r="BV64" s="39" t="str">
        <f t="shared" si="3"/>
        <v/>
      </c>
      <c r="BW64" s="458" t="str">
        <f t="shared" si="4"/>
        <v/>
      </c>
      <c r="BX64" s="458" t="str">
        <f t="shared" si="5"/>
        <v/>
      </c>
      <c r="BY64" s="458" t="str">
        <f t="shared" si="6"/>
        <v/>
      </c>
      <c r="BZ64" s="458" t="str">
        <f t="shared" si="7"/>
        <v/>
      </c>
      <c r="CA64" s="40" t="str">
        <f t="shared" si="8"/>
        <v/>
      </c>
      <c r="CB64" s="40" t="str">
        <f t="shared" si="9"/>
        <v/>
      </c>
      <c r="CC64" s="39" t="str">
        <f t="shared" si="10"/>
        <v/>
      </c>
      <c r="CD64" s="458" t="str">
        <f t="shared" si="11"/>
        <v/>
      </c>
      <c r="CE64" s="41" t="str">
        <f t="shared" si="12"/>
        <v/>
      </c>
      <c r="CF64" s="39" t="str">
        <f t="shared" si="13"/>
        <v/>
      </c>
      <c r="CG64" s="458" t="str">
        <f t="shared" si="14"/>
        <v/>
      </c>
      <c r="CH64" s="458" t="str">
        <f t="shared" si="15"/>
        <v/>
      </c>
      <c r="CI64" s="458" t="str">
        <f t="shared" si="16"/>
        <v/>
      </c>
      <c r="CJ64" s="458" t="str">
        <f t="shared" si="17"/>
        <v/>
      </c>
      <c r="CK64" s="40" t="str">
        <f t="shared" si="18"/>
        <v/>
      </c>
      <c r="CL64" s="40" t="str">
        <f t="shared" si="19"/>
        <v/>
      </c>
      <c r="CM64" s="40" t="str">
        <f t="shared" si="20"/>
        <v/>
      </c>
      <c r="CN64" s="39" t="str">
        <f t="shared" si="21"/>
        <v/>
      </c>
      <c r="CO64" s="458" t="str">
        <f t="shared" si="22"/>
        <v/>
      </c>
      <c r="CP64" s="458" t="str">
        <f t="shared" si="23"/>
        <v/>
      </c>
      <c r="CQ64" s="458" t="str">
        <f t="shared" si="24"/>
        <v/>
      </c>
      <c r="CR64" s="458" t="str">
        <f t="shared" si="25"/>
        <v/>
      </c>
      <c r="CS64" s="40" t="str">
        <f t="shared" si="26"/>
        <v/>
      </c>
      <c r="CT64" s="40" t="str">
        <f t="shared" si="27"/>
        <v/>
      </c>
      <c r="CU64" s="41" t="str">
        <f t="shared" si="28"/>
        <v/>
      </c>
    </row>
    <row r="65" spans="1:99" x14ac:dyDescent="0.2">
      <c r="A65" s="77">
        <f t="shared" si="29"/>
        <v>60</v>
      </c>
      <c r="B65" s="81"/>
      <c r="C65" s="82"/>
      <c r="D65" s="71"/>
      <c r="E65" s="72"/>
      <c r="F65" s="73"/>
      <c r="G65" s="443"/>
      <c r="H65" s="443"/>
      <c r="I65" s="74"/>
      <c r="J65" s="75"/>
      <c r="K65" s="41">
        <f t="shared" si="39"/>
        <v>3625</v>
      </c>
      <c r="L65" s="104"/>
      <c r="M65" s="105"/>
      <c r="N65" s="106">
        <f t="shared" si="40"/>
        <v>537.05999999999995</v>
      </c>
      <c r="O65" s="104"/>
      <c r="P65" s="105"/>
      <c r="Q65" s="106">
        <f t="shared" si="35"/>
        <v>10045.83</v>
      </c>
      <c r="R65" s="104"/>
      <c r="S65" s="105"/>
      <c r="T65" s="106">
        <f t="shared" si="36"/>
        <v>0</v>
      </c>
      <c r="U65" s="439"/>
      <c r="V65" s="42">
        <f t="shared" si="0"/>
        <v>60</v>
      </c>
      <c r="W65" s="39" t="str">
        <f>IF(AND(E65='Povolené hodnoty'!$B$4,F65=2),I65+L65+O65+R65,"")</f>
        <v/>
      </c>
      <c r="X65" s="41" t="str">
        <f>IF(AND(E65='Povolené hodnoty'!$B$4,F65=1),I65+L65+O65+R65,"")</f>
        <v/>
      </c>
      <c r="Y65" s="39" t="str">
        <f>IF(AND(E65='Povolené hodnoty'!$B$4,F65=10),J65+M65+P65+S65,"")</f>
        <v/>
      </c>
      <c r="Z65" s="41" t="str">
        <f>IF(AND(E65='Povolené hodnoty'!$B$4,F65=9),J65+M65+P65+S65,"")</f>
        <v/>
      </c>
      <c r="AA65" s="39" t="str">
        <f>IF(AND(E65&lt;&gt;'Povolené hodnoty'!$B$4,F65=2),I65+L65+O65+R65,"")</f>
        <v/>
      </c>
      <c r="AB65" s="40" t="str">
        <f>IF(AND(E65&lt;&gt;'Povolené hodnoty'!$B$4,F65=3),I65+L65+O65+R65,"")</f>
        <v/>
      </c>
      <c r="AC65" s="40" t="str">
        <f>IF(AND(E65&lt;&gt;'Povolené hodnoty'!$B$4,F65=4),I65+L65+O65+R65,"")</f>
        <v/>
      </c>
      <c r="AD65" s="40" t="str">
        <f>IF(AND(E65&lt;&gt;'Povolené hodnoty'!$B$4,F65="5a"),I65-J65+L65-M65+O65-P65+R65-S65,"")</f>
        <v/>
      </c>
      <c r="AE65" s="40" t="str">
        <f>IF(AND(E65&lt;&gt;'Povolené hodnoty'!$B$4,F65="5b"),I65-J65+L65-M65+O65-P65+R65-S65,"")</f>
        <v/>
      </c>
      <c r="AF65" s="40" t="str">
        <f>IF(AND(E65&lt;&gt;'Povolené hodnoty'!$B$4,F65=6),I65+L65+O65+R65,"")</f>
        <v/>
      </c>
      <c r="AG65" s="41" t="str">
        <f>IF(AND(E65&lt;&gt;'Povolené hodnoty'!$B$4,F65=7),I65+L65+O65+R65,"")</f>
        <v/>
      </c>
      <c r="AH65" s="39" t="str">
        <f>IF(AND(E65&lt;&gt;'Povolené hodnoty'!$B$4,F65=10),J65+M65+P65+S65,"")</f>
        <v/>
      </c>
      <c r="AI65" s="40" t="str">
        <f>IF(AND(E65&lt;&gt;'Povolené hodnoty'!$B$4,F65=11),J65+M65+P65+S65,"")</f>
        <v/>
      </c>
      <c r="AJ65" s="40" t="str">
        <f>IF(AND(E65&lt;&gt;'Povolené hodnoty'!$B$4,F65=12),J65+M65+P65+S65,"")</f>
        <v/>
      </c>
      <c r="AK65" s="41" t="str">
        <f>IF(AND(E65&lt;&gt;'Povolené hodnoty'!$B$4,F65=13),J65+M65+P65+S65,"")</f>
        <v/>
      </c>
      <c r="AL65" s="39" t="str">
        <f>IF(AND($G65='Povolené hodnoty'!$B$13,$H65=AL$4),SUM($I65,$L65,$O65,$R65),"")</f>
        <v/>
      </c>
      <c r="AM65" s="458" t="str">
        <f>IF(AND($G65='Povolené hodnoty'!$B$13,$H65=AM$4),SUM($I65,$L65,$O65,$R65),"")</f>
        <v/>
      </c>
      <c r="AN65" s="458" t="str">
        <f>IF(AND($G65='Povolené hodnoty'!$B$13,$H65=AN$4),SUM($I65,$L65,$O65,$R65),"")</f>
        <v/>
      </c>
      <c r="AO65" s="458" t="str">
        <f>IF(AND($G65='Povolené hodnoty'!$B$13,$H65=AO$4),SUM($I65,$L65,$O65,$R65),"")</f>
        <v/>
      </c>
      <c r="AP65" s="458" t="str">
        <f>IF(AND($G65='Povolené hodnoty'!$B$13,$H65=AP$4),SUM($I65,$L65,$O65,$R65),"")</f>
        <v/>
      </c>
      <c r="AQ65" s="40" t="str">
        <f>IF(AND($G65='Povolené hodnoty'!$B$13,OR($H65=AQ$4,$H65='Povolené hodnoty'!$E$36)),SUM($I65,-$J65,$L65,-$M65,$O65,-$P65,$R65,-$S65),"")</f>
        <v/>
      </c>
      <c r="AR65" s="40" t="str">
        <f>IF(AND($G65='Povolené hodnoty'!$B$13,$H65=AR$4),SUM($I65,$L65,$O65,$R65),"")</f>
        <v/>
      </c>
      <c r="AS65" s="41" t="str">
        <f>IF(AND($G65='Povolené hodnoty'!$B$13,$H65=AS$4),SUM($I65,$L65,$O65,$R65),"")</f>
        <v/>
      </c>
      <c r="AT65" s="39" t="str">
        <f>IF(AND($G65='Povolené hodnoty'!$B$14,$H65=AT$4),SUM($I65,$L65,$O65,$R65),"")</f>
        <v/>
      </c>
      <c r="AU65" s="458" t="str">
        <f>IF(AND($G65='Povolené hodnoty'!$B$14,$H65=AU$4),SUM($I65,$L65,$O65,$R65),"")</f>
        <v/>
      </c>
      <c r="AV65" s="41" t="str">
        <f>IF(AND($G65='Povolené hodnoty'!$B$14,$H65=AV$4),SUM($I65,$L65,$O65,$R65),"")</f>
        <v/>
      </c>
      <c r="AW65" s="39" t="str">
        <f>IF(AND($G65='Povolené hodnoty'!$B$13,$H65=AW$4),SUM($J65,$M65,$P65,$S65),"")</f>
        <v/>
      </c>
      <c r="AX65" s="458" t="str">
        <f>IF(AND($G65='Povolené hodnoty'!$B$13,$H65=AX$4),SUM($J65,$M65,$P65,$S65),"")</f>
        <v/>
      </c>
      <c r="AY65" s="458" t="str">
        <f>IF(AND($G65='Povolené hodnoty'!$B$13,$H65=AY$4),SUM($J65,$M65,$P65,$S65),"")</f>
        <v/>
      </c>
      <c r="AZ65" s="458" t="str">
        <f>IF(AND($G65='Povolené hodnoty'!$B$13,$H65=AZ$4),SUM($J65,$M65,$P65,$S65),"")</f>
        <v/>
      </c>
      <c r="BA65" s="458" t="str">
        <f>IF(AND($G65='Povolené hodnoty'!$B$13,$H65=BA$4),SUM($J65,$M65,$P65,$S65),"")</f>
        <v/>
      </c>
      <c r="BB65" s="40" t="str">
        <f>IF(AND($G65='Povolené hodnoty'!$B$13,$H65=BB$4),SUM($J65,$M65,$P65,$S65),"")</f>
        <v/>
      </c>
      <c r="BC65" s="40" t="str">
        <f>IF(AND($G65='Povolené hodnoty'!$B$13,$H65=BC$4),SUM($J65,$M65,$P65,$S65),"")</f>
        <v/>
      </c>
      <c r="BD65" s="40" t="str">
        <f>IF(AND($G65='Povolené hodnoty'!$B$13,$H65=BD$4),SUM($J65,$M65,$P65,$S65),"")</f>
        <v/>
      </c>
      <c r="BE65" s="41" t="str">
        <f>IF(AND($G65='Povolené hodnoty'!$B$13,$H65=BE$4),SUM($J65,$M65,$P65,$S65),"")</f>
        <v/>
      </c>
      <c r="BF65" s="39" t="str">
        <f>IF(AND($G65='Povolené hodnoty'!$B$14,$H65=BF$4),SUM($J65,$M65,$P65,$S65),"")</f>
        <v/>
      </c>
      <c r="BG65" s="458" t="str">
        <f>IF(AND($G65='Povolené hodnoty'!$B$14,$H65=BG$4),SUM($J65,$M65,$P65,$S65),"")</f>
        <v/>
      </c>
      <c r="BH65" s="458" t="str">
        <f>IF(AND($G65='Povolené hodnoty'!$B$14,$H65=BH$4),SUM($J65,$M65,$P65,$S65),"")</f>
        <v/>
      </c>
      <c r="BI65" s="458" t="str">
        <f>IF(AND($G65='Povolené hodnoty'!$B$14,$H65=BI$4),SUM($J65,$M65,$P65,$S65),"")</f>
        <v/>
      </c>
      <c r="BJ65" s="458" t="str">
        <f>IF(AND($G65='Povolené hodnoty'!$B$14,$H65=BJ$4),SUM($J65,$M65,$P65,$S65),"")</f>
        <v/>
      </c>
      <c r="BK65" s="40" t="str">
        <f>IF(AND($G65='Povolené hodnoty'!$B$14,$H65=BK$4),SUM($J65,$M65,$P65,$S65),"")</f>
        <v/>
      </c>
      <c r="BL65" s="40" t="str">
        <f>IF(AND($G65='Povolené hodnoty'!$B$14,$H65=BL$4),SUM($J65,$M65,$P65,$S65),"")</f>
        <v/>
      </c>
      <c r="BM65" s="41" t="str">
        <f>IF(AND($G65='Povolené hodnoty'!$B$14,$H65=BM$4),SUM($J65,$M65,$P65,$S65),"")</f>
        <v/>
      </c>
      <c r="BO65" s="18" t="b">
        <f t="shared" si="33"/>
        <v>0</v>
      </c>
      <c r="BP65" s="18" t="b">
        <f t="shared" si="1"/>
        <v>0</v>
      </c>
      <c r="BQ65" s="18" t="b">
        <f>AND(E65&lt;&gt;'Povolené hodnoty'!$B$6,F65&lt;&gt;'Povolené hodnoty'!$D$7,F65&lt;&gt;'Povolené hodnoty'!$D$8,OR(SUM(I65,L65,O65,R65)&lt;&gt;SUM(W65:X65,AA65:AG65),SUM(J65,M65,P65,S65)&lt;&gt;SUM(Y65:Z65,AH65:AK65),COUNT(I65:J65,L65:M65,O65:P65,R65:S65)&lt;&gt;COUNT(W65:AK65)))</f>
        <v>0</v>
      </c>
      <c r="BR65" s="18" t="b">
        <f>OR(AND(E65='Povolené hodnoty'!$B$6,$BR$5),AND(E65='Povolené hodnoty'!$B$6,H65&lt;&gt;'Povolené hodnoty'!$E$26,H65&lt;&gt;'Povolené hodnoty'!$E$35),AND(E65&lt;&gt;'Povolené hodnoty'!$B$6,OR(H65='Povolené hodnoty'!$E$26,H65='Povolené hodnoty'!$E$35)))</f>
        <v>0</v>
      </c>
      <c r="BS65" s="18" t="b">
        <f>OR(AND(G65&lt;&gt;'Povolené hodnoty'!$B$13,OR(H65='Povolené hodnoty'!$E$21,H65='Povolené hodnoty'!$E$22,H65='Povolené hodnoty'!$E$23,H65='Povolené hodnoty'!$E$24,H65='Povolené hodnoty'!$E$26,H65='Povolené hodnoty'!$E$36)),COUNT(I65:J65,L65:M65,O65:P65,R65:S65)&lt;&gt;COUNT(AL65:BM65))</f>
        <v>0</v>
      </c>
      <c r="BT65" s="18" t="b">
        <f t="shared" si="2"/>
        <v>0</v>
      </c>
      <c r="BV65" s="39" t="str">
        <f t="shared" si="3"/>
        <v/>
      </c>
      <c r="BW65" s="458" t="str">
        <f t="shared" si="4"/>
        <v/>
      </c>
      <c r="BX65" s="458" t="str">
        <f t="shared" si="5"/>
        <v/>
      </c>
      <c r="BY65" s="458" t="str">
        <f t="shared" si="6"/>
        <v/>
      </c>
      <c r="BZ65" s="458" t="str">
        <f t="shared" si="7"/>
        <v/>
      </c>
      <c r="CA65" s="40" t="str">
        <f t="shared" si="8"/>
        <v/>
      </c>
      <c r="CB65" s="40" t="str">
        <f t="shared" si="9"/>
        <v/>
      </c>
      <c r="CC65" s="39" t="str">
        <f t="shared" si="10"/>
        <v/>
      </c>
      <c r="CD65" s="458" t="str">
        <f t="shared" si="11"/>
        <v/>
      </c>
      <c r="CE65" s="41" t="str">
        <f t="shared" si="12"/>
        <v/>
      </c>
      <c r="CF65" s="39" t="str">
        <f t="shared" si="13"/>
        <v/>
      </c>
      <c r="CG65" s="458" t="str">
        <f t="shared" si="14"/>
        <v/>
      </c>
      <c r="CH65" s="458" t="str">
        <f t="shared" si="15"/>
        <v/>
      </c>
      <c r="CI65" s="458" t="str">
        <f t="shared" si="16"/>
        <v/>
      </c>
      <c r="CJ65" s="458" t="str">
        <f t="shared" si="17"/>
        <v/>
      </c>
      <c r="CK65" s="40" t="str">
        <f t="shared" si="18"/>
        <v/>
      </c>
      <c r="CL65" s="40" t="str">
        <f t="shared" si="19"/>
        <v/>
      </c>
      <c r="CM65" s="40" t="str">
        <f t="shared" si="20"/>
        <v/>
      </c>
      <c r="CN65" s="39" t="str">
        <f t="shared" si="21"/>
        <v/>
      </c>
      <c r="CO65" s="458" t="str">
        <f t="shared" si="22"/>
        <v/>
      </c>
      <c r="CP65" s="458" t="str">
        <f t="shared" si="23"/>
        <v/>
      </c>
      <c r="CQ65" s="458" t="str">
        <f t="shared" si="24"/>
        <v/>
      </c>
      <c r="CR65" s="458" t="str">
        <f t="shared" si="25"/>
        <v/>
      </c>
      <c r="CS65" s="40" t="str">
        <f t="shared" si="26"/>
        <v/>
      </c>
      <c r="CT65" s="40" t="str">
        <f t="shared" si="27"/>
        <v/>
      </c>
      <c r="CU65" s="41" t="str">
        <f t="shared" si="28"/>
        <v/>
      </c>
    </row>
    <row r="66" spans="1:99" x14ac:dyDescent="0.2">
      <c r="A66" s="77">
        <f t="shared" si="29"/>
        <v>61</v>
      </c>
      <c r="B66" s="81"/>
      <c r="C66" s="82"/>
      <c r="D66" s="71"/>
      <c r="E66" s="72"/>
      <c r="F66" s="73"/>
      <c r="G66" s="443"/>
      <c r="H66" s="443"/>
      <c r="I66" s="74"/>
      <c r="J66" s="75"/>
      <c r="K66" s="41">
        <f t="shared" si="39"/>
        <v>3625</v>
      </c>
      <c r="L66" s="104"/>
      <c r="M66" s="105"/>
      <c r="N66" s="106">
        <f t="shared" si="40"/>
        <v>537.05999999999995</v>
      </c>
      <c r="O66" s="104"/>
      <c r="P66" s="105"/>
      <c r="Q66" s="106">
        <f t="shared" si="35"/>
        <v>10045.83</v>
      </c>
      <c r="R66" s="104"/>
      <c r="S66" s="105"/>
      <c r="T66" s="106">
        <f t="shared" si="36"/>
        <v>0</v>
      </c>
      <c r="U66" s="439"/>
      <c r="V66" s="42">
        <f t="shared" si="0"/>
        <v>61</v>
      </c>
      <c r="W66" s="39" t="str">
        <f>IF(AND(E66='Povolené hodnoty'!$B$4,F66=2),I66+L66+O66+R66,"")</f>
        <v/>
      </c>
      <c r="X66" s="41" t="str">
        <f>IF(AND(E66='Povolené hodnoty'!$B$4,F66=1),I66+L66+O66+R66,"")</f>
        <v/>
      </c>
      <c r="Y66" s="39" t="str">
        <f>IF(AND(E66='Povolené hodnoty'!$B$4,F66=10),J66+M66+P66+S66,"")</f>
        <v/>
      </c>
      <c r="Z66" s="41" t="str">
        <f>IF(AND(E66='Povolené hodnoty'!$B$4,F66=9),J66+M66+P66+S66,"")</f>
        <v/>
      </c>
      <c r="AA66" s="39" t="str">
        <f>IF(AND(E66&lt;&gt;'Povolené hodnoty'!$B$4,F66=2),I66+L66+O66+R66,"")</f>
        <v/>
      </c>
      <c r="AB66" s="40" t="str">
        <f>IF(AND(E66&lt;&gt;'Povolené hodnoty'!$B$4,F66=3),I66+L66+O66+R66,"")</f>
        <v/>
      </c>
      <c r="AC66" s="40" t="str">
        <f>IF(AND(E66&lt;&gt;'Povolené hodnoty'!$B$4,F66=4),I66+L66+O66+R66,"")</f>
        <v/>
      </c>
      <c r="AD66" s="40" t="str">
        <f>IF(AND(E66&lt;&gt;'Povolené hodnoty'!$B$4,F66="5a"),I66-J66+L66-M66+O66-P66+R66-S66,"")</f>
        <v/>
      </c>
      <c r="AE66" s="40" t="str">
        <f>IF(AND(E66&lt;&gt;'Povolené hodnoty'!$B$4,F66="5b"),I66-J66+L66-M66+O66-P66+R66-S66,"")</f>
        <v/>
      </c>
      <c r="AF66" s="40" t="str">
        <f>IF(AND(E66&lt;&gt;'Povolené hodnoty'!$B$4,F66=6),I66+L66+O66+R66,"")</f>
        <v/>
      </c>
      <c r="AG66" s="41" t="str">
        <f>IF(AND(E66&lt;&gt;'Povolené hodnoty'!$B$4,F66=7),I66+L66+O66+R66,"")</f>
        <v/>
      </c>
      <c r="AH66" s="39" t="str">
        <f>IF(AND(E66&lt;&gt;'Povolené hodnoty'!$B$4,F66=10),J66+M66+P66+S66,"")</f>
        <v/>
      </c>
      <c r="AI66" s="40" t="str">
        <f>IF(AND(E66&lt;&gt;'Povolené hodnoty'!$B$4,F66=11),J66+M66+P66+S66,"")</f>
        <v/>
      </c>
      <c r="AJ66" s="40" t="str">
        <f>IF(AND(E66&lt;&gt;'Povolené hodnoty'!$B$4,F66=12),J66+M66+P66+S66,"")</f>
        <v/>
      </c>
      <c r="AK66" s="41" t="str">
        <f>IF(AND(E66&lt;&gt;'Povolené hodnoty'!$B$4,F66=13),J66+M66+P66+S66,"")</f>
        <v/>
      </c>
      <c r="AL66" s="39" t="str">
        <f>IF(AND($G66='Povolené hodnoty'!$B$13,$H66=AL$4),SUM($I66,$L66,$O66,$R66),"")</f>
        <v/>
      </c>
      <c r="AM66" s="458" t="str">
        <f>IF(AND($G66='Povolené hodnoty'!$B$13,$H66=AM$4),SUM($I66,$L66,$O66,$R66),"")</f>
        <v/>
      </c>
      <c r="AN66" s="458" t="str">
        <f>IF(AND($G66='Povolené hodnoty'!$B$13,$H66=AN$4),SUM($I66,$L66,$O66,$R66),"")</f>
        <v/>
      </c>
      <c r="AO66" s="458" t="str">
        <f>IF(AND($G66='Povolené hodnoty'!$B$13,$H66=AO$4),SUM($I66,$L66,$O66,$R66),"")</f>
        <v/>
      </c>
      <c r="AP66" s="458" t="str">
        <f>IF(AND($G66='Povolené hodnoty'!$B$13,$H66=AP$4),SUM($I66,$L66,$O66,$R66),"")</f>
        <v/>
      </c>
      <c r="AQ66" s="40" t="str">
        <f>IF(AND($G66='Povolené hodnoty'!$B$13,OR($H66=AQ$4,$H66='Povolené hodnoty'!$E$36)),SUM($I66,-$J66,$L66,-$M66,$O66,-$P66,$R66,-$S66),"")</f>
        <v/>
      </c>
      <c r="AR66" s="40" t="str">
        <f>IF(AND($G66='Povolené hodnoty'!$B$13,$H66=AR$4),SUM($I66,$L66,$O66,$R66),"")</f>
        <v/>
      </c>
      <c r="AS66" s="41" t="str">
        <f>IF(AND($G66='Povolené hodnoty'!$B$13,$H66=AS$4),SUM($I66,$L66,$O66,$R66),"")</f>
        <v/>
      </c>
      <c r="AT66" s="39" t="str">
        <f>IF(AND($G66='Povolené hodnoty'!$B$14,$H66=AT$4),SUM($I66,$L66,$O66,$R66),"")</f>
        <v/>
      </c>
      <c r="AU66" s="458" t="str">
        <f>IF(AND($G66='Povolené hodnoty'!$B$14,$H66=AU$4),SUM($I66,$L66,$O66,$R66),"")</f>
        <v/>
      </c>
      <c r="AV66" s="41" t="str">
        <f>IF(AND($G66='Povolené hodnoty'!$B$14,$H66=AV$4),SUM($I66,$L66,$O66,$R66),"")</f>
        <v/>
      </c>
      <c r="AW66" s="39" t="str">
        <f>IF(AND($G66='Povolené hodnoty'!$B$13,$H66=AW$4),SUM($J66,$M66,$P66,$S66),"")</f>
        <v/>
      </c>
      <c r="AX66" s="458" t="str">
        <f>IF(AND($G66='Povolené hodnoty'!$B$13,$H66=AX$4),SUM($J66,$M66,$P66,$S66),"")</f>
        <v/>
      </c>
      <c r="AY66" s="458" t="str">
        <f>IF(AND($G66='Povolené hodnoty'!$B$13,$H66=AY$4),SUM($J66,$M66,$P66,$S66),"")</f>
        <v/>
      </c>
      <c r="AZ66" s="458" t="str">
        <f>IF(AND($G66='Povolené hodnoty'!$B$13,$H66=AZ$4),SUM($J66,$M66,$P66,$S66),"")</f>
        <v/>
      </c>
      <c r="BA66" s="458" t="str">
        <f>IF(AND($G66='Povolené hodnoty'!$B$13,$H66=BA$4),SUM($J66,$M66,$P66,$S66),"")</f>
        <v/>
      </c>
      <c r="BB66" s="40" t="str">
        <f>IF(AND($G66='Povolené hodnoty'!$B$13,$H66=BB$4),SUM($J66,$M66,$P66,$S66),"")</f>
        <v/>
      </c>
      <c r="BC66" s="40" t="str">
        <f>IF(AND($G66='Povolené hodnoty'!$B$13,$H66=BC$4),SUM($J66,$M66,$P66,$S66),"")</f>
        <v/>
      </c>
      <c r="BD66" s="40" t="str">
        <f>IF(AND($G66='Povolené hodnoty'!$B$13,$H66=BD$4),SUM($J66,$M66,$P66,$S66),"")</f>
        <v/>
      </c>
      <c r="BE66" s="41" t="str">
        <f>IF(AND($G66='Povolené hodnoty'!$B$13,$H66=BE$4),SUM($J66,$M66,$P66,$S66),"")</f>
        <v/>
      </c>
      <c r="BF66" s="39" t="str">
        <f>IF(AND($G66='Povolené hodnoty'!$B$14,$H66=BF$4),SUM($J66,$M66,$P66,$S66),"")</f>
        <v/>
      </c>
      <c r="BG66" s="458" t="str">
        <f>IF(AND($G66='Povolené hodnoty'!$B$14,$H66=BG$4),SUM($J66,$M66,$P66,$S66),"")</f>
        <v/>
      </c>
      <c r="BH66" s="458" t="str">
        <f>IF(AND($G66='Povolené hodnoty'!$B$14,$H66=BH$4),SUM($J66,$M66,$P66,$S66),"")</f>
        <v/>
      </c>
      <c r="BI66" s="458" t="str">
        <f>IF(AND($G66='Povolené hodnoty'!$B$14,$H66=BI$4),SUM($J66,$M66,$P66,$S66),"")</f>
        <v/>
      </c>
      <c r="BJ66" s="458" t="str">
        <f>IF(AND($G66='Povolené hodnoty'!$B$14,$H66=BJ$4),SUM($J66,$M66,$P66,$S66),"")</f>
        <v/>
      </c>
      <c r="BK66" s="40" t="str">
        <f>IF(AND($G66='Povolené hodnoty'!$B$14,$H66=BK$4),SUM($J66,$M66,$P66,$S66),"")</f>
        <v/>
      </c>
      <c r="BL66" s="40" t="str">
        <f>IF(AND($G66='Povolené hodnoty'!$B$14,$H66=BL$4),SUM($J66,$M66,$P66,$S66),"")</f>
        <v/>
      </c>
      <c r="BM66" s="41" t="str">
        <f>IF(AND($G66='Povolené hodnoty'!$B$14,$H66=BM$4),SUM($J66,$M66,$P66,$S66),"")</f>
        <v/>
      </c>
      <c r="BO66" s="18" t="b">
        <f t="shared" si="33"/>
        <v>0</v>
      </c>
      <c r="BP66" s="18" t="b">
        <f t="shared" si="1"/>
        <v>0</v>
      </c>
      <c r="BQ66" s="18" t="b">
        <f>AND(E66&lt;&gt;'Povolené hodnoty'!$B$6,F66&lt;&gt;'Povolené hodnoty'!$D$7,F66&lt;&gt;'Povolené hodnoty'!$D$8,OR(SUM(I66,L66,O66,R66)&lt;&gt;SUM(W66:X66,AA66:AG66),SUM(J66,M66,P66,S66)&lt;&gt;SUM(Y66:Z66,AH66:AK66),COUNT(I66:J66,L66:M66,O66:P66,R66:S66)&lt;&gt;COUNT(W66:AK66)))</f>
        <v>0</v>
      </c>
      <c r="BR66" s="18" t="b">
        <f>OR(AND(E66='Povolené hodnoty'!$B$6,$BR$5),AND(E66='Povolené hodnoty'!$B$6,H66&lt;&gt;'Povolené hodnoty'!$E$26,H66&lt;&gt;'Povolené hodnoty'!$E$35),AND(E66&lt;&gt;'Povolené hodnoty'!$B$6,OR(H66='Povolené hodnoty'!$E$26,H66='Povolené hodnoty'!$E$35)))</f>
        <v>0</v>
      </c>
      <c r="BS66" s="18" t="b">
        <f>OR(AND(G66&lt;&gt;'Povolené hodnoty'!$B$13,OR(H66='Povolené hodnoty'!$E$21,H66='Povolené hodnoty'!$E$22,H66='Povolené hodnoty'!$E$23,H66='Povolené hodnoty'!$E$24,H66='Povolené hodnoty'!$E$26,H66='Povolené hodnoty'!$E$36)),COUNT(I66:J66,L66:M66,O66:P66,R66:S66)&lt;&gt;COUNT(AL66:BM66))</f>
        <v>0</v>
      </c>
      <c r="BT66" s="18" t="b">
        <f t="shared" si="2"/>
        <v>0</v>
      </c>
      <c r="BV66" s="39" t="str">
        <f t="shared" si="3"/>
        <v/>
      </c>
      <c r="BW66" s="458" t="str">
        <f t="shared" si="4"/>
        <v/>
      </c>
      <c r="BX66" s="458" t="str">
        <f t="shared" si="5"/>
        <v/>
      </c>
      <c r="BY66" s="458" t="str">
        <f t="shared" si="6"/>
        <v/>
      </c>
      <c r="BZ66" s="458" t="str">
        <f t="shared" si="7"/>
        <v/>
      </c>
      <c r="CA66" s="40" t="str">
        <f t="shared" si="8"/>
        <v/>
      </c>
      <c r="CB66" s="40" t="str">
        <f t="shared" si="9"/>
        <v/>
      </c>
      <c r="CC66" s="39" t="str">
        <f t="shared" si="10"/>
        <v/>
      </c>
      <c r="CD66" s="458" t="str">
        <f t="shared" si="11"/>
        <v/>
      </c>
      <c r="CE66" s="41" t="str">
        <f t="shared" si="12"/>
        <v/>
      </c>
      <c r="CF66" s="39" t="str">
        <f t="shared" si="13"/>
        <v/>
      </c>
      <c r="CG66" s="458" t="str">
        <f t="shared" si="14"/>
        <v/>
      </c>
      <c r="CH66" s="458" t="str">
        <f t="shared" si="15"/>
        <v/>
      </c>
      <c r="CI66" s="458" t="str">
        <f t="shared" si="16"/>
        <v/>
      </c>
      <c r="CJ66" s="458" t="str">
        <f t="shared" si="17"/>
        <v/>
      </c>
      <c r="CK66" s="40" t="str">
        <f t="shared" si="18"/>
        <v/>
      </c>
      <c r="CL66" s="40" t="str">
        <f t="shared" si="19"/>
        <v/>
      </c>
      <c r="CM66" s="40" t="str">
        <f t="shared" si="20"/>
        <v/>
      </c>
      <c r="CN66" s="39" t="str">
        <f t="shared" si="21"/>
        <v/>
      </c>
      <c r="CO66" s="458" t="str">
        <f t="shared" si="22"/>
        <v/>
      </c>
      <c r="CP66" s="458" t="str">
        <f t="shared" si="23"/>
        <v/>
      </c>
      <c r="CQ66" s="458" t="str">
        <f t="shared" si="24"/>
        <v/>
      </c>
      <c r="CR66" s="458" t="str">
        <f t="shared" si="25"/>
        <v/>
      </c>
      <c r="CS66" s="40" t="str">
        <f t="shared" si="26"/>
        <v/>
      </c>
      <c r="CT66" s="40" t="str">
        <f t="shared" si="27"/>
        <v/>
      </c>
      <c r="CU66" s="41" t="str">
        <f t="shared" si="28"/>
        <v/>
      </c>
    </row>
    <row r="67" spans="1:99" x14ac:dyDescent="0.2">
      <c r="A67" s="77">
        <f t="shared" si="29"/>
        <v>62</v>
      </c>
      <c r="B67" s="81"/>
      <c r="C67" s="82"/>
      <c r="D67" s="71"/>
      <c r="E67" s="72"/>
      <c r="F67" s="73"/>
      <c r="G67" s="443"/>
      <c r="H67" s="443"/>
      <c r="I67" s="74"/>
      <c r="J67" s="75"/>
      <c r="K67" s="41">
        <f t="shared" si="39"/>
        <v>3625</v>
      </c>
      <c r="L67" s="104"/>
      <c r="M67" s="105"/>
      <c r="N67" s="106">
        <f t="shared" si="40"/>
        <v>537.05999999999995</v>
      </c>
      <c r="O67" s="104"/>
      <c r="P67" s="105"/>
      <c r="Q67" s="106">
        <f t="shared" si="35"/>
        <v>10045.83</v>
      </c>
      <c r="R67" s="104"/>
      <c r="S67" s="105"/>
      <c r="T67" s="106">
        <f t="shared" si="36"/>
        <v>0</v>
      </c>
      <c r="U67" s="439"/>
      <c r="V67" s="42">
        <f t="shared" si="0"/>
        <v>62</v>
      </c>
      <c r="W67" s="39" t="str">
        <f>IF(AND(E67='Povolené hodnoty'!$B$4,F67=2),I67+L67+O67+R67,"")</f>
        <v/>
      </c>
      <c r="X67" s="41" t="str">
        <f>IF(AND(E67='Povolené hodnoty'!$B$4,F67=1),I67+L67+O67+R67,"")</f>
        <v/>
      </c>
      <c r="Y67" s="39" t="str">
        <f>IF(AND(E67='Povolené hodnoty'!$B$4,F67=10),J67+M67+P67+S67,"")</f>
        <v/>
      </c>
      <c r="Z67" s="41" t="str">
        <f>IF(AND(E67='Povolené hodnoty'!$B$4,F67=9),J67+M67+P67+S67,"")</f>
        <v/>
      </c>
      <c r="AA67" s="39" t="str">
        <f>IF(AND(E67&lt;&gt;'Povolené hodnoty'!$B$4,F67=2),I67+L67+O67+R67,"")</f>
        <v/>
      </c>
      <c r="AB67" s="40" t="str">
        <f>IF(AND(E67&lt;&gt;'Povolené hodnoty'!$B$4,F67=3),I67+L67+O67+R67,"")</f>
        <v/>
      </c>
      <c r="AC67" s="40" t="str">
        <f>IF(AND(E67&lt;&gt;'Povolené hodnoty'!$B$4,F67=4),I67+L67+O67+R67,"")</f>
        <v/>
      </c>
      <c r="AD67" s="40" t="str">
        <f>IF(AND(E67&lt;&gt;'Povolené hodnoty'!$B$4,F67="5a"),I67-J67+L67-M67+O67-P67+R67-S67,"")</f>
        <v/>
      </c>
      <c r="AE67" s="40" t="str">
        <f>IF(AND(E67&lt;&gt;'Povolené hodnoty'!$B$4,F67="5b"),I67-J67+L67-M67+O67-P67+R67-S67,"")</f>
        <v/>
      </c>
      <c r="AF67" s="40" t="str">
        <f>IF(AND(E67&lt;&gt;'Povolené hodnoty'!$B$4,F67=6),I67+L67+O67+R67,"")</f>
        <v/>
      </c>
      <c r="AG67" s="41" t="str">
        <f>IF(AND(E67&lt;&gt;'Povolené hodnoty'!$B$4,F67=7),I67+L67+O67+R67,"")</f>
        <v/>
      </c>
      <c r="AH67" s="39" t="str">
        <f>IF(AND(E67&lt;&gt;'Povolené hodnoty'!$B$4,F67=10),J67+M67+P67+S67,"")</f>
        <v/>
      </c>
      <c r="AI67" s="40" t="str">
        <f>IF(AND(E67&lt;&gt;'Povolené hodnoty'!$B$4,F67=11),J67+M67+P67+S67,"")</f>
        <v/>
      </c>
      <c r="AJ67" s="40" t="str">
        <f>IF(AND(E67&lt;&gt;'Povolené hodnoty'!$B$4,F67=12),J67+M67+P67+S67,"")</f>
        <v/>
      </c>
      <c r="AK67" s="41" t="str">
        <f>IF(AND(E67&lt;&gt;'Povolené hodnoty'!$B$4,F67=13),J67+M67+P67+S67,"")</f>
        <v/>
      </c>
      <c r="AL67" s="39" t="str">
        <f>IF(AND($G67='Povolené hodnoty'!$B$13,$H67=AL$4),SUM($I67,$L67,$O67,$R67),"")</f>
        <v/>
      </c>
      <c r="AM67" s="458" t="str">
        <f>IF(AND($G67='Povolené hodnoty'!$B$13,$H67=AM$4),SUM($I67,$L67,$O67,$R67),"")</f>
        <v/>
      </c>
      <c r="AN67" s="458" t="str">
        <f>IF(AND($G67='Povolené hodnoty'!$B$13,$H67=AN$4),SUM($I67,$L67,$O67,$R67),"")</f>
        <v/>
      </c>
      <c r="AO67" s="458" t="str">
        <f>IF(AND($G67='Povolené hodnoty'!$B$13,$H67=AO$4),SUM($I67,$L67,$O67,$R67),"")</f>
        <v/>
      </c>
      <c r="AP67" s="458" t="str">
        <f>IF(AND($G67='Povolené hodnoty'!$B$13,$H67=AP$4),SUM($I67,$L67,$O67,$R67),"")</f>
        <v/>
      </c>
      <c r="AQ67" s="40" t="str">
        <f>IF(AND($G67='Povolené hodnoty'!$B$13,OR($H67=AQ$4,$H67='Povolené hodnoty'!$E$36)),SUM($I67,-$J67,$L67,-$M67,$O67,-$P67,$R67,-$S67),"")</f>
        <v/>
      </c>
      <c r="AR67" s="40" t="str">
        <f>IF(AND($G67='Povolené hodnoty'!$B$13,$H67=AR$4),SUM($I67,$L67,$O67,$R67),"")</f>
        <v/>
      </c>
      <c r="AS67" s="41" t="str">
        <f>IF(AND($G67='Povolené hodnoty'!$B$13,$H67=AS$4),SUM($I67,$L67,$O67,$R67),"")</f>
        <v/>
      </c>
      <c r="AT67" s="39" t="str">
        <f>IF(AND($G67='Povolené hodnoty'!$B$14,$H67=AT$4),SUM($I67,$L67,$O67,$R67),"")</f>
        <v/>
      </c>
      <c r="AU67" s="458" t="str">
        <f>IF(AND($G67='Povolené hodnoty'!$B$14,$H67=AU$4),SUM($I67,$L67,$O67,$R67),"")</f>
        <v/>
      </c>
      <c r="AV67" s="41" t="str">
        <f>IF(AND($G67='Povolené hodnoty'!$B$14,$H67=AV$4),SUM($I67,$L67,$O67,$R67),"")</f>
        <v/>
      </c>
      <c r="AW67" s="39" t="str">
        <f>IF(AND($G67='Povolené hodnoty'!$B$13,$H67=AW$4),SUM($J67,$M67,$P67,$S67),"")</f>
        <v/>
      </c>
      <c r="AX67" s="458" t="str">
        <f>IF(AND($G67='Povolené hodnoty'!$B$13,$H67=AX$4),SUM($J67,$M67,$P67,$S67),"")</f>
        <v/>
      </c>
      <c r="AY67" s="458" t="str">
        <f>IF(AND($G67='Povolené hodnoty'!$B$13,$H67=AY$4),SUM($J67,$M67,$P67,$S67),"")</f>
        <v/>
      </c>
      <c r="AZ67" s="458" t="str">
        <f>IF(AND($G67='Povolené hodnoty'!$B$13,$H67=AZ$4),SUM($J67,$M67,$P67,$S67),"")</f>
        <v/>
      </c>
      <c r="BA67" s="458" t="str">
        <f>IF(AND($G67='Povolené hodnoty'!$B$13,$H67=BA$4),SUM($J67,$M67,$P67,$S67),"")</f>
        <v/>
      </c>
      <c r="BB67" s="40" t="str">
        <f>IF(AND($G67='Povolené hodnoty'!$B$13,$H67=BB$4),SUM($J67,$M67,$P67,$S67),"")</f>
        <v/>
      </c>
      <c r="BC67" s="40" t="str">
        <f>IF(AND($G67='Povolené hodnoty'!$B$13,$H67=BC$4),SUM($J67,$M67,$P67,$S67),"")</f>
        <v/>
      </c>
      <c r="BD67" s="40" t="str">
        <f>IF(AND($G67='Povolené hodnoty'!$B$13,$H67=BD$4),SUM($J67,$M67,$P67,$S67),"")</f>
        <v/>
      </c>
      <c r="BE67" s="41" t="str">
        <f>IF(AND($G67='Povolené hodnoty'!$B$13,$H67=BE$4),SUM($J67,$M67,$P67,$S67),"")</f>
        <v/>
      </c>
      <c r="BF67" s="39" t="str">
        <f>IF(AND($G67='Povolené hodnoty'!$B$14,$H67=BF$4),SUM($J67,$M67,$P67,$S67),"")</f>
        <v/>
      </c>
      <c r="BG67" s="458" t="str">
        <f>IF(AND($G67='Povolené hodnoty'!$B$14,$H67=BG$4),SUM($J67,$M67,$P67,$S67),"")</f>
        <v/>
      </c>
      <c r="BH67" s="458" t="str">
        <f>IF(AND($G67='Povolené hodnoty'!$B$14,$H67=BH$4),SUM($J67,$M67,$P67,$S67),"")</f>
        <v/>
      </c>
      <c r="BI67" s="458" t="str">
        <f>IF(AND($G67='Povolené hodnoty'!$B$14,$H67=BI$4),SUM($J67,$M67,$P67,$S67),"")</f>
        <v/>
      </c>
      <c r="BJ67" s="458" t="str">
        <f>IF(AND($G67='Povolené hodnoty'!$B$14,$H67=BJ$4),SUM($J67,$M67,$P67,$S67),"")</f>
        <v/>
      </c>
      <c r="BK67" s="40" t="str">
        <f>IF(AND($G67='Povolené hodnoty'!$B$14,$H67=BK$4),SUM($J67,$M67,$P67,$S67),"")</f>
        <v/>
      </c>
      <c r="BL67" s="40" t="str">
        <f>IF(AND($G67='Povolené hodnoty'!$B$14,$H67=BL$4),SUM($J67,$M67,$P67,$S67),"")</f>
        <v/>
      </c>
      <c r="BM67" s="41" t="str">
        <f>IF(AND($G67='Povolené hodnoty'!$B$14,$H67=BM$4),SUM($J67,$M67,$P67,$S67),"")</f>
        <v/>
      </c>
      <c r="BO67" s="18" t="b">
        <f t="shared" si="33"/>
        <v>0</v>
      </c>
      <c r="BP67" s="18" t="b">
        <f t="shared" si="1"/>
        <v>0</v>
      </c>
      <c r="BQ67" s="18" t="b">
        <f>AND(E67&lt;&gt;'Povolené hodnoty'!$B$6,F67&lt;&gt;'Povolené hodnoty'!$D$7,F67&lt;&gt;'Povolené hodnoty'!$D$8,OR(SUM(I67,L67,O67,R67)&lt;&gt;SUM(W67:X67,AA67:AG67),SUM(J67,M67,P67,S67)&lt;&gt;SUM(Y67:Z67,AH67:AK67),COUNT(I67:J67,L67:M67,O67:P67,R67:S67)&lt;&gt;COUNT(W67:AK67)))</f>
        <v>0</v>
      </c>
      <c r="BR67" s="18" t="b">
        <f>OR(AND(E67='Povolené hodnoty'!$B$6,$BR$5),AND(E67='Povolené hodnoty'!$B$6,H67&lt;&gt;'Povolené hodnoty'!$E$26,H67&lt;&gt;'Povolené hodnoty'!$E$35),AND(E67&lt;&gt;'Povolené hodnoty'!$B$6,OR(H67='Povolené hodnoty'!$E$26,H67='Povolené hodnoty'!$E$35)))</f>
        <v>0</v>
      </c>
      <c r="BS67" s="18" t="b">
        <f>OR(AND(G67&lt;&gt;'Povolené hodnoty'!$B$13,OR(H67='Povolené hodnoty'!$E$21,H67='Povolené hodnoty'!$E$22,H67='Povolené hodnoty'!$E$23,H67='Povolené hodnoty'!$E$24,H67='Povolené hodnoty'!$E$26,H67='Povolené hodnoty'!$E$36)),COUNT(I67:J67,L67:M67,O67:P67,R67:S67)&lt;&gt;COUNT(AL67:BM67))</f>
        <v>0</v>
      </c>
      <c r="BT67" s="18" t="b">
        <f t="shared" si="2"/>
        <v>0</v>
      </c>
      <c r="BV67" s="39" t="str">
        <f t="shared" si="3"/>
        <v/>
      </c>
      <c r="BW67" s="458" t="str">
        <f t="shared" si="4"/>
        <v/>
      </c>
      <c r="BX67" s="458" t="str">
        <f t="shared" si="5"/>
        <v/>
      </c>
      <c r="BY67" s="458" t="str">
        <f t="shared" si="6"/>
        <v/>
      </c>
      <c r="BZ67" s="458" t="str">
        <f t="shared" si="7"/>
        <v/>
      </c>
      <c r="CA67" s="40" t="str">
        <f t="shared" si="8"/>
        <v/>
      </c>
      <c r="CB67" s="40" t="str">
        <f t="shared" si="9"/>
        <v/>
      </c>
      <c r="CC67" s="39" t="str">
        <f t="shared" si="10"/>
        <v/>
      </c>
      <c r="CD67" s="458" t="str">
        <f t="shared" si="11"/>
        <v/>
      </c>
      <c r="CE67" s="41" t="str">
        <f t="shared" si="12"/>
        <v/>
      </c>
      <c r="CF67" s="39" t="str">
        <f t="shared" si="13"/>
        <v/>
      </c>
      <c r="CG67" s="458" t="str">
        <f t="shared" si="14"/>
        <v/>
      </c>
      <c r="CH67" s="458" t="str">
        <f t="shared" si="15"/>
        <v/>
      </c>
      <c r="CI67" s="458" t="str">
        <f t="shared" si="16"/>
        <v/>
      </c>
      <c r="CJ67" s="458" t="str">
        <f t="shared" si="17"/>
        <v/>
      </c>
      <c r="CK67" s="40" t="str">
        <f t="shared" si="18"/>
        <v/>
      </c>
      <c r="CL67" s="40" t="str">
        <f t="shared" si="19"/>
        <v/>
      </c>
      <c r="CM67" s="40" t="str">
        <f t="shared" si="20"/>
        <v/>
      </c>
      <c r="CN67" s="39" t="str">
        <f t="shared" si="21"/>
        <v/>
      </c>
      <c r="CO67" s="458" t="str">
        <f t="shared" si="22"/>
        <v/>
      </c>
      <c r="CP67" s="458" t="str">
        <f t="shared" si="23"/>
        <v/>
      </c>
      <c r="CQ67" s="458" t="str">
        <f t="shared" si="24"/>
        <v/>
      </c>
      <c r="CR67" s="458" t="str">
        <f t="shared" si="25"/>
        <v/>
      </c>
      <c r="CS67" s="40" t="str">
        <f t="shared" si="26"/>
        <v/>
      </c>
      <c r="CT67" s="40" t="str">
        <f t="shared" si="27"/>
        <v/>
      </c>
      <c r="CU67" s="41" t="str">
        <f t="shared" si="28"/>
        <v/>
      </c>
    </row>
    <row r="68" spans="1:99" x14ac:dyDescent="0.2">
      <c r="A68" s="77">
        <f t="shared" si="29"/>
        <v>63</v>
      </c>
      <c r="B68" s="81"/>
      <c r="C68" s="82"/>
      <c r="D68" s="71"/>
      <c r="E68" s="72"/>
      <c r="F68" s="73"/>
      <c r="G68" s="443"/>
      <c r="H68" s="443"/>
      <c r="I68" s="74"/>
      <c r="J68" s="75"/>
      <c r="K68" s="41">
        <f t="shared" si="39"/>
        <v>3625</v>
      </c>
      <c r="L68" s="104"/>
      <c r="M68" s="105"/>
      <c r="N68" s="106">
        <f t="shared" si="40"/>
        <v>537.05999999999995</v>
      </c>
      <c r="O68" s="104"/>
      <c r="P68" s="105"/>
      <c r="Q68" s="106">
        <f t="shared" si="35"/>
        <v>10045.83</v>
      </c>
      <c r="R68" s="104"/>
      <c r="S68" s="105"/>
      <c r="T68" s="106">
        <f t="shared" si="36"/>
        <v>0</v>
      </c>
      <c r="U68" s="439"/>
      <c r="V68" s="42">
        <f t="shared" si="0"/>
        <v>63</v>
      </c>
      <c r="W68" s="39" t="str">
        <f>IF(AND(E68='Povolené hodnoty'!$B$4,F68=2),I68+L68+O68+R68,"")</f>
        <v/>
      </c>
      <c r="X68" s="41" t="str">
        <f>IF(AND(E68='Povolené hodnoty'!$B$4,F68=1),I68+L68+O68+R68,"")</f>
        <v/>
      </c>
      <c r="Y68" s="39" t="str">
        <f>IF(AND(E68='Povolené hodnoty'!$B$4,F68=10),J68+M68+P68+S68,"")</f>
        <v/>
      </c>
      <c r="Z68" s="41" t="str">
        <f>IF(AND(E68='Povolené hodnoty'!$B$4,F68=9),J68+M68+P68+S68,"")</f>
        <v/>
      </c>
      <c r="AA68" s="39" t="str">
        <f>IF(AND(E68&lt;&gt;'Povolené hodnoty'!$B$4,F68=2),I68+L68+O68+R68,"")</f>
        <v/>
      </c>
      <c r="AB68" s="40" t="str">
        <f>IF(AND(E68&lt;&gt;'Povolené hodnoty'!$B$4,F68=3),I68+L68+O68+R68,"")</f>
        <v/>
      </c>
      <c r="AC68" s="40" t="str">
        <f>IF(AND(E68&lt;&gt;'Povolené hodnoty'!$B$4,F68=4),I68+L68+O68+R68,"")</f>
        <v/>
      </c>
      <c r="AD68" s="40" t="str">
        <f>IF(AND(E68&lt;&gt;'Povolené hodnoty'!$B$4,F68="5a"),I68-J68+L68-M68+O68-P68+R68-S68,"")</f>
        <v/>
      </c>
      <c r="AE68" s="40" t="str">
        <f>IF(AND(E68&lt;&gt;'Povolené hodnoty'!$B$4,F68="5b"),I68-J68+L68-M68+O68-P68+R68-S68,"")</f>
        <v/>
      </c>
      <c r="AF68" s="40" t="str">
        <f>IF(AND(E68&lt;&gt;'Povolené hodnoty'!$B$4,F68=6),I68+L68+O68+R68,"")</f>
        <v/>
      </c>
      <c r="AG68" s="41" t="str">
        <f>IF(AND(E68&lt;&gt;'Povolené hodnoty'!$B$4,F68=7),I68+L68+O68+R68,"")</f>
        <v/>
      </c>
      <c r="AH68" s="39" t="str">
        <f>IF(AND(E68&lt;&gt;'Povolené hodnoty'!$B$4,F68=10),J68+M68+P68+S68,"")</f>
        <v/>
      </c>
      <c r="AI68" s="40" t="str">
        <f>IF(AND(E68&lt;&gt;'Povolené hodnoty'!$B$4,F68=11),J68+M68+P68+S68,"")</f>
        <v/>
      </c>
      <c r="AJ68" s="40" t="str">
        <f>IF(AND(E68&lt;&gt;'Povolené hodnoty'!$B$4,F68=12),J68+M68+P68+S68,"")</f>
        <v/>
      </c>
      <c r="AK68" s="41" t="str">
        <f>IF(AND(E68&lt;&gt;'Povolené hodnoty'!$B$4,F68=13),J68+M68+P68+S68,"")</f>
        <v/>
      </c>
      <c r="AL68" s="39" t="str">
        <f>IF(AND($G68='Povolené hodnoty'!$B$13,$H68=AL$4),SUM($I68,$L68,$O68,$R68),"")</f>
        <v/>
      </c>
      <c r="AM68" s="458" t="str">
        <f>IF(AND($G68='Povolené hodnoty'!$B$13,$H68=AM$4),SUM($I68,$L68,$O68,$R68),"")</f>
        <v/>
      </c>
      <c r="AN68" s="458" t="str">
        <f>IF(AND($G68='Povolené hodnoty'!$B$13,$H68=AN$4),SUM($I68,$L68,$O68,$R68),"")</f>
        <v/>
      </c>
      <c r="AO68" s="458" t="str">
        <f>IF(AND($G68='Povolené hodnoty'!$B$13,$H68=AO$4),SUM($I68,$L68,$O68,$R68),"")</f>
        <v/>
      </c>
      <c r="AP68" s="458" t="str">
        <f>IF(AND($G68='Povolené hodnoty'!$B$13,$H68=AP$4),SUM($I68,$L68,$O68,$R68),"")</f>
        <v/>
      </c>
      <c r="AQ68" s="40" t="str">
        <f>IF(AND($G68='Povolené hodnoty'!$B$13,OR($H68=AQ$4,$H68='Povolené hodnoty'!$E$36)),SUM($I68,-$J68,$L68,-$M68,$O68,-$P68,$R68,-$S68),"")</f>
        <v/>
      </c>
      <c r="AR68" s="40" t="str">
        <f>IF(AND($G68='Povolené hodnoty'!$B$13,$H68=AR$4),SUM($I68,$L68,$O68,$R68),"")</f>
        <v/>
      </c>
      <c r="AS68" s="41" t="str">
        <f>IF(AND($G68='Povolené hodnoty'!$B$13,$H68=AS$4),SUM($I68,$L68,$O68,$R68),"")</f>
        <v/>
      </c>
      <c r="AT68" s="39" t="str">
        <f>IF(AND($G68='Povolené hodnoty'!$B$14,$H68=AT$4),SUM($I68,$L68,$O68,$R68),"")</f>
        <v/>
      </c>
      <c r="AU68" s="458" t="str">
        <f>IF(AND($G68='Povolené hodnoty'!$B$14,$H68=AU$4),SUM($I68,$L68,$O68,$R68),"")</f>
        <v/>
      </c>
      <c r="AV68" s="41" t="str">
        <f>IF(AND($G68='Povolené hodnoty'!$B$14,$H68=AV$4),SUM($I68,$L68,$O68,$R68),"")</f>
        <v/>
      </c>
      <c r="AW68" s="39" t="str">
        <f>IF(AND($G68='Povolené hodnoty'!$B$13,$H68=AW$4),SUM($J68,$M68,$P68,$S68),"")</f>
        <v/>
      </c>
      <c r="AX68" s="458" t="str">
        <f>IF(AND($G68='Povolené hodnoty'!$B$13,$H68=AX$4),SUM($J68,$M68,$P68,$S68),"")</f>
        <v/>
      </c>
      <c r="AY68" s="458" t="str">
        <f>IF(AND($G68='Povolené hodnoty'!$B$13,$H68=AY$4),SUM($J68,$M68,$P68,$S68),"")</f>
        <v/>
      </c>
      <c r="AZ68" s="458" t="str">
        <f>IF(AND($G68='Povolené hodnoty'!$B$13,$H68=AZ$4),SUM($J68,$M68,$P68,$S68),"")</f>
        <v/>
      </c>
      <c r="BA68" s="458" t="str">
        <f>IF(AND($G68='Povolené hodnoty'!$B$13,$H68=BA$4),SUM($J68,$M68,$P68,$S68),"")</f>
        <v/>
      </c>
      <c r="BB68" s="40" t="str">
        <f>IF(AND($G68='Povolené hodnoty'!$B$13,$H68=BB$4),SUM($J68,$M68,$P68,$S68),"")</f>
        <v/>
      </c>
      <c r="BC68" s="40" t="str">
        <f>IF(AND($G68='Povolené hodnoty'!$B$13,$H68=BC$4),SUM($J68,$M68,$P68,$S68),"")</f>
        <v/>
      </c>
      <c r="BD68" s="40" t="str">
        <f>IF(AND($G68='Povolené hodnoty'!$B$13,$H68=BD$4),SUM($J68,$M68,$P68,$S68),"")</f>
        <v/>
      </c>
      <c r="BE68" s="41" t="str">
        <f>IF(AND($G68='Povolené hodnoty'!$B$13,$H68=BE$4),SUM($J68,$M68,$P68,$S68),"")</f>
        <v/>
      </c>
      <c r="BF68" s="39" t="str">
        <f>IF(AND($G68='Povolené hodnoty'!$B$14,$H68=BF$4),SUM($J68,$M68,$P68,$S68),"")</f>
        <v/>
      </c>
      <c r="BG68" s="458" t="str">
        <f>IF(AND($G68='Povolené hodnoty'!$B$14,$H68=BG$4),SUM($J68,$M68,$P68,$S68),"")</f>
        <v/>
      </c>
      <c r="BH68" s="458" t="str">
        <f>IF(AND($G68='Povolené hodnoty'!$B$14,$H68=BH$4),SUM($J68,$M68,$P68,$S68),"")</f>
        <v/>
      </c>
      <c r="BI68" s="458" t="str">
        <f>IF(AND($G68='Povolené hodnoty'!$B$14,$H68=BI$4),SUM($J68,$M68,$P68,$S68),"")</f>
        <v/>
      </c>
      <c r="BJ68" s="458" t="str">
        <f>IF(AND($G68='Povolené hodnoty'!$B$14,$H68=BJ$4),SUM($J68,$M68,$P68,$S68),"")</f>
        <v/>
      </c>
      <c r="BK68" s="40" t="str">
        <f>IF(AND($G68='Povolené hodnoty'!$B$14,$H68=BK$4),SUM($J68,$M68,$P68,$S68),"")</f>
        <v/>
      </c>
      <c r="BL68" s="40" t="str">
        <f>IF(AND($G68='Povolené hodnoty'!$B$14,$H68=BL$4),SUM($J68,$M68,$P68,$S68),"")</f>
        <v/>
      </c>
      <c r="BM68" s="41" t="str">
        <f>IF(AND($G68='Povolené hodnoty'!$B$14,$H68=BM$4),SUM($J68,$M68,$P68,$S68),"")</f>
        <v/>
      </c>
      <c r="BO68" s="18" t="b">
        <f t="shared" si="33"/>
        <v>0</v>
      </c>
      <c r="BP68" s="18" t="b">
        <f t="shared" si="1"/>
        <v>0</v>
      </c>
      <c r="BQ68" s="18" t="b">
        <f>AND(E68&lt;&gt;'Povolené hodnoty'!$B$6,F68&lt;&gt;'Povolené hodnoty'!$D$7,F68&lt;&gt;'Povolené hodnoty'!$D$8,OR(SUM(I68,L68,O68,R68)&lt;&gt;SUM(W68:X68,AA68:AG68),SUM(J68,M68,P68,S68)&lt;&gt;SUM(Y68:Z68,AH68:AK68),COUNT(I68:J68,L68:M68,O68:P68,R68:S68)&lt;&gt;COUNT(W68:AK68)))</f>
        <v>0</v>
      </c>
      <c r="BR68" s="18" t="b">
        <f>OR(AND(E68='Povolené hodnoty'!$B$6,$BR$5),AND(E68='Povolené hodnoty'!$B$6,H68&lt;&gt;'Povolené hodnoty'!$E$26,H68&lt;&gt;'Povolené hodnoty'!$E$35),AND(E68&lt;&gt;'Povolené hodnoty'!$B$6,OR(H68='Povolené hodnoty'!$E$26,H68='Povolené hodnoty'!$E$35)))</f>
        <v>0</v>
      </c>
      <c r="BS68" s="18" t="b">
        <f>OR(AND(G68&lt;&gt;'Povolené hodnoty'!$B$13,OR(H68='Povolené hodnoty'!$E$21,H68='Povolené hodnoty'!$E$22,H68='Povolené hodnoty'!$E$23,H68='Povolené hodnoty'!$E$24,H68='Povolené hodnoty'!$E$26,H68='Povolené hodnoty'!$E$36)),COUNT(I68:J68,L68:M68,O68:P68,R68:S68)&lt;&gt;COUNT(AL68:BM68))</f>
        <v>0</v>
      </c>
      <c r="BT68" s="18" t="b">
        <f t="shared" si="2"/>
        <v>0</v>
      </c>
      <c r="BV68" s="39" t="str">
        <f t="shared" si="3"/>
        <v/>
      </c>
      <c r="BW68" s="458" t="str">
        <f t="shared" si="4"/>
        <v/>
      </c>
      <c r="BX68" s="458" t="str">
        <f t="shared" si="5"/>
        <v/>
      </c>
      <c r="BY68" s="458" t="str">
        <f t="shared" si="6"/>
        <v/>
      </c>
      <c r="BZ68" s="458" t="str">
        <f t="shared" si="7"/>
        <v/>
      </c>
      <c r="CA68" s="40" t="str">
        <f t="shared" si="8"/>
        <v/>
      </c>
      <c r="CB68" s="40" t="str">
        <f t="shared" si="9"/>
        <v/>
      </c>
      <c r="CC68" s="39" t="str">
        <f t="shared" si="10"/>
        <v/>
      </c>
      <c r="CD68" s="458" t="str">
        <f t="shared" si="11"/>
        <v/>
      </c>
      <c r="CE68" s="41" t="str">
        <f t="shared" si="12"/>
        <v/>
      </c>
      <c r="CF68" s="39" t="str">
        <f t="shared" si="13"/>
        <v/>
      </c>
      <c r="CG68" s="458" t="str">
        <f t="shared" si="14"/>
        <v/>
      </c>
      <c r="CH68" s="458" t="str">
        <f t="shared" si="15"/>
        <v/>
      </c>
      <c r="CI68" s="458" t="str">
        <f t="shared" si="16"/>
        <v/>
      </c>
      <c r="CJ68" s="458" t="str">
        <f t="shared" si="17"/>
        <v/>
      </c>
      <c r="CK68" s="40" t="str">
        <f t="shared" si="18"/>
        <v/>
      </c>
      <c r="CL68" s="40" t="str">
        <f t="shared" si="19"/>
        <v/>
      </c>
      <c r="CM68" s="40" t="str">
        <f t="shared" si="20"/>
        <v/>
      </c>
      <c r="CN68" s="39" t="str">
        <f t="shared" si="21"/>
        <v/>
      </c>
      <c r="CO68" s="458" t="str">
        <f t="shared" si="22"/>
        <v/>
      </c>
      <c r="CP68" s="458" t="str">
        <f t="shared" si="23"/>
        <v/>
      </c>
      <c r="CQ68" s="458" t="str">
        <f t="shared" si="24"/>
        <v/>
      </c>
      <c r="CR68" s="458" t="str">
        <f t="shared" si="25"/>
        <v/>
      </c>
      <c r="CS68" s="40" t="str">
        <f t="shared" si="26"/>
        <v/>
      </c>
      <c r="CT68" s="40" t="str">
        <f t="shared" si="27"/>
        <v/>
      </c>
      <c r="CU68" s="41" t="str">
        <f t="shared" si="28"/>
        <v/>
      </c>
    </row>
    <row r="69" spans="1:99" x14ac:dyDescent="0.2">
      <c r="A69" s="77">
        <f t="shared" si="29"/>
        <v>64</v>
      </c>
      <c r="B69" s="81"/>
      <c r="C69" s="82"/>
      <c r="D69" s="71"/>
      <c r="E69" s="72"/>
      <c r="F69" s="73"/>
      <c r="G69" s="443"/>
      <c r="H69" s="443"/>
      <c r="I69" s="74"/>
      <c r="J69" s="75"/>
      <c r="K69" s="41">
        <f t="shared" si="39"/>
        <v>3625</v>
      </c>
      <c r="L69" s="104"/>
      <c r="M69" s="105"/>
      <c r="N69" s="106">
        <f t="shared" si="40"/>
        <v>537.05999999999995</v>
      </c>
      <c r="O69" s="104"/>
      <c r="P69" s="105"/>
      <c r="Q69" s="106">
        <f t="shared" si="35"/>
        <v>10045.83</v>
      </c>
      <c r="R69" s="104"/>
      <c r="S69" s="105"/>
      <c r="T69" s="106">
        <f t="shared" si="36"/>
        <v>0</v>
      </c>
      <c r="U69" s="439"/>
      <c r="V69" s="42">
        <f t="shared" ref="V69:V132" si="41">A69</f>
        <v>64</v>
      </c>
      <c r="W69" s="39" t="str">
        <f>IF(AND(E69='Povolené hodnoty'!$B$4,F69=2),I69+L69+O69+R69,"")</f>
        <v/>
      </c>
      <c r="X69" s="41" t="str">
        <f>IF(AND(E69='Povolené hodnoty'!$B$4,F69=1),I69+L69+O69+R69,"")</f>
        <v/>
      </c>
      <c r="Y69" s="39" t="str">
        <f>IF(AND(E69='Povolené hodnoty'!$B$4,F69=10),J69+M69+P69+S69,"")</f>
        <v/>
      </c>
      <c r="Z69" s="41" t="str">
        <f>IF(AND(E69='Povolené hodnoty'!$B$4,F69=9),J69+M69+P69+S69,"")</f>
        <v/>
      </c>
      <c r="AA69" s="39" t="str">
        <f>IF(AND(E69&lt;&gt;'Povolené hodnoty'!$B$4,F69=2),I69+L69+O69+R69,"")</f>
        <v/>
      </c>
      <c r="AB69" s="40" t="str">
        <f>IF(AND(E69&lt;&gt;'Povolené hodnoty'!$B$4,F69=3),I69+L69+O69+R69,"")</f>
        <v/>
      </c>
      <c r="AC69" s="40" t="str">
        <f>IF(AND(E69&lt;&gt;'Povolené hodnoty'!$B$4,F69=4),I69+L69+O69+R69,"")</f>
        <v/>
      </c>
      <c r="AD69" s="40" t="str">
        <f>IF(AND(E69&lt;&gt;'Povolené hodnoty'!$B$4,F69="5a"),I69-J69+L69-M69+O69-P69+R69-S69,"")</f>
        <v/>
      </c>
      <c r="AE69" s="40" t="str">
        <f>IF(AND(E69&lt;&gt;'Povolené hodnoty'!$B$4,F69="5b"),I69-J69+L69-M69+O69-P69+R69-S69,"")</f>
        <v/>
      </c>
      <c r="AF69" s="40" t="str">
        <f>IF(AND(E69&lt;&gt;'Povolené hodnoty'!$B$4,F69=6),I69+L69+O69+R69,"")</f>
        <v/>
      </c>
      <c r="AG69" s="41" t="str">
        <f>IF(AND(E69&lt;&gt;'Povolené hodnoty'!$B$4,F69=7),I69+L69+O69+R69,"")</f>
        <v/>
      </c>
      <c r="AH69" s="39" t="str">
        <f>IF(AND(E69&lt;&gt;'Povolené hodnoty'!$B$4,F69=10),J69+M69+P69+S69,"")</f>
        <v/>
      </c>
      <c r="AI69" s="40" t="str">
        <f>IF(AND(E69&lt;&gt;'Povolené hodnoty'!$B$4,F69=11),J69+M69+P69+S69,"")</f>
        <v/>
      </c>
      <c r="AJ69" s="40" t="str">
        <f>IF(AND(E69&lt;&gt;'Povolené hodnoty'!$B$4,F69=12),J69+M69+P69+S69,"")</f>
        <v/>
      </c>
      <c r="AK69" s="41" t="str">
        <f>IF(AND(E69&lt;&gt;'Povolené hodnoty'!$B$4,F69=13),J69+M69+P69+S69,"")</f>
        <v/>
      </c>
      <c r="AL69" s="39" t="str">
        <f>IF(AND($G69='Povolené hodnoty'!$B$13,$H69=AL$4),SUM($I69,$L69,$O69,$R69),"")</f>
        <v/>
      </c>
      <c r="AM69" s="458" t="str">
        <f>IF(AND($G69='Povolené hodnoty'!$B$13,$H69=AM$4),SUM($I69,$L69,$O69,$R69),"")</f>
        <v/>
      </c>
      <c r="AN69" s="458" t="str">
        <f>IF(AND($G69='Povolené hodnoty'!$B$13,$H69=AN$4),SUM($I69,$L69,$O69,$R69),"")</f>
        <v/>
      </c>
      <c r="AO69" s="458" t="str">
        <f>IF(AND($G69='Povolené hodnoty'!$B$13,$H69=AO$4),SUM($I69,$L69,$O69,$R69),"")</f>
        <v/>
      </c>
      <c r="AP69" s="458" t="str">
        <f>IF(AND($G69='Povolené hodnoty'!$B$13,$H69=AP$4),SUM($I69,$L69,$O69,$R69),"")</f>
        <v/>
      </c>
      <c r="AQ69" s="40" t="str">
        <f>IF(AND($G69='Povolené hodnoty'!$B$13,OR($H69=AQ$4,$H69='Povolené hodnoty'!$E$36)),SUM($I69,-$J69,$L69,-$M69,$O69,-$P69,$R69,-$S69),"")</f>
        <v/>
      </c>
      <c r="AR69" s="40" t="str">
        <f>IF(AND($G69='Povolené hodnoty'!$B$13,$H69=AR$4),SUM($I69,$L69,$O69,$R69),"")</f>
        <v/>
      </c>
      <c r="AS69" s="41" t="str">
        <f>IF(AND($G69='Povolené hodnoty'!$B$13,$H69=AS$4),SUM($I69,$L69,$O69,$R69),"")</f>
        <v/>
      </c>
      <c r="AT69" s="39" t="str">
        <f>IF(AND($G69='Povolené hodnoty'!$B$14,$H69=AT$4),SUM($I69,$L69,$O69,$R69),"")</f>
        <v/>
      </c>
      <c r="AU69" s="458" t="str">
        <f>IF(AND($G69='Povolené hodnoty'!$B$14,$H69=AU$4),SUM($I69,$L69,$O69,$R69),"")</f>
        <v/>
      </c>
      <c r="AV69" s="41" t="str">
        <f>IF(AND($G69='Povolené hodnoty'!$B$14,$H69=AV$4),SUM($I69,$L69,$O69,$R69),"")</f>
        <v/>
      </c>
      <c r="AW69" s="39" t="str">
        <f>IF(AND($G69='Povolené hodnoty'!$B$13,$H69=AW$4),SUM($J69,$M69,$P69,$S69),"")</f>
        <v/>
      </c>
      <c r="AX69" s="458" t="str">
        <f>IF(AND($G69='Povolené hodnoty'!$B$13,$H69=AX$4),SUM($J69,$M69,$P69,$S69),"")</f>
        <v/>
      </c>
      <c r="AY69" s="458" t="str">
        <f>IF(AND($G69='Povolené hodnoty'!$B$13,$H69=AY$4),SUM($J69,$M69,$P69,$S69),"")</f>
        <v/>
      </c>
      <c r="AZ69" s="458" t="str">
        <f>IF(AND($G69='Povolené hodnoty'!$B$13,$H69=AZ$4),SUM($J69,$M69,$P69,$S69),"")</f>
        <v/>
      </c>
      <c r="BA69" s="458" t="str">
        <f>IF(AND($G69='Povolené hodnoty'!$B$13,$H69=BA$4),SUM($J69,$M69,$P69,$S69),"")</f>
        <v/>
      </c>
      <c r="BB69" s="40" t="str">
        <f>IF(AND($G69='Povolené hodnoty'!$B$13,$H69=BB$4),SUM($J69,$M69,$P69,$S69),"")</f>
        <v/>
      </c>
      <c r="BC69" s="40" t="str">
        <f>IF(AND($G69='Povolené hodnoty'!$B$13,$H69=BC$4),SUM($J69,$M69,$P69,$S69),"")</f>
        <v/>
      </c>
      <c r="BD69" s="40" t="str">
        <f>IF(AND($G69='Povolené hodnoty'!$B$13,$H69=BD$4),SUM($J69,$M69,$P69,$S69),"")</f>
        <v/>
      </c>
      <c r="BE69" s="41" t="str">
        <f>IF(AND($G69='Povolené hodnoty'!$B$13,$H69=BE$4),SUM($J69,$M69,$P69,$S69),"")</f>
        <v/>
      </c>
      <c r="BF69" s="39" t="str">
        <f>IF(AND($G69='Povolené hodnoty'!$B$14,$H69=BF$4),SUM($J69,$M69,$P69,$S69),"")</f>
        <v/>
      </c>
      <c r="BG69" s="458" t="str">
        <f>IF(AND($G69='Povolené hodnoty'!$B$14,$H69=BG$4),SUM($J69,$M69,$P69,$S69),"")</f>
        <v/>
      </c>
      <c r="BH69" s="458" t="str">
        <f>IF(AND($G69='Povolené hodnoty'!$B$14,$H69=BH$4),SUM($J69,$M69,$P69,$S69),"")</f>
        <v/>
      </c>
      <c r="BI69" s="458" t="str">
        <f>IF(AND($G69='Povolené hodnoty'!$B$14,$H69=BI$4),SUM($J69,$M69,$P69,$S69),"")</f>
        <v/>
      </c>
      <c r="BJ69" s="458" t="str">
        <f>IF(AND($G69='Povolené hodnoty'!$B$14,$H69=BJ$4),SUM($J69,$M69,$P69,$S69),"")</f>
        <v/>
      </c>
      <c r="BK69" s="40" t="str">
        <f>IF(AND($G69='Povolené hodnoty'!$B$14,$H69=BK$4),SUM($J69,$M69,$P69,$S69),"")</f>
        <v/>
      </c>
      <c r="BL69" s="40" t="str">
        <f>IF(AND($G69='Povolené hodnoty'!$B$14,$H69=BL$4),SUM($J69,$M69,$P69,$S69),"")</f>
        <v/>
      </c>
      <c r="BM69" s="41" t="str">
        <f>IF(AND($G69='Povolené hodnoty'!$B$14,$H69=BM$4),SUM($J69,$M69,$P69,$S69),"")</f>
        <v/>
      </c>
      <c r="BO69" s="18" t="b">
        <f t="shared" si="33"/>
        <v>0</v>
      </c>
      <c r="BP69" s="18" t="b">
        <f t="shared" si="1"/>
        <v>0</v>
      </c>
      <c r="BQ69" s="18" t="b">
        <f>AND(E69&lt;&gt;'Povolené hodnoty'!$B$6,F69&lt;&gt;'Povolené hodnoty'!$D$7,F69&lt;&gt;'Povolené hodnoty'!$D$8,OR(SUM(I69,L69,O69,R69)&lt;&gt;SUM(W69:X69,AA69:AG69),SUM(J69,M69,P69,S69)&lt;&gt;SUM(Y69:Z69,AH69:AK69),COUNT(I69:J69,L69:M69,O69:P69,R69:S69)&lt;&gt;COUNT(W69:AK69)))</f>
        <v>0</v>
      </c>
      <c r="BR69" s="18" t="b">
        <f>OR(AND(E69='Povolené hodnoty'!$B$6,$BR$5),AND(E69='Povolené hodnoty'!$B$6,H69&lt;&gt;'Povolené hodnoty'!$E$26,H69&lt;&gt;'Povolené hodnoty'!$E$35),AND(E69&lt;&gt;'Povolené hodnoty'!$B$6,OR(H69='Povolené hodnoty'!$E$26,H69='Povolené hodnoty'!$E$35)))</f>
        <v>0</v>
      </c>
      <c r="BS69" s="18" t="b">
        <f>OR(AND(G69&lt;&gt;'Povolené hodnoty'!$B$13,OR(H69='Povolené hodnoty'!$E$21,H69='Povolené hodnoty'!$E$22,H69='Povolené hodnoty'!$E$23,H69='Povolené hodnoty'!$E$24,H69='Povolené hodnoty'!$E$26,H69='Povolené hodnoty'!$E$36)),COUNT(I69:J69,L69:M69,O69:P69,R69:S69)&lt;&gt;COUNT(AL69:BM69))</f>
        <v>0</v>
      </c>
      <c r="BT69" s="18" t="b">
        <f t="shared" si="2"/>
        <v>0</v>
      </c>
      <c r="BV69" s="39" t="str">
        <f t="shared" si="3"/>
        <v/>
      </c>
      <c r="BW69" s="458" t="str">
        <f t="shared" si="4"/>
        <v/>
      </c>
      <c r="BX69" s="458" t="str">
        <f t="shared" si="5"/>
        <v/>
      </c>
      <c r="BY69" s="458" t="str">
        <f t="shared" si="6"/>
        <v/>
      </c>
      <c r="BZ69" s="458" t="str">
        <f t="shared" si="7"/>
        <v/>
      </c>
      <c r="CA69" s="40" t="str">
        <f t="shared" si="8"/>
        <v/>
      </c>
      <c r="CB69" s="40" t="str">
        <f t="shared" si="9"/>
        <v/>
      </c>
      <c r="CC69" s="39" t="str">
        <f t="shared" si="10"/>
        <v/>
      </c>
      <c r="CD69" s="458" t="str">
        <f t="shared" si="11"/>
        <v/>
      </c>
      <c r="CE69" s="41" t="str">
        <f t="shared" si="12"/>
        <v/>
      </c>
      <c r="CF69" s="39" t="str">
        <f t="shared" si="13"/>
        <v/>
      </c>
      <c r="CG69" s="458" t="str">
        <f t="shared" si="14"/>
        <v/>
      </c>
      <c r="CH69" s="458" t="str">
        <f t="shared" si="15"/>
        <v/>
      </c>
      <c r="CI69" s="458" t="str">
        <f t="shared" si="16"/>
        <v/>
      </c>
      <c r="CJ69" s="458" t="str">
        <f t="shared" si="17"/>
        <v/>
      </c>
      <c r="CK69" s="40" t="str">
        <f t="shared" si="18"/>
        <v/>
      </c>
      <c r="CL69" s="40" t="str">
        <f t="shared" si="19"/>
        <v/>
      </c>
      <c r="CM69" s="40" t="str">
        <f t="shared" si="20"/>
        <v/>
      </c>
      <c r="CN69" s="39" t="str">
        <f t="shared" si="21"/>
        <v/>
      </c>
      <c r="CO69" s="458" t="str">
        <f t="shared" si="22"/>
        <v/>
      </c>
      <c r="CP69" s="458" t="str">
        <f t="shared" si="23"/>
        <v/>
      </c>
      <c r="CQ69" s="458" t="str">
        <f t="shared" si="24"/>
        <v/>
      </c>
      <c r="CR69" s="458" t="str">
        <f t="shared" si="25"/>
        <v/>
      </c>
      <c r="CS69" s="40" t="str">
        <f t="shared" si="26"/>
        <v/>
      </c>
      <c r="CT69" s="40" t="str">
        <f t="shared" si="27"/>
        <v/>
      </c>
      <c r="CU69" s="41" t="str">
        <f t="shared" si="28"/>
        <v/>
      </c>
    </row>
    <row r="70" spans="1:99" x14ac:dyDescent="0.2">
      <c r="A70" s="77">
        <f t="shared" si="29"/>
        <v>65</v>
      </c>
      <c r="B70" s="81"/>
      <c r="C70" s="82"/>
      <c r="D70" s="71"/>
      <c r="E70" s="72"/>
      <c r="F70" s="73"/>
      <c r="G70" s="443"/>
      <c r="H70" s="443"/>
      <c r="I70" s="74"/>
      <c r="J70" s="75"/>
      <c r="K70" s="41">
        <f t="shared" si="39"/>
        <v>3625</v>
      </c>
      <c r="L70" s="104"/>
      <c r="M70" s="105"/>
      <c r="N70" s="106">
        <f t="shared" si="40"/>
        <v>537.05999999999995</v>
      </c>
      <c r="O70" s="104"/>
      <c r="P70" s="105"/>
      <c r="Q70" s="106">
        <f t="shared" si="35"/>
        <v>10045.83</v>
      </c>
      <c r="R70" s="104"/>
      <c r="S70" s="105"/>
      <c r="T70" s="106">
        <f t="shared" si="36"/>
        <v>0</v>
      </c>
      <c r="U70" s="439"/>
      <c r="V70" s="42">
        <f t="shared" si="41"/>
        <v>65</v>
      </c>
      <c r="W70" s="39" t="str">
        <f>IF(AND(E70='Povolené hodnoty'!$B$4,F70=2),I70+L70+O70+R70,"")</f>
        <v/>
      </c>
      <c r="X70" s="41" t="str">
        <f>IF(AND(E70='Povolené hodnoty'!$B$4,F70=1),I70+L70+O70+R70,"")</f>
        <v/>
      </c>
      <c r="Y70" s="39" t="str">
        <f>IF(AND(E70='Povolené hodnoty'!$B$4,F70=10),J70+M70+P70+S70,"")</f>
        <v/>
      </c>
      <c r="Z70" s="41" t="str">
        <f>IF(AND(E70='Povolené hodnoty'!$B$4,F70=9),J70+M70+P70+S70,"")</f>
        <v/>
      </c>
      <c r="AA70" s="39" t="str">
        <f>IF(AND(E70&lt;&gt;'Povolené hodnoty'!$B$4,F70=2),I70+L70+O70+R70,"")</f>
        <v/>
      </c>
      <c r="AB70" s="40" t="str">
        <f>IF(AND(E70&lt;&gt;'Povolené hodnoty'!$B$4,F70=3),I70+L70+O70+R70,"")</f>
        <v/>
      </c>
      <c r="AC70" s="40" t="str">
        <f>IF(AND(E70&lt;&gt;'Povolené hodnoty'!$B$4,F70=4),I70+L70+O70+R70,"")</f>
        <v/>
      </c>
      <c r="AD70" s="40" t="str">
        <f>IF(AND(E70&lt;&gt;'Povolené hodnoty'!$B$4,F70="5a"),I70-J70+L70-M70+O70-P70+R70-S70,"")</f>
        <v/>
      </c>
      <c r="AE70" s="40" t="str">
        <f>IF(AND(E70&lt;&gt;'Povolené hodnoty'!$B$4,F70="5b"),I70-J70+L70-M70+O70-P70+R70-S70,"")</f>
        <v/>
      </c>
      <c r="AF70" s="40" t="str">
        <f>IF(AND(E70&lt;&gt;'Povolené hodnoty'!$B$4,F70=6),I70+L70+O70+R70,"")</f>
        <v/>
      </c>
      <c r="AG70" s="41" t="str">
        <f>IF(AND(E70&lt;&gt;'Povolené hodnoty'!$B$4,F70=7),I70+L70+O70+R70,"")</f>
        <v/>
      </c>
      <c r="AH70" s="39" t="str">
        <f>IF(AND(E70&lt;&gt;'Povolené hodnoty'!$B$4,F70=10),J70+M70+P70+S70,"")</f>
        <v/>
      </c>
      <c r="AI70" s="40" t="str">
        <f>IF(AND(E70&lt;&gt;'Povolené hodnoty'!$B$4,F70=11),J70+M70+P70+S70,"")</f>
        <v/>
      </c>
      <c r="AJ70" s="40" t="str">
        <f>IF(AND(E70&lt;&gt;'Povolené hodnoty'!$B$4,F70=12),J70+M70+P70+S70,"")</f>
        <v/>
      </c>
      <c r="AK70" s="41" t="str">
        <f>IF(AND(E70&lt;&gt;'Povolené hodnoty'!$B$4,F70=13),J70+M70+P70+S70,"")</f>
        <v/>
      </c>
      <c r="AL70" s="39" t="str">
        <f>IF(AND($G70='Povolené hodnoty'!$B$13,$H70=AL$4),SUM($I70,$L70,$O70,$R70),"")</f>
        <v/>
      </c>
      <c r="AM70" s="458" t="str">
        <f>IF(AND($G70='Povolené hodnoty'!$B$13,$H70=AM$4),SUM($I70,$L70,$O70,$R70),"")</f>
        <v/>
      </c>
      <c r="AN70" s="458" t="str">
        <f>IF(AND($G70='Povolené hodnoty'!$B$13,$H70=AN$4),SUM($I70,$L70,$O70,$R70),"")</f>
        <v/>
      </c>
      <c r="AO70" s="458" t="str">
        <f>IF(AND($G70='Povolené hodnoty'!$B$13,$H70=AO$4),SUM($I70,$L70,$O70,$R70),"")</f>
        <v/>
      </c>
      <c r="AP70" s="458" t="str">
        <f>IF(AND($G70='Povolené hodnoty'!$B$13,$H70=AP$4),SUM($I70,$L70,$O70,$R70),"")</f>
        <v/>
      </c>
      <c r="AQ70" s="40" t="str">
        <f>IF(AND($G70='Povolené hodnoty'!$B$13,OR($H70=AQ$4,$H70='Povolené hodnoty'!$E$36)),SUM($I70,-$J70,$L70,-$M70,$O70,-$P70,$R70,-$S70),"")</f>
        <v/>
      </c>
      <c r="AR70" s="40" t="str">
        <f>IF(AND($G70='Povolené hodnoty'!$B$13,$H70=AR$4),SUM($I70,$L70,$O70,$R70),"")</f>
        <v/>
      </c>
      <c r="AS70" s="41" t="str">
        <f>IF(AND($G70='Povolené hodnoty'!$B$13,$H70=AS$4),SUM($I70,$L70,$O70,$R70),"")</f>
        <v/>
      </c>
      <c r="AT70" s="39" t="str">
        <f>IF(AND($G70='Povolené hodnoty'!$B$14,$H70=AT$4),SUM($I70,$L70,$O70,$R70),"")</f>
        <v/>
      </c>
      <c r="AU70" s="458" t="str">
        <f>IF(AND($G70='Povolené hodnoty'!$B$14,$H70=AU$4),SUM($I70,$L70,$O70,$R70),"")</f>
        <v/>
      </c>
      <c r="AV70" s="41" t="str">
        <f>IF(AND($G70='Povolené hodnoty'!$B$14,$H70=AV$4),SUM($I70,$L70,$O70,$R70),"")</f>
        <v/>
      </c>
      <c r="AW70" s="39" t="str">
        <f>IF(AND($G70='Povolené hodnoty'!$B$13,$H70=AW$4),SUM($J70,$M70,$P70,$S70),"")</f>
        <v/>
      </c>
      <c r="AX70" s="458" t="str">
        <f>IF(AND($G70='Povolené hodnoty'!$B$13,$H70=AX$4),SUM($J70,$M70,$P70,$S70),"")</f>
        <v/>
      </c>
      <c r="AY70" s="458" t="str">
        <f>IF(AND($G70='Povolené hodnoty'!$B$13,$H70=AY$4),SUM($J70,$M70,$P70,$S70),"")</f>
        <v/>
      </c>
      <c r="AZ70" s="458" t="str">
        <f>IF(AND($G70='Povolené hodnoty'!$B$13,$H70=AZ$4),SUM($J70,$M70,$P70,$S70),"")</f>
        <v/>
      </c>
      <c r="BA70" s="458" t="str">
        <f>IF(AND($G70='Povolené hodnoty'!$B$13,$H70=BA$4),SUM($J70,$M70,$P70,$S70),"")</f>
        <v/>
      </c>
      <c r="BB70" s="40" t="str">
        <f>IF(AND($G70='Povolené hodnoty'!$B$13,$H70=BB$4),SUM($J70,$M70,$P70,$S70),"")</f>
        <v/>
      </c>
      <c r="BC70" s="40" t="str">
        <f>IF(AND($G70='Povolené hodnoty'!$B$13,$H70=BC$4),SUM($J70,$M70,$P70,$S70),"")</f>
        <v/>
      </c>
      <c r="BD70" s="40" t="str">
        <f>IF(AND($G70='Povolené hodnoty'!$B$13,$H70=BD$4),SUM($J70,$M70,$P70,$S70),"")</f>
        <v/>
      </c>
      <c r="BE70" s="41" t="str">
        <f>IF(AND($G70='Povolené hodnoty'!$B$13,$H70=BE$4),SUM($J70,$M70,$P70,$S70),"")</f>
        <v/>
      </c>
      <c r="BF70" s="39" t="str">
        <f>IF(AND($G70='Povolené hodnoty'!$B$14,$H70=BF$4),SUM($J70,$M70,$P70,$S70),"")</f>
        <v/>
      </c>
      <c r="BG70" s="458" t="str">
        <f>IF(AND($G70='Povolené hodnoty'!$B$14,$H70=BG$4),SUM($J70,$M70,$P70,$S70),"")</f>
        <v/>
      </c>
      <c r="BH70" s="458" t="str">
        <f>IF(AND($G70='Povolené hodnoty'!$B$14,$H70=BH$4),SUM($J70,$M70,$P70,$S70),"")</f>
        <v/>
      </c>
      <c r="BI70" s="458" t="str">
        <f>IF(AND($G70='Povolené hodnoty'!$B$14,$H70=BI$4),SUM($J70,$M70,$P70,$S70),"")</f>
        <v/>
      </c>
      <c r="BJ70" s="458" t="str">
        <f>IF(AND($G70='Povolené hodnoty'!$B$14,$H70=BJ$4),SUM($J70,$M70,$P70,$S70),"")</f>
        <v/>
      </c>
      <c r="BK70" s="40" t="str">
        <f>IF(AND($G70='Povolené hodnoty'!$B$14,$H70=BK$4),SUM($J70,$M70,$P70,$S70),"")</f>
        <v/>
      </c>
      <c r="BL70" s="40" t="str">
        <f>IF(AND($G70='Povolené hodnoty'!$B$14,$H70=BL$4),SUM($J70,$M70,$P70,$S70),"")</f>
        <v/>
      </c>
      <c r="BM70" s="41" t="str">
        <f>IF(AND($G70='Povolené hodnoty'!$B$14,$H70=BM$4),SUM($J70,$M70,$P70,$S70),"")</f>
        <v/>
      </c>
      <c r="BO70" s="18" t="b">
        <f t="shared" si="33"/>
        <v>0</v>
      </c>
      <c r="BP70" s="18" t="b">
        <f t="shared" ref="BP70:BP133" si="42">COUNT(I70:J70,L70:M70,O70:P70,R70:S70)&gt;1</f>
        <v>0</v>
      </c>
      <c r="BQ70" s="18" t="b">
        <f>AND(E70&lt;&gt;'Povolené hodnoty'!$B$6,F70&lt;&gt;'Povolené hodnoty'!$D$7,F70&lt;&gt;'Povolené hodnoty'!$D$8,OR(SUM(I70,L70,O70,R70)&lt;&gt;SUM(W70:X70,AA70:AG70),SUM(J70,M70,P70,S70)&lt;&gt;SUM(Y70:Z70,AH70:AK70),COUNT(I70:J70,L70:M70,O70:P70,R70:S70)&lt;&gt;COUNT(W70:AK70)))</f>
        <v>0</v>
      </c>
      <c r="BR70" s="18" t="b">
        <f>OR(AND(E70='Povolené hodnoty'!$B$6,$BR$5),AND(E70='Povolené hodnoty'!$B$6,H70&lt;&gt;'Povolené hodnoty'!$E$26,H70&lt;&gt;'Povolené hodnoty'!$E$35),AND(E70&lt;&gt;'Povolené hodnoty'!$B$6,OR(H70='Povolené hodnoty'!$E$26,H70='Povolené hodnoty'!$E$35)))</f>
        <v>0</v>
      </c>
      <c r="BS70" s="18" t="b">
        <f>OR(AND(G70&lt;&gt;'Povolené hodnoty'!$B$13,OR(H70='Povolené hodnoty'!$E$21,H70='Povolené hodnoty'!$E$22,H70='Povolené hodnoty'!$E$23,H70='Povolené hodnoty'!$E$24,H70='Povolené hodnoty'!$E$26,H70='Povolené hodnoty'!$E$36)),COUNT(I70:J70,L70:M70,O70:P70,R70:S70)&lt;&gt;COUNT(AL70:BM70))</f>
        <v>0</v>
      </c>
      <c r="BT70" s="18" t="b">
        <f t="shared" ref="BT70:BT133" si="43">OR(AND(LEFT(H70,1)="V",COUNT(I70,L70,O70,R70)&gt;0),AND(LEFT(H70,1)="P",COUNT(J70,M70,P70,S70)&gt;0))</f>
        <v>0</v>
      </c>
      <c r="BV70" s="39" t="str">
        <f t="shared" ref="BV70:BV133" si="44">IF(SUM($W70:$X70)=AL70,AL70,"")</f>
        <v/>
      </c>
      <c r="BW70" s="458" t="str">
        <f t="shared" ref="BW70:BW133" si="45">IF(SUM($W70:$X70)=AM70,AM70,"")</f>
        <v/>
      </c>
      <c r="BX70" s="458" t="str">
        <f t="shared" ref="BX70:BX133" si="46">IF(SUM($W70:$X70)=AN70,AN70,"")</f>
        <v/>
      </c>
      <c r="BY70" s="458" t="str">
        <f t="shared" ref="BY70:BY133" si="47">IF(SUM($W70:$X70)=AO70,AO70,"")</f>
        <v/>
      </c>
      <c r="BZ70" s="458" t="str">
        <f t="shared" ref="BZ70:BZ133" si="48">IF(SUM($W70:$X70)=AP70,AP70,"")</f>
        <v/>
      </c>
      <c r="CA70" s="40" t="str">
        <f t="shared" ref="CA70:CA133" si="49">IF(SUM($W70:$X70)=AQ70,AQ70,"")</f>
        <v/>
      </c>
      <c r="CB70" s="40" t="str">
        <f t="shared" ref="CB70:CB133" si="50">IF(SUM($W70:$X70)=AR70,AR70,"")</f>
        <v/>
      </c>
      <c r="CC70" s="39" t="str">
        <f t="shared" ref="CC70:CC133" si="51">IF(SUM($W70:$X70)=AT70,AT70,"")</f>
        <v/>
      </c>
      <c r="CD70" s="458" t="str">
        <f t="shared" ref="CD70:CD133" si="52">IF(SUM($W70:$X70)=AU70,AU70,"")</f>
        <v/>
      </c>
      <c r="CE70" s="41" t="str">
        <f t="shared" ref="CE70:CE133" si="53">IF(SUM($W70:$X70)=AV70,AV70,"")</f>
        <v/>
      </c>
      <c r="CF70" s="39" t="str">
        <f t="shared" ref="CF70:CF133" si="54">IF(SUM($Y70:$Z70)=AW70,AW70,"")</f>
        <v/>
      </c>
      <c r="CG70" s="458" t="str">
        <f t="shared" ref="CG70:CG133" si="55">IF(SUM($Y70:$Z70)=AX70,AX70,"")</f>
        <v/>
      </c>
      <c r="CH70" s="458" t="str">
        <f t="shared" ref="CH70:CH133" si="56">IF(SUM($Y70:$Z70)=AY70,AY70,"")</f>
        <v/>
      </c>
      <c r="CI70" s="458" t="str">
        <f t="shared" ref="CI70:CI133" si="57">IF(SUM($Y70:$Z70)=AZ70,AZ70,"")</f>
        <v/>
      </c>
      <c r="CJ70" s="458" t="str">
        <f t="shared" ref="CJ70:CJ133" si="58">IF(SUM($Y70:$Z70)=BA70,BA70,"")</f>
        <v/>
      </c>
      <c r="CK70" s="40" t="str">
        <f t="shared" ref="CK70:CK133" si="59">IF(SUM($Y70:$Z70)=BB70,BB70,"")</f>
        <v/>
      </c>
      <c r="CL70" s="40" t="str">
        <f t="shared" ref="CL70:CL133" si="60">IF(SUM($Y70:$Z70)=BC70,BC70,"")</f>
        <v/>
      </c>
      <c r="CM70" s="40" t="str">
        <f t="shared" ref="CM70:CM133" si="61">IF(SUM($Y70:$Z70)=BD70,BD70,"")</f>
        <v/>
      </c>
      <c r="CN70" s="39" t="str">
        <f t="shared" ref="CN70:CN133" si="62">IF(SUM($Y70:$Z70)=BF70,BF70,"")</f>
        <v/>
      </c>
      <c r="CO70" s="458" t="str">
        <f t="shared" ref="CO70:CO133" si="63">IF(SUM($Y70:$Z70)=BG70,BG70,"")</f>
        <v/>
      </c>
      <c r="CP70" s="458" t="str">
        <f t="shared" ref="CP70:CP133" si="64">IF(SUM($Y70:$Z70)=BH70,BH70,"")</f>
        <v/>
      </c>
      <c r="CQ70" s="458" t="str">
        <f t="shared" ref="CQ70:CQ133" si="65">IF(SUM($Y70:$Z70)=BI70,BI70,"")</f>
        <v/>
      </c>
      <c r="CR70" s="458" t="str">
        <f t="shared" ref="CR70:CR133" si="66">IF(SUM($Y70:$Z70)=BJ70,BJ70,"")</f>
        <v/>
      </c>
      <c r="CS70" s="40" t="str">
        <f t="shared" ref="CS70:CS133" si="67">IF(SUM($Y70:$Z70)=BK70,BK70,"")</f>
        <v/>
      </c>
      <c r="CT70" s="40" t="str">
        <f t="shared" ref="CT70:CT133" si="68">IF(SUM($Y70:$Z70)=BL70,BL70,"")</f>
        <v/>
      </c>
      <c r="CU70" s="41" t="str">
        <f t="shared" ref="CU70:CU133" si="69">IF(SUM($Y70:$Z70)=BM70,BM70,"")</f>
        <v/>
      </c>
    </row>
    <row r="71" spans="1:99" x14ac:dyDescent="0.2">
      <c r="A71" s="77">
        <f t="shared" ref="A71:A134" si="70">A70+1</f>
        <v>66</v>
      </c>
      <c r="B71" s="81"/>
      <c r="C71" s="82"/>
      <c r="D71" s="71"/>
      <c r="E71" s="72"/>
      <c r="F71" s="73"/>
      <c r="G71" s="443"/>
      <c r="H71" s="443"/>
      <c r="I71" s="74"/>
      <c r="J71" s="75"/>
      <c r="K71" s="41">
        <f t="shared" si="39"/>
        <v>3625</v>
      </c>
      <c r="L71" s="104"/>
      <c r="M71" s="105"/>
      <c r="N71" s="106">
        <f t="shared" si="40"/>
        <v>537.05999999999995</v>
      </c>
      <c r="O71" s="104"/>
      <c r="P71" s="105"/>
      <c r="Q71" s="106">
        <f t="shared" si="35"/>
        <v>10045.83</v>
      </c>
      <c r="R71" s="104"/>
      <c r="S71" s="105"/>
      <c r="T71" s="106">
        <f t="shared" si="36"/>
        <v>0</v>
      </c>
      <c r="U71" s="439"/>
      <c r="V71" s="42">
        <f t="shared" si="41"/>
        <v>66</v>
      </c>
      <c r="W71" s="39" t="str">
        <f>IF(AND(E71='Povolené hodnoty'!$B$4,F71=2),I71+L71+O71+R71,"")</f>
        <v/>
      </c>
      <c r="X71" s="41" t="str">
        <f>IF(AND(E71='Povolené hodnoty'!$B$4,F71=1),I71+L71+O71+R71,"")</f>
        <v/>
      </c>
      <c r="Y71" s="39" t="str">
        <f>IF(AND(E71='Povolené hodnoty'!$B$4,F71=10),J71+M71+P71+S71,"")</f>
        <v/>
      </c>
      <c r="Z71" s="41" t="str">
        <f>IF(AND(E71='Povolené hodnoty'!$B$4,F71=9),J71+M71+P71+S71,"")</f>
        <v/>
      </c>
      <c r="AA71" s="39" t="str">
        <f>IF(AND(E71&lt;&gt;'Povolené hodnoty'!$B$4,F71=2),I71+L71+O71+R71,"")</f>
        <v/>
      </c>
      <c r="AB71" s="40" t="str">
        <f>IF(AND(E71&lt;&gt;'Povolené hodnoty'!$B$4,F71=3),I71+L71+O71+R71,"")</f>
        <v/>
      </c>
      <c r="AC71" s="40" t="str">
        <f>IF(AND(E71&lt;&gt;'Povolené hodnoty'!$B$4,F71=4),I71+L71+O71+R71,"")</f>
        <v/>
      </c>
      <c r="AD71" s="40" t="str">
        <f>IF(AND(E71&lt;&gt;'Povolené hodnoty'!$B$4,F71="5a"),I71-J71+L71-M71+O71-P71+R71-S71,"")</f>
        <v/>
      </c>
      <c r="AE71" s="40" t="str">
        <f>IF(AND(E71&lt;&gt;'Povolené hodnoty'!$B$4,F71="5b"),I71-J71+L71-M71+O71-P71+R71-S71,"")</f>
        <v/>
      </c>
      <c r="AF71" s="40" t="str">
        <f>IF(AND(E71&lt;&gt;'Povolené hodnoty'!$B$4,F71=6),I71+L71+O71+R71,"")</f>
        <v/>
      </c>
      <c r="AG71" s="41" t="str">
        <f>IF(AND(E71&lt;&gt;'Povolené hodnoty'!$B$4,F71=7),I71+L71+O71+R71,"")</f>
        <v/>
      </c>
      <c r="AH71" s="39" t="str">
        <f>IF(AND(E71&lt;&gt;'Povolené hodnoty'!$B$4,F71=10),J71+M71+P71+S71,"")</f>
        <v/>
      </c>
      <c r="AI71" s="40" t="str">
        <f>IF(AND(E71&lt;&gt;'Povolené hodnoty'!$B$4,F71=11),J71+M71+P71+S71,"")</f>
        <v/>
      </c>
      <c r="AJ71" s="40" t="str">
        <f>IF(AND(E71&lt;&gt;'Povolené hodnoty'!$B$4,F71=12),J71+M71+P71+S71,"")</f>
        <v/>
      </c>
      <c r="AK71" s="41" t="str">
        <f>IF(AND(E71&lt;&gt;'Povolené hodnoty'!$B$4,F71=13),J71+M71+P71+S71,"")</f>
        <v/>
      </c>
      <c r="AL71" s="39" t="str">
        <f>IF(AND($G71='Povolené hodnoty'!$B$13,$H71=AL$4),SUM($I71,$L71,$O71,$R71),"")</f>
        <v/>
      </c>
      <c r="AM71" s="458" t="str">
        <f>IF(AND($G71='Povolené hodnoty'!$B$13,$H71=AM$4),SUM($I71,$L71,$O71,$R71),"")</f>
        <v/>
      </c>
      <c r="AN71" s="458" t="str">
        <f>IF(AND($G71='Povolené hodnoty'!$B$13,$H71=AN$4),SUM($I71,$L71,$O71,$R71),"")</f>
        <v/>
      </c>
      <c r="AO71" s="458" t="str">
        <f>IF(AND($G71='Povolené hodnoty'!$B$13,$H71=AO$4),SUM($I71,$L71,$O71,$R71),"")</f>
        <v/>
      </c>
      <c r="AP71" s="458" t="str">
        <f>IF(AND($G71='Povolené hodnoty'!$B$13,$H71=AP$4),SUM($I71,$L71,$O71,$R71),"")</f>
        <v/>
      </c>
      <c r="AQ71" s="40" t="str">
        <f>IF(AND($G71='Povolené hodnoty'!$B$13,OR($H71=AQ$4,$H71='Povolené hodnoty'!$E$36)),SUM($I71,-$J71,$L71,-$M71,$O71,-$P71,$R71,-$S71),"")</f>
        <v/>
      </c>
      <c r="AR71" s="40" t="str">
        <f>IF(AND($G71='Povolené hodnoty'!$B$13,$H71=AR$4),SUM($I71,$L71,$O71,$R71),"")</f>
        <v/>
      </c>
      <c r="AS71" s="41" t="str">
        <f>IF(AND($G71='Povolené hodnoty'!$B$13,$H71=AS$4),SUM($I71,$L71,$O71,$R71),"")</f>
        <v/>
      </c>
      <c r="AT71" s="39" t="str">
        <f>IF(AND($G71='Povolené hodnoty'!$B$14,$H71=AT$4),SUM($I71,$L71,$O71,$R71),"")</f>
        <v/>
      </c>
      <c r="AU71" s="458" t="str">
        <f>IF(AND($G71='Povolené hodnoty'!$B$14,$H71=AU$4),SUM($I71,$L71,$O71,$R71),"")</f>
        <v/>
      </c>
      <c r="AV71" s="41" t="str">
        <f>IF(AND($G71='Povolené hodnoty'!$B$14,$H71=AV$4),SUM($I71,$L71,$O71,$R71),"")</f>
        <v/>
      </c>
      <c r="AW71" s="39" t="str">
        <f>IF(AND($G71='Povolené hodnoty'!$B$13,$H71=AW$4),SUM($J71,$M71,$P71,$S71),"")</f>
        <v/>
      </c>
      <c r="AX71" s="458" t="str">
        <f>IF(AND($G71='Povolené hodnoty'!$B$13,$H71=AX$4),SUM($J71,$M71,$P71,$S71),"")</f>
        <v/>
      </c>
      <c r="AY71" s="458" t="str">
        <f>IF(AND($G71='Povolené hodnoty'!$B$13,$H71=AY$4),SUM($J71,$M71,$P71,$S71),"")</f>
        <v/>
      </c>
      <c r="AZ71" s="458" t="str">
        <f>IF(AND($G71='Povolené hodnoty'!$B$13,$H71=AZ$4),SUM($J71,$M71,$P71,$S71),"")</f>
        <v/>
      </c>
      <c r="BA71" s="458" t="str">
        <f>IF(AND($G71='Povolené hodnoty'!$B$13,$H71=BA$4),SUM($J71,$M71,$P71,$S71),"")</f>
        <v/>
      </c>
      <c r="BB71" s="40" t="str">
        <f>IF(AND($G71='Povolené hodnoty'!$B$13,$H71=BB$4),SUM($J71,$M71,$P71,$S71),"")</f>
        <v/>
      </c>
      <c r="BC71" s="40" t="str">
        <f>IF(AND($G71='Povolené hodnoty'!$B$13,$H71=BC$4),SUM($J71,$M71,$P71,$S71),"")</f>
        <v/>
      </c>
      <c r="BD71" s="40" t="str">
        <f>IF(AND($G71='Povolené hodnoty'!$B$13,$H71=BD$4),SUM($J71,$M71,$P71,$S71),"")</f>
        <v/>
      </c>
      <c r="BE71" s="41" t="str">
        <f>IF(AND($G71='Povolené hodnoty'!$B$13,$H71=BE$4),SUM($J71,$M71,$P71,$S71),"")</f>
        <v/>
      </c>
      <c r="BF71" s="39" t="str">
        <f>IF(AND($G71='Povolené hodnoty'!$B$14,$H71=BF$4),SUM($J71,$M71,$P71,$S71),"")</f>
        <v/>
      </c>
      <c r="BG71" s="458" t="str">
        <f>IF(AND($G71='Povolené hodnoty'!$B$14,$H71=BG$4),SUM($J71,$M71,$P71,$S71),"")</f>
        <v/>
      </c>
      <c r="BH71" s="458" t="str">
        <f>IF(AND($G71='Povolené hodnoty'!$B$14,$H71=BH$4),SUM($J71,$M71,$P71,$S71),"")</f>
        <v/>
      </c>
      <c r="BI71" s="458" t="str">
        <f>IF(AND($G71='Povolené hodnoty'!$B$14,$H71=BI$4),SUM($J71,$M71,$P71,$S71),"")</f>
        <v/>
      </c>
      <c r="BJ71" s="458" t="str">
        <f>IF(AND($G71='Povolené hodnoty'!$B$14,$H71=BJ$4),SUM($J71,$M71,$P71,$S71),"")</f>
        <v/>
      </c>
      <c r="BK71" s="40" t="str">
        <f>IF(AND($G71='Povolené hodnoty'!$B$14,$H71=BK$4),SUM($J71,$M71,$P71,$S71),"")</f>
        <v/>
      </c>
      <c r="BL71" s="40" t="str">
        <f>IF(AND($G71='Povolené hodnoty'!$B$14,$H71=BL$4),SUM($J71,$M71,$P71,$S71),"")</f>
        <v/>
      </c>
      <c r="BM71" s="41" t="str">
        <f>IF(AND($G71='Povolené hodnoty'!$B$14,$H71=BM$4),SUM($J71,$M71,$P71,$S71),"")</f>
        <v/>
      </c>
      <c r="BO71" s="18" t="b">
        <f t="shared" ref="BO71:BO134" si="71">OR(BP71:BT71)</f>
        <v>0</v>
      </c>
      <c r="BP71" s="18" t="b">
        <f t="shared" si="42"/>
        <v>0</v>
      </c>
      <c r="BQ71" s="18" t="b">
        <f>AND(E71&lt;&gt;'Povolené hodnoty'!$B$6,F71&lt;&gt;'Povolené hodnoty'!$D$7,F71&lt;&gt;'Povolené hodnoty'!$D$8,OR(SUM(I71,L71,O71,R71)&lt;&gt;SUM(W71:X71,AA71:AG71),SUM(J71,M71,P71,S71)&lt;&gt;SUM(Y71:Z71,AH71:AK71),COUNT(I71:J71,L71:M71,O71:P71,R71:S71)&lt;&gt;COUNT(W71:AK71)))</f>
        <v>0</v>
      </c>
      <c r="BR71" s="18" t="b">
        <f>OR(AND(E71='Povolené hodnoty'!$B$6,$BR$5),AND(E71='Povolené hodnoty'!$B$6,H71&lt;&gt;'Povolené hodnoty'!$E$26,H71&lt;&gt;'Povolené hodnoty'!$E$35),AND(E71&lt;&gt;'Povolené hodnoty'!$B$6,OR(H71='Povolené hodnoty'!$E$26,H71='Povolené hodnoty'!$E$35)))</f>
        <v>0</v>
      </c>
      <c r="BS71" s="18" t="b">
        <f>OR(AND(G71&lt;&gt;'Povolené hodnoty'!$B$13,OR(H71='Povolené hodnoty'!$E$21,H71='Povolené hodnoty'!$E$22,H71='Povolené hodnoty'!$E$23,H71='Povolené hodnoty'!$E$24,H71='Povolené hodnoty'!$E$26,H71='Povolené hodnoty'!$E$36)),COUNT(I71:J71,L71:M71,O71:P71,R71:S71)&lt;&gt;COUNT(AL71:BM71))</f>
        <v>0</v>
      </c>
      <c r="BT71" s="18" t="b">
        <f t="shared" si="43"/>
        <v>0</v>
      </c>
      <c r="BV71" s="39" t="str">
        <f t="shared" si="44"/>
        <v/>
      </c>
      <c r="BW71" s="458" t="str">
        <f t="shared" si="45"/>
        <v/>
      </c>
      <c r="BX71" s="458" t="str">
        <f t="shared" si="46"/>
        <v/>
      </c>
      <c r="BY71" s="458" t="str">
        <f t="shared" si="47"/>
        <v/>
      </c>
      <c r="BZ71" s="458" t="str">
        <f t="shared" si="48"/>
        <v/>
      </c>
      <c r="CA71" s="40" t="str">
        <f t="shared" si="49"/>
        <v/>
      </c>
      <c r="CB71" s="40" t="str">
        <f t="shared" si="50"/>
        <v/>
      </c>
      <c r="CC71" s="39" t="str">
        <f t="shared" si="51"/>
        <v/>
      </c>
      <c r="CD71" s="458" t="str">
        <f t="shared" si="52"/>
        <v/>
      </c>
      <c r="CE71" s="41" t="str">
        <f t="shared" si="53"/>
        <v/>
      </c>
      <c r="CF71" s="39" t="str">
        <f t="shared" si="54"/>
        <v/>
      </c>
      <c r="CG71" s="458" t="str">
        <f t="shared" si="55"/>
        <v/>
      </c>
      <c r="CH71" s="458" t="str">
        <f t="shared" si="56"/>
        <v/>
      </c>
      <c r="CI71" s="458" t="str">
        <f t="shared" si="57"/>
        <v/>
      </c>
      <c r="CJ71" s="458" t="str">
        <f t="shared" si="58"/>
        <v/>
      </c>
      <c r="CK71" s="40" t="str">
        <f t="shared" si="59"/>
        <v/>
      </c>
      <c r="CL71" s="40" t="str">
        <f t="shared" si="60"/>
        <v/>
      </c>
      <c r="CM71" s="40" t="str">
        <f t="shared" si="61"/>
        <v/>
      </c>
      <c r="CN71" s="39" t="str">
        <f t="shared" si="62"/>
        <v/>
      </c>
      <c r="CO71" s="458" t="str">
        <f t="shared" si="63"/>
        <v/>
      </c>
      <c r="CP71" s="458" t="str">
        <f t="shared" si="64"/>
        <v/>
      </c>
      <c r="CQ71" s="458" t="str">
        <f t="shared" si="65"/>
        <v/>
      </c>
      <c r="CR71" s="458" t="str">
        <f t="shared" si="66"/>
        <v/>
      </c>
      <c r="CS71" s="40" t="str">
        <f t="shared" si="67"/>
        <v/>
      </c>
      <c r="CT71" s="40" t="str">
        <f t="shared" si="68"/>
        <v/>
      </c>
      <c r="CU71" s="41" t="str">
        <f t="shared" si="69"/>
        <v/>
      </c>
    </row>
    <row r="72" spans="1:99" x14ac:dyDescent="0.2">
      <c r="A72" s="77">
        <f t="shared" si="70"/>
        <v>67</v>
      </c>
      <c r="B72" s="81"/>
      <c r="C72" s="82"/>
      <c r="D72" s="71"/>
      <c r="E72" s="72"/>
      <c r="F72" s="73"/>
      <c r="G72" s="443"/>
      <c r="H72" s="443"/>
      <c r="I72" s="74"/>
      <c r="J72" s="75"/>
      <c r="K72" s="41">
        <f t="shared" si="39"/>
        <v>3625</v>
      </c>
      <c r="L72" s="104"/>
      <c r="M72" s="105"/>
      <c r="N72" s="106">
        <f t="shared" si="40"/>
        <v>537.05999999999995</v>
      </c>
      <c r="O72" s="104"/>
      <c r="P72" s="105"/>
      <c r="Q72" s="106">
        <f t="shared" ref="Q72:Q135" si="72">Q71+O72-P72</f>
        <v>10045.83</v>
      </c>
      <c r="R72" s="104"/>
      <c r="S72" s="105"/>
      <c r="T72" s="106">
        <f t="shared" ref="T72:T135" si="73">T71+R72-S72</f>
        <v>0</v>
      </c>
      <c r="U72" s="439"/>
      <c r="V72" s="42">
        <f t="shared" si="41"/>
        <v>67</v>
      </c>
      <c r="W72" s="39" t="str">
        <f>IF(AND(E72='Povolené hodnoty'!$B$4,F72=2),I72+L72+O72+R72,"")</f>
        <v/>
      </c>
      <c r="X72" s="41" t="str">
        <f>IF(AND(E72='Povolené hodnoty'!$B$4,F72=1),I72+L72+O72+R72,"")</f>
        <v/>
      </c>
      <c r="Y72" s="39" t="str">
        <f>IF(AND(E72='Povolené hodnoty'!$B$4,F72=10),J72+M72+P72+S72,"")</f>
        <v/>
      </c>
      <c r="Z72" s="41" t="str">
        <f>IF(AND(E72='Povolené hodnoty'!$B$4,F72=9),J72+M72+P72+S72,"")</f>
        <v/>
      </c>
      <c r="AA72" s="39" t="str">
        <f>IF(AND(E72&lt;&gt;'Povolené hodnoty'!$B$4,F72=2),I72+L72+O72+R72,"")</f>
        <v/>
      </c>
      <c r="AB72" s="40" t="str">
        <f>IF(AND(E72&lt;&gt;'Povolené hodnoty'!$B$4,F72=3),I72+L72+O72+R72,"")</f>
        <v/>
      </c>
      <c r="AC72" s="40" t="str">
        <f>IF(AND(E72&lt;&gt;'Povolené hodnoty'!$B$4,F72=4),I72+L72+O72+R72,"")</f>
        <v/>
      </c>
      <c r="AD72" s="40" t="str">
        <f>IF(AND(E72&lt;&gt;'Povolené hodnoty'!$B$4,F72="5a"),I72-J72+L72-M72+O72-P72+R72-S72,"")</f>
        <v/>
      </c>
      <c r="AE72" s="40" t="str">
        <f>IF(AND(E72&lt;&gt;'Povolené hodnoty'!$B$4,F72="5b"),I72-J72+L72-M72+O72-P72+R72-S72,"")</f>
        <v/>
      </c>
      <c r="AF72" s="40" t="str">
        <f>IF(AND(E72&lt;&gt;'Povolené hodnoty'!$B$4,F72=6),I72+L72+O72+R72,"")</f>
        <v/>
      </c>
      <c r="AG72" s="41" t="str">
        <f>IF(AND(E72&lt;&gt;'Povolené hodnoty'!$B$4,F72=7),I72+L72+O72+R72,"")</f>
        <v/>
      </c>
      <c r="AH72" s="39" t="str">
        <f>IF(AND(E72&lt;&gt;'Povolené hodnoty'!$B$4,F72=10),J72+M72+P72+S72,"")</f>
        <v/>
      </c>
      <c r="AI72" s="40" t="str">
        <f>IF(AND(E72&lt;&gt;'Povolené hodnoty'!$B$4,F72=11),J72+M72+P72+S72,"")</f>
        <v/>
      </c>
      <c r="AJ72" s="40" t="str">
        <f>IF(AND(E72&lt;&gt;'Povolené hodnoty'!$B$4,F72=12),J72+M72+P72+S72,"")</f>
        <v/>
      </c>
      <c r="AK72" s="41" t="str">
        <f>IF(AND(E72&lt;&gt;'Povolené hodnoty'!$B$4,F72=13),J72+M72+P72+S72,"")</f>
        <v/>
      </c>
      <c r="AL72" s="39" t="str">
        <f>IF(AND($G72='Povolené hodnoty'!$B$13,$H72=AL$4),SUM($I72,$L72,$O72,$R72),"")</f>
        <v/>
      </c>
      <c r="AM72" s="458" t="str">
        <f>IF(AND($G72='Povolené hodnoty'!$B$13,$H72=AM$4),SUM($I72,$L72,$O72,$R72),"")</f>
        <v/>
      </c>
      <c r="AN72" s="458" t="str">
        <f>IF(AND($G72='Povolené hodnoty'!$B$13,$H72=AN$4),SUM($I72,$L72,$O72,$R72),"")</f>
        <v/>
      </c>
      <c r="AO72" s="458" t="str">
        <f>IF(AND($G72='Povolené hodnoty'!$B$13,$H72=AO$4),SUM($I72,$L72,$O72,$R72),"")</f>
        <v/>
      </c>
      <c r="AP72" s="458" t="str">
        <f>IF(AND($G72='Povolené hodnoty'!$B$13,$H72=AP$4),SUM($I72,$L72,$O72,$R72),"")</f>
        <v/>
      </c>
      <c r="AQ72" s="40" t="str">
        <f>IF(AND($G72='Povolené hodnoty'!$B$13,OR($H72=AQ$4,$H72='Povolené hodnoty'!$E$36)),SUM($I72,-$J72,$L72,-$M72,$O72,-$P72,$R72,-$S72),"")</f>
        <v/>
      </c>
      <c r="AR72" s="40" t="str">
        <f>IF(AND($G72='Povolené hodnoty'!$B$13,$H72=AR$4),SUM($I72,$L72,$O72,$R72),"")</f>
        <v/>
      </c>
      <c r="AS72" s="41" t="str">
        <f>IF(AND($G72='Povolené hodnoty'!$B$13,$H72=AS$4),SUM($I72,$L72,$O72,$R72),"")</f>
        <v/>
      </c>
      <c r="AT72" s="39" t="str">
        <f>IF(AND($G72='Povolené hodnoty'!$B$14,$H72=AT$4),SUM($I72,$L72,$O72,$R72),"")</f>
        <v/>
      </c>
      <c r="AU72" s="458" t="str">
        <f>IF(AND($G72='Povolené hodnoty'!$B$14,$H72=AU$4),SUM($I72,$L72,$O72,$R72),"")</f>
        <v/>
      </c>
      <c r="AV72" s="41" t="str">
        <f>IF(AND($G72='Povolené hodnoty'!$B$14,$H72=AV$4),SUM($I72,$L72,$O72,$R72),"")</f>
        <v/>
      </c>
      <c r="AW72" s="39" t="str">
        <f>IF(AND($G72='Povolené hodnoty'!$B$13,$H72=AW$4),SUM($J72,$M72,$P72,$S72),"")</f>
        <v/>
      </c>
      <c r="AX72" s="458" t="str">
        <f>IF(AND($G72='Povolené hodnoty'!$B$13,$H72=AX$4),SUM($J72,$M72,$P72,$S72),"")</f>
        <v/>
      </c>
      <c r="AY72" s="458" t="str">
        <f>IF(AND($G72='Povolené hodnoty'!$B$13,$H72=AY$4),SUM($J72,$M72,$P72,$S72),"")</f>
        <v/>
      </c>
      <c r="AZ72" s="458" t="str">
        <f>IF(AND($G72='Povolené hodnoty'!$B$13,$H72=AZ$4),SUM($J72,$M72,$P72,$S72),"")</f>
        <v/>
      </c>
      <c r="BA72" s="458" t="str">
        <f>IF(AND($G72='Povolené hodnoty'!$B$13,$H72=BA$4),SUM($J72,$M72,$P72,$S72),"")</f>
        <v/>
      </c>
      <c r="BB72" s="40" t="str">
        <f>IF(AND($G72='Povolené hodnoty'!$B$13,$H72=BB$4),SUM($J72,$M72,$P72,$S72),"")</f>
        <v/>
      </c>
      <c r="BC72" s="40" t="str">
        <f>IF(AND($G72='Povolené hodnoty'!$B$13,$H72=BC$4),SUM($J72,$M72,$P72,$S72),"")</f>
        <v/>
      </c>
      <c r="BD72" s="40" t="str">
        <f>IF(AND($G72='Povolené hodnoty'!$B$13,$H72=BD$4),SUM($J72,$M72,$P72,$S72),"")</f>
        <v/>
      </c>
      <c r="BE72" s="41" t="str">
        <f>IF(AND($G72='Povolené hodnoty'!$B$13,$H72=BE$4),SUM($J72,$M72,$P72,$S72),"")</f>
        <v/>
      </c>
      <c r="BF72" s="39" t="str">
        <f>IF(AND($G72='Povolené hodnoty'!$B$14,$H72=BF$4),SUM($J72,$M72,$P72,$S72),"")</f>
        <v/>
      </c>
      <c r="BG72" s="458" t="str">
        <f>IF(AND($G72='Povolené hodnoty'!$B$14,$H72=BG$4),SUM($J72,$M72,$P72,$S72),"")</f>
        <v/>
      </c>
      <c r="BH72" s="458" t="str">
        <f>IF(AND($G72='Povolené hodnoty'!$B$14,$H72=BH$4),SUM($J72,$M72,$P72,$S72),"")</f>
        <v/>
      </c>
      <c r="BI72" s="458" t="str">
        <f>IF(AND($G72='Povolené hodnoty'!$B$14,$H72=BI$4),SUM($J72,$M72,$P72,$S72),"")</f>
        <v/>
      </c>
      <c r="BJ72" s="458" t="str">
        <f>IF(AND($G72='Povolené hodnoty'!$B$14,$H72=BJ$4),SUM($J72,$M72,$P72,$S72),"")</f>
        <v/>
      </c>
      <c r="BK72" s="40" t="str">
        <f>IF(AND($G72='Povolené hodnoty'!$B$14,$H72=BK$4),SUM($J72,$M72,$P72,$S72),"")</f>
        <v/>
      </c>
      <c r="BL72" s="40" t="str">
        <f>IF(AND($G72='Povolené hodnoty'!$B$14,$H72=BL$4),SUM($J72,$M72,$P72,$S72),"")</f>
        <v/>
      </c>
      <c r="BM72" s="41" t="str">
        <f>IF(AND($G72='Povolené hodnoty'!$B$14,$H72=BM$4),SUM($J72,$M72,$P72,$S72),"")</f>
        <v/>
      </c>
      <c r="BO72" s="18" t="b">
        <f t="shared" si="71"/>
        <v>0</v>
      </c>
      <c r="BP72" s="18" t="b">
        <f t="shared" si="42"/>
        <v>0</v>
      </c>
      <c r="BQ72" s="18" t="b">
        <f>AND(E72&lt;&gt;'Povolené hodnoty'!$B$6,F72&lt;&gt;'Povolené hodnoty'!$D$7,F72&lt;&gt;'Povolené hodnoty'!$D$8,OR(SUM(I72,L72,O72,R72)&lt;&gt;SUM(W72:X72,AA72:AG72),SUM(J72,M72,P72,S72)&lt;&gt;SUM(Y72:Z72,AH72:AK72),COUNT(I72:J72,L72:M72,O72:P72,R72:S72)&lt;&gt;COUNT(W72:AK72)))</f>
        <v>0</v>
      </c>
      <c r="BR72" s="18" t="b">
        <f>OR(AND(E72='Povolené hodnoty'!$B$6,$BR$5),AND(E72='Povolené hodnoty'!$B$6,H72&lt;&gt;'Povolené hodnoty'!$E$26,H72&lt;&gt;'Povolené hodnoty'!$E$35),AND(E72&lt;&gt;'Povolené hodnoty'!$B$6,OR(H72='Povolené hodnoty'!$E$26,H72='Povolené hodnoty'!$E$35)))</f>
        <v>0</v>
      </c>
      <c r="BS72" s="18" t="b">
        <f>OR(AND(G72&lt;&gt;'Povolené hodnoty'!$B$13,OR(H72='Povolené hodnoty'!$E$21,H72='Povolené hodnoty'!$E$22,H72='Povolené hodnoty'!$E$23,H72='Povolené hodnoty'!$E$24,H72='Povolené hodnoty'!$E$26,H72='Povolené hodnoty'!$E$36)),COUNT(I72:J72,L72:M72,O72:P72,R72:S72)&lt;&gt;COUNT(AL72:BM72))</f>
        <v>0</v>
      </c>
      <c r="BT72" s="18" t="b">
        <f t="shared" si="43"/>
        <v>0</v>
      </c>
      <c r="BV72" s="39" t="str">
        <f t="shared" si="44"/>
        <v/>
      </c>
      <c r="BW72" s="458" t="str">
        <f t="shared" si="45"/>
        <v/>
      </c>
      <c r="BX72" s="458" t="str">
        <f t="shared" si="46"/>
        <v/>
      </c>
      <c r="BY72" s="458" t="str">
        <f t="shared" si="47"/>
        <v/>
      </c>
      <c r="BZ72" s="458" t="str">
        <f t="shared" si="48"/>
        <v/>
      </c>
      <c r="CA72" s="40" t="str">
        <f t="shared" si="49"/>
        <v/>
      </c>
      <c r="CB72" s="40" t="str">
        <f t="shared" si="50"/>
        <v/>
      </c>
      <c r="CC72" s="39" t="str">
        <f t="shared" si="51"/>
        <v/>
      </c>
      <c r="CD72" s="458" t="str">
        <f t="shared" si="52"/>
        <v/>
      </c>
      <c r="CE72" s="41" t="str">
        <f t="shared" si="53"/>
        <v/>
      </c>
      <c r="CF72" s="39" t="str">
        <f t="shared" si="54"/>
        <v/>
      </c>
      <c r="CG72" s="458" t="str">
        <f t="shared" si="55"/>
        <v/>
      </c>
      <c r="CH72" s="458" t="str">
        <f t="shared" si="56"/>
        <v/>
      </c>
      <c r="CI72" s="458" t="str">
        <f t="shared" si="57"/>
        <v/>
      </c>
      <c r="CJ72" s="458" t="str">
        <f t="shared" si="58"/>
        <v/>
      </c>
      <c r="CK72" s="40" t="str">
        <f t="shared" si="59"/>
        <v/>
      </c>
      <c r="CL72" s="40" t="str">
        <f t="shared" si="60"/>
        <v/>
      </c>
      <c r="CM72" s="40" t="str">
        <f t="shared" si="61"/>
        <v/>
      </c>
      <c r="CN72" s="39" t="str">
        <f t="shared" si="62"/>
        <v/>
      </c>
      <c r="CO72" s="458" t="str">
        <f t="shared" si="63"/>
        <v/>
      </c>
      <c r="CP72" s="458" t="str">
        <f t="shared" si="64"/>
        <v/>
      </c>
      <c r="CQ72" s="458" t="str">
        <f t="shared" si="65"/>
        <v/>
      </c>
      <c r="CR72" s="458" t="str">
        <f t="shared" si="66"/>
        <v/>
      </c>
      <c r="CS72" s="40" t="str">
        <f t="shared" si="67"/>
        <v/>
      </c>
      <c r="CT72" s="40" t="str">
        <f t="shared" si="68"/>
        <v/>
      </c>
      <c r="CU72" s="41" t="str">
        <f t="shared" si="69"/>
        <v/>
      </c>
    </row>
    <row r="73" spans="1:99" x14ac:dyDescent="0.2">
      <c r="A73" s="77">
        <f t="shared" si="70"/>
        <v>68</v>
      </c>
      <c r="B73" s="81"/>
      <c r="C73" s="82"/>
      <c r="D73" s="71"/>
      <c r="E73" s="72"/>
      <c r="F73" s="73"/>
      <c r="G73" s="443"/>
      <c r="H73" s="443"/>
      <c r="I73" s="74"/>
      <c r="J73" s="75"/>
      <c r="K73" s="41">
        <f t="shared" si="39"/>
        <v>3625</v>
      </c>
      <c r="L73" s="104"/>
      <c r="M73" s="105"/>
      <c r="N73" s="106">
        <f t="shared" si="40"/>
        <v>537.05999999999995</v>
      </c>
      <c r="O73" s="104"/>
      <c r="P73" s="105"/>
      <c r="Q73" s="106">
        <f t="shared" si="72"/>
        <v>10045.83</v>
      </c>
      <c r="R73" s="104"/>
      <c r="S73" s="105"/>
      <c r="T73" s="106">
        <f t="shared" si="73"/>
        <v>0</v>
      </c>
      <c r="U73" s="439"/>
      <c r="V73" s="42">
        <f t="shared" si="41"/>
        <v>68</v>
      </c>
      <c r="W73" s="39" t="str">
        <f>IF(AND(E73='Povolené hodnoty'!$B$4,F73=2),I73+L73+O73+R73,"")</f>
        <v/>
      </c>
      <c r="X73" s="41" t="str">
        <f>IF(AND(E73='Povolené hodnoty'!$B$4,F73=1),I73+L73+O73+R73,"")</f>
        <v/>
      </c>
      <c r="Y73" s="39" t="str">
        <f>IF(AND(E73='Povolené hodnoty'!$B$4,F73=10),J73+M73+P73+S73,"")</f>
        <v/>
      </c>
      <c r="Z73" s="41" t="str">
        <f>IF(AND(E73='Povolené hodnoty'!$B$4,F73=9),J73+M73+P73+S73,"")</f>
        <v/>
      </c>
      <c r="AA73" s="39" t="str">
        <f>IF(AND(E73&lt;&gt;'Povolené hodnoty'!$B$4,F73=2),I73+L73+O73+R73,"")</f>
        <v/>
      </c>
      <c r="AB73" s="40" t="str">
        <f>IF(AND(E73&lt;&gt;'Povolené hodnoty'!$B$4,F73=3),I73+L73+O73+R73,"")</f>
        <v/>
      </c>
      <c r="AC73" s="40" t="str">
        <f>IF(AND(E73&lt;&gt;'Povolené hodnoty'!$B$4,F73=4),I73+L73+O73+R73,"")</f>
        <v/>
      </c>
      <c r="AD73" s="40" t="str">
        <f>IF(AND(E73&lt;&gt;'Povolené hodnoty'!$B$4,F73="5a"),I73-J73+L73-M73+O73-P73+R73-S73,"")</f>
        <v/>
      </c>
      <c r="AE73" s="40" t="str">
        <f>IF(AND(E73&lt;&gt;'Povolené hodnoty'!$B$4,F73="5b"),I73-J73+L73-M73+O73-P73+R73-S73,"")</f>
        <v/>
      </c>
      <c r="AF73" s="40" t="str">
        <f>IF(AND(E73&lt;&gt;'Povolené hodnoty'!$B$4,F73=6),I73+L73+O73+R73,"")</f>
        <v/>
      </c>
      <c r="AG73" s="41" t="str">
        <f>IF(AND(E73&lt;&gt;'Povolené hodnoty'!$B$4,F73=7),I73+L73+O73+R73,"")</f>
        <v/>
      </c>
      <c r="AH73" s="39" t="str">
        <f>IF(AND(E73&lt;&gt;'Povolené hodnoty'!$B$4,F73=10),J73+M73+P73+S73,"")</f>
        <v/>
      </c>
      <c r="AI73" s="40" t="str">
        <f>IF(AND(E73&lt;&gt;'Povolené hodnoty'!$B$4,F73=11),J73+M73+P73+S73,"")</f>
        <v/>
      </c>
      <c r="AJ73" s="40" t="str">
        <f>IF(AND(E73&lt;&gt;'Povolené hodnoty'!$B$4,F73=12),J73+M73+P73+S73,"")</f>
        <v/>
      </c>
      <c r="AK73" s="41" t="str">
        <f>IF(AND(E73&lt;&gt;'Povolené hodnoty'!$B$4,F73=13),J73+M73+P73+S73,"")</f>
        <v/>
      </c>
      <c r="AL73" s="39" t="str">
        <f>IF(AND($G73='Povolené hodnoty'!$B$13,$H73=AL$4),SUM($I73,$L73,$O73,$R73),"")</f>
        <v/>
      </c>
      <c r="AM73" s="458" t="str">
        <f>IF(AND($G73='Povolené hodnoty'!$B$13,$H73=AM$4),SUM($I73,$L73,$O73,$R73),"")</f>
        <v/>
      </c>
      <c r="AN73" s="458" t="str">
        <f>IF(AND($G73='Povolené hodnoty'!$B$13,$H73=AN$4),SUM($I73,$L73,$O73,$R73),"")</f>
        <v/>
      </c>
      <c r="AO73" s="458" t="str">
        <f>IF(AND($G73='Povolené hodnoty'!$B$13,$H73=AO$4),SUM($I73,$L73,$O73,$R73),"")</f>
        <v/>
      </c>
      <c r="AP73" s="458" t="str">
        <f>IF(AND($G73='Povolené hodnoty'!$B$13,$H73=AP$4),SUM($I73,$L73,$O73,$R73),"")</f>
        <v/>
      </c>
      <c r="AQ73" s="40" t="str">
        <f>IF(AND($G73='Povolené hodnoty'!$B$13,OR($H73=AQ$4,$H73='Povolené hodnoty'!$E$36)),SUM($I73,-$J73,$L73,-$M73,$O73,-$P73,$R73,-$S73),"")</f>
        <v/>
      </c>
      <c r="AR73" s="40" t="str">
        <f>IF(AND($G73='Povolené hodnoty'!$B$13,$H73=AR$4),SUM($I73,$L73,$O73,$R73),"")</f>
        <v/>
      </c>
      <c r="AS73" s="41" t="str">
        <f>IF(AND($G73='Povolené hodnoty'!$B$13,$H73=AS$4),SUM($I73,$L73,$O73,$R73),"")</f>
        <v/>
      </c>
      <c r="AT73" s="39" t="str">
        <f>IF(AND($G73='Povolené hodnoty'!$B$14,$H73=AT$4),SUM($I73,$L73,$O73,$R73),"")</f>
        <v/>
      </c>
      <c r="AU73" s="458" t="str">
        <f>IF(AND($G73='Povolené hodnoty'!$B$14,$H73=AU$4),SUM($I73,$L73,$O73,$R73),"")</f>
        <v/>
      </c>
      <c r="AV73" s="41" t="str">
        <f>IF(AND($G73='Povolené hodnoty'!$B$14,$H73=AV$4),SUM($I73,$L73,$O73,$R73),"")</f>
        <v/>
      </c>
      <c r="AW73" s="39" t="str">
        <f>IF(AND($G73='Povolené hodnoty'!$B$13,$H73=AW$4),SUM($J73,$M73,$P73,$S73),"")</f>
        <v/>
      </c>
      <c r="AX73" s="458" t="str">
        <f>IF(AND($G73='Povolené hodnoty'!$B$13,$H73=AX$4),SUM($J73,$M73,$P73,$S73),"")</f>
        <v/>
      </c>
      <c r="AY73" s="458" t="str">
        <f>IF(AND($G73='Povolené hodnoty'!$B$13,$H73=AY$4),SUM($J73,$M73,$P73,$S73),"")</f>
        <v/>
      </c>
      <c r="AZ73" s="458" t="str">
        <f>IF(AND($G73='Povolené hodnoty'!$B$13,$H73=AZ$4),SUM($J73,$M73,$P73,$S73),"")</f>
        <v/>
      </c>
      <c r="BA73" s="458" t="str">
        <f>IF(AND($G73='Povolené hodnoty'!$B$13,$H73=BA$4),SUM($J73,$M73,$P73,$S73),"")</f>
        <v/>
      </c>
      <c r="BB73" s="40" t="str">
        <f>IF(AND($G73='Povolené hodnoty'!$B$13,$H73=BB$4),SUM($J73,$M73,$P73,$S73),"")</f>
        <v/>
      </c>
      <c r="BC73" s="40" t="str">
        <f>IF(AND($G73='Povolené hodnoty'!$B$13,$H73=BC$4),SUM($J73,$M73,$P73,$S73),"")</f>
        <v/>
      </c>
      <c r="BD73" s="40" t="str">
        <f>IF(AND($G73='Povolené hodnoty'!$B$13,$H73=BD$4),SUM($J73,$M73,$P73,$S73),"")</f>
        <v/>
      </c>
      <c r="BE73" s="41" t="str">
        <f>IF(AND($G73='Povolené hodnoty'!$B$13,$H73=BE$4),SUM($J73,$M73,$P73,$S73),"")</f>
        <v/>
      </c>
      <c r="BF73" s="39" t="str">
        <f>IF(AND($G73='Povolené hodnoty'!$B$14,$H73=BF$4),SUM($J73,$M73,$P73,$S73),"")</f>
        <v/>
      </c>
      <c r="BG73" s="458" t="str">
        <f>IF(AND($G73='Povolené hodnoty'!$B$14,$H73=BG$4),SUM($J73,$M73,$P73,$S73),"")</f>
        <v/>
      </c>
      <c r="BH73" s="458" t="str">
        <f>IF(AND($G73='Povolené hodnoty'!$B$14,$H73=BH$4),SUM($J73,$M73,$P73,$S73),"")</f>
        <v/>
      </c>
      <c r="BI73" s="458" t="str">
        <f>IF(AND($G73='Povolené hodnoty'!$B$14,$H73=BI$4),SUM($J73,$M73,$P73,$S73),"")</f>
        <v/>
      </c>
      <c r="BJ73" s="458" t="str">
        <f>IF(AND($G73='Povolené hodnoty'!$B$14,$H73=BJ$4),SUM($J73,$M73,$P73,$S73),"")</f>
        <v/>
      </c>
      <c r="BK73" s="40" t="str">
        <f>IF(AND($G73='Povolené hodnoty'!$B$14,$H73=BK$4),SUM($J73,$M73,$P73,$S73),"")</f>
        <v/>
      </c>
      <c r="BL73" s="40" t="str">
        <f>IF(AND($G73='Povolené hodnoty'!$B$14,$H73=BL$4),SUM($J73,$M73,$P73,$S73),"")</f>
        <v/>
      </c>
      <c r="BM73" s="41" t="str">
        <f>IF(AND($G73='Povolené hodnoty'!$B$14,$H73=BM$4),SUM($J73,$M73,$P73,$S73),"")</f>
        <v/>
      </c>
      <c r="BO73" s="18" t="b">
        <f t="shared" si="71"/>
        <v>0</v>
      </c>
      <c r="BP73" s="18" t="b">
        <f t="shared" si="42"/>
        <v>0</v>
      </c>
      <c r="BQ73" s="18" t="b">
        <f>AND(E73&lt;&gt;'Povolené hodnoty'!$B$6,F73&lt;&gt;'Povolené hodnoty'!$D$7,F73&lt;&gt;'Povolené hodnoty'!$D$8,OR(SUM(I73,L73,O73,R73)&lt;&gt;SUM(W73:X73,AA73:AG73),SUM(J73,M73,P73,S73)&lt;&gt;SUM(Y73:Z73,AH73:AK73),COUNT(I73:J73,L73:M73,O73:P73,R73:S73)&lt;&gt;COUNT(W73:AK73)))</f>
        <v>0</v>
      </c>
      <c r="BR73" s="18" t="b">
        <f>OR(AND(E73='Povolené hodnoty'!$B$6,$BR$5),AND(E73='Povolené hodnoty'!$B$6,H73&lt;&gt;'Povolené hodnoty'!$E$26,H73&lt;&gt;'Povolené hodnoty'!$E$35),AND(E73&lt;&gt;'Povolené hodnoty'!$B$6,OR(H73='Povolené hodnoty'!$E$26,H73='Povolené hodnoty'!$E$35)))</f>
        <v>0</v>
      </c>
      <c r="BS73" s="18" t="b">
        <f>OR(AND(G73&lt;&gt;'Povolené hodnoty'!$B$13,OR(H73='Povolené hodnoty'!$E$21,H73='Povolené hodnoty'!$E$22,H73='Povolené hodnoty'!$E$23,H73='Povolené hodnoty'!$E$24,H73='Povolené hodnoty'!$E$26,H73='Povolené hodnoty'!$E$36)),COUNT(I73:J73,L73:M73,O73:P73,R73:S73)&lt;&gt;COUNT(AL73:BM73))</f>
        <v>0</v>
      </c>
      <c r="BT73" s="18" t="b">
        <f t="shared" si="43"/>
        <v>0</v>
      </c>
      <c r="BV73" s="39" t="str">
        <f t="shared" si="44"/>
        <v/>
      </c>
      <c r="BW73" s="458" t="str">
        <f t="shared" si="45"/>
        <v/>
      </c>
      <c r="BX73" s="458" t="str">
        <f t="shared" si="46"/>
        <v/>
      </c>
      <c r="BY73" s="458" t="str">
        <f t="shared" si="47"/>
        <v/>
      </c>
      <c r="BZ73" s="458" t="str">
        <f t="shared" si="48"/>
        <v/>
      </c>
      <c r="CA73" s="40" t="str">
        <f t="shared" si="49"/>
        <v/>
      </c>
      <c r="CB73" s="40" t="str">
        <f t="shared" si="50"/>
        <v/>
      </c>
      <c r="CC73" s="39" t="str">
        <f t="shared" si="51"/>
        <v/>
      </c>
      <c r="CD73" s="458" t="str">
        <f t="shared" si="52"/>
        <v/>
      </c>
      <c r="CE73" s="41" t="str">
        <f t="shared" si="53"/>
        <v/>
      </c>
      <c r="CF73" s="39" t="str">
        <f t="shared" si="54"/>
        <v/>
      </c>
      <c r="CG73" s="458" t="str">
        <f t="shared" si="55"/>
        <v/>
      </c>
      <c r="CH73" s="458" t="str">
        <f t="shared" si="56"/>
        <v/>
      </c>
      <c r="CI73" s="458" t="str">
        <f t="shared" si="57"/>
        <v/>
      </c>
      <c r="CJ73" s="458" t="str">
        <f t="shared" si="58"/>
        <v/>
      </c>
      <c r="CK73" s="40" t="str">
        <f t="shared" si="59"/>
        <v/>
      </c>
      <c r="CL73" s="40" t="str">
        <f t="shared" si="60"/>
        <v/>
      </c>
      <c r="CM73" s="40" t="str">
        <f t="shared" si="61"/>
        <v/>
      </c>
      <c r="CN73" s="39" t="str">
        <f t="shared" si="62"/>
        <v/>
      </c>
      <c r="CO73" s="458" t="str">
        <f t="shared" si="63"/>
        <v/>
      </c>
      <c r="CP73" s="458" t="str">
        <f t="shared" si="64"/>
        <v/>
      </c>
      <c r="CQ73" s="458" t="str">
        <f t="shared" si="65"/>
        <v/>
      </c>
      <c r="CR73" s="458" t="str">
        <f t="shared" si="66"/>
        <v/>
      </c>
      <c r="CS73" s="40" t="str">
        <f t="shared" si="67"/>
        <v/>
      </c>
      <c r="CT73" s="40" t="str">
        <f t="shared" si="68"/>
        <v/>
      </c>
      <c r="CU73" s="41" t="str">
        <f t="shared" si="69"/>
        <v/>
      </c>
    </row>
    <row r="74" spans="1:99" x14ac:dyDescent="0.2">
      <c r="A74" s="77">
        <f t="shared" si="70"/>
        <v>69</v>
      </c>
      <c r="B74" s="81"/>
      <c r="C74" s="82"/>
      <c r="D74" s="71"/>
      <c r="E74" s="72"/>
      <c r="F74" s="73"/>
      <c r="G74" s="443"/>
      <c r="H74" s="443"/>
      <c r="I74" s="74"/>
      <c r="J74" s="75"/>
      <c r="K74" s="41">
        <f t="shared" si="39"/>
        <v>3625</v>
      </c>
      <c r="L74" s="104"/>
      <c r="M74" s="105"/>
      <c r="N74" s="106">
        <f t="shared" si="40"/>
        <v>537.05999999999995</v>
      </c>
      <c r="O74" s="104"/>
      <c r="P74" s="105"/>
      <c r="Q74" s="106">
        <f t="shared" si="72"/>
        <v>10045.83</v>
      </c>
      <c r="R74" s="104"/>
      <c r="S74" s="105"/>
      <c r="T74" s="106">
        <f t="shared" si="73"/>
        <v>0</v>
      </c>
      <c r="U74" s="439"/>
      <c r="V74" s="42">
        <f t="shared" si="41"/>
        <v>69</v>
      </c>
      <c r="W74" s="39" t="str">
        <f>IF(AND(E74='Povolené hodnoty'!$B$4,F74=2),I74+L74+O74+R74,"")</f>
        <v/>
      </c>
      <c r="X74" s="41" t="str">
        <f>IF(AND(E74='Povolené hodnoty'!$B$4,F74=1),I74+L74+O74+R74,"")</f>
        <v/>
      </c>
      <c r="Y74" s="39" t="str">
        <f>IF(AND(E74='Povolené hodnoty'!$B$4,F74=10),J74+M74+P74+S74,"")</f>
        <v/>
      </c>
      <c r="Z74" s="41" t="str">
        <f>IF(AND(E74='Povolené hodnoty'!$B$4,F74=9),J74+M74+P74+S74,"")</f>
        <v/>
      </c>
      <c r="AA74" s="39" t="str">
        <f>IF(AND(E74&lt;&gt;'Povolené hodnoty'!$B$4,F74=2),I74+L74+O74+R74,"")</f>
        <v/>
      </c>
      <c r="AB74" s="40" t="str">
        <f>IF(AND(E74&lt;&gt;'Povolené hodnoty'!$B$4,F74=3),I74+L74+O74+R74,"")</f>
        <v/>
      </c>
      <c r="AC74" s="40" t="str">
        <f>IF(AND(E74&lt;&gt;'Povolené hodnoty'!$B$4,F74=4),I74+L74+O74+R74,"")</f>
        <v/>
      </c>
      <c r="AD74" s="40" t="str">
        <f>IF(AND(E74&lt;&gt;'Povolené hodnoty'!$B$4,F74="5a"),I74-J74+L74-M74+O74-P74+R74-S74,"")</f>
        <v/>
      </c>
      <c r="AE74" s="40" t="str">
        <f>IF(AND(E74&lt;&gt;'Povolené hodnoty'!$B$4,F74="5b"),I74-J74+L74-M74+O74-P74+R74-S74,"")</f>
        <v/>
      </c>
      <c r="AF74" s="40" t="str">
        <f>IF(AND(E74&lt;&gt;'Povolené hodnoty'!$B$4,F74=6),I74+L74+O74+R74,"")</f>
        <v/>
      </c>
      <c r="AG74" s="41" t="str">
        <f>IF(AND(E74&lt;&gt;'Povolené hodnoty'!$B$4,F74=7),I74+L74+O74+R74,"")</f>
        <v/>
      </c>
      <c r="AH74" s="39" t="str">
        <f>IF(AND(E74&lt;&gt;'Povolené hodnoty'!$B$4,F74=10),J74+M74+P74+S74,"")</f>
        <v/>
      </c>
      <c r="AI74" s="40" t="str">
        <f>IF(AND(E74&lt;&gt;'Povolené hodnoty'!$B$4,F74=11),J74+M74+P74+S74,"")</f>
        <v/>
      </c>
      <c r="AJ74" s="40" t="str">
        <f>IF(AND(E74&lt;&gt;'Povolené hodnoty'!$B$4,F74=12),J74+M74+P74+S74,"")</f>
        <v/>
      </c>
      <c r="AK74" s="41" t="str">
        <f>IF(AND(E74&lt;&gt;'Povolené hodnoty'!$B$4,F74=13),J74+M74+P74+S74,"")</f>
        <v/>
      </c>
      <c r="AL74" s="39" t="str">
        <f>IF(AND($G74='Povolené hodnoty'!$B$13,$H74=AL$4),SUM($I74,$L74,$O74,$R74),"")</f>
        <v/>
      </c>
      <c r="AM74" s="458" t="str">
        <f>IF(AND($G74='Povolené hodnoty'!$B$13,$H74=AM$4),SUM($I74,$L74,$O74,$R74),"")</f>
        <v/>
      </c>
      <c r="AN74" s="458" t="str">
        <f>IF(AND($G74='Povolené hodnoty'!$B$13,$H74=AN$4),SUM($I74,$L74,$O74,$R74),"")</f>
        <v/>
      </c>
      <c r="AO74" s="458" t="str">
        <f>IF(AND($G74='Povolené hodnoty'!$B$13,$H74=AO$4),SUM($I74,$L74,$O74,$R74),"")</f>
        <v/>
      </c>
      <c r="AP74" s="458" t="str">
        <f>IF(AND($G74='Povolené hodnoty'!$B$13,$H74=AP$4),SUM($I74,$L74,$O74,$R74),"")</f>
        <v/>
      </c>
      <c r="AQ74" s="40" t="str">
        <f>IF(AND($G74='Povolené hodnoty'!$B$13,OR($H74=AQ$4,$H74='Povolené hodnoty'!$E$36)),SUM($I74,-$J74,$L74,-$M74,$O74,-$P74,$R74,-$S74),"")</f>
        <v/>
      </c>
      <c r="AR74" s="40" t="str">
        <f>IF(AND($G74='Povolené hodnoty'!$B$13,$H74=AR$4),SUM($I74,$L74,$O74,$R74),"")</f>
        <v/>
      </c>
      <c r="AS74" s="41" t="str">
        <f>IF(AND($G74='Povolené hodnoty'!$B$13,$H74=AS$4),SUM($I74,$L74,$O74,$R74),"")</f>
        <v/>
      </c>
      <c r="AT74" s="39" t="str">
        <f>IF(AND($G74='Povolené hodnoty'!$B$14,$H74=AT$4),SUM($I74,$L74,$O74,$R74),"")</f>
        <v/>
      </c>
      <c r="AU74" s="458" t="str">
        <f>IF(AND($G74='Povolené hodnoty'!$B$14,$H74=AU$4),SUM($I74,$L74,$O74,$R74),"")</f>
        <v/>
      </c>
      <c r="AV74" s="41" t="str">
        <f>IF(AND($G74='Povolené hodnoty'!$B$14,$H74=AV$4),SUM($I74,$L74,$O74,$R74),"")</f>
        <v/>
      </c>
      <c r="AW74" s="39" t="str">
        <f>IF(AND($G74='Povolené hodnoty'!$B$13,$H74=AW$4),SUM($J74,$M74,$P74,$S74),"")</f>
        <v/>
      </c>
      <c r="AX74" s="458" t="str">
        <f>IF(AND($G74='Povolené hodnoty'!$B$13,$H74=AX$4),SUM($J74,$M74,$P74,$S74),"")</f>
        <v/>
      </c>
      <c r="AY74" s="458" t="str">
        <f>IF(AND($G74='Povolené hodnoty'!$B$13,$H74=AY$4),SUM($J74,$M74,$P74,$S74),"")</f>
        <v/>
      </c>
      <c r="AZ74" s="458" t="str">
        <f>IF(AND($G74='Povolené hodnoty'!$B$13,$H74=AZ$4),SUM($J74,$M74,$P74,$S74),"")</f>
        <v/>
      </c>
      <c r="BA74" s="458" t="str">
        <f>IF(AND($G74='Povolené hodnoty'!$B$13,$H74=BA$4),SUM($J74,$M74,$P74,$S74),"")</f>
        <v/>
      </c>
      <c r="BB74" s="40" t="str">
        <f>IF(AND($G74='Povolené hodnoty'!$B$13,$H74=BB$4),SUM($J74,$M74,$P74,$S74),"")</f>
        <v/>
      </c>
      <c r="BC74" s="40" t="str">
        <f>IF(AND($G74='Povolené hodnoty'!$B$13,$H74=BC$4),SUM($J74,$M74,$P74,$S74),"")</f>
        <v/>
      </c>
      <c r="BD74" s="40" t="str">
        <f>IF(AND($G74='Povolené hodnoty'!$B$13,$H74=BD$4),SUM($J74,$M74,$P74,$S74),"")</f>
        <v/>
      </c>
      <c r="BE74" s="41" t="str">
        <f>IF(AND($G74='Povolené hodnoty'!$B$13,$H74=BE$4),SUM($J74,$M74,$P74,$S74),"")</f>
        <v/>
      </c>
      <c r="BF74" s="39" t="str">
        <f>IF(AND($G74='Povolené hodnoty'!$B$14,$H74=BF$4),SUM($J74,$M74,$P74,$S74),"")</f>
        <v/>
      </c>
      <c r="BG74" s="458" t="str">
        <f>IF(AND($G74='Povolené hodnoty'!$B$14,$H74=BG$4),SUM($J74,$M74,$P74,$S74),"")</f>
        <v/>
      </c>
      <c r="BH74" s="458" t="str">
        <f>IF(AND($G74='Povolené hodnoty'!$B$14,$H74=BH$4),SUM($J74,$M74,$P74,$S74),"")</f>
        <v/>
      </c>
      <c r="BI74" s="458" t="str">
        <f>IF(AND($G74='Povolené hodnoty'!$B$14,$H74=BI$4),SUM($J74,$M74,$P74,$S74),"")</f>
        <v/>
      </c>
      <c r="BJ74" s="458" t="str">
        <f>IF(AND($G74='Povolené hodnoty'!$B$14,$H74=BJ$4),SUM($J74,$M74,$P74,$S74),"")</f>
        <v/>
      </c>
      <c r="BK74" s="40" t="str">
        <f>IF(AND($G74='Povolené hodnoty'!$B$14,$H74=BK$4),SUM($J74,$M74,$P74,$S74),"")</f>
        <v/>
      </c>
      <c r="BL74" s="40" t="str">
        <f>IF(AND($G74='Povolené hodnoty'!$B$14,$H74=BL$4),SUM($J74,$M74,$P74,$S74),"")</f>
        <v/>
      </c>
      <c r="BM74" s="41" t="str">
        <f>IF(AND($G74='Povolené hodnoty'!$B$14,$H74=BM$4),SUM($J74,$M74,$P74,$S74),"")</f>
        <v/>
      </c>
      <c r="BO74" s="18" t="b">
        <f t="shared" si="71"/>
        <v>0</v>
      </c>
      <c r="BP74" s="18" t="b">
        <f t="shared" si="42"/>
        <v>0</v>
      </c>
      <c r="BQ74" s="18" t="b">
        <f>AND(E74&lt;&gt;'Povolené hodnoty'!$B$6,F74&lt;&gt;'Povolené hodnoty'!$D$7,F74&lt;&gt;'Povolené hodnoty'!$D$8,OR(SUM(I74,L74,O74,R74)&lt;&gt;SUM(W74:X74,AA74:AG74),SUM(J74,M74,P74,S74)&lt;&gt;SUM(Y74:Z74,AH74:AK74),COUNT(I74:J74,L74:M74,O74:P74,R74:S74)&lt;&gt;COUNT(W74:AK74)))</f>
        <v>0</v>
      </c>
      <c r="BR74" s="18" t="b">
        <f>OR(AND(E74='Povolené hodnoty'!$B$6,$BR$5),AND(E74='Povolené hodnoty'!$B$6,H74&lt;&gt;'Povolené hodnoty'!$E$26,H74&lt;&gt;'Povolené hodnoty'!$E$35),AND(E74&lt;&gt;'Povolené hodnoty'!$B$6,OR(H74='Povolené hodnoty'!$E$26,H74='Povolené hodnoty'!$E$35)))</f>
        <v>0</v>
      </c>
      <c r="BS74" s="18" t="b">
        <f>OR(AND(G74&lt;&gt;'Povolené hodnoty'!$B$13,OR(H74='Povolené hodnoty'!$E$21,H74='Povolené hodnoty'!$E$22,H74='Povolené hodnoty'!$E$23,H74='Povolené hodnoty'!$E$24,H74='Povolené hodnoty'!$E$26,H74='Povolené hodnoty'!$E$36)),COUNT(I74:J74,L74:M74,O74:P74,R74:S74)&lt;&gt;COUNT(AL74:BM74))</f>
        <v>0</v>
      </c>
      <c r="BT74" s="18" t="b">
        <f t="shared" si="43"/>
        <v>0</v>
      </c>
      <c r="BV74" s="39" t="str">
        <f t="shared" si="44"/>
        <v/>
      </c>
      <c r="BW74" s="458" t="str">
        <f t="shared" si="45"/>
        <v/>
      </c>
      <c r="BX74" s="458" t="str">
        <f t="shared" si="46"/>
        <v/>
      </c>
      <c r="BY74" s="458" t="str">
        <f t="shared" si="47"/>
        <v/>
      </c>
      <c r="BZ74" s="458" t="str">
        <f t="shared" si="48"/>
        <v/>
      </c>
      <c r="CA74" s="40" t="str">
        <f t="shared" si="49"/>
        <v/>
      </c>
      <c r="CB74" s="40" t="str">
        <f t="shared" si="50"/>
        <v/>
      </c>
      <c r="CC74" s="39" t="str">
        <f t="shared" si="51"/>
        <v/>
      </c>
      <c r="CD74" s="458" t="str">
        <f t="shared" si="52"/>
        <v/>
      </c>
      <c r="CE74" s="41" t="str">
        <f t="shared" si="53"/>
        <v/>
      </c>
      <c r="CF74" s="39" t="str">
        <f t="shared" si="54"/>
        <v/>
      </c>
      <c r="CG74" s="458" t="str">
        <f t="shared" si="55"/>
        <v/>
      </c>
      <c r="CH74" s="458" t="str">
        <f t="shared" si="56"/>
        <v/>
      </c>
      <c r="CI74" s="458" t="str">
        <f t="shared" si="57"/>
        <v/>
      </c>
      <c r="CJ74" s="458" t="str">
        <f t="shared" si="58"/>
        <v/>
      </c>
      <c r="CK74" s="40" t="str">
        <f t="shared" si="59"/>
        <v/>
      </c>
      <c r="CL74" s="40" t="str">
        <f t="shared" si="60"/>
        <v/>
      </c>
      <c r="CM74" s="40" t="str">
        <f t="shared" si="61"/>
        <v/>
      </c>
      <c r="CN74" s="39" t="str">
        <f t="shared" si="62"/>
        <v/>
      </c>
      <c r="CO74" s="458" t="str">
        <f t="shared" si="63"/>
        <v/>
      </c>
      <c r="CP74" s="458" t="str">
        <f t="shared" si="64"/>
        <v/>
      </c>
      <c r="CQ74" s="458" t="str">
        <f t="shared" si="65"/>
        <v/>
      </c>
      <c r="CR74" s="458" t="str">
        <f t="shared" si="66"/>
        <v/>
      </c>
      <c r="CS74" s="40" t="str">
        <f t="shared" si="67"/>
        <v/>
      </c>
      <c r="CT74" s="40" t="str">
        <f t="shared" si="68"/>
        <v/>
      </c>
      <c r="CU74" s="41" t="str">
        <f t="shared" si="69"/>
        <v/>
      </c>
    </row>
    <row r="75" spans="1:99" x14ac:dyDescent="0.2">
      <c r="A75" s="77">
        <f t="shared" si="70"/>
        <v>70</v>
      </c>
      <c r="B75" s="81"/>
      <c r="C75" s="82"/>
      <c r="D75" s="71"/>
      <c r="E75" s="72"/>
      <c r="F75" s="73"/>
      <c r="G75" s="443"/>
      <c r="H75" s="443"/>
      <c r="I75" s="74"/>
      <c r="J75" s="75"/>
      <c r="K75" s="41">
        <f t="shared" si="39"/>
        <v>3625</v>
      </c>
      <c r="L75" s="104"/>
      <c r="M75" s="105"/>
      <c r="N75" s="106">
        <f t="shared" si="40"/>
        <v>537.05999999999995</v>
      </c>
      <c r="O75" s="104"/>
      <c r="P75" s="105"/>
      <c r="Q75" s="106">
        <f t="shared" si="72"/>
        <v>10045.83</v>
      </c>
      <c r="R75" s="104"/>
      <c r="S75" s="105"/>
      <c r="T75" s="106">
        <f t="shared" si="73"/>
        <v>0</v>
      </c>
      <c r="U75" s="439"/>
      <c r="V75" s="42">
        <f t="shared" si="41"/>
        <v>70</v>
      </c>
      <c r="W75" s="39" t="str">
        <f>IF(AND(E75='Povolené hodnoty'!$B$4,F75=2),I75+L75+O75+R75,"")</f>
        <v/>
      </c>
      <c r="X75" s="41" t="str">
        <f>IF(AND(E75='Povolené hodnoty'!$B$4,F75=1),I75+L75+O75+R75,"")</f>
        <v/>
      </c>
      <c r="Y75" s="39" t="str">
        <f>IF(AND(E75='Povolené hodnoty'!$B$4,F75=10),J75+M75+P75+S75,"")</f>
        <v/>
      </c>
      <c r="Z75" s="41" t="str">
        <f>IF(AND(E75='Povolené hodnoty'!$B$4,F75=9),J75+M75+P75+S75,"")</f>
        <v/>
      </c>
      <c r="AA75" s="39" t="str">
        <f>IF(AND(E75&lt;&gt;'Povolené hodnoty'!$B$4,F75=2),I75+L75+O75+R75,"")</f>
        <v/>
      </c>
      <c r="AB75" s="40" t="str">
        <f>IF(AND(E75&lt;&gt;'Povolené hodnoty'!$B$4,F75=3),I75+L75+O75+R75,"")</f>
        <v/>
      </c>
      <c r="AC75" s="40" t="str">
        <f>IF(AND(E75&lt;&gt;'Povolené hodnoty'!$B$4,F75=4),I75+L75+O75+R75,"")</f>
        <v/>
      </c>
      <c r="AD75" s="40" t="str">
        <f>IF(AND(E75&lt;&gt;'Povolené hodnoty'!$B$4,F75="5a"),I75-J75+L75-M75+O75-P75+R75-S75,"")</f>
        <v/>
      </c>
      <c r="AE75" s="40" t="str">
        <f>IF(AND(E75&lt;&gt;'Povolené hodnoty'!$B$4,F75="5b"),I75-J75+L75-M75+O75-P75+R75-S75,"")</f>
        <v/>
      </c>
      <c r="AF75" s="40" t="str">
        <f>IF(AND(E75&lt;&gt;'Povolené hodnoty'!$B$4,F75=6),I75+L75+O75+R75,"")</f>
        <v/>
      </c>
      <c r="AG75" s="41" t="str">
        <f>IF(AND(E75&lt;&gt;'Povolené hodnoty'!$B$4,F75=7),I75+L75+O75+R75,"")</f>
        <v/>
      </c>
      <c r="AH75" s="39" t="str">
        <f>IF(AND(E75&lt;&gt;'Povolené hodnoty'!$B$4,F75=10),J75+M75+P75+S75,"")</f>
        <v/>
      </c>
      <c r="AI75" s="40" t="str">
        <f>IF(AND(E75&lt;&gt;'Povolené hodnoty'!$B$4,F75=11),J75+M75+P75+S75,"")</f>
        <v/>
      </c>
      <c r="AJ75" s="40" t="str">
        <f>IF(AND(E75&lt;&gt;'Povolené hodnoty'!$B$4,F75=12),J75+M75+P75+S75,"")</f>
        <v/>
      </c>
      <c r="AK75" s="41" t="str">
        <f>IF(AND(E75&lt;&gt;'Povolené hodnoty'!$B$4,F75=13),J75+M75+P75+S75,"")</f>
        <v/>
      </c>
      <c r="AL75" s="39" t="str">
        <f>IF(AND($G75='Povolené hodnoty'!$B$13,$H75=AL$4),SUM($I75,$L75,$O75,$R75),"")</f>
        <v/>
      </c>
      <c r="AM75" s="458" t="str">
        <f>IF(AND($G75='Povolené hodnoty'!$B$13,$H75=AM$4),SUM($I75,$L75,$O75,$R75),"")</f>
        <v/>
      </c>
      <c r="AN75" s="458" t="str">
        <f>IF(AND($G75='Povolené hodnoty'!$B$13,$H75=AN$4),SUM($I75,$L75,$O75,$R75),"")</f>
        <v/>
      </c>
      <c r="AO75" s="458" t="str">
        <f>IF(AND($G75='Povolené hodnoty'!$B$13,$H75=AO$4),SUM($I75,$L75,$O75,$R75),"")</f>
        <v/>
      </c>
      <c r="AP75" s="458" t="str">
        <f>IF(AND($G75='Povolené hodnoty'!$B$13,$H75=AP$4),SUM($I75,$L75,$O75,$R75),"")</f>
        <v/>
      </c>
      <c r="AQ75" s="40" t="str">
        <f>IF(AND($G75='Povolené hodnoty'!$B$13,OR($H75=AQ$4,$H75='Povolené hodnoty'!$E$36)),SUM($I75,-$J75,$L75,-$M75,$O75,-$P75,$R75,-$S75),"")</f>
        <v/>
      </c>
      <c r="AR75" s="40" t="str">
        <f>IF(AND($G75='Povolené hodnoty'!$B$13,$H75=AR$4),SUM($I75,$L75,$O75,$R75),"")</f>
        <v/>
      </c>
      <c r="AS75" s="41" t="str">
        <f>IF(AND($G75='Povolené hodnoty'!$B$13,$H75=AS$4),SUM($I75,$L75,$O75,$R75),"")</f>
        <v/>
      </c>
      <c r="AT75" s="39" t="str">
        <f>IF(AND($G75='Povolené hodnoty'!$B$14,$H75=AT$4),SUM($I75,$L75,$O75,$R75),"")</f>
        <v/>
      </c>
      <c r="AU75" s="458" t="str">
        <f>IF(AND($G75='Povolené hodnoty'!$B$14,$H75=AU$4),SUM($I75,$L75,$O75,$R75),"")</f>
        <v/>
      </c>
      <c r="AV75" s="41" t="str">
        <f>IF(AND($G75='Povolené hodnoty'!$B$14,$H75=AV$4),SUM($I75,$L75,$O75,$R75),"")</f>
        <v/>
      </c>
      <c r="AW75" s="39" t="str">
        <f>IF(AND($G75='Povolené hodnoty'!$B$13,$H75=AW$4),SUM($J75,$M75,$P75,$S75),"")</f>
        <v/>
      </c>
      <c r="AX75" s="458" t="str">
        <f>IF(AND($G75='Povolené hodnoty'!$B$13,$H75=AX$4),SUM($J75,$M75,$P75,$S75),"")</f>
        <v/>
      </c>
      <c r="AY75" s="458" t="str">
        <f>IF(AND($G75='Povolené hodnoty'!$B$13,$H75=AY$4),SUM($J75,$M75,$P75,$S75),"")</f>
        <v/>
      </c>
      <c r="AZ75" s="458" t="str">
        <f>IF(AND($G75='Povolené hodnoty'!$B$13,$H75=AZ$4),SUM($J75,$M75,$P75,$S75),"")</f>
        <v/>
      </c>
      <c r="BA75" s="458" t="str">
        <f>IF(AND($G75='Povolené hodnoty'!$B$13,$H75=BA$4),SUM($J75,$M75,$P75,$S75),"")</f>
        <v/>
      </c>
      <c r="BB75" s="40" t="str">
        <f>IF(AND($G75='Povolené hodnoty'!$B$13,$H75=BB$4),SUM($J75,$M75,$P75,$S75),"")</f>
        <v/>
      </c>
      <c r="BC75" s="40" t="str">
        <f>IF(AND($G75='Povolené hodnoty'!$B$13,$H75=BC$4),SUM($J75,$M75,$P75,$S75),"")</f>
        <v/>
      </c>
      <c r="BD75" s="40" t="str">
        <f>IF(AND($G75='Povolené hodnoty'!$B$13,$H75=BD$4),SUM($J75,$M75,$P75,$S75),"")</f>
        <v/>
      </c>
      <c r="BE75" s="41" t="str">
        <f>IF(AND($G75='Povolené hodnoty'!$B$13,$H75=BE$4),SUM($J75,$M75,$P75,$S75),"")</f>
        <v/>
      </c>
      <c r="BF75" s="39" t="str">
        <f>IF(AND($G75='Povolené hodnoty'!$B$14,$H75=BF$4),SUM($J75,$M75,$P75,$S75),"")</f>
        <v/>
      </c>
      <c r="BG75" s="458" t="str">
        <f>IF(AND($G75='Povolené hodnoty'!$B$14,$H75=BG$4),SUM($J75,$M75,$P75,$S75),"")</f>
        <v/>
      </c>
      <c r="BH75" s="458" t="str">
        <f>IF(AND($G75='Povolené hodnoty'!$B$14,$H75=BH$4),SUM($J75,$M75,$P75,$S75),"")</f>
        <v/>
      </c>
      <c r="BI75" s="458" t="str">
        <f>IF(AND($G75='Povolené hodnoty'!$B$14,$H75=BI$4),SUM($J75,$M75,$P75,$S75),"")</f>
        <v/>
      </c>
      <c r="BJ75" s="458" t="str">
        <f>IF(AND($G75='Povolené hodnoty'!$B$14,$H75=BJ$4),SUM($J75,$M75,$P75,$S75),"")</f>
        <v/>
      </c>
      <c r="BK75" s="40" t="str">
        <f>IF(AND($G75='Povolené hodnoty'!$B$14,$H75=BK$4),SUM($J75,$M75,$P75,$S75),"")</f>
        <v/>
      </c>
      <c r="BL75" s="40" t="str">
        <f>IF(AND($G75='Povolené hodnoty'!$B$14,$H75=BL$4),SUM($J75,$M75,$P75,$S75),"")</f>
        <v/>
      </c>
      <c r="BM75" s="41" t="str">
        <f>IF(AND($G75='Povolené hodnoty'!$B$14,$H75=BM$4),SUM($J75,$M75,$P75,$S75),"")</f>
        <v/>
      </c>
      <c r="BO75" s="18" t="b">
        <f t="shared" si="71"/>
        <v>0</v>
      </c>
      <c r="BP75" s="18" t="b">
        <f t="shared" si="42"/>
        <v>0</v>
      </c>
      <c r="BQ75" s="18" t="b">
        <f>AND(E75&lt;&gt;'Povolené hodnoty'!$B$6,F75&lt;&gt;'Povolené hodnoty'!$D$7,F75&lt;&gt;'Povolené hodnoty'!$D$8,OR(SUM(I75,L75,O75,R75)&lt;&gt;SUM(W75:X75,AA75:AG75),SUM(J75,M75,P75,S75)&lt;&gt;SUM(Y75:Z75,AH75:AK75),COUNT(I75:J75,L75:M75,O75:P75,R75:S75)&lt;&gt;COUNT(W75:AK75)))</f>
        <v>0</v>
      </c>
      <c r="BR75" s="18" t="b">
        <f>OR(AND(E75='Povolené hodnoty'!$B$6,$BR$5),AND(E75='Povolené hodnoty'!$B$6,H75&lt;&gt;'Povolené hodnoty'!$E$26,H75&lt;&gt;'Povolené hodnoty'!$E$35),AND(E75&lt;&gt;'Povolené hodnoty'!$B$6,OR(H75='Povolené hodnoty'!$E$26,H75='Povolené hodnoty'!$E$35)))</f>
        <v>0</v>
      </c>
      <c r="BS75" s="18" t="b">
        <f>OR(AND(G75&lt;&gt;'Povolené hodnoty'!$B$13,OR(H75='Povolené hodnoty'!$E$21,H75='Povolené hodnoty'!$E$22,H75='Povolené hodnoty'!$E$23,H75='Povolené hodnoty'!$E$24,H75='Povolené hodnoty'!$E$26,H75='Povolené hodnoty'!$E$36)),COUNT(I75:J75,L75:M75,O75:P75,R75:S75)&lt;&gt;COUNT(AL75:BM75))</f>
        <v>0</v>
      </c>
      <c r="BT75" s="18" t="b">
        <f t="shared" si="43"/>
        <v>0</v>
      </c>
      <c r="BV75" s="39" t="str">
        <f t="shared" si="44"/>
        <v/>
      </c>
      <c r="BW75" s="458" t="str">
        <f t="shared" si="45"/>
        <v/>
      </c>
      <c r="BX75" s="458" t="str">
        <f t="shared" si="46"/>
        <v/>
      </c>
      <c r="BY75" s="458" t="str">
        <f t="shared" si="47"/>
        <v/>
      </c>
      <c r="BZ75" s="458" t="str">
        <f t="shared" si="48"/>
        <v/>
      </c>
      <c r="CA75" s="40" t="str">
        <f t="shared" si="49"/>
        <v/>
      </c>
      <c r="CB75" s="40" t="str">
        <f t="shared" si="50"/>
        <v/>
      </c>
      <c r="CC75" s="39" t="str">
        <f t="shared" si="51"/>
        <v/>
      </c>
      <c r="CD75" s="458" t="str">
        <f t="shared" si="52"/>
        <v/>
      </c>
      <c r="CE75" s="41" t="str">
        <f t="shared" si="53"/>
        <v/>
      </c>
      <c r="CF75" s="39" t="str">
        <f t="shared" si="54"/>
        <v/>
      </c>
      <c r="CG75" s="458" t="str">
        <f t="shared" si="55"/>
        <v/>
      </c>
      <c r="CH75" s="458" t="str">
        <f t="shared" si="56"/>
        <v/>
      </c>
      <c r="CI75" s="458" t="str">
        <f t="shared" si="57"/>
        <v/>
      </c>
      <c r="CJ75" s="458" t="str">
        <f t="shared" si="58"/>
        <v/>
      </c>
      <c r="CK75" s="40" t="str">
        <f t="shared" si="59"/>
        <v/>
      </c>
      <c r="CL75" s="40" t="str">
        <f t="shared" si="60"/>
        <v/>
      </c>
      <c r="CM75" s="40" t="str">
        <f t="shared" si="61"/>
        <v/>
      </c>
      <c r="CN75" s="39" t="str">
        <f t="shared" si="62"/>
        <v/>
      </c>
      <c r="CO75" s="458" t="str">
        <f t="shared" si="63"/>
        <v/>
      </c>
      <c r="CP75" s="458" t="str">
        <f t="shared" si="64"/>
        <v/>
      </c>
      <c r="CQ75" s="458" t="str">
        <f t="shared" si="65"/>
        <v/>
      </c>
      <c r="CR75" s="458" t="str">
        <f t="shared" si="66"/>
        <v/>
      </c>
      <c r="CS75" s="40" t="str">
        <f t="shared" si="67"/>
        <v/>
      </c>
      <c r="CT75" s="40" t="str">
        <f t="shared" si="68"/>
        <v/>
      </c>
      <c r="CU75" s="41" t="str">
        <f t="shared" si="69"/>
        <v/>
      </c>
    </row>
    <row r="76" spans="1:99" x14ac:dyDescent="0.2">
      <c r="A76" s="77">
        <f t="shared" si="70"/>
        <v>71</v>
      </c>
      <c r="B76" s="81"/>
      <c r="C76" s="82"/>
      <c r="D76" s="71"/>
      <c r="E76" s="72"/>
      <c r="F76" s="73"/>
      <c r="G76" s="443"/>
      <c r="H76" s="443"/>
      <c r="I76" s="74"/>
      <c r="J76" s="75"/>
      <c r="K76" s="41">
        <f t="shared" si="39"/>
        <v>3625</v>
      </c>
      <c r="L76" s="104"/>
      <c r="M76" s="105"/>
      <c r="N76" s="106">
        <f t="shared" si="40"/>
        <v>537.05999999999995</v>
      </c>
      <c r="O76" s="104"/>
      <c r="P76" s="105"/>
      <c r="Q76" s="106">
        <f t="shared" si="72"/>
        <v>10045.83</v>
      </c>
      <c r="R76" s="104"/>
      <c r="S76" s="105"/>
      <c r="T76" s="106">
        <f t="shared" si="73"/>
        <v>0</v>
      </c>
      <c r="U76" s="439"/>
      <c r="V76" s="42">
        <f t="shared" si="41"/>
        <v>71</v>
      </c>
      <c r="W76" s="39" t="str">
        <f>IF(AND(E76='Povolené hodnoty'!$B$4,F76=2),I76+L76+O76+R76,"")</f>
        <v/>
      </c>
      <c r="X76" s="41" t="str">
        <f>IF(AND(E76='Povolené hodnoty'!$B$4,F76=1),I76+L76+O76+R76,"")</f>
        <v/>
      </c>
      <c r="Y76" s="39" t="str">
        <f>IF(AND(E76='Povolené hodnoty'!$B$4,F76=10),J76+M76+P76+S76,"")</f>
        <v/>
      </c>
      <c r="Z76" s="41" t="str">
        <f>IF(AND(E76='Povolené hodnoty'!$B$4,F76=9),J76+M76+P76+S76,"")</f>
        <v/>
      </c>
      <c r="AA76" s="39" t="str">
        <f>IF(AND(E76&lt;&gt;'Povolené hodnoty'!$B$4,F76=2),I76+L76+O76+R76,"")</f>
        <v/>
      </c>
      <c r="AB76" s="40" t="str">
        <f>IF(AND(E76&lt;&gt;'Povolené hodnoty'!$B$4,F76=3),I76+L76+O76+R76,"")</f>
        <v/>
      </c>
      <c r="AC76" s="40" t="str">
        <f>IF(AND(E76&lt;&gt;'Povolené hodnoty'!$B$4,F76=4),I76+L76+O76+R76,"")</f>
        <v/>
      </c>
      <c r="AD76" s="40" t="str">
        <f>IF(AND(E76&lt;&gt;'Povolené hodnoty'!$B$4,F76="5a"),I76-J76+L76-M76+O76-P76+R76-S76,"")</f>
        <v/>
      </c>
      <c r="AE76" s="40" t="str">
        <f>IF(AND(E76&lt;&gt;'Povolené hodnoty'!$B$4,F76="5b"),I76-J76+L76-M76+O76-P76+R76-S76,"")</f>
        <v/>
      </c>
      <c r="AF76" s="40" t="str">
        <f>IF(AND(E76&lt;&gt;'Povolené hodnoty'!$B$4,F76=6),I76+L76+O76+R76,"")</f>
        <v/>
      </c>
      <c r="AG76" s="41" t="str">
        <f>IF(AND(E76&lt;&gt;'Povolené hodnoty'!$B$4,F76=7),I76+L76+O76+R76,"")</f>
        <v/>
      </c>
      <c r="AH76" s="39" t="str">
        <f>IF(AND(E76&lt;&gt;'Povolené hodnoty'!$B$4,F76=10),J76+M76+P76+S76,"")</f>
        <v/>
      </c>
      <c r="AI76" s="40" t="str">
        <f>IF(AND(E76&lt;&gt;'Povolené hodnoty'!$B$4,F76=11),J76+M76+P76+S76,"")</f>
        <v/>
      </c>
      <c r="AJ76" s="40" t="str">
        <f>IF(AND(E76&lt;&gt;'Povolené hodnoty'!$B$4,F76=12),J76+M76+P76+S76,"")</f>
        <v/>
      </c>
      <c r="AK76" s="41" t="str">
        <f>IF(AND(E76&lt;&gt;'Povolené hodnoty'!$B$4,F76=13),J76+M76+P76+S76,"")</f>
        <v/>
      </c>
      <c r="AL76" s="39" t="str">
        <f>IF(AND($G76='Povolené hodnoty'!$B$13,$H76=AL$4),SUM($I76,$L76,$O76,$R76),"")</f>
        <v/>
      </c>
      <c r="AM76" s="458" t="str">
        <f>IF(AND($G76='Povolené hodnoty'!$B$13,$H76=AM$4),SUM($I76,$L76,$O76,$R76),"")</f>
        <v/>
      </c>
      <c r="AN76" s="458" t="str">
        <f>IF(AND($G76='Povolené hodnoty'!$B$13,$H76=AN$4),SUM($I76,$L76,$O76,$R76),"")</f>
        <v/>
      </c>
      <c r="AO76" s="458" t="str">
        <f>IF(AND($G76='Povolené hodnoty'!$B$13,$H76=AO$4),SUM($I76,$L76,$O76,$R76),"")</f>
        <v/>
      </c>
      <c r="AP76" s="458" t="str">
        <f>IF(AND($G76='Povolené hodnoty'!$B$13,$H76=AP$4),SUM($I76,$L76,$O76,$R76),"")</f>
        <v/>
      </c>
      <c r="AQ76" s="40" t="str">
        <f>IF(AND($G76='Povolené hodnoty'!$B$13,OR($H76=AQ$4,$H76='Povolené hodnoty'!$E$36)),SUM($I76,-$J76,$L76,-$M76,$O76,-$P76,$R76,-$S76),"")</f>
        <v/>
      </c>
      <c r="AR76" s="40" t="str">
        <f>IF(AND($G76='Povolené hodnoty'!$B$13,$H76=AR$4),SUM($I76,$L76,$O76,$R76),"")</f>
        <v/>
      </c>
      <c r="AS76" s="41" t="str">
        <f>IF(AND($G76='Povolené hodnoty'!$B$13,$H76=AS$4),SUM($I76,$L76,$O76,$R76),"")</f>
        <v/>
      </c>
      <c r="AT76" s="39" t="str">
        <f>IF(AND($G76='Povolené hodnoty'!$B$14,$H76=AT$4),SUM($I76,$L76,$O76,$R76),"")</f>
        <v/>
      </c>
      <c r="AU76" s="458" t="str">
        <f>IF(AND($G76='Povolené hodnoty'!$B$14,$H76=AU$4),SUM($I76,$L76,$O76,$R76),"")</f>
        <v/>
      </c>
      <c r="AV76" s="41" t="str">
        <f>IF(AND($G76='Povolené hodnoty'!$B$14,$H76=AV$4),SUM($I76,$L76,$O76,$R76),"")</f>
        <v/>
      </c>
      <c r="AW76" s="39" t="str">
        <f>IF(AND($G76='Povolené hodnoty'!$B$13,$H76=AW$4),SUM($J76,$M76,$P76,$S76),"")</f>
        <v/>
      </c>
      <c r="AX76" s="458" t="str">
        <f>IF(AND($G76='Povolené hodnoty'!$B$13,$H76=AX$4),SUM($J76,$M76,$P76,$S76),"")</f>
        <v/>
      </c>
      <c r="AY76" s="458" t="str">
        <f>IF(AND($G76='Povolené hodnoty'!$B$13,$H76=AY$4),SUM($J76,$M76,$P76,$S76),"")</f>
        <v/>
      </c>
      <c r="AZ76" s="458" t="str">
        <f>IF(AND($G76='Povolené hodnoty'!$B$13,$H76=AZ$4),SUM($J76,$M76,$P76,$S76),"")</f>
        <v/>
      </c>
      <c r="BA76" s="458" t="str">
        <f>IF(AND($G76='Povolené hodnoty'!$B$13,$H76=BA$4),SUM($J76,$M76,$P76,$S76),"")</f>
        <v/>
      </c>
      <c r="BB76" s="40" t="str">
        <f>IF(AND($G76='Povolené hodnoty'!$B$13,$H76=BB$4),SUM($J76,$M76,$P76,$S76),"")</f>
        <v/>
      </c>
      <c r="BC76" s="40" t="str">
        <f>IF(AND($G76='Povolené hodnoty'!$B$13,$H76=BC$4),SUM($J76,$M76,$P76,$S76),"")</f>
        <v/>
      </c>
      <c r="BD76" s="40" t="str">
        <f>IF(AND($G76='Povolené hodnoty'!$B$13,$H76=BD$4),SUM($J76,$M76,$P76,$S76),"")</f>
        <v/>
      </c>
      <c r="BE76" s="41" t="str">
        <f>IF(AND($G76='Povolené hodnoty'!$B$13,$H76=BE$4),SUM($J76,$M76,$P76,$S76),"")</f>
        <v/>
      </c>
      <c r="BF76" s="39" t="str">
        <f>IF(AND($G76='Povolené hodnoty'!$B$14,$H76=BF$4),SUM($J76,$M76,$P76,$S76),"")</f>
        <v/>
      </c>
      <c r="BG76" s="458" t="str">
        <f>IF(AND($G76='Povolené hodnoty'!$B$14,$H76=BG$4),SUM($J76,$M76,$P76,$S76),"")</f>
        <v/>
      </c>
      <c r="BH76" s="458" t="str">
        <f>IF(AND($G76='Povolené hodnoty'!$B$14,$H76=BH$4),SUM($J76,$M76,$P76,$S76),"")</f>
        <v/>
      </c>
      <c r="BI76" s="458" t="str">
        <f>IF(AND($G76='Povolené hodnoty'!$B$14,$H76=BI$4),SUM($J76,$M76,$P76,$S76),"")</f>
        <v/>
      </c>
      <c r="BJ76" s="458" t="str">
        <f>IF(AND($G76='Povolené hodnoty'!$B$14,$H76=BJ$4),SUM($J76,$M76,$P76,$S76),"")</f>
        <v/>
      </c>
      <c r="BK76" s="40" t="str">
        <f>IF(AND($G76='Povolené hodnoty'!$B$14,$H76=BK$4),SUM($J76,$M76,$P76,$S76),"")</f>
        <v/>
      </c>
      <c r="BL76" s="40" t="str">
        <f>IF(AND($G76='Povolené hodnoty'!$B$14,$H76=BL$4),SUM($J76,$M76,$P76,$S76),"")</f>
        <v/>
      </c>
      <c r="BM76" s="41" t="str">
        <f>IF(AND($G76='Povolené hodnoty'!$B$14,$H76=BM$4),SUM($J76,$M76,$P76,$S76),"")</f>
        <v/>
      </c>
      <c r="BO76" s="18" t="b">
        <f t="shared" si="71"/>
        <v>0</v>
      </c>
      <c r="BP76" s="18" t="b">
        <f t="shared" si="42"/>
        <v>0</v>
      </c>
      <c r="BQ76" s="18" t="b">
        <f>AND(E76&lt;&gt;'Povolené hodnoty'!$B$6,F76&lt;&gt;'Povolené hodnoty'!$D$7,F76&lt;&gt;'Povolené hodnoty'!$D$8,OR(SUM(I76,L76,O76,R76)&lt;&gt;SUM(W76:X76,AA76:AG76),SUM(J76,M76,P76,S76)&lt;&gt;SUM(Y76:Z76,AH76:AK76),COUNT(I76:J76,L76:M76,O76:P76,R76:S76)&lt;&gt;COUNT(W76:AK76)))</f>
        <v>0</v>
      </c>
      <c r="BR76" s="18" t="b">
        <f>OR(AND(E76='Povolené hodnoty'!$B$6,$BR$5),AND(E76='Povolené hodnoty'!$B$6,H76&lt;&gt;'Povolené hodnoty'!$E$26,H76&lt;&gt;'Povolené hodnoty'!$E$35),AND(E76&lt;&gt;'Povolené hodnoty'!$B$6,OR(H76='Povolené hodnoty'!$E$26,H76='Povolené hodnoty'!$E$35)))</f>
        <v>0</v>
      </c>
      <c r="BS76" s="18" t="b">
        <f>OR(AND(G76&lt;&gt;'Povolené hodnoty'!$B$13,OR(H76='Povolené hodnoty'!$E$21,H76='Povolené hodnoty'!$E$22,H76='Povolené hodnoty'!$E$23,H76='Povolené hodnoty'!$E$24,H76='Povolené hodnoty'!$E$26,H76='Povolené hodnoty'!$E$36)),COUNT(I76:J76,L76:M76,O76:P76,R76:S76)&lt;&gt;COUNT(AL76:BM76))</f>
        <v>0</v>
      </c>
      <c r="BT76" s="18" t="b">
        <f t="shared" si="43"/>
        <v>0</v>
      </c>
      <c r="BV76" s="39" t="str">
        <f t="shared" si="44"/>
        <v/>
      </c>
      <c r="BW76" s="458" t="str">
        <f t="shared" si="45"/>
        <v/>
      </c>
      <c r="BX76" s="458" t="str">
        <f t="shared" si="46"/>
        <v/>
      </c>
      <c r="BY76" s="458" t="str">
        <f t="shared" si="47"/>
        <v/>
      </c>
      <c r="BZ76" s="458" t="str">
        <f t="shared" si="48"/>
        <v/>
      </c>
      <c r="CA76" s="40" t="str">
        <f t="shared" si="49"/>
        <v/>
      </c>
      <c r="CB76" s="40" t="str">
        <f t="shared" si="50"/>
        <v/>
      </c>
      <c r="CC76" s="39" t="str">
        <f t="shared" si="51"/>
        <v/>
      </c>
      <c r="CD76" s="458" t="str">
        <f t="shared" si="52"/>
        <v/>
      </c>
      <c r="CE76" s="41" t="str">
        <f t="shared" si="53"/>
        <v/>
      </c>
      <c r="CF76" s="39" t="str">
        <f t="shared" si="54"/>
        <v/>
      </c>
      <c r="CG76" s="458" t="str">
        <f t="shared" si="55"/>
        <v/>
      </c>
      <c r="CH76" s="458" t="str">
        <f t="shared" si="56"/>
        <v/>
      </c>
      <c r="CI76" s="458" t="str">
        <f t="shared" si="57"/>
        <v/>
      </c>
      <c r="CJ76" s="458" t="str">
        <f t="shared" si="58"/>
        <v/>
      </c>
      <c r="CK76" s="40" t="str">
        <f t="shared" si="59"/>
        <v/>
      </c>
      <c r="CL76" s="40" t="str">
        <f t="shared" si="60"/>
        <v/>
      </c>
      <c r="CM76" s="40" t="str">
        <f t="shared" si="61"/>
        <v/>
      </c>
      <c r="CN76" s="39" t="str">
        <f t="shared" si="62"/>
        <v/>
      </c>
      <c r="CO76" s="458" t="str">
        <f t="shared" si="63"/>
        <v/>
      </c>
      <c r="CP76" s="458" t="str">
        <f t="shared" si="64"/>
        <v/>
      </c>
      <c r="CQ76" s="458" t="str">
        <f t="shared" si="65"/>
        <v/>
      </c>
      <c r="CR76" s="458" t="str">
        <f t="shared" si="66"/>
        <v/>
      </c>
      <c r="CS76" s="40" t="str">
        <f t="shared" si="67"/>
        <v/>
      </c>
      <c r="CT76" s="40" t="str">
        <f t="shared" si="68"/>
        <v/>
      </c>
      <c r="CU76" s="41" t="str">
        <f t="shared" si="69"/>
        <v/>
      </c>
    </row>
    <row r="77" spans="1:99" x14ac:dyDescent="0.2">
      <c r="A77" s="77">
        <f t="shared" si="70"/>
        <v>72</v>
      </c>
      <c r="B77" s="81"/>
      <c r="C77" s="82"/>
      <c r="D77" s="71"/>
      <c r="E77" s="72"/>
      <c r="F77" s="73"/>
      <c r="G77" s="443"/>
      <c r="H77" s="443"/>
      <c r="I77" s="74"/>
      <c r="J77" s="75"/>
      <c r="K77" s="41">
        <f t="shared" si="39"/>
        <v>3625</v>
      </c>
      <c r="L77" s="104"/>
      <c r="M77" s="105"/>
      <c r="N77" s="106">
        <f t="shared" si="40"/>
        <v>537.05999999999995</v>
      </c>
      <c r="O77" s="104"/>
      <c r="P77" s="105"/>
      <c r="Q77" s="106">
        <f t="shared" si="72"/>
        <v>10045.83</v>
      </c>
      <c r="R77" s="104"/>
      <c r="S77" s="105"/>
      <c r="T77" s="106">
        <f t="shared" si="73"/>
        <v>0</v>
      </c>
      <c r="U77" s="439"/>
      <c r="V77" s="42">
        <f t="shared" si="41"/>
        <v>72</v>
      </c>
      <c r="W77" s="39" t="str">
        <f>IF(AND(E77='Povolené hodnoty'!$B$4,F77=2),I77+L77+O77+R77,"")</f>
        <v/>
      </c>
      <c r="X77" s="41" t="str">
        <f>IF(AND(E77='Povolené hodnoty'!$B$4,F77=1),I77+L77+O77+R77,"")</f>
        <v/>
      </c>
      <c r="Y77" s="39" t="str">
        <f>IF(AND(E77='Povolené hodnoty'!$B$4,F77=10),J77+M77+P77+S77,"")</f>
        <v/>
      </c>
      <c r="Z77" s="41" t="str">
        <f>IF(AND(E77='Povolené hodnoty'!$B$4,F77=9),J77+M77+P77+S77,"")</f>
        <v/>
      </c>
      <c r="AA77" s="39" t="str">
        <f>IF(AND(E77&lt;&gt;'Povolené hodnoty'!$B$4,F77=2),I77+L77+O77+R77,"")</f>
        <v/>
      </c>
      <c r="AB77" s="40" t="str">
        <f>IF(AND(E77&lt;&gt;'Povolené hodnoty'!$B$4,F77=3),I77+L77+O77+R77,"")</f>
        <v/>
      </c>
      <c r="AC77" s="40" t="str">
        <f>IF(AND(E77&lt;&gt;'Povolené hodnoty'!$B$4,F77=4),I77+L77+O77+R77,"")</f>
        <v/>
      </c>
      <c r="AD77" s="40" t="str">
        <f>IF(AND(E77&lt;&gt;'Povolené hodnoty'!$B$4,F77="5a"),I77-J77+L77-M77+O77-P77+R77-S77,"")</f>
        <v/>
      </c>
      <c r="AE77" s="40" t="str">
        <f>IF(AND(E77&lt;&gt;'Povolené hodnoty'!$B$4,F77="5b"),I77-J77+L77-M77+O77-P77+R77-S77,"")</f>
        <v/>
      </c>
      <c r="AF77" s="40" t="str">
        <f>IF(AND(E77&lt;&gt;'Povolené hodnoty'!$B$4,F77=6),I77+L77+O77+R77,"")</f>
        <v/>
      </c>
      <c r="AG77" s="41" t="str">
        <f>IF(AND(E77&lt;&gt;'Povolené hodnoty'!$B$4,F77=7),I77+L77+O77+R77,"")</f>
        <v/>
      </c>
      <c r="AH77" s="39" t="str">
        <f>IF(AND(E77&lt;&gt;'Povolené hodnoty'!$B$4,F77=10),J77+M77+P77+S77,"")</f>
        <v/>
      </c>
      <c r="AI77" s="40" t="str">
        <f>IF(AND(E77&lt;&gt;'Povolené hodnoty'!$B$4,F77=11),J77+M77+P77+S77,"")</f>
        <v/>
      </c>
      <c r="AJ77" s="40" t="str">
        <f>IF(AND(E77&lt;&gt;'Povolené hodnoty'!$B$4,F77=12),J77+M77+P77+S77,"")</f>
        <v/>
      </c>
      <c r="AK77" s="41" t="str">
        <f>IF(AND(E77&lt;&gt;'Povolené hodnoty'!$B$4,F77=13),J77+M77+P77+S77,"")</f>
        <v/>
      </c>
      <c r="AL77" s="39" t="str">
        <f>IF(AND($G77='Povolené hodnoty'!$B$13,$H77=AL$4),SUM($I77,$L77,$O77,$R77),"")</f>
        <v/>
      </c>
      <c r="AM77" s="458" t="str">
        <f>IF(AND($G77='Povolené hodnoty'!$B$13,$H77=AM$4),SUM($I77,$L77,$O77,$R77),"")</f>
        <v/>
      </c>
      <c r="AN77" s="458" t="str">
        <f>IF(AND($G77='Povolené hodnoty'!$B$13,$H77=AN$4),SUM($I77,$L77,$O77,$R77),"")</f>
        <v/>
      </c>
      <c r="AO77" s="458" t="str">
        <f>IF(AND($G77='Povolené hodnoty'!$B$13,$H77=AO$4),SUM($I77,$L77,$O77,$R77),"")</f>
        <v/>
      </c>
      <c r="AP77" s="458" t="str">
        <f>IF(AND($G77='Povolené hodnoty'!$B$13,$H77=AP$4),SUM($I77,$L77,$O77,$R77),"")</f>
        <v/>
      </c>
      <c r="AQ77" s="40" t="str">
        <f>IF(AND($G77='Povolené hodnoty'!$B$13,OR($H77=AQ$4,$H77='Povolené hodnoty'!$E$36)),SUM($I77,-$J77,$L77,-$M77,$O77,-$P77,$R77,-$S77),"")</f>
        <v/>
      </c>
      <c r="AR77" s="40" t="str">
        <f>IF(AND($G77='Povolené hodnoty'!$B$13,$H77=AR$4),SUM($I77,$L77,$O77,$R77),"")</f>
        <v/>
      </c>
      <c r="AS77" s="41" t="str">
        <f>IF(AND($G77='Povolené hodnoty'!$B$13,$H77=AS$4),SUM($I77,$L77,$O77,$R77),"")</f>
        <v/>
      </c>
      <c r="AT77" s="39" t="str">
        <f>IF(AND($G77='Povolené hodnoty'!$B$14,$H77=AT$4),SUM($I77,$L77,$O77,$R77),"")</f>
        <v/>
      </c>
      <c r="AU77" s="458" t="str">
        <f>IF(AND($G77='Povolené hodnoty'!$B$14,$H77=AU$4),SUM($I77,$L77,$O77,$R77),"")</f>
        <v/>
      </c>
      <c r="AV77" s="41" t="str">
        <f>IF(AND($G77='Povolené hodnoty'!$B$14,$H77=AV$4),SUM($I77,$L77,$O77,$R77),"")</f>
        <v/>
      </c>
      <c r="AW77" s="39" t="str">
        <f>IF(AND($G77='Povolené hodnoty'!$B$13,$H77=AW$4),SUM($J77,$M77,$P77,$S77),"")</f>
        <v/>
      </c>
      <c r="AX77" s="458" t="str">
        <f>IF(AND($G77='Povolené hodnoty'!$B$13,$H77=AX$4),SUM($J77,$M77,$P77,$S77),"")</f>
        <v/>
      </c>
      <c r="AY77" s="458" t="str">
        <f>IF(AND($G77='Povolené hodnoty'!$B$13,$H77=AY$4),SUM($J77,$M77,$P77,$S77),"")</f>
        <v/>
      </c>
      <c r="AZ77" s="458" t="str">
        <f>IF(AND($G77='Povolené hodnoty'!$B$13,$H77=AZ$4),SUM($J77,$M77,$P77,$S77),"")</f>
        <v/>
      </c>
      <c r="BA77" s="458" t="str">
        <f>IF(AND($G77='Povolené hodnoty'!$B$13,$H77=BA$4),SUM($J77,$M77,$P77,$S77),"")</f>
        <v/>
      </c>
      <c r="BB77" s="40" t="str">
        <f>IF(AND($G77='Povolené hodnoty'!$B$13,$H77=BB$4),SUM($J77,$M77,$P77,$S77),"")</f>
        <v/>
      </c>
      <c r="BC77" s="40" t="str">
        <f>IF(AND($G77='Povolené hodnoty'!$B$13,$H77=BC$4),SUM($J77,$M77,$P77,$S77),"")</f>
        <v/>
      </c>
      <c r="BD77" s="40" t="str">
        <f>IF(AND($G77='Povolené hodnoty'!$B$13,$H77=BD$4),SUM($J77,$M77,$P77,$S77),"")</f>
        <v/>
      </c>
      <c r="BE77" s="41" t="str">
        <f>IF(AND($G77='Povolené hodnoty'!$B$13,$H77=BE$4),SUM($J77,$M77,$P77,$S77),"")</f>
        <v/>
      </c>
      <c r="BF77" s="39" t="str">
        <f>IF(AND($G77='Povolené hodnoty'!$B$14,$H77=BF$4),SUM($J77,$M77,$P77,$S77),"")</f>
        <v/>
      </c>
      <c r="BG77" s="458" t="str">
        <f>IF(AND($G77='Povolené hodnoty'!$B$14,$H77=BG$4),SUM($J77,$M77,$P77,$S77),"")</f>
        <v/>
      </c>
      <c r="BH77" s="458" t="str">
        <f>IF(AND($G77='Povolené hodnoty'!$B$14,$H77=BH$4),SUM($J77,$M77,$P77,$S77),"")</f>
        <v/>
      </c>
      <c r="BI77" s="458" t="str">
        <f>IF(AND($G77='Povolené hodnoty'!$B$14,$H77=BI$4),SUM($J77,$M77,$P77,$S77),"")</f>
        <v/>
      </c>
      <c r="BJ77" s="458" t="str">
        <f>IF(AND($G77='Povolené hodnoty'!$B$14,$H77=BJ$4),SUM($J77,$M77,$P77,$S77),"")</f>
        <v/>
      </c>
      <c r="BK77" s="40" t="str">
        <f>IF(AND($G77='Povolené hodnoty'!$B$14,$H77=BK$4),SUM($J77,$M77,$P77,$S77),"")</f>
        <v/>
      </c>
      <c r="BL77" s="40" t="str">
        <f>IF(AND($G77='Povolené hodnoty'!$B$14,$H77=BL$4),SUM($J77,$M77,$P77,$S77),"")</f>
        <v/>
      </c>
      <c r="BM77" s="41" t="str">
        <f>IF(AND($G77='Povolené hodnoty'!$B$14,$H77=BM$4),SUM($J77,$M77,$P77,$S77),"")</f>
        <v/>
      </c>
      <c r="BO77" s="18" t="b">
        <f t="shared" si="71"/>
        <v>0</v>
      </c>
      <c r="BP77" s="18" t="b">
        <f t="shared" si="42"/>
        <v>0</v>
      </c>
      <c r="BQ77" s="18" t="b">
        <f>AND(E77&lt;&gt;'Povolené hodnoty'!$B$6,F77&lt;&gt;'Povolené hodnoty'!$D$7,F77&lt;&gt;'Povolené hodnoty'!$D$8,OR(SUM(I77,L77,O77,R77)&lt;&gt;SUM(W77:X77,AA77:AG77),SUM(J77,M77,P77,S77)&lt;&gt;SUM(Y77:Z77,AH77:AK77),COUNT(I77:J77,L77:M77,O77:P77,R77:S77)&lt;&gt;COUNT(W77:AK77)))</f>
        <v>0</v>
      </c>
      <c r="BR77" s="18" t="b">
        <f>OR(AND(E77='Povolené hodnoty'!$B$6,$BR$5),AND(E77='Povolené hodnoty'!$B$6,H77&lt;&gt;'Povolené hodnoty'!$E$26,H77&lt;&gt;'Povolené hodnoty'!$E$35),AND(E77&lt;&gt;'Povolené hodnoty'!$B$6,OR(H77='Povolené hodnoty'!$E$26,H77='Povolené hodnoty'!$E$35)))</f>
        <v>0</v>
      </c>
      <c r="BS77" s="18" t="b">
        <f>OR(AND(G77&lt;&gt;'Povolené hodnoty'!$B$13,OR(H77='Povolené hodnoty'!$E$21,H77='Povolené hodnoty'!$E$22,H77='Povolené hodnoty'!$E$23,H77='Povolené hodnoty'!$E$24,H77='Povolené hodnoty'!$E$26,H77='Povolené hodnoty'!$E$36)),COUNT(I77:J77,L77:M77,O77:P77,R77:S77)&lt;&gt;COUNT(AL77:BM77))</f>
        <v>0</v>
      </c>
      <c r="BT77" s="18" t="b">
        <f t="shared" si="43"/>
        <v>0</v>
      </c>
      <c r="BV77" s="39" t="str">
        <f t="shared" si="44"/>
        <v/>
      </c>
      <c r="BW77" s="458" t="str">
        <f t="shared" si="45"/>
        <v/>
      </c>
      <c r="BX77" s="458" t="str">
        <f t="shared" si="46"/>
        <v/>
      </c>
      <c r="BY77" s="458" t="str">
        <f t="shared" si="47"/>
        <v/>
      </c>
      <c r="BZ77" s="458" t="str">
        <f t="shared" si="48"/>
        <v/>
      </c>
      <c r="CA77" s="40" t="str">
        <f t="shared" si="49"/>
        <v/>
      </c>
      <c r="CB77" s="40" t="str">
        <f t="shared" si="50"/>
        <v/>
      </c>
      <c r="CC77" s="39" t="str">
        <f t="shared" si="51"/>
        <v/>
      </c>
      <c r="CD77" s="458" t="str">
        <f t="shared" si="52"/>
        <v/>
      </c>
      <c r="CE77" s="41" t="str">
        <f t="shared" si="53"/>
        <v/>
      </c>
      <c r="CF77" s="39" t="str">
        <f t="shared" si="54"/>
        <v/>
      </c>
      <c r="CG77" s="458" t="str">
        <f t="shared" si="55"/>
        <v/>
      </c>
      <c r="CH77" s="458" t="str">
        <f t="shared" si="56"/>
        <v/>
      </c>
      <c r="CI77" s="458" t="str">
        <f t="shared" si="57"/>
        <v/>
      </c>
      <c r="CJ77" s="458" t="str">
        <f t="shared" si="58"/>
        <v/>
      </c>
      <c r="CK77" s="40" t="str">
        <f t="shared" si="59"/>
        <v/>
      </c>
      <c r="CL77" s="40" t="str">
        <f t="shared" si="60"/>
        <v/>
      </c>
      <c r="CM77" s="40" t="str">
        <f t="shared" si="61"/>
        <v/>
      </c>
      <c r="CN77" s="39" t="str">
        <f t="shared" si="62"/>
        <v/>
      </c>
      <c r="CO77" s="458" t="str">
        <f t="shared" si="63"/>
        <v/>
      </c>
      <c r="CP77" s="458" t="str">
        <f t="shared" si="64"/>
        <v/>
      </c>
      <c r="CQ77" s="458" t="str">
        <f t="shared" si="65"/>
        <v/>
      </c>
      <c r="CR77" s="458" t="str">
        <f t="shared" si="66"/>
        <v/>
      </c>
      <c r="CS77" s="40" t="str">
        <f t="shared" si="67"/>
        <v/>
      </c>
      <c r="CT77" s="40" t="str">
        <f t="shared" si="68"/>
        <v/>
      </c>
      <c r="CU77" s="41" t="str">
        <f t="shared" si="69"/>
        <v/>
      </c>
    </row>
    <row r="78" spans="1:99" x14ac:dyDescent="0.2">
      <c r="A78" s="77">
        <f t="shared" si="70"/>
        <v>73</v>
      </c>
      <c r="B78" s="81"/>
      <c r="C78" s="82"/>
      <c r="D78" s="71"/>
      <c r="E78" s="72"/>
      <c r="F78" s="73"/>
      <c r="G78" s="443"/>
      <c r="H78" s="443"/>
      <c r="I78" s="74"/>
      <c r="J78" s="75"/>
      <c r="K78" s="41">
        <f t="shared" si="39"/>
        <v>3625</v>
      </c>
      <c r="L78" s="104"/>
      <c r="M78" s="105"/>
      <c r="N78" s="106">
        <f t="shared" si="40"/>
        <v>537.05999999999995</v>
      </c>
      <c r="O78" s="104"/>
      <c r="P78" s="105"/>
      <c r="Q78" s="106">
        <f t="shared" si="72"/>
        <v>10045.83</v>
      </c>
      <c r="R78" s="104"/>
      <c r="S78" s="105"/>
      <c r="T78" s="106">
        <f t="shared" si="73"/>
        <v>0</v>
      </c>
      <c r="U78" s="439"/>
      <c r="V78" s="42">
        <f t="shared" si="41"/>
        <v>73</v>
      </c>
      <c r="W78" s="39" t="str">
        <f>IF(AND(E78='Povolené hodnoty'!$B$4,F78=2),I78+L78+O78+R78,"")</f>
        <v/>
      </c>
      <c r="X78" s="41" t="str">
        <f>IF(AND(E78='Povolené hodnoty'!$B$4,F78=1),I78+L78+O78+R78,"")</f>
        <v/>
      </c>
      <c r="Y78" s="39" t="str">
        <f>IF(AND(E78='Povolené hodnoty'!$B$4,F78=10),J78+M78+P78+S78,"")</f>
        <v/>
      </c>
      <c r="Z78" s="41" t="str">
        <f>IF(AND(E78='Povolené hodnoty'!$B$4,F78=9),J78+M78+P78+S78,"")</f>
        <v/>
      </c>
      <c r="AA78" s="39" t="str">
        <f>IF(AND(E78&lt;&gt;'Povolené hodnoty'!$B$4,F78=2),I78+L78+O78+R78,"")</f>
        <v/>
      </c>
      <c r="AB78" s="40" t="str">
        <f>IF(AND(E78&lt;&gt;'Povolené hodnoty'!$B$4,F78=3),I78+L78+O78+R78,"")</f>
        <v/>
      </c>
      <c r="AC78" s="40" t="str">
        <f>IF(AND(E78&lt;&gt;'Povolené hodnoty'!$B$4,F78=4),I78+L78+O78+R78,"")</f>
        <v/>
      </c>
      <c r="AD78" s="40" t="str">
        <f>IF(AND(E78&lt;&gt;'Povolené hodnoty'!$B$4,F78="5a"),I78-J78+L78-M78+O78-P78+R78-S78,"")</f>
        <v/>
      </c>
      <c r="AE78" s="40" t="str">
        <f>IF(AND(E78&lt;&gt;'Povolené hodnoty'!$B$4,F78="5b"),I78-J78+L78-M78+O78-P78+R78-S78,"")</f>
        <v/>
      </c>
      <c r="AF78" s="40" t="str">
        <f>IF(AND(E78&lt;&gt;'Povolené hodnoty'!$B$4,F78=6),I78+L78+O78+R78,"")</f>
        <v/>
      </c>
      <c r="AG78" s="41" t="str">
        <f>IF(AND(E78&lt;&gt;'Povolené hodnoty'!$B$4,F78=7),I78+L78+O78+R78,"")</f>
        <v/>
      </c>
      <c r="AH78" s="39" t="str">
        <f>IF(AND(E78&lt;&gt;'Povolené hodnoty'!$B$4,F78=10),J78+M78+P78+S78,"")</f>
        <v/>
      </c>
      <c r="AI78" s="40" t="str">
        <f>IF(AND(E78&lt;&gt;'Povolené hodnoty'!$B$4,F78=11),J78+M78+P78+S78,"")</f>
        <v/>
      </c>
      <c r="AJ78" s="40" t="str">
        <f>IF(AND(E78&lt;&gt;'Povolené hodnoty'!$B$4,F78=12),J78+M78+P78+S78,"")</f>
        <v/>
      </c>
      <c r="AK78" s="41" t="str">
        <f>IF(AND(E78&lt;&gt;'Povolené hodnoty'!$B$4,F78=13),J78+M78+P78+S78,"")</f>
        <v/>
      </c>
      <c r="AL78" s="39" t="str">
        <f>IF(AND($G78='Povolené hodnoty'!$B$13,$H78=AL$4),SUM($I78,$L78,$O78,$R78),"")</f>
        <v/>
      </c>
      <c r="AM78" s="458" t="str">
        <f>IF(AND($G78='Povolené hodnoty'!$B$13,$H78=AM$4),SUM($I78,$L78,$O78,$R78),"")</f>
        <v/>
      </c>
      <c r="AN78" s="458" t="str">
        <f>IF(AND($G78='Povolené hodnoty'!$B$13,$H78=AN$4),SUM($I78,$L78,$O78,$R78),"")</f>
        <v/>
      </c>
      <c r="AO78" s="458" t="str">
        <f>IF(AND($G78='Povolené hodnoty'!$B$13,$H78=AO$4),SUM($I78,$L78,$O78,$R78),"")</f>
        <v/>
      </c>
      <c r="AP78" s="458" t="str">
        <f>IF(AND($G78='Povolené hodnoty'!$B$13,$H78=AP$4),SUM($I78,$L78,$O78,$R78),"")</f>
        <v/>
      </c>
      <c r="AQ78" s="40" t="str">
        <f>IF(AND($G78='Povolené hodnoty'!$B$13,OR($H78=AQ$4,$H78='Povolené hodnoty'!$E$36)),SUM($I78,-$J78,$L78,-$M78,$O78,-$P78,$R78,-$S78),"")</f>
        <v/>
      </c>
      <c r="AR78" s="40" t="str">
        <f>IF(AND($G78='Povolené hodnoty'!$B$13,$H78=AR$4),SUM($I78,$L78,$O78,$R78),"")</f>
        <v/>
      </c>
      <c r="AS78" s="41" t="str">
        <f>IF(AND($G78='Povolené hodnoty'!$B$13,$H78=AS$4),SUM($I78,$L78,$O78,$R78),"")</f>
        <v/>
      </c>
      <c r="AT78" s="39" t="str">
        <f>IF(AND($G78='Povolené hodnoty'!$B$14,$H78=AT$4),SUM($I78,$L78,$O78,$R78),"")</f>
        <v/>
      </c>
      <c r="AU78" s="458" t="str">
        <f>IF(AND($G78='Povolené hodnoty'!$B$14,$H78=AU$4),SUM($I78,$L78,$O78,$R78),"")</f>
        <v/>
      </c>
      <c r="AV78" s="41" t="str">
        <f>IF(AND($G78='Povolené hodnoty'!$B$14,$H78=AV$4),SUM($I78,$L78,$O78,$R78),"")</f>
        <v/>
      </c>
      <c r="AW78" s="39" t="str">
        <f>IF(AND($G78='Povolené hodnoty'!$B$13,$H78=AW$4),SUM($J78,$M78,$P78,$S78),"")</f>
        <v/>
      </c>
      <c r="AX78" s="458" t="str">
        <f>IF(AND($G78='Povolené hodnoty'!$B$13,$H78=AX$4),SUM($J78,$M78,$P78,$S78),"")</f>
        <v/>
      </c>
      <c r="AY78" s="458" t="str">
        <f>IF(AND($G78='Povolené hodnoty'!$B$13,$H78=AY$4),SUM($J78,$M78,$P78,$S78),"")</f>
        <v/>
      </c>
      <c r="AZ78" s="458" t="str">
        <f>IF(AND($G78='Povolené hodnoty'!$B$13,$H78=AZ$4),SUM($J78,$M78,$P78,$S78),"")</f>
        <v/>
      </c>
      <c r="BA78" s="458" t="str">
        <f>IF(AND($G78='Povolené hodnoty'!$B$13,$H78=BA$4),SUM($J78,$M78,$P78,$S78),"")</f>
        <v/>
      </c>
      <c r="BB78" s="40" t="str">
        <f>IF(AND($G78='Povolené hodnoty'!$B$13,$H78=BB$4),SUM($J78,$M78,$P78,$S78),"")</f>
        <v/>
      </c>
      <c r="BC78" s="40" t="str">
        <f>IF(AND($G78='Povolené hodnoty'!$B$13,$H78=BC$4),SUM($J78,$M78,$P78,$S78),"")</f>
        <v/>
      </c>
      <c r="BD78" s="40" t="str">
        <f>IF(AND($G78='Povolené hodnoty'!$B$13,$H78=BD$4),SUM($J78,$M78,$P78,$S78),"")</f>
        <v/>
      </c>
      <c r="BE78" s="41" t="str">
        <f>IF(AND($G78='Povolené hodnoty'!$B$13,$H78=BE$4),SUM($J78,$M78,$P78,$S78),"")</f>
        <v/>
      </c>
      <c r="BF78" s="39" t="str">
        <f>IF(AND($G78='Povolené hodnoty'!$B$14,$H78=BF$4),SUM($J78,$M78,$P78,$S78),"")</f>
        <v/>
      </c>
      <c r="BG78" s="458" t="str">
        <f>IF(AND($G78='Povolené hodnoty'!$B$14,$H78=BG$4),SUM($J78,$M78,$P78,$S78),"")</f>
        <v/>
      </c>
      <c r="BH78" s="458" t="str">
        <f>IF(AND($G78='Povolené hodnoty'!$B$14,$H78=BH$4),SUM($J78,$M78,$P78,$S78),"")</f>
        <v/>
      </c>
      <c r="BI78" s="458" t="str">
        <f>IF(AND($G78='Povolené hodnoty'!$B$14,$H78=BI$4),SUM($J78,$M78,$P78,$S78),"")</f>
        <v/>
      </c>
      <c r="BJ78" s="458" t="str">
        <f>IF(AND($G78='Povolené hodnoty'!$B$14,$H78=BJ$4),SUM($J78,$M78,$P78,$S78),"")</f>
        <v/>
      </c>
      <c r="BK78" s="40" t="str">
        <f>IF(AND($G78='Povolené hodnoty'!$B$14,$H78=BK$4),SUM($J78,$M78,$P78,$S78),"")</f>
        <v/>
      </c>
      <c r="BL78" s="40" t="str">
        <f>IF(AND($G78='Povolené hodnoty'!$B$14,$H78=BL$4),SUM($J78,$M78,$P78,$S78),"")</f>
        <v/>
      </c>
      <c r="BM78" s="41" t="str">
        <f>IF(AND($G78='Povolené hodnoty'!$B$14,$H78=BM$4),SUM($J78,$M78,$P78,$S78),"")</f>
        <v/>
      </c>
      <c r="BO78" s="18" t="b">
        <f t="shared" si="71"/>
        <v>0</v>
      </c>
      <c r="BP78" s="18" t="b">
        <f t="shared" si="42"/>
        <v>0</v>
      </c>
      <c r="BQ78" s="18" t="b">
        <f>AND(E78&lt;&gt;'Povolené hodnoty'!$B$6,F78&lt;&gt;'Povolené hodnoty'!$D$7,F78&lt;&gt;'Povolené hodnoty'!$D$8,OR(SUM(I78,L78,O78,R78)&lt;&gt;SUM(W78:X78,AA78:AG78),SUM(J78,M78,P78,S78)&lt;&gt;SUM(Y78:Z78,AH78:AK78),COUNT(I78:J78,L78:M78,O78:P78,R78:S78)&lt;&gt;COUNT(W78:AK78)))</f>
        <v>0</v>
      </c>
      <c r="BR78" s="18" t="b">
        <f>OR(AND(E78='Povolené hodnoty'!$B$6,$BR$5),AND(E78='Povolené hodnoty'!$B$6,H78&lt;&gt;'Povolené hodnoty'!$E$26,H78&lt;&gt;'Povolené hodnoty'!$E$35),AND(E78&lt;&gt;'Povolené hodnoty'!$B$6,OR(H78='Povolené hodnoty'!$E$26,H78='Povolené hodnoty'!$E$35)))</f>
        <v>0</v>
      </c>
      <c r="BS78" s="18" t="b">
        <f>OR(AND(G78&lt;&gt;'Povolené hodnoty'!$B$13,OR(H78='Povolené hodnoty'!$E$21,H78='Povolené hodnoty'!$E$22,H78='Povolené hodnoty'!$E$23,H78='Povolené hodnoty'!$E$24,H78='Povolené hodnoty'!$E$26,H78='Povolené hodnoty'!$E$36)),COUNT(I78:J78,L78:M78,O78:P78,R78:S78)&lt;&gt;COUNT(AL78:BM78))</f>
        <v>0</v>
      </c>
      <c r="BT78" s="18" t="b">
        <f t="shared" si="43"/>
        <v>0</v>
      </c>
      <c r="BV78" s="39" t="str">
        <f t="shared" si="44"/>
        <v/>
      </c>
      <c r="BW78" s="458" t="str">
        <f t="shared" si="45"/>
        <v/>
      </c>
      <c r="BX78" s="458" t="str">
        <f t="shared" si="46"/>
        <v/>
      </c>
      <c r="BY78" s="458" t="str">
        <f t="shared" si="47"/>
        <v/>
      </c>
      <c r="BZ78" s="458" t="str">
        <f t="shared" si="48"/>
        <v/>
      </c>
      <c r="CA78" s="40" t="str">
        <f t="shared" si="49"/>
        <v/>
      </c>
      <c r="CB78" s="40" t="str">
        <f t="shared" si="50"/>
        <v/>
      </c>
      <c r="CC78" s="39" t="str">
        <f t="shared" si="51"/>
        <v/>
      </c>
      <c r="CD78" s="458" t="str">
        <f t="shared" si="52"/>
        <v/>
      </c>
      <c r="CE78" s="41" t="str">
        <f t="shared" si="53"/>
        <v/>
      </c>
      <c r="CF78" s="39" t="str">
        <f t="shared" si="54"/>
        <v/>
      </c>
      <c r="CG78" s="458" t="str">
        <f t="shared" si="55"/>
        <v/>
      </c>
      <c r="CH78" s="458" t="str">
        <f t="shared" si="56"/>
        <v/>
      </c>
      <c r="CI78" s="458" t="str">
        <f t="shared" si="57"/>
        <v/>
      </c>
      <c r="CJ78" s="458" t="str">
        <f t="shared" si="58"/>
        <v/>
      </c>
      <c r="CK78" s="40" t="str">
        <f t="shared" si="59"/>
        <v/>
      </c>
      <c r="CL78" s="40" t="str">
        <f t="shared" si="60"/>
        <v/>
      </c>
      <c r="CM78" s="40" t="str">
        <f t="shared" si="61"/>
        <v/>
      </c>
      <c r="CN78" s="39" t="str">
        <f t="shared" si="62"/>
        <v/>
      </c>
      <c r="CO78" s="458" t="str">
        <f t="shared" si="63"/>
        <v/>
      </c>
      <c r="CP78" s="458" t="str">
        <f t="shared" si="64"/>
        <v/>
      </c>
      <c r="CQ78" s="458" t="str">
        <f t="shared" si="65"/>
        <v/>
      </c>
      <c r="CR78" s="458" t="str">
        <f t="shared" si="66"/>
        <v/>
      </c>
      <c r="CS78" s="40" t="str">
        <f t="shared" si="67"/>
        <v/>
      </c>
      <c r="CT78" s="40" t="str">
        <f t="shared" si="68"/>
        <v/>
      </c>
      <c r="CU78" s="41" t="str">
        <f t="shared" si="69"/>
        <v/>
      </c>
    </row>
    <row r="79" spans="1:99" x14ac:dyDescent="0.2">
      <c r="A79" s="77">
        <f t="shared" si="70"/>
        <v>74</v>
      </c>
      <c r="B79" s="81"/>
      <c r="C79" s="82"/>
      <c r="D79" s="71"/>
      <c r="E79" s="72"/>
      <c r="F79" s="73"/>
      <c r="G79" s="443"/>
      <c r="H79" s="443"/>
      <c r="I79" s="74"/>
      <c r="J79" s="75"/>
      <c r="K79" s="41">
        <f t="shared" si="39"/>
        <v>3625</v>
      </c>
      <c r="L79" s="104"/>
      <c r="M79" s="105"/>
      <c r="N79" s="106">
        <f t="shared" si="40"/>
        <v>537.05999999999995</v>
      </c>
      <c r="O79" s="104"/>
      <c r="P79" s="105"/>
      <c r="Q79" s="106">
        <f t="shared" si="72"/>
        <v>10045.83</v>
      </c>
      <c r="R79" s="104"/>
      <c r="S79" s="105"/>
      <c r="T79" s="106">
        <f t="shared" si="73"/>
        <v>0</v>
      </c>
      <c r="U79" s="439"/>
      <c r="V79" s="42">
        <f t="shared" si="41"/>
        <v>74</v>
      </c>
      <c r="W79" s="39" t="str">
        <f>IF(AND(E79='Povolené hodnoty'!$B$4,F79=2),I79+L79+O79+R79,"")</f>
        <v/>
      </c>
      <c r="X79" s="41" t="str">
        <f>IF(AND(E79='Povolené hodnoty'!$B$4,F79=1),I79+L79+O79+R79,"")</f>
        <v/>
      </c>
      <c r="Y79" s="39" t="str">
        <f>IF(AND(E79='Povolené hodnoty'!$B$4,F79=10),J79+M79+P79+S79,"")</f>
        <v/>
      </c>
      <c r="Z79" s="41" t="str">
        <f>IF(AND(E79='Povolené hodnoty'!$B$4,F79=9),J79+M79+P79+S79,"")</f>
        <v/>
      </c>
      <c r="AA79" s="39" t="str">
        <f>IF(AND(E79&lt;&gt;'Povolené hodnoty'!$B$4,F79=2),I79+L79+O79+R79,"")</f>
        <v/>
      </c>
      <c r="AB79" s="40" t="str">
        <f>IF(AND(E79&lt;&gt;'Povolené hodnoty'!$B$4,F79=3),I79+L79+O79+R79,"")</f>
        <v/>
      </c>
      <c r="AC79" s="40" t="str">
        <f>IF(AND(E79&lt;&gt;'Povolené hodnoty'!$B$4,F79=4),I79+L79+O79+R79,"")</f>
        <v/>
      </c>
      <c r="AD79" s="40" t="str">
        <f>IF(AND(E79&lt;&gt;'Povolené hodnoty'!$B$4,F79="5a"),I79-J79+L79-M79+O79-P79+R79-S79,"")</f>
        <v/>
      </c>
      <c r="AE79" s="40" t="str">
        <f>IF(AND(E79&lt;&gt;'Povolené hodnoty'!$B$4,F79="5b"),I79-J79+L79-M79+O79-P79+R79-S79,"")</f>
        <v/>
      </c>
      <c r="AF79" s="40" t="str">
        <f>IF(AND(E79&lt;&gt;'Povolené hodnoty'!$B$4,F79=6),I79+L79+O79+R79,"")</f>
        <v/>
      </c>
      <c r="AG79" s="41" t="str">
        <f>IF(AND(E79&lt;&gt;'Povolené hodnoty'!$B$4,F79=7),I79+L79+O79+R79,"")</f>
        <v/>
      </c>
      <c r="AH79" s="39" t="str">
        <f>IF(AND(E79&lt;&gt;'Povolené hodnoty'!$B$4,F79=10),J79+M79+P79+S79,"")</f>
        <v/>
      </c>
      <c r="AI79" s="40" t="str">
        <f>IF(AND(E79&lt;&gt;'Povolené hodnoty'!$B$4,F79=11),J79+M79+P79+S79,"")</f>
        <v/>
      </c>
      <c r="AJ79" s="40" t="str">
        <f>IF(AND(E79&lt;&gt;'Povolené hodnoty'!$B$4,F79=12),J79+M79+P79+S79,"")</f>
        <v/>
      </c>
      <c r="AK79" s="41" t="str">
        <f>IF(AND(E79&lt;&gt;'Povolené hodnoty'!$B$4,F79=13),J79+M79+P79+S79,"")</f>
        <v/>
      </c>
      <c r="AL79" s="39" t="str">
        <f>IF(AND($G79='Povolené hodnoty'!$B$13,$H79=AL$4),SUM($I79,$L79,$O79,$R79),"")</f>
        <v/>
      </c>
      <c r="AM79" s="458" t="str">
        <f>IF(AND($G79='Povolené hodnoty'!$B$13,$H79=AM$4),SUM($I79,$L79,$O79,$R79),"")</f>
        <v/>
      </c>
      <c r="AN79" s="458" t="str">
        <f>IF(AND($G79='Povolené hodnoty'!$B$13,$H79=AN$4),SUM($I79,$L79,$O79,$R79),"")</f>
        <v/>
      </c>
      <c r="AO79" s="458" t="str">
        <f>IF(AND($G79='Povolené hodnoty'!$B$13,$H79=AO$4),SUM($I79,$L79,$O79,$R79),"")</f>
        <v/>
      </c>
      <c r="AP79" s="458" t="str">
        <f>IF(AND($G79='Povolené hodnoty'!$B$13,$H79=AP$4),SUM($I79,$L79,$O79,$R79),"")</f>
        <v/>
      </c>
      <c r="AQ79" s="40" t="str">
        <f>IF(AND($G79='Povolené hodnoty'!$B$13,OR($H79=AQ$4,$H79='Povolené hodnoty'!$E$36)),SUM($I79,-$J79,$L79,-$M79,$O79,-$P79,$R79,-$S79),"")</f>
        <v/>
      </c>
      <c r="AR79" s="40" t="str">
        <f>IF(AND($G79='Povolené hodnoty'!$B$13,$H79=AR$4),SUM($I79,$L79,$O79,$R79),"")</f>
        <v/>
      </c>
      <c r="AS79" s="41" t="str">
        <f>IF(AND($G79='Povolené hodnoty'!$B$13,$H79=AS$4),SUM($I79,$L79,$O79,$R79),"")</f>
        <v/>
      </c>
      <c r="AT79" s="39" t="str">
        <f>IF(AND($G79='Povolené hodnoty'!$B$14,$H79=AT$4),SUM($I79,$L79,$O79,$R79),"")</f>
        <v/>
      </c>
      <c r="AU79" s="458" t="str">
        <f>IF(AND($G79='Povolené hodnoty'!$B$14,$H79=AU$4),SUM($I79,$L79,$O79,$R79),"")</f>
        <v/>
      </c>
      <c r="AV79" s="41" t="str">
        <f>IF(AND($G79='Povolené hodnoty'!$B$14,$H79=AV$4),SUM($I79,$L79,$O79,$R79),"")</f>
        <v/>
      </c>
      <c r="AW79" s="39" t="str">
        <f>IF(AND($G79='Povolené hodnoty'!$B$13,$H79=AW$4),SUM($J79,$M79,$P79,$S79),"")</f>
        <v/>
      </c>
      <c r="AX79" s="458" t="str">
        <f>IF(AND($G79='Povolené hodnoty'!$B$13,$H79=AX$4),SUM($J79,$M79,$P79,$S79),"")</f>
        <v/>
      </c>
      <c r="AY79" s="458" t="str">
        <f>IF(AND($G79='Povolené hodnoty'!$B$13,$H79=AY$4),SUM($J79,$M79,$P79,$S79),"")</f>
        <v/>
      </c>
      <c r="AZ79" s="458" t="str">
        <f>IF(AND($G79='Povolené hodnoty'!$B$13,$H79=AZ$4),SUM($J79,$M79,$P79,$S79),"")</f>
        <v/>
      </c>
      <c r="BA79" s="458" t="str">
        <f>IF(AND($G79='Povolené hodnoty'!$B$13,$H79=BA$4),SUM($J79,$M79,$P79,$S79),"")</f>
        <v/>
      </c>
      <c r="BB79" s="40" t="str">
        <f>IF(AND($G79='Povolené hodnoty'!$B$13,$H79=BB$4),SUM($J79,$M79,$P79,$S79),"")</f>
        <v/>
      </c>
      <c r="BC79" s="40" t="str">
        <f>IF(AND($G79='Povolené hodnoty'!$B$13,$H79=BC$4),SUM($J79,$M79,$P79,$S79),"")</f>
        <v/>
      </c>
      <c r="BD79" s="40" t="str">
        <f>IF(AND($G79='Povolené hodnoty'!$B$13,$H79=BD$4),SUM($J79,$M79,$P79,$S79),"")</f>
        <v/>
      </c>
      <c r="BE79" s="41" t="str">
        <f>IF(AND($G79='Povolené hodnoty'!$B$13,$H79=BE$4),SUM($J79,$M79,$P79,$S79),"")</f>
        <v/>
      </c>
      <c r="BF79" s="39" t="str">
        <f>IF(AND($G79='Povolené hodnoty'!$B$14,$H79=BF$4),SUM($J79,$M79,$P79,$S79),"")</f>
        <v/>
      </c>
      <c r="BG79" s="458" t="str">
        <f>IF(AND($G79='Povolené hodnoty'!$B$14,$H79=BG$4),SUM($J79,$M79,$P79,$S79),"")</f>
        <v/>
      </c>
      <c r="BH79" s="458" t="str">
        <f>IF(AND($G79='Povolené hodnoty'!$B$14,$H79=BH$4),SUM($J79,$M79,$P79,$S79),"")</f>
        <v/>
      </c>
      <c r="BI79" s="458" t="str">
        <f>IF(AND($G79='Povolené hodnoty'!$B$14,$H79=BI$4),SUM($J79,$M79,$P79,$S79),"")</f>
        <v/>
      </c>
      <c r="BJ79" s="458" t="str">
        <f>IF(AND($G79='Povolené hodnoty'!$B$14,$H79=BJ$4),SUM($J79,$M79,$P79,$S79),"")</f>
        <v/>
      </c>
      <c r="BK79" s="40" t="str">
        <f>IF(AND($G79='Povolené hodnoty'!$B$14,$H79=BK$4),SUM($J79,$M79,$P79,$S79),"")</f>
        <v/>
      </c>
      <c r="BL79" s="40" t="str">
        <f>IF(AND($G79='Povolené hodnoty'!$B$14,$H79=BL$4),SUM($J79,$M79,$P79,$S79),"")</f>
        <v/>
      </c>
      <c r="BM79" s="41" t="str">
        <f>IF(AND($G79='Povolené hodnoty'!$B$14,$H79=BM$4),SUM($J79,$M79,$P79,$S79),"")</f>
        <v/>
      </c>
      <c r="BO79" s="18" t="b">
        <f t="shared" si="71"/>
        <v>0</v>
      </c>
      <c r="BP79" s="18" t="b">
        <f t="shared" si="42"/>
        <v>0</v>
      </c>
      <c r="BQ79" s="18" t="b">
        <f>AND(E79&lt;&gt;'Povolené hodnoty'!$B$6,F79&lt;&gt;'Povolené hodnoty'!$D$7,F79&lt;&gt;'Povolené hodnoty'!$D$8,OR(SUM(I79,L79,O79,R79)&lt;&gt;SUM(W79:X79,AA79:AG79),SUM(J79,M79,P79,S79)&lt;&gt;SUM(Y79:Z79,AH79:AK79),COUNT(I79:J79,L79:M79,O79:P79,R79:S79)&lt;&gt;COUNT(W79:AK79)))</f>
        <v>0</v>
      </c>
      <c r="BR79" s="18" t="b">
        <f>OR(AND(E79='Povolené hodnoty'!$B$6,$BR$5),AND(E79='Povolené hodnoty'!$B$6,H79&lt;&gt;'Povolené hodnoty'!$E$26,H79&lt;&gt;'Povolené hodnoty'!$E$35),AND(E79&lt;&gt;'Povolené hodnoty'!$B$6,OR(H79='Povolené hodnoty'!$E$26,H79='Povolené hodnoty'!$E$35)))</f>
        <v>0</v>
      </c>
      <c r="BS79" s="18" t="b">
        <f>OR(AND(G79&lt;&gt;'Povolené hodnoty'!$B$13,OR(H79='Povolené hodnoty'!$E$21,H79='Povolené hodnoty'!$E$22,H79='Povolené hodnoty'!$E$23,H79='Povolené hodnoty'!$E$24,H79='Povolené hodnoty'!$E$26,H79='Povolené hodnoty'!$E$36)),COUNT(I79:J79,L79:M79,O79:P79,R79:S79)&lt;&gt;COUNT(AL79:BM79))</f>
        <v>0</v>
      </c>
      <c r="BT79" s="18" t="b">
        <f t="shared" si="43"/>
        <v>0</v>
      </c>
      <c r="BV79" s="39" t="str">
        <f t="shared" si="44"/>
        <v/>
      </c>
      <c r="BW79" s="458" t="str">
        <f t="shared" si="45"/>
        <v/>
      </c>
      <c r="BX79" s="458" t="str">
        <f t="shared" si="46"/>
        <v/>
      </c>
      <c r="BY79" s="458" t="str">
        <f t="shared" si="47"/>
        <v/>
      </c>
      <c r="BZ79" s="458" t="str">
        <f t="shared" si="48"/>
        <v/>
      </c>
      <c r="CA79" s="40" t="str">
        <f t="shared" si="49"/>
        <v/>
      </c>
      <c r="CB79" s="40" t="str">
        <f t="shared" si="50"/>
        <v/>
      </c>
      <c r="CC79" s="39" t="str">
        <f t="shared" si="51"/>
        <v/>
      </c>
      <c r="CD79" s="458" t="str">
        <f t="shared" si="52"/>
        <v/>
      </c>
      <c r="CE79" s="41" t="str">
        <f t="shared" si="53"/>
        <v/>
      </c>
      <c r="CF79" s="39" t="str">
        <f t="shared" si="54"/>
        <v/>
      </c>
      <c r="CG79" s="458" t="str">
        <f t="shared" si="55"/>
        <v/>
      </c>
      <c r="CH79" s="458" t="str">
        <f t="shared" si="56"/>
        <v/>
      </c>
      <c r="CI79" s="458" t="str">
        <f t="shared" si="57"/>
        <v/>
      </c>
      <c r="CJ79" s="458" t="str">
        <f t="shared" si="58"/>
        <v/>
      </c>
      <c r="CK79" s="40" t="str">
        <f t="shared" si="59"/>
        <v/>
      </c>
      <c r="CL79" s="40" t="str">
        <f t="shared" si="60"/>
        <v/>
      </c>
      <c r="CM79" s="40" t="str">
        <f t="shared" si="61"/>
        <v/>
      </c>
      <c r="CN79" s="39" t="str">
        <f t="shared" si="62"/>
        <v/>
      </c>
      <c r="CO79" s="458" t="str">
        <f t="shared" si="63"/>
        <v/>
      </c>
      <c r="CP79" s="458" t="str">
        <f t="shared" si="64"/>
        <v/>
      </c>
      <c r="CQ79" s="458" t="str">
        <f t="shared" si="65"/>
        <v/>
      </c>
      <c r="CR79" s="458" t="str">
        <f t="shared" si="66"/>
        <v/>
      </c>
      <c r="CS79" s="40" t="str">
        <f t="shared" si="67"/>
        <v/>
      </c>
      <c r="CT79" s="40" t="str">
        <f t="shared" si="68"/>
        <v/>
      </c>
      <c r="CU79" s="41" t="str">
        <f t="shared" si="69"/>
        <v/>
      </c>
    </row>
    <row r="80" spans="1:99" x14ac:dyDescent="0.2">
      <c r="A80" s="77">
        <f t="shared" si="70"/>
        <v>75</v>
      </c>
      <c r="B80" s="81"/>
      <c r="C80" s="82"/>
      <c r="D80" s="71"/>
      <c r="E80" s="72"/>
      <c r="F80" s="73"/>
      <c r="G80" s="443"/>
      <c r="H80" s="443"/>
      <c r="I80" s="74"/>
      <c r="J80" s="75"/>
      <c r="K80" s="41">
        <f t="shared" si="39"/>
        <v>3625</v>
      </c>
      <c r="L80" s="104"/>
      <c r="M80" s="105"/>
      <c r="N80" s="106">
        <f t="shared" si="40"/>
        <v>537.05999999999995</v>
      </c>
      <c r="O80" s="104"/>
      <c r="P80" s="105"/>
      <c r="Q80" s="106">
        <f t="shared" si="72"/>
        <v>10045.83</v>
      </c>
      <c r="R80" s="104"/>
      <c r="S80" s="105"/>
      <c r="T80" s="106">
        <f t="shared" si="73"/>
        <v>0</v>
      </c>
      <c r="U80" s="439"/>
      <c r="V80" s="42">
        <f t="shared" si="41"/>
        <v>75</v>
      </c>
      <c r="W80" s="39" t="str">
        <f>IF(AND(E80='Povolené hodnoty'!$B$4,F80=2),I80+L80+O80+R80,"")</f>
        <v/>
      </c>
      <c r="X80" s="41" t="str">
        <f>IF(AND(E80='Povolené hodnoty'!$B$4,F80=1),I80+L80+O80+R80,"")</f>
        <v/>
      </c>
      <c r="Y80" s="39" t="str">
        <f>IF(AND(E80='Povolené hodnoty'!$B$4,F80=10),J80+M80+P80+S80,"")</f>
        <v/>
      </c>
      <c r="Z80" s="41" t="str">
        <f>IF(AND(E80='Povolené hodnoty'!$B$4,F80=9),J80+M80+P80+S80,"")</f>
        <v/>
      </c>
      <c r="AA80" s="39" t="str">
        <f>IF(AND(E80&lt;&gt;'Povolené hodnoty'!$B$4,F80=2),I80+L80+O80+R80,"")</f>
        <v/>
      </c>
      <c r="AB80" s="40" t="str">
        <f>IF(AND(E80&lt;&gt;'Povolené hodnoty'!$B$4,F80=3),I80+L80+O80+R80,"")</f>
        <v/>
      </c>
      <c r="AC80" s="40" t="str">
        <f>IF(AND(E80&lt;&gt;'Povolené hodnoty'!$B$4,F80=4),I80+L80+O80+R80,"")</f>
        <v/>
      </c>
      <c r="AD80" s="40" t="str">
        <f>IF(AND(E80&lt;&gt;'Povolené hodnoty'!$B$4,F80="5a"),I80-J80+L80-M80+O80-P80+R80-S80,"")</f>
        <v/>
      </c>
      <c r="AE80" s="40" t="str">
        <f>IF(AND(E80&lt;&gt;'Povolené hodnoty'!$B$4,F80="5b"),I80-J80+L80-M80+O80-P80+R80-S80,"")</f>
        <v/>
      </c>
      <c r="AF80" s="40" t="str">
        <f>IF(AND(E80&lt;&gt;'Povolené hodnoty'!$B$4,F80=6),I80+L80+O80+R80,"")</f>
        <v/>
      </c>
      <c r="AG80" s="41" t="str">
        <f>IF(AND(E80&lt;&gt;'Povolené hodnoty'!$B$4,F80=7),I80+L80+O80+R80,"")</f>
        <v/>
      </c>
      <c r="AH80" s="39" t="str">
        <f>IF(AND(E80&lt;&gt;'Povolené hodnoty'!$B$4,F80=10),J80+M80+P80+S80,"")</f>
        <v/>
      </c>
      <c r="AI80" s="40" t="str">
        <f>IF(AND(E80&lt;&gt;'Povolené hodnoty'!$B$4,F80=11),J80+M80+P80+S80,"")</f>
        <v/>
      </c>
      <c r="AJ80" s="40" t="str">
        <f>IF(AND(E80&lt;&gt;'Povolené hodnoty'!$B$4,F80=12),J80+M80+P80+S80,"")</f>
        <v/>
      </c>
      <c r="AK80" s="41" t="str">
        <f>IF(AND(E80&lt;&gt;'Povolené hodnoty'!$B$4,F80=13),J80+M80+P80+S80,"")</f>
        <v/>
      </c>
      <c r="AL80" s="39" t="str">
        <f>IF(AND($G80='Povolené hodnoty'!$B$13,$H80=AL$4),SUM($I80,$L80,$O80,$R80),"")</f>
        <v/>
      </c>
      <c r="AM80" s="458" t="str">
        <f>IF(AND($G80='Povolené hodnoty'!$B$13,$H80=AM$4),SUM($I80,$L80,$O80,$R80),"")</f>
        <v/>
      </c>
      <c r="AN80" s="458" t="str">
        <f>IF(AND($G80='Povolené hodnoty'!$B$13,$H80=AN$4),SUM($I80,$L80,$O80,$R80),"")</f>
        <v/>
      </c>
      <c r="AO80" s="458" t="str">
        <f>IF(AND($G80='Povolené hodnoty'!$B$13,$H80=AO$4),SUM($I80,$L80,$O80,$R80),"")</f>
        <v/>
      </c>
      <c r="AP80" s="458" t="str">
        <f>IF(AND($G80='Povolené hodnoty'!$B$13,$H80=AP$4),SUM($I80,$L80,$O80,$R80),"")</f>
        <v/>
      </c>
      <c r="AQ80" s="40" t="str">
        <f>IF(AND($G80='Povolené hodnoty'!$B$13,OR($H80=AQ$4,$H80='Povolené hodnoty'!$E$36)),SUM($I80,-$J80,$L80,-$M80,$O80,-$P80,$R80,-$S80),"")</f>
        <v/>
      </c>
      <c r="AR80" s="40" t="str">
        <f>IF(AND($G80='Povolené hodnoty'!$B$13,$H80=AR$4),SUM($I80,$L80,$O80,$R80),"")</f>
        <v/>
      </c>
      <c r="AS80" s="41" t="str">
        <f>IF(AND($G80='Povolené hodnoty'!$B$13,$H80=AS$4),SUM($I80,$L80,$O80,$R80),"")</f>
        <v/>
      </c>
      <c r="AT80" s="39" t="str">
        <f>IF(AND($G80='Povolené hodnoty'!$B$14,$H80=AT$4),SUM($I80,$L80,$O80,$R80),"")</f>
        <v/>
      </c>
      <c r="AU80" s="458" t="str">
        <f>IF(AND($G80='Povolené hodnoty'!$B$14,$H80=AU$4),SUM($I80,$L80,$O80,$R80),"")</f>
        <v/>
      </c>
      <c r="AV80" s="41" t="str">
        <f>IF(AND($G80='Povolené hodnoty'!$B$14,$H80=AV$4),SUM($I80,$L80,$O80,$R80),"")</f>
        <v/>
      </c>
      <c r="AW80" s="39" t="str">
        <f>IF(AND($G80='Povolené hodnoty'!$B$13,$H80=AW$4),SUM($J80,$M80,$P80,$S80),"")</f>
        <v/>
      </c>
      <c r="AX80" s="458" t="str">
        <f>IF(AND($G80='Povolené hodnoty'!$B$13,$H80=AX$4),SUM($J80,$M80,$P80,$S80),"")</f>
        <v/>
      </c>
      <c r="AY80" s="458" t="str">
        <f>IF(AND($G80='Povolené hodnoty'!$B$13,$H80=AY$4),SUM($J80,$M80,$P80,$S80),"")</f>
        <v/>
      </c>
      <c r="AZ80" s="458" t="str">
        <f>IF(AND($G80='Povolené hodnoty'!$B$13,$H80=AZ$4),SUM($J80,$M80,$P80,$S80),"")</f>
        <v/>
      </c>
      <c r="BA80" s="458" t="str">
        <f>IF(AND($G80='Povolené hodnoty'!$B$13,$H80=BA$4),SUM($J80,$M80,$P80,$S80),"")</f>
        <v/>
      </c>
      <c r="BB80" s="40" t="str">
        <f>IF(AND($G80='Povolené hodnoty'!$B$13,$H80=BB$4),SUM($J80,$M80,$P80,$S80),"")</f>
        <v/>
      </c>
      <c r="BC80" s="40" t="str">
        <f>IF(AND($G80='Povolené hodnoty'!$B$13,$H80=BC$4),SUM($J80,$M80,$P80,$S80),"")</f>
        <v/>
      </c>
      <c r="BD80" s="40" t="str">
        <f>IF(AND($G80='Povolené hodnoty'!$B$13,$H80=BD$4),SUM($J80,$M80,$P80,$S80),"")</f>
        <v/>
      </c>
      <c r="BE80" s="41" t="str">
        <f>IF(AND($G80='Povolené hodnoty'!$B$13,$H80=BE$4),SUM($J80,$M80,$P80,$S80),"")</f>
        <v/>
      </c>
      <c r="BF80" s="39" t="str">
        <f>IF(AND($G80='Povolené hodnoty'!$B$14,$H80=BF$4),SUM($J80,$M80,$P80,$S80),"")</f>
        <v/>
      </c>
      <c r="BG80" s="458" t="str">
        <f>IF(AND($G80='Povolené hodnoty'!$B$14,$H80=BG$4),SUM($J80,$M80,$P80,$S80),"")</f>
        <v/>
      </c>
      <c r="BH80" s="458" t="str">
        <f>IF(AND($G80='Povolené hodnoty'!$B$14,$H80=BH$4),SUM($J80,$M80,$P80,$S80),"")</f>
        <v/>
      </c>
      <c r="BI80" s="458" t="str">
        <f>IF(AND($G80='Povolené hodnoty'!$B$14,$H80=BI$4),SUM($J80,$M80,$P80,$S80),"")</f>
        <v/>
      </c>
      <c r="BJ80" s="458" t="str">
        <f>IF(AND($G80='Povolené hodnoty'!$B$14,$H80=BJ$4),SUM($J80,$M80,$P80,$S80),"")</f>
        <v/>
      </c>
      <c r="BK80" s="40" t="str">
        <f>IF(AND($G80='Povolené hodnoty'!$B$14,$H80=BK$4),SUM($J80,$M80,$P80,$S80),"")</f>
        <v/>
      </c>
      <c r="BL80" s="40" t="str">
        <f>IF(AND($G80='Povolené hodnoty'!$B$14,$H80=BL$4),SUM($J80,$M80,$P80,$S80),"")</f>
        <v/>
      </c>
      <c r="BM80" s="41" t="str">
        <f>IF(AND($G80='Povolené hodnoty'!$B$14,$H80=BM$4),SUM($J80,$M80,$P80,$S80),"")</f>
        <v/>
      </c>
      <c r="BO80" s="18" t="b">
        <f t="shared" si="71"/>
        <v>0</v>
      </c>
      <c r="BP80" s="18" t="b">
        <f t="shared" si="42"/>
        <v>0</v>
      </c>
      <c r="BQ80" s="18" t="b">
        <f>AND(E80&lt;&gt;'Povolené hodnoty'!$B$6,F80&lt;&gt;'Povolené hodnoty'!$D$7,F80&lt;&gt;'Povolené hodnoty'!$D$8,OR(SUM(I80,L80,O80,R80)&lt;&gt;SUM(W80:X80,AA80:AG80),SUM(J80,M80,P80,S80)&lt;&gt;SUM(Y80:Z80,AH80:AK80),COUNT(I80:J80,L80:M80,O80:P80,R80:S80)&lt;&gt;COUNT(W80:AK80)))</f>
        <v>0</v>
      </c>
      <c r="BR80" s="18" t="b">
        <f>OR(AND(E80='Povolené hodnoty'!$B$6,$BR$5),AND(E80='Povolené hodnoty'!$B$6,H80&lt;&gt;'Povolené hodnoty'!$E$26,H80&lt;&gt;'Povolené hodnoty'!$E$35),AND(E80&lt;&gt;'Povolené hodnoty'!$B$6,OR(H80='Povolené hodnoty'!$E$26,H80='Povolené hodnoty'!$E$35)))</f>
        <v>0</v>
      </c>
      <c r="BS80" s="18" t="b">
        <f>OR(AND(G80&lt;&gt;'Povolené hodnoty'!$B$13,OR(H80='Povolené hodnoty'!$E$21,H80='Povolené hodnoty'!$E$22,H80='Povolené hodnoty'!$E$23,H80='Povolené hodnoty'!$E$24,H80='Povolené hodnoty'!$E$26,H80='Povolené hodnoty'!$E$36)),COUNT(I80:J80,L80:M80,O80:P80,R80:S80)&lt;&gt;COUNT(AL80:BM80))</f>
        <v>0</v>
      </c>
      <c r="BT80" s="18" t="b">
        <f t="shared" si="43"/>
        <v>0</v>
      </c>
      <c r="BV80" s="39" t="str">
        <f t="shared" si="44"/>
        <v/>
      </c>
      <c r="BW80" s="458" t="str">
        <f t="shared" si="45"/>
        <v/>
      </c>
      <c r="BX80" s="458" t="str">
        <f t="shared" si="46"/>
        <v/>
      </c>
      <c r="BY80" s="458" t="str">
        <f t="shared" si="47"/>
        <v/>
      </c>
      <c r="BZ80" s="458" t="str">
        <f t="shared" si="48"/>
        <v/>
      </c>
      <c r="CA80" s="40" t="str">
        <f t="shared" si="49"/>
        <v/>
      </c>
      <c r="CB80" s="40" t="str">
        <f t="shared" si="50"/>
        <v/>
      </c>
      <c r="CC80" s="39" t="str">
        <f t="shared" si="51"/>
        <v/>
      </c>
      <c r="CD80" s="458" t="str">
        <f t="shared" si="52"/>
        <v/>
      </c>
      <c r="CE80" s="41" t="str">
        <f t="shared" si="53"/>
        <v/>
      </c>
      <c r="CF80" s="39" t="str">
        <f t="shared" si="54"/>
        <v/>
      </c>
      <c r="CG80" s="458" t="str">
        <f t="shared" si="55"/>
        <v/>
      </c>
      <c r="CH80" s="458" t="str">
        <f t="shared" si="56"/>
        <v/>
      </c>
      <c r="CI80" s="458" t="str">
        <f t="shared" si="57"/>
        <v/>
      </c>
      <c r="CJ80" s="458" t="str">
        <f t="shared" si="58"/>
        <v/>
      </c>
      <c r="CK80" s="40" t="str">
        <f t="shared" si="59"/>
        <v/>
      </c>
      <c r="CL80" s="40" t="str">
        <f t="shared" si="60"/>
        <v/>
      </c>
      <c r="CM80" s="40" t="str">
        <f t="shared" si="61"/>
        <v/>
      </c>
      <c r="CN80" s="39" t="str">
        <f t="shared" si="62"/>
        <v/>
      </c>
      <c r="CO80" s="458" t="str">
        <f t="shared" si="63"/>
        <v/>
      </c>
      <c r="CP80" s="458" t="str">
        <f t="shared" si="64"/>
        <v/>
      </c>
      <c r="CQ80" s="458" t="str">
        <f t="shared" si="65"/>
        <v/>
      </c>
      <c r="CR80" s="458" t="str">
        <f t="shared" si="66"/>
        <v/>
      </c>
      <c r="CS80" s="40" t="str">
        <f t="shared" si="67"/>
        <v/>
      </c>
      <c r="CT80" s="40" t="str">
        <f t="shared" si="68"/>
        <v/>
      </c>
      <c r="CU80" s="41" t="str">
        <f t="shared" si="69"/>
        <v/>
      </c>
    </row>
    <row r="81" spans="1:99" x14ac:dyDescent="0.2">
      <c r="A81" s="77">
        <f t="shared" si="70"/>
        <v>76</v>
      </c>
      <c r="B81" s="81"/>
      <c r="C81" s="82"/>
      <c r="D81" s="71"/>
      <c r="E81" s="72"/>
      <c r="F81" s="73"/>
      <c r="G81" s="443"/>
      <c r="H81" s="443"/>
      <c r="I81" s="74"/>
      <c r="J81" s="75"/>
      <c r="K81" s="41">
        <f t="shared" si="39"/>
        <v>3625</v>
      </c>
      <c r="L81" s="104"/>
      <c r="M81" s="105"/>
      <c r="N81" s="106">
        <f t="shared" si="40"/>
        <v>537.05999999999995</v>
      </c>
      <c r="O81" s="104"/>
      <c r="P81" s="105"/>
      <c r="Q81" s="106">
        <f t="shared" si="72"/>
        <v>10045.83</v>
      </c>
      <c r="R81" s="104"/>
      <c r="S81" s="105"/>
      <c r="T81" s="106">
        <f t="shared" si="73"/>
        <v>0</v>
      </c>
      <c r="U81" s="439"/>
      <c r="V81" s="42">
        <f t="shared" si="41"/>
        <v>76</v>
      </c>
      <c r="W81" s="39" t="str">
        <f>IF(AND(E81='Povolené hodnoty'!$B$4,F81=2),I81+L81+O81+R81,"")</f>
        <v/>
      </c>
      <c r="X81" s="41" t="str">
        <f>IF(AND(E81='Povolené hodnoty'!$B$4,F81=1),I81+L81+O81+R81,"")</f>
        <v/>
      </c>
      <c r="Y81" s="39" t="str">
        <f>IF(AND(E81='Povolené hodnoty'!$B$4,F81=10),J81+M81+P81+S81,"")</f>
        <v/>
      </c>
      <c r="Z81" s="41" t="str">
        <f>IF(AND(E81='Povolené hodnoty'!$B$4,F81=9),J81+M81+P81+S81,"")</f>
        <v/>
      </c>
      <c r="AA81" s="39" t="str">
        <f>IF(AND(E81&lt;&gt;'Povolené hodnoty'!$B$4,F81=2),I81+L81+O81+R81,"")</f>
        <v/>
      </c>
      <c r="AB81" s="40" t="str">
        <f>IF(AND(E81&lt;&gt;'Povolené hodnoty'!$B$4,F81=3),I81+L81+O81+R81,"")</f>
        <v/>
      </c>
      <c r="AC81" s="40" t="str">
        <f>IF(AND(E81&lt;&gt;'Povolené hodnoty'!$B$4,F81=4),I81+L81+O81+R81,"")</f>
        <v/>
      </c>
      <c r="AD81" s="40" t="str">
        <f>IF(AND(E81&lt;&gt;'Povolené hodnoty'!$B$4,F81="5a"),I81-J81+L81-M81+O81-P81+R81-S81,"")</f>
        <v/>
      </c>
      <c r="AE81" s="40" t="str">
        <f>IF(AND(E81&lt;&gt;'Povolené hodnoty'!$B$4,F81="5b"),I81-J81+L81-M81+O81-P81+R81-S81,"")</f>
        <v/>
      </c>
      <c r="AF81" s="40" t="str">
        <f>IF(AND(E81&lt;&gt;'Povolené hodnoty'!$B$4,F81=6),I81+L81+O81+R81,"")</f>
        <v/>
      </c>
      <c r="AG81" s="41" t="str">
        <f>IF(AND(E81&lt;&gt;'Povolené hodnoty'!$B$4,F81=7),I81+L81+O81+R81,"")</f>
        <v/>
      </c>
      <c r="AH81" s="39" t="str">
        <f>IF(AND(E81&lt;&gt;'Povolené hodnoty'!$B$4,F81=10),J81+M81+P81+S81,"")</f>
        <v/>
      </c>
      <c r="AI81" s="40" t="str">
        <f>IF(AND(E81&lt;&gt;'Povolené hodnoty'!$B$4,F81=11),J81+M81+P81+S81,"")</f>
        <v/>
      </c>
      <c r="AJ81" s="40" t="str">
        <f>IF(AND(E81&lt;&gt;'Povolené hodnoty'!$B$4,F81=12),J81+M81+P81+S81,"")</f>
        <v/>
      </c>
      <c r="AK81" s="41" t="str">
        <f>IF(AND(E81&lt;&gt;'Povolené hodnoty'!$B$4,F81=13),J81+M81+P81+S81,"")</f>
        <v/>
      </c>
      <c r="AL81" s="39" t="str">
        <f>IF(AND($G81='Povolené hodnoty'!$B$13,$H81=AL$4),SUM($I81,$L81,$O81,$R81),"")</f>
        <v/>
      </c>
      <c r="AM81" s="458" t="str">
        <f>IF(AND($G81='Povolené hodnoty'!$B$13,$H81=AM$4),SUM($I81,$L81,$O81,$R81),"")</f>
        <v/>
      </c>
      <c r="AN81" s="458" t="str">
        <f>IF(AND($G81='Povolené hodnoty'!$B$13,$H81=AN$4),SUM($I81,$L81,$O81,$R81),"")</f>
        <v/>
      </c>
      <c r="AO81" s="458" t="str">
        <f>IF(AND($G81='Povolené hodnoty'!$B$13,$H81=AO$4),SUM($I81,$L81,$O81,$R81),"")</f>
        <v/>
      </c>
      <c r="AP81" s="458" t="str">
        <f>IF(AND($G81='Povolené hodnoty'!$B$13,$H81=AP$4),SUM($I81,$L81,$O81,$R81),"")</f>
        <v/>
      </c>
      <c r="AQ81" s="40" t="str">
        <f>IF(AND($G81='Povolené hodnoty'!$B$13,OR($H81=AQ$4,$H81='Povolené hodnoty'!$E$36)),SUM($I81,-$J81,$L81,-$M81,$O81,-$P81,$R81,-$S81),"")</f>
        <v/>
      </c>
      <c r="AR81" s="40" t="str">
        <f>IF(AND($G81='Povolené hodnoty'!$B$13,$H81=AR$4),SUM($I81,$L81,$O81,$R81),"")</f>
        <v/>
      </c>
      <c r="AS81" s="41" t="str">
        <f>IF(AND($G81='Povolené hodnoty'!$B$13,$H81=AS$4),SUM($I81,$L81,$O81,$R81),"")</f>
        <v/>
      </c>
      <c r="AT81" s="39" t="str">
        <f>IF(AND($G81='Povolené hodnoty'!$B$14,$H81=AT$4),SUM($I81,$L81,$O81,$R81),"")</f>
        <v/>
      </c>
      <c r="AU81" s="458" t="str">
        <f>IF(AND($G81='Povolené hodnoty'!$B$14,$H81=AU$4),SUM($I81,$L81,$O81,$R81),"")</f>
        <v/>
      </c>
      <c r="AV81" s="41" t="str">
        <f>IF(AND($G81='Povolené hodnoty'!$B$14,$H81=AV$4),SUM($I81,$L81,$O81,$R81),"")</f>
        <v/>
      </c>
      <c r="AW81" s="39" t="str">
        <f>IF(AND($G81='Povolené hodnoty'!$B$13,$H81=AW$4),SUM($J81,$M81,$P81,$S81),"")</f>
        <v/>
      </c>
      <c r="AX81" s="458" t="str">
        <f>IF(AND($G81='Povolené hodnoty'!$B$13,$H81=AX$4),SUM($J81,$M81,$P81,$S81),"")</f>
        <v/>
      </c>
      <c r="AY81" s="458" t="str">
        <f>IF(AND($G81='Povolené hodnoty'!$B$13,$H81=AY$4),SUM($J81,$M81,$P81,$S81),"")</f>
        <v/>
      </c>
      <c r="AZ81" s="458" t="str">
        <f>IF(AND($G81='Povolené hodnoty'!$B$13,$H81=AZ$4),SUM($J81,$M81,$P81,$S81),"")</f>
        <v/>
      </c>
      <c r="BA81" s="458" t="str">
        <f>IF(AND($G81='Povolené hodnoty'!$B$13,$H81=BA$4),SUM($J81,$M81,$P81,$S81),"")</f>
        <v/>
      </c>
      <c r="BB81" s="40" t="str">
        <f>IF(AND($G81='Povolené hodnoty'!$B$13,$H81=BB$4),SUM($J81,$M81,$P81,$S81),"")</f>
        <v/>
      </c>
      <c r="BC81" s="40" t="str">
        <f>IF(AND($G81='Povolené hodnoty'!$B$13,$H81=BC$4),SUM($J81,$M81,$P81,$S81),"")</f>
        <v/>
      </c>
      <c r="BD81" s="40" t="str">
        <f>IF(AND($G81='Povolené hodnoty'!$B$13,$H81=BD$4),SUM($J81,$M81,$P81,$S81),"")</f>
        <v/>
      </c>
      <c r="BE81" s="41" t="str">
        <f>IF(AND($G81='Povolené hodnoty'!$B$13,$H81=BE$4),SUM($J81,$M81,$P81,$S81),"")</f>
        <v/>
      </c>
      <c r="BF81" s="39" t="str">
        <f>IF(AND($G81='Povolené hodnoty'!$B$14,$H81=BF$4),SUM($J81,$M81,$P81,$S81),"")</f>
        <v/>
      </c>
      <c r="BG81" s="458" t="str">
        <f>IF(AND($G81='Povolené hodnoty'!$B$14,$H81=BG$4),SUM($J81,$M81,$P81,$S81),"")</f>
        <v/>
      </c>
      <c r="BH81" s="458" t="str">
        <f>IF(AND($G81='Povolené hodnoty'!$B$14,$H81=BH$4),SUM($J81,$M81,$P81,$S81),"")</f>
        <v/>
      </c>
      <c r="BI81" s="458" t="str">
        <f>IF(AND($G81='Povolené hodnoty'!$B$14,$H81=BI$4),SUM($J81,$M81,$P81,$S81),"")</f>
        <v/>
      </c>
      <c r="BJ81" s="458" t="str">
        <f>IF(AND($G81='Povolené hodnoty'!$B$14,$H81=BJ$4),SUM($J81,$M81,$P81,$S81),"")</f>
        <v/>
      </c>
      <c r="BK81" s="40" t="str">
        <f>IF(AND($G81='Povolené hodnoty'!$B$14,$H81=BK$4),SUM($J81,$M81,$P81,$S81),"")</f>
        <v/>
      </c>
      <c r="BL81" s="40" t="str">
        <f>IF(AND($G81='Povolené hodnoty'!$B$14,$H81=BL$4),SUM($J81,$M81,$P81,$S81),"")</f>
        <v/>
      </c>
      <c r="BM81" s="41" t="str">
        <f>IF(AND($G81='Povolené hodnoty'!$B$14,$H81=BM$4),SUM($J81,$M81,$P81,$S81),"")</f>
        <v/>
      </c>
      <c r="BO81" s="18" t="b">
        <f t="shared" si="71"/>
        <v>0</v>
      </c>
      <c r="BP81" s="18" t="b">
        <f t="shared" si="42"/>
        <v>0</v>
      </c>
      <c r="BQ81" s="18" t="b">
        <f>AND(E81&lt;&gt;'Povolené hodnoty'!$B$6,F81&lt;&gt;'Povolené hodnoty'!$D$7,F81&lt;&gt;'Povolené hodnoty'!$D$8,OR(SUM(I81,L81,O81,R81)&lt;&gt;SUM(W81:X81,AA81:AG81),SUM(J81,M81,P81,S81)&lt;&gt;SUM(Y81:Z81,AH81:AK81),COUNT(I81:J81,L81:M81,O81:P81,R81:S81)&lt;&gt;COUNT(W81:AK81)))</f>
        <v>0</v>
      </c>
      <c r="BR81" s="18" t="b">
        <f>OR(AND(E81='Povolené hodnoty'!$B$6,$BR$5),AND(E81='Povolené hodnoty'!$B$6,H81&lt;&gt;'Povolené hodnoty'!$E$26,H81&lt;&gt;'Povolené hodnoty'!$E$35),AND(E81&lt;&gt;'Povolené hodnoty'!$B$6,OR(H81='Povolené hodnoty'!$E$26,H81='Povolené hodnoty'!$E$35)))</f>
        <v>0</v>
      </c>
      <c r="BS81" s="18" t="b">
        <f>OR(AND(G81&lt;&gt;'Povolené hodnoty'!$B$13,OR(H81='Povolené hodnoty'!$E$21,H81='Povolené hodnoty'!$E$22,H81='Povolené hodnoty'!$E$23,H81='Povolené hodnoty'!$E$24,H81='Povolené hodnoty'!$E$26,H81='Povolené hodnoty'!$E$36)),COUNT(I81:J81,L81:M81,O81:P81,R81:S81)&lt;&gt;COUNT(AL81:BM81))</f>
        <v>0</v>
      </c>
      <c r="BT81" s="18" t="b">
        <f t="shared" si="43"/>
        <v>0</v>
      </c>
      <c r="BV81" s="39" t="str">
        <f t="shared" si="44"/>
        <v/>
      </c>
      <c r="BW81" s="458" t="str">
        <f t="shared" si="45"/>
        <v/>
      </c>
      <c r="BX81" s="458" t="str">
        <f t="shared" si="46"/>
        <v/>
      </c>
      <c r="BY81" s="458" t="str">
        <f t="shared" si="47"/>
        <v/>
      </c>
      <c r="BZ81" s="458" t="str">
        <f t="shared" si="48"/>
        <v/>
      </c>
      <c r="CA81" s="40" t="str">
        <f t="shared" si="49"/>
        <v/>
      </c>
      <c r="CB81" s="40" t="str">
        <f t="shared" si="50"/>
        <v/>
      </c>
      <c r="CC81" s="39" t="str">
        <f t="shared" si="51"/>
        <v/>
      </c>
      <c r="CD81" s="458" t="str">
        <f t="shared" si="52"/>
        <v/>
      </c>
      <c r="CE81" s="41" t="str">
        <f t="shared" si="53"/>
        <v/>
      </c>
      <c r="CF81" s="39" t="str">
        <f t="shared" si="54"/>
        <v/>
      </c>
      <c r="CG81" s="458" t="str">
        <f t="shared" si="55"/>
        <v/>
      </c>
      <c r="CH81" s="458" t="str">
        <f t="shared" si="56"/>
        <v/>
      </c>
      <c r="CI81" s="458" t="str">
        <f t="shared" si="57"/>
        <v/>
      </c>
      <c r="CJ81" s="458" t="str">
        <f t="shared" si="58"/>
        <v/>
      </c>
      <c r="CK81" s="40" t="str">
        <f t="shared" si="59"/>
        <v/>
      </c>
      <c r="CL81" s="40" t="str">
        <f t="shared" si="60"/>
        <v/>
      </c>
      <c r="CM81" s="40" t="str">
        <f t="shared" si="61"/>
        <v/>
      </c>
      <c r="CN81" s="39" t="str">
        <f t="shared" si="62"/>
        <v/>
      </c>
      <c r="CO81" s="458" t="str">
        <f t="shared" si="63"/>
        <v/>
      </c>
      <c r="CP81" s="458" t="str">
        <f t="shared" si="64"/>
        <v/>
      </c>
      <c r="CQ81" s="458" t="str">
        <f t="shared" si="65"/>
        <v/>
      </c>
      <c r="CR81" s="458" t="str">
        <f t="shared" si="66"/>
        <v/>
      </c>
      <c r="CS81" s="40" t="str">
        <f t="shared" si="67"/>
        <v/>
      </c>
      <c r="CT81" s="40" t="str">
        <f t="shared" si="68"/>
        <v/>
      </c>
      <c r="CU81" s="41" t="str">
        <f t="shared" si="69"/>
        <v/>
      </c>
    </row>
    <row r="82" spans="1:99" x14ac:dyDescent="0.2">
      <c r="A82" s="77">
        <f t="shared" si="70"/>
        <v>77</v>
      </c>
      <c r="B82" s="81"/>
      <c r="C82" s="82"/>
      <c r="D82" s="71"/>
      <c r="E82" s="72"/>
      <c r="F82" s="73"/>
      <c r="G82" s="443"/>
      <c r="H82" s="443"/>
      <c r="I82" s="74"/>
      <c r="J82" s="75"/>
      <c r="K82" s="41">
        <f t="shared" si="39"/>
        <v>3625</v>
      </c>
      <c r="L82" s="104"/>
      <c r="M82" s="105"/>
      <c r="N82" s="106">
        <f t="shared" si="40"/>
        <v>537.05999999999995</v>
      </c>
      <c r="O82" s="104"/>
      <c r="P82" s="105"/>
      <c r="Q82" s="106">
        <f t="shared" si="72"/>
        <v>10045.83</v>
      </c>
      <c r="R82" s="104"/>
      <c r="S82" s="105"/>
      <c r="T82" s="106">
        <f t="shared" si="73"/>
        <v>0</v>
      </c>
      <c r="U82" s="439"/>
      <c r="V82" s="42">
        <f t="shared" si="41"/>
        <v>77</v>
      </c>
      <c r="W82" s="39" t="str">
        <f>IF(AND(E82='Povolené hodnoty'!$B$4,F82=2),I82+L82+O82+R82,"")</f>
        <v/>
      </c>
      <c r="X82" s="41" t="str">
        <f>IF(AND(E82='Povolené hodnoty'!$B$4,F82=1),I82+L82+O82+R82,"")</f>
        <v/>
      </c>
      <c r="Y82" s="39" t="str">
        <f>IF(AND(E82='Povolené hodnoty'!$B$4,F82=10),J82+M82+P82+S82,"")</f>
        <v/>
      </c>
      <c r="Z82" s="41" t="str">
        <f>IF(AND(E82='Povolené hodnoty'!$B$4,F82=9),J82+M82+P82+S82,"")</f>
        <v/>
      </c>
      <c r="AA82" s="39" t="str">
        <f>IF(AND(E82&lt;&gt;'Povolené hodnoty'!$B$4,F82=2),I82+L82+O82+R82,"")</f>
        <v/>
      </c>
      <c r="AB82" s="40" t="str">
        <f>IF(AND(E82&lt;&gt;'Povolené hodnoty'!$B$4,F82=3),I82+L82+O82+R82,"")</f>
        <v/>
      </c>
      <c r="AC82" s="40" t="str">
        <f>IF(AND(E82&lt;&gt;'Povolené hodnoty'!$B$4,F82=4),I82+L82+O82+R82,"")</f>
        <v/>
      </c>
      <c r="AD82" s="40" t="str">
        <f>IF(AND(E82&lt;&gt;'Povolené hodnoty'!$B$4,F82="5a"),I82-J82+L82-M82+O82-P82+R82-S82,"")</f>
        <v/>
      </c>
      <c r="AE82" s="40" t="str">
        <f>IF(AND(E82&lt;&gt;'Povolené hodnoty'!$B$4,F82="5b"),I82-J82+L82-M82+O82-P82+R82-S82,"")</f>
        <v/>
      </c>
      <c r="AF82" s="40" t="str">
        <f>IF(AND(E82&lt;&gt;'Povolené hodnoty'!$B$4,F82=6),I82+L82+O82+R82,"")</f>
        <v/>
      </c>
      <c r="AG82" s="41" t="str">
        <f>IF(AND(E82&lt;&gt;'Povolené hodnoty'!$B$4,F82=7),I82+L82+O82+R82,"")</f>
        <v/>
      </c>
      <c r="AH82" s="39" t="str">
        <f>IF(AND(E82&lt;&gt;'Povolené hodnoty'!$B$4,F82=10),J82+M82+P82+S82,"")</f>
        <v/>
      </c>
      <c r="AI82" s="40" t="str">
        <f>IF(AND(E82&lt;&gt;'Povolené hodnoty'!$B$4,F82=11),J82+M82+P82+S82,"")</f>
        <v/>
      </c>
      <c r="AJ82" s="40" t="str">
        <f>IF(AND(E82&lt;&gt;'Povolené hodnoty'!$B$4,F82=12),J82+M82+P82+S82,"")</f>
        <v/>
      </c>
      <c r="AK82" s="41" t="str">
        <f>IF(AND(E82&lt;&gt;'Povolené hodnoty'!$B$4,F82=13),J82+M82+P82+S82,"")</f>
        <v/>
      </c>
      <c r="AL82" s="39" t="str">
        <f>IF(AND($G82='Povolené hodnoty'!$B$13,$H82=AL$4),SUM($I82,$L82,$O82,$R82),"")</f>
        <v/>
      </c>
      <c r="AM82" s="458" t="str">
        <f>IF(AND($G82='Povolené hodnoty'!$B$13,$H82=AM$4),SUM($I82,$L82,$O82,$R82),"")</f>
        <v/>
      </c>
      <c r="AN82" s="458" t="str">
        <f>IF(AND($G82='Povolené hodnoty'!$B$13,$H82=AN$4),SUM($I82,$L82,$O82,$R82),"")</f>
        <v/>
      </c>
      <c r="AO82" s="458" t="str">
        <f>IF(AND($G82='Povolené hodnoty'!$B$13,$H82=AO$4),SUM($I82,$L82,$O82,$R82),"")</f>
        <v/>
      </c>
      <c r="AP82" s="458" t="str">
        <f>IF(AND($G82='Povolené hodnoty'!$B$13,$H82=AP$4),SUM($I82,$L82,$O82,$R82),"")</f>
        <v/>
      </c>
      <c r="AQ82" s="40" t="str">
        <f>IF(AND($G82='Povolené hodnoty'!$B$13,OR($H82=AQ$4,$H82='Povolené hodnoty'!$E$36)),SUM($I82,-$J82,$L82,-$M82,$O82,-$P82,$R82,-$S82),"")</f>
        <v/>
      </c>
      <c r="AR82" s="40" t="str">
        <f>IF(AND($G82='Povolené hodnoty'!$B$13,$H82=AR$4),SUM($I82,$L82,$O82,$R82),"")</f>
        <v/>
      </c>
      <c r="AS82" s="41" t="str">
        <f>IF(AND($G82='Povolené hodnoty'!$B$13,$H82=AS$4),SUM($I82,$L82,$O82,$R82),"")</f>
        <v/>
      </c>
      <c r="AT82" s="39" t="str">
        <f>IF(AND($G82='Povolené hodnoty'!$B$14,$H82=AT$4),SUM($I82,$L82,$O82,$R82),"")</f>
        <v/>
      </c>
      <c r="AU82" s="458" t="str">
        <f>IF(AND($G82='Povolené hodnoty'!$B$14,$H82=AU$4),SUM($I82,$L82,$O82,$R82),"")</f>
        <v/>
      </c>
      <c r="AV82" s="41" t="str">
        <f>IF(AND($G82='Povolené hodnoty'!$B$14,$H82=AV$4),SUM($I82,$L82,$O82,$R82),"")</f>
        <v/>
      </c>
      <c r="AW82" s="39" t="str">
        <f>IF(AND($G82='Povolené hodnoty'!$B$13,$H82=AW$4),SUM($J82,$M82,$P82,$S82),"")</f>
        <v/>
      </c>
      <c r="AX82" s="458" t="str">
        <f>IF(AND($G82='Povolené hodnoty'!$B$13,$H82=AX$4),SUM($J82,$M82,$P82,$S82),"")</f>
        <v/>
      </c>
      <c r="AY82" s="458" t="str">
        <f>IF(AND($G82='Povolené hodnoty'!$B$13,$H82=AY$4),SUM($J82,$M82,$P82,$S82),"")</f>
        <v/>
      </c>
      <c r="AZ82" s="458" t="str">
        <f>IF(AND($G82='Povolené hodnoty'!$B$13,$H82=AZ$4),SUM($J82,$M82,$P82,$S82),"")</f>
        <v/>
      </c>
      <c r="BA82" s="458" t="str">
        <f>IF(AND($G82='Povolené hodnoty'!$B$13,$H82=BA$4),SUM($J82,$M82,$P82,$S82),"")</f>
        <v/>
      </c>
      <c r="BB82" s="40" t="str">
        <f>IF(AND($G82='Povolené hodnoty'!$B$13,$H82=BB$4),SUM($J82,$M82,$P82,$S82),"")</f>
        <v/>
      </c>
      <c r="BC82" s="40" t="str">
        <f>IF(AND($G82='Povolené hodnoty'!$B$13,$H82=BC$4),SUM($J82,$M82,$P82,$S82),"")</f>
        <v/>
      </c>
      <c r="BD82" s="40" t="str">
        <f>IF(AND($G82='Povolené hodnoty'!$B$13,$H82=BD$4),SUM($J82,$M82,$P82,$S82),"")</f>
        <v/>
      </c>
      <c r="BE82" s="41" t="str">
        <f>IF(AND($G82='Povolené hodnoty'!$B$13,$H82=BE$4),SUM($J82,$M82,$P82,$S82),"")</f>
        <v/>
      </c>
      <c r="BF82" s="39" t="str">
        <f>IF(AND($G82='Povolené hodnoty'!$B$14,$H82=BF$4),SUM($J82,$M82,$P82,$S82),"")</f>
        <v/>
      </c>
      <c r="BG82" s="458" t="str">
        <f>IF(AND($G82='Povolené hodnoty'!$B$14,$H82=BG$4),SUM($J82,$M82,$P82,$S82),"")</f>
        <v/>
      </c>
      <c r="BH82" s="458" t="str">
        <f>IF(AND($G82='Povolené hodnoty'!$B$14,$H82=BH$4),SUM($J82,$M82,$P82,$S82),"")</f>
        <v/>
      </c>
      <c r="BI82" s="458" t="str">
        <f>IF(AND($G82='Povolené hodnoty'!$B$14,$H82=BI$4),SUM($J82,$M82,$P82,$S82),"")</f>
        <v/>
      </c>
      <c r="BJ82" s="458" t="str">
        <f>IF(AND($G82='Povolené hodnoty'!$B$14,$H82=BJ$4),SUM($J82,$M82,$P82,$S82),"")</f>
        <v/>
      </c>
      <c r="BK82" s="40" t="str">
        <f>IF(AND($G82='Povolené hodnoty'!$B$14,$H82=BK$4),SUM($J82,$M82,$P82,$S82),"")</f>
        <v/>
      </c>
      <c r="BL82" s="40" t="str">
        <f>IF(AND($G82='Povolené hodnoty'!$B$14,$H82=BL$4),SUM($J82,$M82,$P82,$S82),"")</f>
        <v/>
      </c>
      <c r="BM82" s="41" t="str">
        <f>IF(AND($G82='Povolené hodnoty'!$B$14,$H82=BM$4),SUM($J82,$M82,$P82,$S82),"")</f>
        <v/>
      </c>
      <c r="BO82" s="18" t="b">
        <f t="shared" si="71"/>
        <v>0</v>
      </c>
      <c r="BP82" s="18" t="b">
        <f t="shared" si="42"/>
        <v>0</v>
      </c>
      <c r="BQ82" s="18" t="b">
        <f>AND(E82&lt;&gt;'Povolené hodnoty'!$B$6,F82&lt;&gt;'Povolené hodnoty'!$D$7,F82&lt;&gt;'Povolené hodnoty'!$D$8,OR(SUM(I82,L82,O82,R82)&lt;&gt;SUM(W82:X82,AA82:AG82),SUM(J82,M82,P82,S82)&lt;&gt;SUM(Y82:Z82,AH82:AK82),COUNT(I82:J82,L82:M82,O82:P82,R82:S82)&lt;&gt;COUNT(W82:AK82)))</f>
        <v>0</v>
      </c>
      <c r="BR82" s="18" t="b">
        <f>OR(AND(E82='Povolené hodnoty'!$B$6,$BR$5),AND(E82='Povolené hodnoty'!$B$6,H82&lt;&gt;'Povolené hodnoty'!$E$26,H82&lt;&gt;'Povolené hodnoty'!$E$35),AND(E82&lt;&gt;'Povolené hodnoty'!$B$6,OR(H82='Povolené hodnoty'!$E$26,H82='Povolené hodnoty'!$E$35)))</f>
        <v>0</v>
      </c>
      <c r="BS82" s="18" t="b">
        <f>OR(AND(G82&lt;&gt;'Povolené hodnoty'!$B$13,OR(H82='Povolené hodnoty'!$E$21,H82='Povolené hodnoty'!$E$22,H82='Povolené hodnoty'!$E$23,H82='Povolené hodnoty'!$E$24,H82='Povolené hodnoty'!$E$26,H82='Povolené hodnoty'!$E$36)),COUNT(I82:J82,L82:M82,O82:P82,R82:S82)&lt;&gt;COUNT(AL82:BM82))</f>
        <v>0</v>
      </c>
      <c r="BT82" s="18" t="b">
        <f t="shared" si="43"/>
        <v>0</v>
      </c>
      <c r="BV82" s="39" t="str">
        <f t="shared" si="44"/>
        <v/>
      </c>
      <c r="BW82" s="458" t="str">
        <f t="shared" si="45"/>
        <v/>
      </c>
      <c r="BX82" s="458" t="str">
        <f t="shared" si="46"/>
        <v/>
      </c>
      <c r="BY82" s="458" t="str">
        <f t="shared" si="47"/>
        <v/>
      </c>
      <c r="BZ82" s="458" t="str">
        <f t="shared" si="48"/>
        <v/>
      </c>
      <c r="CA82" s="40" t="str">
        <f t="shared" si="49"/>
        <v/>
      </c>
      <c r="CB82" s="40" t="str">
        <f t="shared" si="50"/>
        <v/>
      </c>
      <c r="CC82" s="39" t="str">
        <f t="shared" si="51"/>
        <v/>
      </c>
      <c r="CD82" s="458" t="str">
        <f t="shared" si="52"/>
        <v/>
      </c>
      <c r="CE82" s="41" t="str">
        <f t="shared" si="53"/>
        <v/>
      </c>
      <c r="CF82" s="39" t="str">
        <f t="shared" si="54"/>
        <v/>
      </c>
      <c r="CG82" s="458" t="str">
        <f t="shared" si="55"/>
        <v/>
      </c>
      <c r="CH82" s="458" t="str">
        <f t="shared" si="56"/>
        <v/>
      </c>
      <c r="CI82" s="458" t="str">
        <f t="shared" si="57"/>
        <v/>
      </c>
      <c r="CJ82" s="458" t="str">
        <f t="shared" si="58"/>
        <v/>
      </c>
      <c r="CK82" s="40" t="str">
        <f t="shared" si="59"/>
        <v/>
      </c>
      <c r="CL82" s="40" t="str">
        <f t="shared" si="60"/>
        <v/>
      </c>
      <c r="CM82" s="40" t="str">
        <f t="shared" si="61"/>
        <v/>
      </c>
      <c r="CN82" s="39" t="str">
        <f t="shared" si="62"/>
        <v/>
      </c>
      <c r="CO82" s="458" t="str">
        <f t="shared" si="63"/>
        <v/>
      </c>
      <c r="CP82" s="458" t="str">
        <f t="shared" si="64"/>
        <v/>
      </c>
      <c r="CQ82" s="458" t="str">
        <f t="shared" si="65"/>
        <v/>
      </c>
      <c r="CR82" s="458" t="str">
        <f t="shared" si="66"/>
        <v/>
      </c>
      <c r="CS82" s="40" t="str">
        <f t="shared" si="67"/>
        <v/>
      </c>
      <c r="CT82" s="40" t="str">
        <f t="shared" si="68"/>
        <v/>
      </c>
      <c r="CU82" s="41" t="str">
        <f t="shared" si="69"/>
        <v/>
      </c>
    </row>
    <row r="83" spans="1:99" x14ac:dyDescent="0.2">
      <c r="A83" s="77">
        <f t="shared" si="70"/>
        <v>78</v>
      </c>
      <c r="B83" s="81"/>
      <c r="C83" s="82"/>
      <c r="D83" s="71"/>
      <c r="E83" s="72"/>
      <c r="F83" s="73"/>
      <c r="G83" s="443"/>
      <c r="H83" s="443"/>
      <c r="I83" s="74"/>
      <c r="J83" s="75"/>
      <c r="K83" s="41">
        <f t="shared" si="39"/>
        <v>3625</v>
      </c>
      <c r="L83" s="104"/>
      <c r="M83" s="105"/>
      <c r="N83" s="106">
        <f t="shared" si="40"/>
        <v>537.05999999999995</v>
      </c>
      <c r="O83" s="104"/>
      <c r="P83" s="105"/>
      <c r="Q83" s="106">
        <f t="shared" si="72"/>
        <v>10045.83</v>
      </c>
      <c r="R83" s="104"/>
      <c r="S83" s="105"/>
      <c r="T83" s="106">
        <f t="shared" si="73"/>
        <v>0</v>
      </c>
      <c r="U83" s="439"/>
      <c r="V83" s="42">
        <f t="shared" si="41"/>
        <v>78</v>
      </c>
      <c r="W83" s="39" t="str">
        <f>IF(AND(E83='Povolené hodnoty'!$B$4,F83=2),I83+L83+O83+R83,"")</f>
        <v/>
      </c>
      <c r="X83" s="41" t="str">
        <f>IF(AND(E83='Povolené hodnoty'!$B$4,F83=1),I83+L83+O83+R83,"")</f>
        <v/>
      </c>
      <c r="Y83" s="39" t="str">
        <f>IF(AND(E83='Povolené hodnoty'!$B$4,F83=10),J83+M83+P83+S83,"")</f>
        <v/>
      </c>
      <c r="Z83" s="41" t="str">
        <f>IF(AND(E83='Povolené hodnoty'!$B$4,F83=9),J83+M83+P83+S83,"")</f>
        <v/>
      </c>
      <c r="AA83" s="39" t="str">
        <f>IF(AND(E83&lt;&gt;'Povolené hodnoty'!$B$4,F83=2),I83+L83+O83+R83,"")</f>
        <v/>
      </c>
      <c r="AB83" s="40" t="str">
        <f>IF(AND(E83&lt;&gt;'Povolené hodnoty'!$B$4,F83=3),I83+L83+O83+R83,"")</f>
        <v/>
      </c>
      <c r="AC83" s="40" t="str">
        <f>IF(AND(E83&lt;&gt;'Povolené hodnoty'!$B$4,F83=4),I83+L83+O83+R83,"")</f>
        <v/>
      </c>
      <c r="AD83" s="40" t="str">
        <f>IF(AND(E83&lt;&gt;'Povolené hodnoty'!$B$4,F83="5a"),I83-J83+L83-M83+O83-P83+R83-S83,"")</f>
        <v/>
      </c>
      <c r="AE83" s="40" t="str">
        <f>IF(AND(E83&lt;&gt;'Povolené hodnoty'!$B$4,F83="5b"),I83-J83+L83-M83+O83-P83+R83-S83,"")</f>
        <v/>
      </c>
      <c r="AF83" s="40" t="str">
        <f>IF(AND(E83&lt;&gt;'Povolené hodnoty'!$B$4,F83=6),I83+L83+O83+R83,"")</f>
        <v/>
      </c>
      <c r="AG83" s="41" t="str">
        <f>IF(AND(E83&lt;&gt;'Povolené hodnoty'!$B$4,F83=7),I83+L83+O83+R83,"")</f>
        <v/>
      </c>
      <c r="AH83" s="39" t="str">
        <f>IF(AND(E83&lt;&gt;'Povolené hodnoty'!$B$4,F83=10),J83+M83+P83+S83,"")</f>
        <v/>
      </c>
      <c r="AI83" s="40" t="str">
        <f>IF(AND(E83&lt;&gt;'Povolené hodnoty'!$B$4,F83=11),J83+M83+P83+S83,"")</f>
        <v/>
      </c>
      <c r="AJ83" s="40" t="str">
        <f>IF(AND(E83&lt;&gt;'Povolené hodnoty'!$B$4,F83=12),J83+M83+P83+S83,"")</f>
        <v/>
      </c>
      <c r="AK83" s="41" t="str">
        <f>IF(AND(E83&lt;&gt;'Povolené hodnoty'!$B$4,F83=13),J83+M83+P83+S83,"")</f>
        <v/>
      </c>
      <c r="AL83" s="39" t="str">
        <f>IF(AND($G83='Povolené hodnoty'!$B$13,$H83=AL$4),SUM($I83,$L83,$O83,$R83),"")</f>
        <v/>
      </c>
      <c r="AM83" s="458" t="str">
        <f>IF(AND($G83='Povolené hodnoty'!$B$13,$H83=AM$4),SUM($I83,$L83,$O83,$R83),"")</f>
        <v/>
      </c>
      <c r="AN83" s="458" t="str">
        <f>IF(AND($G83='Povolené hodnoty'!$B$13,$H83=AN$4),SUM($I83,$L83,$O83,$R83),"")</f>
        <v/>
      </c>
      <c r="AO83" s="458" t="str">
        <f>IF(AND($G83='Povolené hodnoty'!$B$13,$H83=AO$4),SUM($I83,$L83,$O83,$R83),"")</f>
        <v/>
      </c>
      <c r="AP83" s="458" t="str">
        <f>IF(AND($G83='Povolené hodnoty'!$B$13,$H83=AP$4),SUM($I83,$L83,$O83,$R83),"")</f>
        <v/>
      </c>
      <c r="AQ83" s="40" t="str">
        <f>IF(AND($G83='Povolené hodnoty'!$B$13,OR($H83=AQ$4,$H83='Povolené hodnoty'!$E$36)),SUM($I83,-$J83,$L83,-$M83,$O83,-$P83,$R83,-$S83),"")</f>
        <v/>
      </c>
      <c r="AR83" s="40" t="str">
        <f>IF(AND($G83='Povolené hodnoty'!$B$13,$H83=AR$4),SUM($I83,$L83,$O83,$R83),"")</f>
        <v/>
      </c>
      <c r="AS83" s="41" t="str">
        <f>IF(AND($G83='Povolené hodnoty'!$B$13,$H83=AS$4),SUM($I83,$L83,$O83,$R83),"")</f>
        <v/>
      </c>
      <c r="AT83" s="39" t="str">
        <f>IF(AND($G83='Povolené hodnoty'!$B$14,$H83=AT$4),SUM($I83,$L83,$O83,$R83),"")</f>
        <v/>
      </c>
      <c r="AU83" s="458" t="str">
        <f>IF(AND($G83='Povolené hodnoty'!$B$14,$H83=AU$4),SUM($I83,$L83,$O83,$R83),"")</f>
        <v/>
      </c>
      <c r="AV83" s="41" t="str">
        <f>IF(AND($G83='Povolené hodnoty'!$B$14,$H83=AV$4),SUM($I83,$L83,$O83,$R83),"")</f>
        <v/>
      </c>
      <c r="AW83" s="39" t="str">
        <f>IF(AND($G83='Povolené hodnoty'!$B$13,$H83=AW$4),SUM($J83,$M83,$P83,$S83),"")</f>
        <v/>
      </c>
      <c r="AX83" s="458" t="str">
        <f>IF(AND($G83='Povolené hodnoty'!$B$13,$H83=AX$4),SUM($J83,$M83,$P83,$S83),"")</f>
        <v/>
      </c>
      <c r="AY83" s="458" t="str">
        <f>IF(AND($G83='Povolené hodnoty'!$B$13,$H83=AY$4),SUM($J83,$M83,$P83,$S83),"")</f>
        <v/>
      </c>
      <c r="AZ83" s="458" t="str">
        <f>IF(AND($G83='Povolené hodnoty'!$B$13,$H83=AZ$4),SUM($J83,$M83,$P83,$S83),"")</f>
        <v/>
      </c>
      <c r="BA83" s="458" t="str">
        <f>IF(AND($G83='Povolené hodnoty'!$B$13,$H83=BA$4),SUM($J83,$M83,$P83,$S83),"")</f>
        <v/>
      </c>
      <c r="BB83" s="40" t="str">
        <f>IF(AND($G83='Povolené hodnoty'!$B$13,$H83=BB$4),SUM($J83,$M83,$P83,$S83),"")</f>
        <v/>
      </c>
      <c r="BC83" s="40" t="str">
        <f>IF(AND($G83='Povolené hodnoty'!$B$13,$H83=BC$4),SUM($J83,$M83,$P83,$S83),"")</f>
        <v/>
      </c>
      <c r="BD83" s="40" t="str">
        <f>IF(AND($G83='Povolené hodnoty'!$B$13,$H83=BD$4),SUM($J83,$M83,$P83,$S83),"")</f>
        <v/>
      </c>
      <c r="BE83" s="41" t="str">
        <f>IF(AND($G83='Povolené hodnoty'!$B$13,$H83=BE$4),SUM($J83,$M83,$P83,$S83),"")</f>
        <v/>
      </c>
      <c r="BF83" s="39" t="str">
        <f>IF(AND($G83='Povolené hodnoty'!$B$14,$H83=BF$4),SUM($J83,$M83,$P83,$S83),"")</f>
        <v/>
      </c>
      <c r="BG83" s="458" t="str">
        <f>IF(AND($G83='Povolené hodnoty'!$B$14,$H83=BG$4),SUM($J83,$M83,$P83,$S83),"")</f>
        <v/>
      </c>
      <c r="BH83" s="458" t="str">
        <f>IF(AND($G83='Povolené hodnoty'!$B$14,$H83=BH$4),SUM($J83,$M83,$P83,$S83),"")</f>
        <v/>
      </c>
      <c r="BI83" s="458" t="str">
        <f>IF(AND($G83='Povolené hodnoty'!$B$14,$H83=BI$4),SUM($J83,$M83,$P83,$S83),"")</f>
        <v/>
      </c>
      <c r="BJ83" s="458" t="str">
        <f>IF(AND($G83='Povolené hodnoty'!$B$14,$H83=BJ$4),SUM($J83,$M83,$P83,$S83),"")</f>
        <v/>
      </c>
      <c r="BK83" s="40" t="str">
        <f>IF(AND($G83='Povolené hodnoty'!$B$14,$H83=BK$4),SUM($J83,$M83,$P83,$S83),"")</f>
        <v/>
      </c>
      <c r="BL83" s="40" t="str">
        <f>IF(AND($G83='Povolené hodnoty'!$B$14,$H83=BL$4),SUM($J83,$M83,$P83,$S83),"")</f>
        <v/>
      </c>
      <c r="BM83" s="41" t="str">
        <f>IF(AND($G83='Povolené hodnoty'!$B$14,$H83=BM$4),SUM($J83,$M83,$P83,$S83),"")</f>
        <v/>
      </c>
      <c r="BO83" s="18" t="b">
        <f t="shared" si="71"/>
        <v>0</v>
      </c>
      <c r="BP83" s="18" t="b">
        <f t="shared" si="42"/>
        <v>0</v>
      </c>
      <c r="BQ83" s="18" t="b">
        <f>AND(E83&lt;&gt;'Povolené hodnoty'!$B$6,F83&lt;&gt;'Povolené hodnoty'!$D$7,F83&lt;&gt;'Povolené hodnoty'!$D$8,OR(SUM(I83,L83,O83,R83)&lt;&gt;SUM(W83:X83,AA83:AG83),SUM(J83,M83,P83,S83)&lt;&gt;SUM(Y83:Z83,AH83:AK83),COUNT(I83:J83,L83:M83,O83:P83,R83:S83)&lt;&gt;COUNT(W83:AK83)))</f>
        <v>0</v>
      </c>
      <c r="BR83" s="18" t="b">
        <f>OR(AND(E83='Povolené hodnoty'!$B$6,$BR$5),AND(E83='Povolené hodnoty'!$B$6,H83&lt;&gt;'Povolené hodnoty'!$E$26,H83&lt;&gt;'Povolené hodnoty'!$E$35),AND(E83&lt;&gt;'Povolené hodnoty'!$B$6,OR(H83='Povolené hodnoty'!$E$26,H83='Povolené hodnoty'!$E$35)))</f>
        <v>0</v>
      </c>
      <c r="BS83" s="18" t="b">
        <f>OR(AND(G83&lt;&gt;'Povolené hodnoty'!$B$13,OR(H83='Povolené hodnoty'!$E$21,H83='Povolené hodnoty'!$E$22,H83='Povolené hodnoty'!$E$23,H83='Povolené hodnoty'!$E$24,H83='Povolené hodnoty'!$E$26,H83='Povolené hodnoty'!$E$36)),COUNT(I83:J83,L83:M83,O83:P83,R83:S83)&lt;&gt;COUNT(AL83:BM83))</f>
        <v>0</v>
      </c>
      <c r="BT83" s="18" t="b">
        <f t="shared" si="43"/>
        <v>0</v>
      </c>
      <c r="BV83" s="39" t="str">
        <f t="shared" si="44"/>
        <v/>
      </c>
      <c r="BW83" s="458" t="str">
        <f t="shared" si="45"/>
        <v/>
      </c>
      <c r="BX83" s="458" t="str">
        <f t="shared" si="46"/>
        <v/>
      </c>
      <c r="BY83" s="458" t="str">
        <f t="shared" si="47"/>
        <v/>
      </c>
      <c r="BZ83" s="458" t="str">
        <f t="shared" si="48"/>
        <v/>
      </c>
      <c r="CA83" s="40" t="str">
        <f t="shared" si="49"/>
        <v/>
      </c>
      <c r="CB83" s="40" t="str">
        <f t="shared" si="50"/>
        <v/>
      </c>
      <c r="CC83" s="39" t="str">
        <f t="shared" si="51"/>
        <v/>
      </c>
      <c r="CD83" s="458" t="str">
        <f t="shared" si="52"/>
        <v/>
      </c>
      <c r="CE83" s="41" t="str">
        <f t="shared" si="53"/>
        <v/>
      </c>
      <c r="CF83" s="39" t="str">
        <f t="shared" si="54"/>
        <v/>
      </c>
      <c r="CG83" s="458" t="str">
        <f t="shared" si="55"/>
        <v/>
      </c>
      <c r="CH83" s="458" t="str">
        <f t="shared" si="56"/>
        <v/>
      </c>
      <c r="CI83" s="458" t="str">
        <f t="shared" si="57"/>
        <v/>
      </c>
      <c r="CJ83" s="458" t="str">
        <f t="shared" si="58"/>
        <v/>
      </c>
      <c r="CK83" s="40" t="str">
        <f t="shared" si="59"/>
        <v/>
      </c>
      <c r="CL83" s="40" t="str">
        <f t="shared" si="60"/>
        <v/>
      </c>
      <c r="CM83" s="40" t="str">
        <f t="shared" si="61"/>
        <v/>
      </c>
      <c r="CN83" s="39" t="str">
        <f t="shared" si="62"/>
        <v/>
      </c>
      <c r="CO83" s="458" t="str">
        <f t="shared" si="63"/>
        <v/>
      </c>
      <c r="CP83" s="458" t="str">
        <f t="shared" si="64"/>
        <v/>
      </c>
      <c r="CQ83" s="458" t="str">
        <f t="shared" si="65"/>
        <v/>
      </c>
      <c r="CR83" s="458" t="str">
        <f t="shared" si="66"/>
        <v/>
      </c>
      <c r="CS83" s="40" t="str">
        <f t="shared" si="67"/>
        <v/>
      </c>
      <c r="CT83" s="40" t="str">
        <f t="shared" si="68"/>
        <v/>
      </c>
      <c r="CU83" s="41" t="str">
        <f t="shared" si="69"/>
        <v/>
      </c>
    </row>
    <row r="84" spans="1:99" x14ac:dyDescent="0.2">
      <c r="A84" s="77">
        <f t="shared" si="70"/>
        <v>79</v>
      </c>
      <c r="B84" s="81"/>
      <c r="C84" s="82"/>
      <c r="D84" s="71"/>
      <c r="E84" s="72"/>
      <c r="F84" s="73"/>
      <c r="G84" s="443"/>
      <c r="H84" s="443"/>
      <c r="I84" s="74"/>
      <c r="J84" s="75"/>
      <c r="K84" s="41">
        <f t="shared" si="39"/>
        <v>3625</v>
      </c>
      <c r="L84" s="104"/>
      <c r="M84" s="105"/>
      <c r="N84" s="106">
        <f t="shared" si="40"/>
        <v>537.05999999999995</v>
      </c>
      <c r="O84" s="104"/>
      <c r="P84" s="105"/>
      <c r="Q84" s="106">
        <f t="shared" si="72"/>
        <v>10045.83</v>
      </c>
      <c r="R84" s="104"/>
      <c r="S84" s="105"/>
      <c r="T84" s="106">
        <f t="shared" si="73"/>
        <v>0</v>
      </c>
      <c r="U84" s="439"/>
      <c r="V84" s="42">
        <f t="shared" si="41"/>
        <v>79</v>
      </c>
      <c r="W84" s="39" t="str">
        <f>IF(AND(E84='Povolené hodnoty'!$B$4,F84=2),I84+L84+O84+R84,"")</f>
        <v/>
      </c>
      <c r="X84" s="41" t="str">
        <f>IF(AND(E84='Povolené hodnoty'!$B$4,F84=1),I84+L84+O84+R84,"")</f>
        <v/>
      </c>
      <c r="Y84" s="39" t="str">
        <f>IF(AND(E84='Povolené hodnoty'!$B$4,F84=10),J84+M84+P84+S84,"")</f>
        <v/>
      </c>
      <c r="Z84" s="41" t="str">
        <f>IF(AND(E84='Povolené hodnoty'!$B$4,F84=9),J84+M84+P84+S84,"")</f>
        <v/>
      </c>
      <c r="AA84" s="39" t="str">
        <f>IF(AND(E84&lt;&gt;'Povolené hodnoty'!$B$4,F84=2),I84+L84+O84+R84,"")</f>
        <v/>
      </c>
      <c r="AB84" s="40" t="str">
        <f>IF(AND(E84&lt;&gt;'Povolené hodnoty'!$B$4,F84=3),I84+L84+O84+R84,"")</f>
        <v/>
      </c>
      <c r="AC84" s="40" t="str">
        <f>IF(AND(E84&lt;&gt;'Povolené hodnoty'!$B$4,F84=4),I84+L84+O84+R84,"")</f>
        <v/>
      </c>
      <c r="AD84" s="40" t="str">
        <f>IF(AND(E84&lt;&gt;'Povolené hodnoty'!$B$4,F84="5a"),I84-J84+L84-M84+O84-P84+R84-S84,"")</f>
        <v/>
      </c>
      <c r="AE84" s="40" t="str">
        <f>IF(AND(E84&lt;&gt;'Povolené hodnoty'!$B$4,F84="5b"),I84-J84+L84-M84+O84-P84+R84-S84,"")</f>
        <v/>
      </c>
      <c r="AF84" s="40" t="str">
        <f>IF(AND(E84&lt;&gt;'Povolené hodnoty'!$B$4,F84=6),I84+L84+O84+R84,"")</f>
        <v/>
      </c>
      <c r="AG84" s="41" t="str">
        <f>IF(AND(E84&lt;&gt;'Povolené hodnoty'!$B$4,F84=7),I84+L84+O84+R84,"")</f>
        <v/>
      </c>
      <c r="AH84" s="39" t="str">
        <f>IF(AND(E84&lt;&gt;'Povolené hodnoty'!$B$4,F84=10),J84+M84+P84+S84,"")</f>
        <v/>
      </c>
      <c r="AI84" s="40" t="str">
        <f>IF(AND(E84&lt;&gt;'Povolené hodnoty'!$B$4,F84=11),J84+M84+P84+S84,"")</f>
        <v/>
      </c>
      <c r="AJ84" s="40" t="str">
        <f>IF(AND(E84&lt;&gt;'Povolené hodnoty'!$B$4,F84=12),J84+M84+P84+S84,"")</f>
        <v/>
      </c>
      <c r="AK84" s="41" t="str">
        <f>IF(AND(E84&lt;&gt;'Povolené hodnoty'!$B$4,F84=13),J84+M84+P84+S84,"")</f>
        <v/>
      </c>
      <c r="AL84" s="39" t="str">
        <f>IF(AND($G84='Povolené hodnoty'!$B$13,$H84=AL$4),SUM($I84,$L84,$O84,$R84),"")</f>
        <v/>
      </c>
      <c r="AM84" s="458" t="str">
        <f>IF(AND($G84='Povolené hodnoty'!$B$13,$H84=AM$4),SUM($I84,$L84,$O84,$R84),"")</f>
        <v/>
      </c>
      <c r="AN84" s="458" t="str">
        <f>IF(AND($G84='Povolené hodnoty'!$B$13,$H84=AN$4),SUM($I84,$L84,$O84,$R84),"")</f>
        <v/>
      </c>
      <c r="AO84" s="458" t="str">
        <f>IF(AND($G84='Povolené hodnoty'!$B$13,$H84=AO$4),SUM($I84,$L84,$O84,$R84),"")</f>
        <v/>
      </c>
      <c r="AP84" s="458" t="str">
        <f>IF(AND($G84='Povolené hodnoty'!$B$13,$H84=AP$4),SUM($I84,$L84,$O84,$R84),"")</f>
        <v/>
      </c>
      <c r="AQ84" s="40" t="str">
        <f>IF(AND($G84='Povolené hodnoty'!$B$13,OR($H84=AQ$4,$H84='Povolené hodnoty'!$E$36)),SUM($I84,-$J84,$L84,-$M84,$O84,-$P84,$R84,-$S84),"")</f>
        <v/>
      </c>
      <c r="AR84" s="40" t="str">
        <f>IF(AND($G84='Povolené hodnoty'!$B$13,$H84=AR$4),SUM($I84,$L84,$O84,$R84),"")</f>
        <v/>
      </c>
      <c r="AS84" s="41" t="str">
        <f>IF(AND($G84='Povolené hodnoty'!$B$13,$H84=AS$4),SUM($I84,$L84,$O84,$R84),"")</f>
        <v/>
      </c>
      <c r="AT84" s="39" t="str">
        <f>IF(AND($G84='Povolené hodnoty'!$B$14,$H84=AT$4),SUM($I84,$L84,$O84,$R84),"")</f>
        <v/>
      </c>
      <c r="AU84" s="458" t="str">
        <f>IF(AND($G84='Povolené hodnoty'!$B$14,$H84=AU$4),SUM($I84,$L84,$O84,$R84),"")</f>
        <v/>
      </c>
      <c r="AV84" s="41" t="str">
        <f>IF(AND($G84='Povolené hodnoty'!$B$14,$H84=AV$4),SUM($I84,$L84,$O84,$R84),"")</f>
        <v/>
      </c>
      <c r="AW84" s="39" t="str">
        <f>IF(AND($G84='Povolené hodnoty'!$B$13,$H84=AW$4),SUM($J84,$M84,$P84,$S84),"")</f>
        <v/>
      </c>
      <c r="AX84" s="458" t="str">
        <f>IF(AND($G84='Povolené hodnoty'!$B$13,$H84=AX$4),SUM($J84,$M84,$P84,$S84),"")</f>
        <v/>
      </c>
      <c r="AY84" s="458" t="str">
        <f>IF(AND($G84='Povolené hodnoty'!$B$13,$H84=AY$4),SUM($J84,$M84,$P84,$S84),"")</f>
        <v/>
      </c>
      <c r="AZ84" s="458" t="str">
        <f>IF(AND($G84='Povolené hodnoty'!$B$13,$H84=AZ$4),SUM($J84,$M84,$P84,$S84),"")</f>
        <v/>
      </c>
      <c r="BA84" s="458" t="str">
        <f>IF(AND($G84='Povolené hodnoty'!$B$13,$H84=BA$4),SUM($J84,$M84,$P84,$S84),"")</f>
        <v/>
      </c>
      <c r="BB84" s="40" t="str">
        <f>IF(AND($G84='Povolené hodnoty'!$B$13,$H84=BB$4),SUM($J84,$M84,$P84,$S84),"")</f>
        <v/>
      </c>
      <c r="BC84" s="40" t="str">
        <f>IF(AND($G84='Povolené hodnoty'!$B$13,$H84=BC$4),SUM($J84,$M84,$P84,$S84),"")</f>
        <v/>
      </c>
      <c r="BD84" s="40" t="str">
        <f>IF(AND($G84='Povolené hodnoty'!$B$13,$H84=BD$4),SUM($J84,$M84,$P84,$S84),"")</f>
        <v/>
      </c>
      <c r="BE84" s="41" t="str">
        <f>IF(AND($G84='Povolené hodnoty'!$B$13,$H84=BE$4),SUM($J84,$M84,$P84,$S84),"")</f>
        <v/>
      </c>
      <c r="BF84" s="39" t="str">
        <f>IF(AND($G84='Povolené hodnoty'!$B$14,$H84=BF$4),SUM($J84,$M84,$P84,$S84),"")</f>
        <v/>
      </c>
      <c r="BG84" s="458" t="str">
        <f>IF(AND($G84='Povolené hodnoty'!$B$14,$H84=BG$4),SUM($J84,$M84,$P84,$S84),"")</f>
        <v/>
      </c>
      <c r="BH84" s="458" t="str">
        <f>IF(AND($G84='Povolené hodnoty'!$B$14,$H84=BH$4),SUM($J84,$M84,$P84,$S84),"")</f>
        <v/>
      </c>
      <c r="BI84" s="458" t="str">
        <f>IF(AND($G84='Povolené hodnoty'!$B$14,$H84=BI$4),SUM($J84,$M84,$P84,$S84),"")</f>
        <v/>
      </c>
      <c r="BJ84" s="458" t="str">
        <f>IF(AND($G84='Povolené hodnoty'!$B$14,$H84=BJ$4),SUM($J84,$M84,$P84,$S84),"")</f>
        <v/>
      </c>
      <c r="BK84" s="40" t="str">
        <f>IF(AND($G84='Povolené hodnoty'!$B$14,$H84=BK$4),SUM($J84,$M84,$P84,$S84),"")</f>
        <v/>
      </c>
      <c r="BL84" s="40" t="str">
        <f>IF(AND($G84='Povolené hodnoty'!$B$14,$H84=BL$4),SUM($J84,$M84,$P84,$S84),"")</f>
        <v/>
      </c>
      <c r="BM84" s="41" t="str">
        <f>IF(AND($G84='Povolené hodnoty'!$B$14,$H84=BM$4),SUM($J84,$M84,$P84,$S84),"")</f>
        <v/>
      </c>
      <c r="BO84" s="18" t="b">
        <f t="shared" si="71"/>
        <v>0</v>
      </c>
      <c r="BP84" s="18" t="b">
        <f t="shared" si="42"/>
        <v>0</v>
      </c>
      <c r="BQ84" s="18" t="b">
        <f>AND(E84&lt;&gt;'Povolené hodnoty'!$B$6,F84&lt;&gt;'Povolené hodnoty'!$D$7,F84&lt;&gt;'Povolené hodnoty'!$D$8,OR(SUM(I84,L84,O84,R84)&lt;&gt;SUM(W84:X84,AA84:AG84),SUM(J84,M84,P84,S84)&lt;&gt;SUM(Y84:Z84,AH84:AK84),COUNT(I84:J84,L84:M84,O84:P84,R84:S84)&lt;&gt;COUNT(W84:AK84)))</f>
        <v>0</v>
      </c>
      <c r="BR84" s="18" t="b">
        <f>OR(AND(E84='Povolené hodnoty'!$B$6,$BR$5),AND(E84='Povolené hodnoty'!$B$6,H84&lt;&gt;'Povolené hodnoty'!$E$26,H84&lt;&gt;'Povolené hodnoty'!$E$35),AND(E84&lt;&gt;'Povolené hodnoty'!$B$6,OR(H84='Povolené hodnoty'!$E$26,H84='Povolené hodnoty'!$E$35)))</f>
        <v>0</v>
      </c>
      <c r="BS84" s="18" t="b">
        <f>OR(AND(G84&lt;&gt;'Povolené hodnoty'!$B$13,OR(H84='Povolené hodnoty'!$E$21,H84='Povolené hodnoty'!$E$22,H84='Povolené hodnoty'!$E$23,H84='Povolené hodnoty'!$E$24,H84='Povolené hodnoty'!$E$26,H84='Povolené hodnoty'!$E$36)),COUNT(I84:J84,L84:M84,O84:P84,R84:S84)&lt;&gt;COUNT(AL84:BM84))</f>
        <v>0</v>
      </c>
      <c r="BT84" s="18" t="b">
        <f t="shared" si="43"/>
        <v>0</v>
      </c>
      <c r="BV84" s="39" t="str">
        <f t="shared" si="44"/>
        <v/>
      </c>
      <c r="BW84" s="458" t="str">
        <f t="shared" si="45"/>
        <v/>
      </c>
      <c r="BX84" s="458" t="str">
        <f t="shared" si="46"/>
        <v/>
      </c>
      <c r="BY84" s="458" t="str">
        <f t="shared" si="47"/>
        <v/>
      </c>
      <c r="BZ84" s="458" t="str">
        <f t="shared" si="48"/>
        <v/>
      </c>
      <c r="CA84" s="40" t="str">
        <f t="shared" si="49"/>
        <v/>
      </c>
      <c r="CB84" s="40" t="str">
        <f t="shared" si="50"/>
        <v/>
      </c>
      <c r="CC84" s="39" t="str">
        <f t="shared" si="51"/>
        <v/>
      </c>
      <c r="CD84" s="458" t="str">
        <f t="shared" si="52"/>
        <v/>
      </c>
      <c r="CE84" s="41" t="str">
        <f t="shared" si="53"/>
        <v/>
      </c>
      <c r="CF84" s="39" t="str">
        <f t="shared" si="54"/>
        <v/>
      </c>
      <c r="CG84" s="458" t="str">
        <f t="shared" si="55"/>
        <v/>
      </c>
      <c r="CH84" s="458" t="str">
        <f t="shared" si="56"/>
        <v/>
      </c>
      <c r="CI84" s="458" t="str">
        <f t="shared" si="57"/>
        <v/>
      </c>
      <c r="CJ84" s="458" t="str">
        <f t="shared" si="58"/>
        <v/>
      </c>
      <c r="CK84" s="40" t="str">
        <f t="shared" si="59"/>
        <v/>
      </c>
      <c r="CL84" s="40" t="str">
        <f t="shared" si="60"/>
        <v/>
      </c>
      <c r="CM84" s="40" t="str">
        <f t="shared" si="61"/>
        <v/>
      </c>
      <c r="CN84" s="39" t="str">
        <f t="shared" si="62"/>
        <v/>
      </c>
      <c r="CO84" s="458" t="str">
        <f t="shared" si="63"/>
        <v/>
      </c>
      <c r="CP84" s="458" t="str">
        <f t="shared" si="64"/>
        <v/>
      </c>
      <c r="CQ84" s="458" t="str">
        <f t="shared" si="65"/>
        <v/>
      </c>
      <c r="CR84" s="458" t="str">
        <f t="shared" si="66"/>
        <v/>
      </c>
      <c r="CS84" s="40" t="str">
        <f t="shared" si="67"/>
        <v/>
      </c>
      <c r="CT84" s="40" t="str">
        <f t="shared" si="68"/>
        <v/>
      </c>
      <c r="CU84" s="41" t="str">
        <f t="shared" si="69"/>
        <v/>
      </c>
    </row>
    <row r="85" spans="1:99" x14ac:dyDescent="0.2">
      <c r="A85" s="77">
        <f t="shared" si="70"/>
        <v>80</v>
      </c>
      <c r="B85" s="81"/>
      <c r="C85" s="82"/>
      <c r="D85" s="71"/>
      <c r="E85" s="72"/>
      <c r="F85" s="73"/>
      <c r="G85" s="443"/>
      <c r="H85" s="443"/>
      <c r="I85" s="74"/>
      <c r="J85" s="75"/>
      <c r="K85" s="41">
        <f t="shared" si="39"/>
        <v>3625</v>
      </c>
      <c r="L85" s="104"/>
      <c r="M85" s="105"/>
      <c r="N85" s="106">
        <f t="shared" si="40"/>
        <v>537.05999999999995</v>
      </c>
      <c r="O85" s="104"/>
      <c r="P85" s="105"/>
      <c r="Q85" s="106">
        <f t="shared" si="72"/>
        <v>10045.83</v>
      </c>
      <c r="R85" s="104"/>
      <c r="S85" s="105"/>
      <c r="T85" s="106">
        <f t="shared" si="73"/>
        <v>0</v>
      </c>
      <c r="U85" s="439"/>
      <c r="V85" s="42">
        <f t="shared" si="41"/>
        <v>80</v>
      </c>
      <c r="W85" s="39" t="str">
        <f>IF(AND(E85='Povolené hodnoty'!$B$4,F85=2),I85+L85+O85+R85,"")</f>
        <v/>
      </c>
      <c r="X85" s="41" t="str">
        <f>IF(AND(E85='Povolené hodnoty'!$B$4,F85=1),I85+L85+O85+R85,"")</f>
        <v/>
      </c>
      <c r="Y85" s="39" t="str">
        <f>IF(AND(E85='Povolené hodnoty'!$B$4,F85=10),J85+M85+P85+S85,"")</f>
        <v/>
      </c>
      <c r="Z85" s="41" t="str">
        <f>IF(AND(E85='Povolené hodnoty'!$B$4,F85=9),J85+M85+P85+S85,"")</f>
        <v/>
      </c>
      <c r="AA85" s="39" t="str">
        <f>IF(AND(E85&lt;&gt;'Povolené hodnoty'!$B$4,F85=2),I85+L85+O85+R85,"")</f>
        <v/>
      </c>
      <c r="AB85" s="40" t="str">
        <f>IF(AND(E85&lt;&gt;'Povolené hodnoty'!$B$4,F85=3),I85+L85+O85+R85,"")</f>
        <v/>
      </c>
      <c r="AC85" s="40" t="str">
        <f>IF(AND(E85&lt;&gt;'Povolené hodnoty'!$B$4,F85=4),I85+L85+O85+R85,"")</f>
        <v/>
      </c>
      <c r="AD85" s="40" t="str">
        <f>IF(AND(E85&lt;&gt;'Povolené hodnoty'!$B$4,F85="5a"),I85-J85+L85-M85+O85-P85+R85-S85,"")</f>
        <v/>
      </c>
      <c r="AE85" s="40" t="str">
        <f>IF(AND(E85&lt;&gt;'Povolené hodnoty'!$B$4,F85="5b"),I85-J85+L85-M85+O85-P85+R85-S85,"")</f>
        <v/>
      </c>
      <c r="AF85" s="40" t="str">
        <f>IF(AND(E85&lt;&gt;'Povolené hodnoty'!$B$4,F85=6),I85+L85+O85+R85,"")</f>
        <v/>
      </c>
      <c r="AG85" s="41" t="str">
        <f>IF(AND(E85&lt;&gt;'Povolené hodnoty'!$B$4,F85=7),I85+L85+O85+R85,"")</f>
        <v/>
      </c>
      <c r="AH85" s="39" t="str">
        <f>IF(AND(E85&lt;&gt;'Povolené hodnoty'!$B$4,F85=10),J85+M85+P85+S85,"")</f>
        <v/>
      </c>
      <c r="AI85" s="40" t="str">
        <f>IF(AND(E85&lt;&gt;'Povolené hodnoty'!$B$4,F85=11),J85+M85+P85+S85,"")</f>
        <v/>
      </c>
      <c r="AJ85" s="40" t="str">
        <f>IF(AND(E85&lt;&gt;'Povolené hodnoty'!$B$4,F85=12),J85+M85+P85+S85,"")</f>
        <v/>
      </c>
      <c r="AK85" s="41" t="str">
        <f>IF(AND(E85&lt;&gt;'Povolené hodnoty'!$B$4,F85=13),J85+M85+P85+S85,"")</f>
        <v/>
      </c>
      <c r="AL85" s="39" t="str">
        <f>IF(AND($G85='Povolené hodnoty'!$B$13,$H85=AL$4),SUM($I85,$L85,$O85,$R85),"")</f>
        <v/>
      </c>
      <c r="AM85" s="458" t="str">
        <f>IF(AND($G85='Povolené hodnoty'!$B$13,$H85=AM$4),SUM($I85,$L85,$O85,$R85),"")</f>
        <v/>
      </c>
      <c r="AN85" s="458" t="str">
        <f>IF(AND($G85='Povolené hodnoty'!$B$13,$H85=AN$4),SUM($I85,$L85,$O85,$R85),"")</f>
        <v/>
      </c>
      <c r="AO85" s="458" t="str">
        <f>IF(AND($G85='Povolené hodnoty'!$B$13,$H85=AO$4),SUM($I85,$L85,$O85,$R85),"")</f>
        <v/>
      </c>
      <c r="AP85" s="458" t="str">
        <f>IF(AND($G85='Povolené hodnoty'!$B$13,$H85=AP$4),SUM($I85,$L85,$O85,$R85),"")</f>
        <v/>
      </c>
      <c r="AQ85" s="40" t="str">
        <f>IF(AND($G85='Povolené hodnoty'!$B$13,OR($H85=AQ$4,$H85='Povolené hodnoty'!$E$36)),SUM($I85,-$J85,$L85,-$M85,$O85,-$P85,$R85,-$S85),"")</f>
        <v/>
      </c>
      <c r="AR85" s="40" t="str">
        <f>IF(AND($G85='Povolené hodnoty'!$B$13,$H85=AR$4),SUM($I85,$L85,$O85,$R85),"")</f>
        <v/>
      </c>
      <c r="AS85" s="41" t="str">
        <f>IF(AND($G85='Povolené hodnoty'!$B$13,$H85=AS$4),SUM($I85,$L85,$O85,$R85),"")</f>
        <v/>
      </c>
      <c r="AT85" s="39" t="str">
        <f>IF(AND($G85='Povolené hodnoty'!$B$14,$H85=AT$4),SUM($I85,$L85,$O85,$R85),"")</f>
        <v/>
      </c>
      <c r="AU85" s="458" t="str">
        <f>IF(AND($G85='Povolené hodnoty'!$B$14,$H85=AU$4),SUM($I85,$L85,$O85,$R85),"")</f>
        <v/>
      </c>
      <c r="AV85" s="41" t="str">
        <f>IF(AND($G85='Povolené hodnoty'!$B$14,$H85=AV$4),SUM($I85,$L85,$O85,$R85),"")</f>
        <v/>
      </c>
      <c r="AW85" s="39" t="str">
        <f>IF(AND($G85='Povolené hodnoty'!$B$13,$H85=AW$4),SUM($J85,$M85,$P85,$S85),"")</f>
        <v/>
      </c>
      <c r="AX85" s="458" t="str">
        <f>IF(AND($G85='Povolené hodnoty'!$B$13,$H85=AX$4),SUM($J85,$M85,$P85,$S85),"")</f>
        <v/>
      </c>
      <c r="AY85" s="458" t="str">
        <f>IF(AND($G85='Povolené hodnoty'!$B$13,$H85=AY$4),SUM($J85,$M85,$P85,$S85),"")</f>
        <v/>
      </c>
      <c r="AZ85" s="458" t="str">
        <f>IF(AND($G85='Povolené hodnoty'!$B$13,$H85=AZ$4),SUM($J85,$M85,$P85,$S85),"")</f>
        <v/>
      </c>
      <c r="BA85" s="458" t="str">
        <f>IF(AND($G85='Povolené hodnoty'!$B$13,$H85=BA$4),SUM($J85,$M85,$P85,$S85),"")</f>
        <v/>
      </c>
      <c r="BB85" s="40" t="str">
        <f>IF(AND($G85='Povolené hodnoty'!$B$13,$H85=BB$4),SUM($J85,$M85,$P85,$S85),"")</f>
        <v/>
      </c>
      <c r="BC85" s="40" t="str">
        <f>IF(AND($G85='Povolené hodnoty'!$B$13,$H85=BC$4),SUM($J85,$M85,$P85,$S85),"")</f>
        <v/>
      </c>
      <c r="BD85" s="40" t="str">
        <f>IF(AND($G85='Povolené hodnoty'!$B$13,$H85=BD$4),SUM($J85,$M85,$P85,$S85),"")</f>
        <v/>
      </c>
      <c r="BE85" s="41" t="str">
        <f>IF(AND($G85='Povolené hodnoty'!$B$13,$H85=BE$4),SUM($J85,$M85,$P85,$S85),"")</f>
        <v/>
      </c>
      <c r="BF85" s="39" t="str">
        <f>IF(AND($G85='Povolené hodnoty'!$B$14,$H85=BF$4),SUM($J85,$M85,$P85,$S85),"")</f>
        <v/>
      </c>
      <c r="BG85" s="458" t="str">
        <f>IF(AND($G85='Povolené hodnoty'!$B$14,$H85=BG$4),SUM($J85,$M85,$P85,$S85),"")</f>
        <v/>
      </c>
      <c r="BH85" s="458" t="str">
        <f>IF(AND($G85='Povolené hodnoty'!$B$14,$H85=BH$4),SUM($J85,$M85,$P85,$S85),"")</f>
        <v/>
      </c>
      <c r="BI85" s="458" t="str">
        <f>IF(AND($G85='Povolené hodnoty'!$B$14,$H85=BI$4),SUM($J85,$M85,$P85,$S85),"")</f>
        <v/>
      </c>
      <c r="BJ85" s="458" t="str">
        <f>IF(AND($G85='Povolené hodnoty'!$B$14,$H85=BJ$4),SUM($J85,$M85,$P85,$S85),"")</f>
        <v/>
      </c>
      <c r="BK85" s="40" t="str">
        <f>IF(AND($G85='Povolené hodnoty'!$B$14,$H85=BK$4),SUM($J85,$M85,$P85,$S85),"")</f>
        <v/>
      </c>
      <c r="BL85" s="40" t="str">
        <f>IF(AND($G85='Povolené hodnoty'!$B$14,$H85=BL$4),SUM($J85,$M85,$P85,$S85),"")</f>
        <v/>
      </c>
      <c r="BM85" s="41" t="str">
        <f>IF(AND($G85='Povolené hodnoty'!$B$14,$H85=BM$4),SUM($J85,$M85,$P85,$S85),"")</f>
        <v/>
      </c>
      <c r="BO85" s="18" t="b">
        <f t="shared" si="71"/>
        <v>0</v>
      </c>
      <c r="BP85" s="18" t="b">
        <f t="shared" si="42"/>
        <v>0</v>
      </c>
      <c r="BQ85" s="18" t="b">
        <f>AND(E85&lt;&gt;'Povolené hodnoty'!$B$6,F85&lt;&gt;'Povolené hodnoty'!$D$7,F85&lt;&gt;'Povolené hodnoty'!$D$8,OR(SUM(I85,L85,O85,R85)&lt;&gt;SUM(W85:X85,AA85:AG85),SUM(J85,M85,P85,S85)&lt;&gt;SUM(Y85:Z85,AH85:AK85),COUNT(I85:J85,L85:M85,O85:P85,R85:S85)&lt;&gt;COUNT(W85:AK85)))</f>
        <v>0</v>
      </c>
      <c r="BR85" s="18" t="b">
        <f>OR(AND(E85='Povolené hodnoty'!$B$6,$BR$5),AND(E85='Povolené hodnoty'!$B$6,H85&lt;&gt;'Povolené hodnoty'!$E$26,H85&lt;&gt;'Povolené hodnoty'!$E$35),AND(E85&lt;&gt;'Povolené hodnoty'!$B$6,OR(H85='Povolené hodnoty'!$E$26,H85='Povolené hodnoty'!$E$35)))</f>
        <v>0</v>
      </c>
      <c r="BS85" s="18" t="b">
        <f>OR(AND(G85&lt;&gt;'Povolené hodnoty'!$B$13,OR(H85='Povolené hodnoty'!$E$21,H85='Povolené hodnoty'!$E$22,H85='Povolené hodnoty'!$E$23,H85='Povolené hodnoty'!$E$24,H85='Povolené hodnoty'!$E$26,H85='Povolené hodnoty'!$E$36)),COUNT(I85:J85,L85:M85,O85:P85,R85:S85)&lt;&gt;COUNT(AL85:BM85))</f>
        <v>0</v>
      </c>
      <c r="BT85" s="18" t="b">
        <f t="shared" si="43"/>
        <v>0</v>
      </c>
      <c r="BV85" s="39" t="str">
        <f t="shared" si="44"/>
        <v/>
      </c>
      <c r="BW85" s="458" t="str">
        <f t="shared" si="45"/>
        <v/>
      </c>
      <c r="BX85" s="458" t="str">
        <f t="shared" si="46"/>
        <v/>
      </c>
      <c r="BY85" s="458" t="str">
        <f t="shared" si="47"/>
        <v/>
      </c>
      <c r="BZ85" s="458" t="str">
        <f t="shared" si="48"/>
        <v/>
      </c>
      <c r="CA85" s="40" t="str">
        <f t="shared" si="49"/>
        <v/>
      </c>
      <c r="CB85" s="40" t="str">
        <f t="shared" si="50"/>
        <v/>
      </c>
      <c r="CC85" s="39" t="str">
        <f t="shared" si="51"/>
        <v/>
      </c>
      <c r="CD85" s="458" t="str">
        <f t="shared" si="52"/>
        <v/>
      </c>
      <c r="CE85" s="41" t="str">
        <f t="shared" si="53"/>
        <v/>
      </c>
      <c r="CF85" s="39" t="str">
        <f t="shared" si="54"/>
        <v/>
      </c>
      <c r="CG85" s="458" t="str">
        <f t="shared" si="55"/>
        <v/>
      </c>
      <c r="CH85" s="458" t="str">
        <f t="shared" si="56"/>
        <v/>
      </c>
      <c r="CI85" s="458" t="str">
        <f t="shared" si="57"/>
        <v/>
      </c>
      <c r="CJ85" s="458" t="str">
        <f t="shared" si="58"/>
        <v/>
      </c>
      <c r="CK85" s="40" t="str">
        <f t="shared" si="59"/>
        <v/>
      </c>
      <c r="CL85" s="40" t="str">
        <f t="shared" si="60"/>
        <v/>
      </c>
      <c r="CM85" s="40" t="str">
        <f t="shared" si="61"/>
        <v/>
      </c>
      <c r="CN85" s="39" t="str">
        <f t="shared" si="62"/>
        <v/>
      </c>
      <c r="CO85" s="458" t="str">
        <f t="shared" si="63"/>
        <v/>
      </c>
      <c r="CP85" s="458" t="str">
        <f t="shared" si="64"/>
        <v/>
      </c>
      <c r="CQ85" s="458" t="str">
        <f t="shared" si="65"/>
        <v/>
      </c>
      <c r="CR85" s="458" t="str">
        <f t="shared" si="66"/>
        <v/>
      </c>
      <c r="CS85" s="40" t="str">
        <f t="shared" si="67"/>
        <v/>
      </c>
      <c r="CT85" s="40" t="str">
        <f t="shared" si="68"/>
        <v/>
      </c>
      <c r="CU85" s="41" t="str">
        <f t="shared" si="69"/>
        <v/>
      </c>
    </row>
    <row r="86" spans="1:99" x14ac:dyDescent="0.2">
      <c r="A86" s="77">
        <f t="shared" si="70"/>
        <v>81</v>
      </c>
      <c r="B86" s="81"/>
      <c r="C86" s="82"/>
      <c r="D86" s="71"/>
      <c r="E86" s="72"/>
      <c r="F86" s="73"/>
      <c r="G86" s="443"/>
      <c r="H86" s="443"/>
      <c r="I86" s="74"/>
      <c r="J86" s="75"/>
      <c r="K86" s="41">
        <f t="shared" si="39"/>
        <v>3625</v>
      </c>
      <c r="L86" s="104"/>
      <c r="M86" s="105"/>
      <c r="N86" s="106">
        <f t="shared" si="40"/>
        <v>537.05999999999995</v>
      </c>
      <c r="O86" s="104"/>
      <c r="P86" s="105"/>
      <c r="Q86" s="106">
        <f t="shared" si="72"/>
        <v>10045.83</v>
      </c>
      <c r="R86" s="104"/>
      <c r="S86" s="105"/>
      <c r="T86" s="106">
        <f t="shared" si="73"/>
        <v>0</v>
      </c>
      <c r="U86" s="439"/>
      <c r="V86" s="42">
        <f t="shared" si="41"/>
        <v>81</v>
      </c>
      <c r="W86" s="39" t="str">
        <f>IF(AND(E86='Povolené hodnoty'!$B$4,F86=2),I86+L86+O86+R86,"")</f>
        <v/>
      </c>
      <c r="X86" s="41" t="str">
        <f>IF(AND(E86='Povolené hodnoty'!$B$4,F86=1),I86+L86+O86+R86,"")</f>
        <v/>
      </c>
      <c r="Y86" s="39" t="str">
        <f>IF(AND(E86='Povolené hodnoty'!$B$4,F86=10),J86+M86+P86+S86,"")</f>
        <v/>
      </c>
      <c r="Z86" s="41" t="str">
        <f>IF(AND(E86='Povolené hodnoty'!$B$4,F86=9),J86+M86+P86+S86,"")</f>
        <v/>
      </c>
      <c r="AA86" s="39" t="str">
        <f>IF(AND(E86&lt;&gt;'Povolené hodnoty'!$B$4,F86=2),I86+L86+O86+R86,"")</f>
        <v/>
      </c>
      <c r="AB86" s="40" t="str">
        <f>IF(AND(E86&lt;&gt;'Povolené hodnoty'!$B$4,F86=3),I86+L86+O86+R86,"")</f>
        <v/>
      </c>
      <c r="AC86" s="40" t="str">
        <f>IF(AND(E86&lt;&gt;'Povolené hodnoty'!$B$4,F86=4),I86+L86+O86+R86,"")</f>
        <v/>
      </c>
      <c r="AD86" s="40" t="str">
        <f>IF(AND(E86&lt;&gt;'Povolené hodnoty'!$B$4,F86="5a"),I86-J86+L86-M86+O86-P86+R86-S86,"")</f>
        <v/>
      </c>
      <c r="AE86" s="40" t="str">
        <f>IF(AND(E86&lt;&gt;'Povolené hodnoty'!$B$4,F86="5b"),I86-J86+L86-M86+O86-P86+R86-S86,"")</f>
        <v/>
      </c>
      <c r="AF86" s="40" t="str">
        <f>IF(AND(E86&lt;&gt;'Povolené hodnoty'!$B$4,F86=6),I86+L86+O86+R86,"")</f>
        <v/>
      </c>
      <c r="AG86" s="41" t="str">
        <f>IF(AND(E86&lt;&gt;'Povolené hodnoty'!$B$4,F86=7),I86+L86+O86+R86,"")</f>
        <v/>
      </c>
      <c r="AH86" s="39" t="str">
        <f>IF(AND(E86&lt;&gt;'Povolené hodnoty'!$B$4,F86=10),J86+M86+P86+S86,"")</f>
        <v/>
      </c>
      <c r="AI86" s="40" t="str">
        <f>IF(AND(E86&lt;&gt;'Povolené hodnoty'!$B$4,F86=11),J86+M86+P86+S86,"")</f>
        <v/>
      </c>
      <c r="AJ86" s="40" t="str">
        <f>IF(AND(E86&lt;&gt;'Povolené hodnoty'!$B$4,F86=12),J86+M86+P86+S86,"")</f>
        <v/>
      </c>
      <c r="AK86" s="41" t="str">
        <f>IF(AND(E86&lt;&gt;'Povolené hodnoty'!$B$4,F86=13),J86+M86+P86+S86,"")</f>
        <v/>
      </c>
      <c r="AL86" s="39" t="str">
        <f>IF(AND($G86='Povolené hodnoty'!$B$13,$H86=AL$4),SUM($I86,$L86,$O86,$R86),"")</f>
        <v/>
      </c>
      <c r="AM86" s="458" t="str">
        <f>IF(AND($G86='Povolené hodnoty'!$B$13,$H86=AM$4),SUM($I86,$L86,$O86,$R86),"")</f>
        <v/>
      </c>
      <c r="AN86" s="458" t="str">
        <f>IF(AND($G86='Povolené hodnoty'!$B$13,$H86=AN$4),SUM($I86,$L86,$O86,$R86),"")</f>
        <v/>
      </c>
      <c r="AO86" s="458" t="str">
        <f>IF(AND($G86='Povolené hodnoty'!$B$13,$H86=AO$4),SUM($I86,$L86,$O86,$R86),"")</f>
        <v/>
      </c>
      <c r="AP86" s="458" t="str">
        <f>IF(AND($G86='Povolené hodnoty'!$B$13,$H86=AP$4),SUM($I86,$L86,$O86,$R86),"")</f>
        <v/>
      </c>
      <c r="AQ86" s="40" t="str">
        <f>IF(AND($G86='Povolené hodnoty'!$B$13,OR($H86=AQ$4,$H86='Povolené hodnoty'!$E$36)),SUM($I86,-$J86,$L86,-$M86,$O86,-$P86,$R86,-$S86),"")</f>
        <v/>
      </c>
      <c r="AR86" s="40" t="str">
        <f>IF(AND($G86='Povolené hodnoty'!$B$13,$H86=AR$4),SUM($I86,$L86,$O86,$R86),"")</f>
        <v/>
      </c>
      <c r="AS86" s="41" t="str">
        <f>IF(AND($G86='Povolené hodnoty'!$B$13,$H86=AS$4),SUM($I86,$L86,$O86,$R86),"")</f>
        <v/>
      </c>
      <c r="AT86" s="39" t="str">
        <f>IF(AND($G86='Povolené hodnoty'!$B$14,$H86=AT$4),SUM($I86,$L86,$O86,$R86),"")</f>
        <v/>
      </c>
      <c r="AU86" s="458" t="str">
        <f>IF(AND($G86='Povolené hodnoty'!$B$14,$H86=AU$4),SUM($I86,$L86,$O86,$R86),"")</f>
        <v/>
      </c>
      <c r="AV86" s="41" t="str">
        <f>IF(AND($G86='Povolené hodnoty'!$B$14,$H86=AV$4),SUM($I86,$L86,$O86,$R86),"")</f>
        <v/>
      </c>
      <c r="AW86" s="39" t="str">
        <f>IF(AND($G86='Povolené hodnoty'!$B$13,$H86=AW$4),SUM($J86,$M86,$P86,$S86),"")</f>
        <v/>
      </c>
      <c r="AX86" s="458" t="str">
        <f>IF(AND($G86='Povolené hodnoty'!$B$13,$H86=AX$4),SUM($J86,$M86,$P86,$S86),"")</f>
        <v/>
      </c>
      <c r="AY86" s="458" t="str">
        <f>IF(AND($G86='Povolené hodnoty'!$B$13,$H86=AY$4),SUM($J86,$M86,$P86,$S86),"")</f>
        <v/>
      </c>
      <c r="AZ86" s="458" t="str">
        <f>IF(AND($G86='Povolené hodnoty'!$B$13,$H86=AZ$4),SUM($J86,$M86,$P86,$S86),"")</f>
        <v/>
      </c>
      <c r="BA86" s="458" t="str">
        <f>IF(AND($G86='Povolené hodnoty'!$B$13,$H86=BA$4),SUM($J86,$M86,$P86,$S86),"")</f>
        <v/>
      </c>
      <c r="BB86" s="40" t="str">
        <f>IF(AND($G86='Povolené hodnoty'!$B$13,$H86=BB$4),SUM($J86,$M86,$P86,$S86),"")</f>
        <v/>
      </c>
      <c r="BC86" s="40" t="str">
        <f>IF(AND($G86='Povolené hodnoty'!$B$13,$H86=BC$4),SUM($J86,$M86,$P86,$S86),"")</f>
        <v/>
      </c>
      <c r="BD86" s="40" t="str">
        <f>IF(AND($G86='Povolené hodnoty'!$B$13,$H86=BD$4),SUM($J86,$M86,$P86,$S86),"")</f>
        <v/>
      </c>
      <c r="BE86" s="41" t="str">
        <f>IF(AND($G86='Povolené hodnoty'!$B$13,$H86=BE$4),SUM($J86,$M86,$P86,$S86),"")</f>
        <v/>
      </c>
      <c r="BF86" s="39" t="str">
        <f>IF(AND($G86='Povolené hodnoty'!$B$14,$H86=BF$4),SUM($J86,$M86,$P86,$S86),"")</f>
        <v/>
      </c>
      <c r="BG86" s="458" t="str">
        <f>IF(AND($G86='Povolené hodnoty'!$B$14,$H86=BG$4),SUM($J86,$M86,$P86,$S86),"")</f>
        <v/>
      </c>
      <c r="BH86" s="458" t="str">
        <f>IF(AND($G86='Povolené hodnoty'!$B$14,$H86=BH$4),SUM($J86,$M86,$P86,$S86),"")</f>
        <v/>
      </c>
      <c r="BI86" s="458" t="str">
        <f>IF(AND($G86='Povolené hodnoty'!$B$14,$H86=BI$4),SUM($J86,$M86,$P86,$S86),"")</f>
        <v/>
      </c>
      <c r="BJ86" s="458" t="str">
        <f>IF(AND($G86='Povolené hodnoty'!$B$14,$H86=BJ$4),SUM($J86,$M86,$P86,$S86),"")</f>
        <v/>
      </c>
      <c r="BK86" s="40" t="str">
        <f>IF(AND($G86='Povolené hodnoty'!$B$14,$H86=BK$4),SUM($J86,$M86,$P86,$S86),"")</f>
        <v/>
      </c>
      <c r="BL86" s="40" t="str">
        <f>IF(AND($G86='Povolené hodnoty'!$B$14,$H86=BL$4),SUM($J86,$M86,$P86,$S86),"")</f>
        <v/>
      </c>
      <c r="BM86" s="41" t="str">
        <f>IF(AND($G86='Povolené hodnoty'!$B$14,$H86=BM$4),SUM($J86,$M86,$P86,$S86),"")</f>
        <v/>
      </c>
      <c r="BO86" s="18" t="b">
        <f t="shared" si="71"/>
        <v>0</v>
      </c>
      <c r="BP86" s="18" t="b">
        <f t="shared" si="42"/>
        <v>0</v>
      </c>
      <c r="BQ86" s="18" t="b">
        <f>AND(E86&lt;&gt;'Povolené hodnoty'!$B$6,F86&lt;&gt;'Povolené hodnoty'!$D$7,F86&lt;&gt;'Povolené hodnoty'!$D$8,OR(SUM(I86,L86,O86,R86)&lt;&gt;SUM(W86:X86,AA86:AG86),SUM(J86,M86,P86,S86)&lt;&gt;SUM(Y86:Z86,AH86:AK86),COUNT(I86:J86,L86:M86,O86:P86,R86:S86)&lt;&gt;COUNT(W86:AK86)))</f>
        <v>0</v>
      </c>
      <c r="BR86" s="18" t="b">
        <f>OR(AND(E86='Povolené hodnoty'!$B$6,$BR$5),AND(E86='Povolené hodnoty'!$B$6,H86&lt;&gt;'Povolené hodnoty'!$E$26,H86&lt;&gt;'Povolené hodnoty'!$E$35),AND(E86&lt;&gt;'Povolené hodnoty'!$B$6,OR(H86='Povolené hodnoty'!$E$26,H86='Povolené hodnoty'!$E$35)))</f>
        <v>0</v>
      </c>
      <c r="BS86" s="18" t="b">
        <f>OR(AND(G86&lt;&gt;'Povolené hodnoty'!$B$13,OR(H86='Povolené hodnoty'!$E$21,H86='Povolené hodnoty'!$E$22,H86='Povolené hodnoty'!$E$23,H86='Povolené hodnoty'!$E$24,H86='Povolené hodnoty'!$E$26,H86='Povolené hodnoty'!$E$36)),COUNT(I86:J86,L86:M86,O86:P86,R86:S86)&lt;&gt;COUNT(AL86:BM86))</f>
        <v>0</v>
      </c>
      <c r="BT86" s="18" t="b">
        <f t="shared" si="43"/>
        <v>0</v>
      </c>
      <c r="BV86" s="39" t="str">
        <f t="shared" si="44"/>
        <v/>
      </c>
      <c r="BW86" s="458" t="str">
        <f t="shared" si="45"/>
        <v/>
      </c>
      <c r="BX86" s="458" t="str">
        <f t="shared" si="46"/>
        <v/>
      </c>
      <c r="BY86" s="458" t="str">
        <f t="shared" si="47"/>
        <v/>
      </c>
      <c r="BZ86" s="458" t="str">
        <f t="shared" si="48"/>
        <v/>
      </c>
      <c r="CA86" s="40" t="str">
        <f t="shared" si="49"/>
        <v/>
      </c>
      <c r="CB86" s="40" t="str">
        <f t="shared" si="50"/>
        <v/>
      </c>
      <c r="CC86" s="39" t="str">
        <f t="shared" si="51"/>
        <v/>
      </c>
      <c r="CD86" s="458" t="str">
        <f t="shared" si="52"/>
        <v/>
      </c>
      <c r="CE86" s="41" t="str">
        <f t="shared" si="53"/>
        <v/>
      </c>
      <c r="CF86" s="39" t="str">
        <f t="shared" si="54"/>
        <v/>
      </c>
      <c r="CG86" s="458" t="str">
        <f t="shared" si="55"/>
        <v/>
      </c>
      <c r="CH86" s="458" t="str">
        <f t="shared" si="56"/>
        <v/>
      </c>
      <c r="CI86" s="458" t="str">
        <f t="shared" si="57"/>
        <v/>
      </c>
      <c r="CJ86" s="458" t="str">
        <f t="shared" si="58"/>
        <v/>
      </c>
      <c r="CK86" s="40" t="str">
        <f t="shared" si="59"/>
        <v/>
      </c>
      <c r="CL86" s="40" t="str">
        <f t="shared" si="60"/>
        <v/>
      </c>
      <c r="CM86" s="40" t="str">
        <f t="shared" si="61"/>
        <v/>
      </c>
      <c r="CN86" s="39" t="str">
        <f t="shared" si="62"/>
        <v/>
      </c>
      <c r="CO86" s="458" t="str">
        <f t="shared" si="63"/>
        <v/>
      </c>
      <c r="CP86" s="458" t="str">
        <f t="shared" si="64"/>
        <v/>
      </c>
      <c r="CQ86" s="458" t="str">
        <f t="shared" si="65"/>
        <v/>
      </c>
      <c r="CR86" s="458" t="str">
        <f t="shared" si="66"/>
        <v/>
      </c>
      <c r="CS86" s="40" t="str">
        <f t="shared" si="67"/>
        <v/>
      </c>
      <c r="CT86" s="40" t="str">
        <f t="shared" si="68"/>
        <v/>
      </c>
      <c r="CU86" s="41" t="str">
        <f t="shared" si="69"/>
        <v/>
      </c>
    </row>
    <row r="87" spans="1:99" x14ac:dyDescent="0.2">
      <c r="A87" s="77">
        <f t="shared" si="70"/>
        <v>82</v>
      </c>
      <c r="B87" s="81"/>
      <c r="C87" s="82"/>
      <c r="D87" s="71"/>
      <c r="E87" s="72"/>
      <c r="F87" s="73"/>
      <c r="G87" s="443"/>
      <c r="H87" s="443"/>
      <c r="I87" s="74"/>
      <c r="J87" s="75"/>
      <c r="K87" s="41">
        <f t="shared" si="39"/>
        <v>3625</v>
      </c>
      <c r="L87" s="104"/>
      <c r="M87" s="105"/>
      <c r="N87" s="106">
        <f t="shared" si="40"/>
        <v>537.05999999999995</v>
      </c>
      <c r="O87" s="104"/>
      <c r="P87" s="105"/>
      <c r="Q87" s="106">
        <f t="shared" si="72"/>
        <v>10045.83</v>
      </c>
      <c r="R87" s="104"/>
      <c r="S87" s="105"/>
      <c r="T87" s="106">
        <f t="shared" si="73"/>
        <v>0</v>
      </c>
      <c r="U87" s="439"/>
      <c r="V87" s="42">
        <f t="shared" si="41"/>
        <v>82</v>
      </c>
      <c r="W87" s="39" t="str">
        <f>IF(AND(E87='Povolené hodnoty'!$B$4,F87=2),I87+L87+O87+R87,"")</f>
        <v/>
      </c>
      <c r="X87" s="41" t="str">
        <f>IF(AND(E87='Povolené hodnoty'!$B$4,F87=1),I87+L87+O87+R87,"")</f>
        <v/>
      </c>
      <c r="Y87" s="39" t="str">
        <f>IF(AND(E87='Povolené hodnoty'!$B$4,F87=10),J87+M87+P87+S87,"")</f>
        <v/>
      </c>
      <c r="Z87" s="41" t="str">
        <f>IF(AND(E87='Povolené hodnoty'!$B$4,F87=9),J87+M87+P87+S87,"")</f>
        <v/>
      </c>
      <c r="AA87" s="39" t="str">
        <f>IF(AND(E87&lt;&gt;'Povolené hodnoty'!$B$4,F87=2),I87+L87+O87+R87,"")</f>
        <v/>
      </c>
      <c r="AB87" s="40" t="str">
        <f>IF(AND(E87&lt;&gt;'Povolené hodnoty'!$B$4,F87=3),I87+L87+O87+R87,"")</f>
        <v/>
      </c>
      <c r="AC87" s="40" t="str">
        <f>IF(AND(E87&lt;&gt;'Povolené hodnoty'!$B$4,F87=4),I87+L87+O87+R87,"")</f>
        <v/>
      </c>
      <c r="AD87" s="40" t="str">
        <f>IF(AND(E87&lt;&gt;'Povolené hodnoty'!$B$4,F87="5a"),I87-J87+L87-M87+O87-P87+R87-S87,"")</f>
        <v/>
      </c>
      <c r="AE87" s="40" t="str">
        <f>IF(AND(E87&lt;&gt;'Povolené hodnoty'!$B$4,F87="5b"),I87-J87+L87-M87+O87-P87+R87-S87,"")</f>
        <v/>
      </c>
      <c r="AF87" s="40" t="str">
        <f>IF(AND(E87&lt;&gt;'Povolené hodnoty'!$B$4,F87=6),I87+L87+O87+R87,"")</f>
        <v/>
      </c>
      <c r="AG87" s="41" t="str">
        <f>IF(AND(E87&lt;&gt;'Povolené hodnoty'!$B$4,F87=7),I87+L87+O87+R87,"")</f>
        <v/>
      </c>
      <c r="AH87" s="39" t="str">
        <f>IF(AND(E87&lt;&gt;'Povolené hodnoty'!$B$4,F87=10),J87+M87+P87+S87,"")</f>
        <v/>
      </c>
      <c r="AI87" s="40" t="str">
        <f>IF(AND(E87&lt;&gt;'Povolené hodnoty'!$B$4,F87=11),J87+M87+P87+S87,"")</f>
        <v/>
      </c>
      <c r="AJ87" s="40" t="str">
        <f>IF(AND(E87&lt;&gt;'Povolené hodnoty'!$B$4,F87=12),J87+M87+P87+S87,"")</f>
        <v/>
      </c>
      <c r="AK87" s="41" t="str">
        <f>IF(AND(E87&lt;&gt;'Povolené hodnoty'!$B$4,F87=13),J87+M87+P87+S87,"")</f>
        <v/>
      </c>
      <c r="AL87" s="39" t="str">
        <f>IF(AND($G87='Povolené hodnoty'!$B$13,$H87=AL$4),SUM($I87,$L87,$O87,$R87),"")</f>
        <v/>
      </c>
      <c r="AM87" s="458" t="str">
        <f>IF(AND($G87='Povolené hodnoty'!$B$13,$H87=AM$4),SUM($I87,$L87,$O87,$R87),"")</f>
        <v/>
      </c>
      <c r="AN87" s="458" t="str">
        <f>IF(AND($G87='Povolené hodnoty'!$B$13,$H87=AN$4),SUM($I87,$L87,$O87,$R87),"")</f>
        <v/>
      </c>
      <c r="AO87" s="458" t="str">
        <f>IF(AND($G87='Povolené hodnoty'!$B$13,$H87=AO$4),SUM($I87,$L87,$O87,$R87),"")</f>
        <v/>
      </c>
      <c r="AP87" s="458" t="str">
        <f>IF(AND($G87='Povolené hodnoty'!$B$13,$H87=AP$4),SUM($I87,$L87,$O87,$R87),"")</f>
        <v/>
      </c>
      <c r="AQ87" s="40" t="str">
        <f>IF(AND($G87='Povolené hodnoty'!$B$13,OR($H87=AQ$4,$H87='Povolené hodnoty'!$E$36)),SUM($I87,-$J87,$L87,-$M87,$O87,-$P87,$R87,-$S87),"")</f>
        <v/>
      </c>
      <c r="AR87" s="40" t="str">
        <f>IF(AND($G87='Povolené hodnoty'!$B$13,$H87=AR$4),SUM($I87,$L87,$O87,$R87),"")</f>
        <v/>
      </c>
      <c r="AS87" s="41" t="str">
        <f>IF(AND($G87='Povolené hodnoty'!$B$13,$H87=AS$4),SUM($I87,$L87,$O87,$R87),"")</f>
        <v/>
      </c>
      <c r="AT87" s="39" t="str">
        <f>IF(AND($G87='Povolené hodnoty'!$B$14,$H87=AT$4),SUM($I87,$L87,$O87,$R87),"")</f>
        <v/>
      </c>
      <c r="AU87" s="458" t="str">
        <f>IF(AND($G87='Povolené hodnoty'!$B$14,$H87=AU$4),SUM($I87,$L87,$O87,$R87),"")</f>
        <v/>
      </c>
      <c r="AV87" s="41" t="str">
        <f>IF(AND($G87='Povolené hodnoty'!$B$14,$H87=AV$4),SUM($I87,$L87,$O87,$R87),"")</f>
        <v/>
      </c>
      <c r="AW87" s="39" t="str">
        <f>IF(AND($G87='Povolené hodnoty'!$B$13,$H87=AW$4),SUM($J87,$M87,$P87,$S87),"")</f>
        <v/>
      </c>
      <c r="AX87" s="458" t="str">
        <f>IF(AND($G87='Povolené hodnoty'!$B$13,$H87=AX$4),SUM($J87,$M87,$P87,$S87),"")</f>
        <v/>
      </c>
      <c r="AY87" s="458" t="str">
        <f>IF(AND($G87='Povolené hodnoty'!$B$13,$H87=AY$4),SUM($J87,$M87,$P87,$S87),"")</f>
        <v/>
      </c>
      <c r="AZ87" s="458" t="str">
        <f>IF(AND($G87='Povolené hodnoty'!$B$13,$H87=AZ$4),SUM($J87,$M87,$P87,$S87),"")</f>
        <v/>
      </c>
      <c r="BA87" s="458" t="str">
        <f>IF(AND($G87='Povolené hodnoty'!$B$13,$H87=BA$4),SUM($J87,$M87,$P87,$S87),"")</f>
        <v/>
      </c>
      <c r="BB87" s="40" t="str">
        <f>IF(AND($G87='Povolené hodnoty'!$B$13,$H87=BB$4),SUM($J87,$M87,$P87,$S87),"")</f>
        <v/>
      </c>
      <c r="BC87" s="40" t="str">
        <f>IF(AND($G87='Povolené hodnoty'!$B$13,$H87=BC$4),SUM($J87,$M87,$P87,$S87),"")</f>
        <v/>
      </c>
      <c r="BD87" s="40" t="str">
        <f>IF(AND($G87='Povolené hodnoty'!$B$13,$H87=BD$4),SUM($J87,$M87,$P87,$S87),"")</f>
        <v/>
      </c>
      <c r="BE87" s="41" t="str">
        <f>IF(AND($G87='Povolené hodnoty'!$B$13,$H87=BE$4),SUM($J87,$M87,$P87,$S87),"")</f>
        <v/>
      </c>
      <c r="BF87" s="39" t="str">
        <f>IF(AND($G87='Povolené hodnoty'!$B$14,$H87=BF$4),SUM($J87,$M87,$P87,$S87),"")</f>
        <v/>
      </c>
      <c r="BG87" s="458" t="str">
        <f>IF(AND($G87='Povolené hodnoty'!$B$14,$H87=BG$4),SUM($J87,$M87,$P87,$S87),"")</f>
        <v/>
      </c>
      <c r="BH87" s="458" t="str">
        <f>IF(AND($G87='Povolené hodnoty'!$B$14,$H87=BH$4),SUM($J87,$M87,$P87,$S87),"")</f>
        <v/>
      </c>
      <c r="BI87" s="458" t="str">
        <f>IF(AND($G87='Povolené hodnoty'!$B$14,$H87=BI$4),SUM($J87,$M87,$P87,$S87),"")</f>
        <v/>
      </c>
      <c r="BJ87" s="458" t="str">
        <f>IF(AND($G87='Povolené hodnoty'!$B$14,$H87=BJ$4),SUM($J87,$M87,$P87,$S87),"")</f>
        <v/>
      </c>
      <c r="BK87" s="40" t="str">
        <f>IF(AND($G87='Povolené hodnoty'!$B$14,$H87=BK$4),SUM($J87,$M87,$P87,$S87),"")</f>
        <v/>
      </c>
      <c r="BL87" s="40" t="str">
        <f>IF(AND($G87='Povolené hodnoty'!$B$14,$H87=BL$4),SUM($J87,$M87,$P87,$S87),"")</f>
        <v/>
      </c>
      <c r="BM87" s="41" t="str">
        <f>IF(AND($G87='Povolené hodnoty'!$B$14,$H87=BM$4),SUM($J87,$M87,$P87,$S87),"")</f>
        <v/>
      </c>
      <c r="BO87" s="18" t="b">
        <f t="shared" si="71"/>
        <v>0</v>
      </c>
      <c r="BP87" s="18" t="b">
        <f t="shared" si="42"/>
        <v>0</v>
      </c>
      <c r="BQ87" s="18" t="b">
        <f>AND(E87&lt;&gt;'Povolené hodnoty'!$B$6,F87&lt;&gt;'Povolené hodnoty'!$D$7,F87&lt;&gt;'Povolené hodnoty'!$D$8,OR(SUM(I87,L87,O87,R87)&lt;&gt;SUM(W87:X87,AA87:AG87),SUM(J87,M87,P87,S87)&lt;&gt;SUM(Y87:Z87,AH87:AK87),COUNT(I87:J87,L87:M87,O87:P87,R87:S87)&lt;&gt;COUNT(W87:AK87)))</f>
        <v>0</v>
      </c>
      <c r="BR87" s="18" t="b">
        <f>OR(AND(E87='Povolené hodnoty'!$B$6,$BR$5),AND(E87='Povolené hodnoty'!$B$6,H87&lt;&gt;'Povolené hodnoty'!$E$26,H87&lt;&gt;'Povolené hodnoty'!$E$35),AND(E87&lt;&gt;'Povolené hodnoty'!$B$6,OR(H87='Povolené hodnoty'!$E$26,H87='Povolené hodnoty'!$E$35)))</f>
        <v>0</v>
      </c>
      <c r="BS87" s="18" t="b">
        <f>OR(AND(G87&lt;&gt;'Povolené hodnoty'!$B$13,OR(H87='Povolené hodnoty'!$E$21,H87='Povolené hodnoty'!$E$22,H87='Povolené hodnoty'!$E$23,H87='Povolené hodnoty'!$E$24,H87='Povolené hodnoty'!$E$26,H87='Povolené hodnoty'!$E$36)),COUNT(I87:J87,L87:M87,O87:P87,R87:S87)&lt;&gt;COUNT(AL87:BM87))</f>
        <v>0</v>
      </c>
      <c r="BT87" s="18" t="b">
        <f t="shared" si="43"/>
        <v>0</v>
      </c>
      <c r="BV87" s="39" t="str">
        <f t="shared" si="44"/>
        <v/>
      </c>
      <c r="BW87" s="458" t="str">
        <f t="shared" si="45"/>
        <v/>
      </c>
      <c r="BX87" s="458" t="str">
        <f t="shared" si="46"/>
        <v/>
      </c>
      <c r="BY87" s="458" t="str">
        <f t="shared" si="47"/>
        <v/>
      </c>
      <c r="BZ87" s="458" t="str">
        <f t="shared" si="48"/>
        <v/>
      </c>
      <c r="CA87" s="40" t="str">
        <f t="shared" si="49"/>
        <v/>
      </c>
      <c r="CB87" s="40" t="str">
        <f t="shared" si="50"/>
        <v/>
      </c>
      <c r="CC87" s="39" t="str">
        <f t="shared" si="51"/>
        <v/>
      </c>
      <c r="CD87" s="458" t="str">
        <f t="shared" si="52"/>
        <v/>
      </c>
      <c r="CE87" s="41" t="str">
        <f t="shared" si="53"/>
        <v/>
      </c>
      <c r="CF87" s="39" t="str">
        <f t="shared" si="54"/>
        <v/>
      </c>
      <c r="CG87" s="458" t="str">
        <f t="shared" si="55"/>
        <v/>
      </c>
      <c r="CH87" s="458" t="str">
        <f t="shared" si="56"/>
        <v/>
      </c>
      <c r="CI87" s="458" t="str">
        <f t="shared" si="57"/>
        <v/>
      </c>
      <c r="CJ87" s="458" t="str">
        <f t="shared" si="58"/>
        <v/>
      </c>
      <c r="CK87" s="40" t="str">
        <f t="shared" si="59"/>
        <v/>
      </c>
      <c r="CL87" s="40" t="str">
        <f t="shared" si="60"/>
        <v/>
      </c>
      <c r="CM87" s="40" t="str">
        <f t="shared" si="61"/>
        <v/>
      </c>
      <c r="CN87" s="39" t="str">
        <f t="shared" si="62"/>
        <v/>
      </c>
      <c r="CO87" s="458" t="str">
        <f t="shared" si="63"/>
        <v/>
      </c>
      <c r="CP87" s="458" t="str">
        <f t="shared" si="64"/>
        <v/>
      </c>
      <c r="CQ87" s="458" t="str">
        <f t="shared" si="65"/>
        <v/>
      </c>
      <c r="CR87" s="458" t="str">
        <f t="shared" si="66"/>
        <v/>
      </c>
      <c r="CS87" s="40" t="str">
        <f t="shared" si="67"/>
        <v/>
      </c>
      <c r="CT87" s="40" t="str">
        <f t="shared" si="68"/>
        <v/>
      </c>
      <c r="CU87" s="41" t="str">
        <f t="shared" si="69"/>
        <v/>
      </c>
    </row>
    <row r="88" spans="1:99" x14ac:dyDescent="0.2">
      <c r="A88" s="77">
        <f t="shared" si="70"/>
        <v>83</v>
      </c>
      <c r="B88" s="81"/>
      <c r="C88" s="82"/>
      <c r="D88" s="71"/>
      <c r="E88" s="72"/>
      <c r="F88" s="73"/>
      <c r="G88" s="443"/>
      <c r="H88" s="443"/>
      <c r="I88" s="74"/>
      <c r="J88" s="75"/>
      <c r="K88" s="41">
        <f t="shared" si="39"/>
        <v>3625</v>
      </c>
      <c r="L88" s="104"/>
      <c r="M88" s="105"/>
      <c r="N88" s="106">
        <f t="shared" si="40"/>
        <v>537.05999999999995</v>
      </c>
      <c r="O88" s="104"/>
      <c r="P88" s="105"/>
      <c r="Q88" s="106">
        <f t="shared" si="72"/>
        <v>10045.83</v>
      </c>
      <c r="R88" s="104"/>
      <c r="S88" s="105"/>
      <c r="T88" s="106">
        <f t="shared" si="73"/>
        <v>0</v>
      </c>
      <c r="U88" s="439"/>
      <c r="V88" s="42">
        <f t="shared" si="41"/>
        <v>83</v>
      </c>
      <c r="W88" s="39" t="str">
        <f>IF(AND(E88='Povolené hodnoty'!$B$4,F88=2),I88+L88+O88+R88,"")</f>
        <v/>
      </c>
      <c r="X88" s="41" t="str">
        <f>IF(AND(E88='Povolené hodnoty'!$B$4,F88=1),I88+L88+O88+R88,"")</f>
        <v/>
      </c>
      <c r="Y88" s="39" t="str">
        <f>IF(AND(E88='Povolené hodnoty'!$B$4,F88=10),J88+M88+P88+S88,"")</f>
        <v/>
      </c>
      <c r="Z88" s="41" t="str">
        <f>IF(AND(E88='Povolené hodnoty'!$B$4,F88=9),J88+M88+P88+S88,"")</f>
        <v/>
      </c>
      <c r="AA88" s="39" t="str">
        <f>IF(AND(E88&lt;&gt;'Povolené hodnoty'!$B$4,F88=2),I88+L88+O88+R88,"")</f>
        <v/>
      </c>
      <c r="AB88" s="40" t="str">
        <f>IF(AND(E88&lt;&gt;'Povolené hodnoty'!$B$4,F88=3),I88+L88+O88+R88,"")</f>
        <v/>
      </c>
      <c r="AC88" s="40" t="str">
        <f>IF(AND(E88&lt;&gt;'Povolené hodnoty'!$B$4,F88=4),I88+L88+O88+R88,"")</f>
        <v/>
      </c>
      <c r="AD88" s="40" t="str">
        <f>IF(AND(E88&lt;&gt;'Povolené hodnoty'!$B$4,F88="5a"),I88-J88+L88-M88+O88-P88+R88-S88,"")</f>
        <v/>
      </c>
      <c r="AE88" s="40" t="str">
        <f>IF(AND(E88&lt;&gt;'Povolené hodnoty'!$B$4,F88="5b"),I88-J88+L88-M88+O88-P88+R88-S88,"")</f>
        <v/>
      </c>
      <c r="AF88" s="40" t="str">
        <f>IF(AND(E88&lt;&gt;'Povolené hodnoty'!$B$4,F88=6),I88+L88+O88+R88,"")</f>
        <v/>
      </c>
      <c r="AG88" s="41" t="str">
        <f>IF(AND(E88&lt;&gt;'Povolené hodnoty'!$B$4,F88=7),I88+L88+O88+R88,"")</f>
        <v/>
      </c>
      <c r="AH88" s="39" t="str">
        <f>IF(AND(E88&lt;&gt;'Povolené hodnoty'!$B$4,F88=10),J88+M88+P88+S88,"")</f>
        <v/>
      </c>
      <c r="AI88" s="40" t="str">
        <f>IF(AND(E88&lt;&gt;'Povolené hodnoty'!$B$4,F88=11),J88+M88+P88+S88,"")</f>
        <v/>
      </c>
      <c r="AJ88" s="40" t="str">
        <f>IF(AND(E88&lt;&gt;'Povolené hodnoty'!$B$4,F88=12),J88+M88+P88+S88,"")</f>
        <v/>
      </c>
      <c r="AK88" s="41" t="str">
        <f>IF(AND(E88&lt;&gt;'Povolené hodnoty'!$B$4,F88=13),J88+M88+P88+S88,"")</f>
        <v/>
      </c>
      <c r="AL88" s="39" t="str">
        <f>IF(AND($G88='Povolené hodnoty'!$B$13,$H88=AL$4),SUM($I88,$L88,$O88,$R88),"")</f>
        <v/>
      </c>
      <c r="AM88" s="458" t="str">
        <f>IF(AND($G88='Povolené hodnoty'!$B$13,$H88=AM$4),SUM($I88,$L88,$O88,$R88),"")</f>
        <v/>
      </c>
      <c r="AN88" s="458" t="str">
        <f>IF(AND($G88='Povolené hodnoty'!$B$13,$H88=AN$4),SUM($I88,$L88,$O88,$R88),"")</f>
        <v/>
      </c>
      <c r="AO88" s="458" t="str">
        <f>IF(AND($G88='Povolené hodnoty'!$B$13,$H88=AO$4),SUM($I88,$L88,$O88,$R88),"")</f>
        <v/>
      </c>
      <c r="AP88" s="458" t="str">
        <f>IF(AND($G88='Povolené hodnoty'!$B$13,$H88=AP$4),SUM($I88,$L88,$O88,$R88),"")</f>
        <v/>
      </c>
      <c r="AQ88" s="40" t="str">
        <f>IF(AND($G88='Povolené hodnoty'!$B$13,OR($H88=AQ$4,$H88='Povolené hodnoty'!$E$36)),SUM($I88,-$J88,$L88,-$M88,$O88,-$P88,$R88,-$S88),"")</f>
        <v/>
      </c>
      <c r="AR88" s="40" t="str">
        <f>IF(AND($G88='Povolené hodnoty'!$B$13,$H88=AR$4),SUM($I88,$L88,$O88,$R88),"")</f>
        <v/>
      </c>
      <c r="AS88" s="41" t="str">
        <f>IF(AND($G88='Povolené hodnoty'!$B$13,$H88=AS$4),SUM($I88,$L88,$O88,$R88),"")</f>
        <v/>
      </c>
      <c r="AT88" s="39" t="str">
        <f>IF(AND($G88='Povolené hodnoty'!$B$14,$H88=AT$4),SUM($I88,$L88,$O88,$R88),"")</f>
        <v/>
      </c>
      <c r="AU88" s="458" t="str">
        <f>IF(AND($G88='Povolené hodnoty'!$B$14,$H88=AU$4),SUM($I88,$L88,$O88,$R88),"")</f>
        <v/>
      </c>
      <c r="AV88" s="41" t="str">
        <f>IF(AND($G88='Povolené hodnoty'!$B$14,$H88=AV$4),SUM($I88,$L88,$O88,$R88),"")</f>
        <v/>
      </c>
      <c r="AW88" s="39" t="str">
        <f>IF(AND($G88='Povolené hodnoty'!$B$13,$H88=AW$4),SUM($J88,$M88,$P88,$S88),"")</f>
        <v/>
      </c>
      <c r="AX88" s="458" t="str">
        <f>IF(AND($G88='Povolené hodnoty'!$B$13,$H88=AX$4),SUM($J88,$M88,$P88,$S88),"")</f>
        <v/>
      </c>
      <c r="AY88" s="458" t="str">
        <f>IF(AND($G88='Povolené hodnoty'!$B$13,$H88=AY$4),SUM($J88,$M88,$P88,$S88),"")</f>
        <v/>
      </c>
      <c r="AZ88" s="458" t="str">
        <f>IF(AND($G88='Povolené hodnoty'!$B$13,$H88=AZ$4),SUM($J88,$M88,$P88,$S88),"")</f>
        <v/>
      </c>
      <c r="BA88" s="458" t="str">
        <f>IF(AND($G88='Povolené hodnoty'!$B$13,$H88=BA$4),SUM($J88,$M88,$P88,$S88),"")</f>
        <v/>
      </c>
      <c r="BB88" s="40" t="str">
        <f>IF(AND($G88='Povolené hodnoty'!$B$13,$H88=BB$4),SUM($J88,$M88,$P88,$S88),"")</f>
        <v/>
      </c>
      <c r="BC88" s="40" t="str">
        <f>IF(AND($G88='Povolené hodnoty'!$B$13,$H88=BC$4),SUM($J88,$M88,$P88,$S88),"")</f>
        <v/>
      </c>
      <c r="BD88" s="40" t="str">
        <f>IF(AND($G88='Povolené hodnoty'!$B$13,$H88=BD$4),SUM($J88,$M88,$P88,$S88),"")</f>
        <v/>
      </c>
      <c r="BE88" s="41" t="str">
        <f>IF(AND($G88='Povolené hodnoty'!$B$13,$H88=BE$4),SUM($J88,$M88,$P88,$S88),"")</f>
        <v/>
      </c>
      <c r="BF88" s="39" t="str">
        <f>IF(AND($G88='Povolené hodnoty'!$B$14,$H88=BF$4),SUM($J88,$M88,$P88,$S88),"")</f>
        <v/>
      </c>
      <c r="BG88" s="458" t="str">
        <f>IF(AND($G88='Povolené hodnoty'!$B$14,$H88=BG$4),SUM($J88,$M88,$P88,$S88),"")</f>
        <v/>
      </c>
      <c r="BH88" s="458" t="str">
        <f>IF(AND($G88='Povolené hodnoty'!$B$14,$H88=BH$4),SUM($J88,$M88,$P88,$S88),"")</f>
        <v/>
      </c>
      <c r="BI88" s="458" t="str">
        <f>IF(AND($G88='Povolené hodnoty'!$B$14,$H88=BI$4),SUM($J88,$M88,$P88,$S88),"")</f>
        <v/>
      </c>
      <c r="BJ88" s="458" t="str">
        <f>IF(AND($G88='Povolené hodnoty'!$B$14,$H88=BJ$4),SUM($J88,$M88,$P88,$S88),"")</f>
        <v/>
      </c>
      <c r="BK88" s="40" t="str">
        <f>IF(AND($G88='Povolené hodnoty'!$B$14,$H88=BK$4),SUM($J88,$M88,$P88,$S88),"")</f>
        <v/>
      </c>
      <c r="BL88" s="40" t="str">
        <f>IF(AND($G88='Povolené hodnoty'!$B$14,$H88=BL$4),SUM($J88,$M88,$P88,$S88),"")</f>
        <v/>
      </c>
      <c r="BM88" s="41" t="str">
        <f>IF(AND($G88='Povolené hodnoty'!$B$14,$H88=BM$4),SUM($J88,$M88,$P88,$S88),"")</f>
        <v/>
      </c>
      <c r="BO88" s="18" t="b">
        <f t="shared" si="71"/>
        <v>0</v>
      </c>
      <c r="BP88" s="18" t="b">
        <f t="shared" si="42"/>
        <v>0</v>
      </c>
      <c r="BQ88" s="18" t="b">
        <f>AND(E88&lt;&gt;'Povolené hodnoty'!$B$6,F88&lt;&gt;'Povolené hodnoty'!$D$7,F88&lt;&gt;'Povolené hodnoty'!$D$8,OR(SUM(I88,L88,O88,R88)&lt;&gt;SUM(W88:X88,AA88:AG88),SUM(J88,M88,P88,S88)&lt;&gt;SUM(Y88:Z88,AH88:AK88),COUNT(I88:J88,L88:M88,O88:P88,R88:S88)&lt;&gt;COUNT(W88:AK88)))</f>
        <v>0</v>
      </c>
      <c r="BR88" s="18" t="b">
        <f>OR(AND(E88='Povolené hodnoty'!$B$6,$BR$5),AND(E88='Povolené hodnoty'!$B$6,H88&lt;&gt;'Povolené hodnoty'!$E$26,H88&lt;&gt;'Povolené hodnoty'!$E$35),AND(E88&lt;&gt;'Povolené hodnoty'!$B$6,OR(H88='Povolené hodnoty'!$E$26,H88='Povolené hodnoty'!$E$35)))</f>
        <v>0</v>
      </c>
      <c r="BS88" s="18" t="b">
        <f>OR(AND(G88&lt;&gt;'Povolené hodnoty'!$B$13,OR(H88='Povolené hodnoty'!$E$21,H88='Povolené hodnoty'!$E$22,H88='Povolené hodnoty'!$E$23,H88='Povolené hodnoty'!$E$24,H88='Povolené hodnoty'!$E$26,H88='Povolené hodnoty'!$E$36)),COUNT(I88:J88,L88:M88,O88:P88,R88:S88)&lt;&gt;COUNT(AL88:BM88))</f>
        <v>0</v>
      </c>
      <c r="BT88" s="18" t="b">
        <f t="shared" si="43"/>
        <v>0</v>
      </c>
      <c r="BV88" s="39" t="str">
        <f t="shared" si="44"/>
        <v/>
      </c>
      <c r="BW88" s="458" t="str">
        <f t="shared" si="45"/>
        <v/>
      </c>
      <c r="BX88" s="458" t="str">
        <f t="shared" si="46"/>
        <v/>
      </c>
      <c r="BY88" s="458" t="str">
        <f t="shared" si="47"/>
        <v/>
      </c>
      <c r="BZ88" s="458" t="str">
        <f t="shared" si="48"/>
        <v/>
      </c>
      <c r="CA88" s="40" t="str">
        <f t="shared" si="49"/>
        <v/>
      </c>
      <c r="CB88" s="40" t="str">
        <f t="shared" si="50"/>
        <v/>
      </c>
      <c r="CC88" s="39" t="str">
        <f t="shared" si="51"/>
        <v/>
      </c>
      <c r="CD88" s="458" t="str">
        <f t="shared" si="52"/>
        <v/>
      </c>
      <c r="CE88" s="41" t="str">
        <f t="shared" si="53"/>
        <v/>
      </c>
      <c r="CF88" s="39" t="str">
        <f t="shared" si="54"/>
        <v/>
      </c>
      <c r="CG88" s="458" t="str">
        <f t="shared" si="55"/>
        <v/>
      </c>
      <c r="CH88" s="458" t="str">
        <f t="shared" si="56"/>
        <v/>
      </c>
      <c r="CI88" s="458" t="str">
        <f t="shared" si="57"/>
        <v/>
      </c>
      <c r="CJ88" s="458" t="str">
        <f t="shared" si="58"/>
        <v/>
      </c>
      <c r="CK88" s="40" t="str">
        <f t="shared" si="59"/>
        <v/>
      </c>
      <c r="CL88" s="40" t="str">
        <f t="shared" si="60"/>
        <v/>
      </c>
      <c r="CM88" s="40" t="str">
        <f t="shared" si="61"/>
        <v/>
      </c>
      <c r="CN88" s="39" t="str">
        <f t="shared" si="62"/>
        <v/>
      </c>
      <c r="CO88" s="458" t="str">
        <f t="shared" si="63"/>
        <v/>
      </c>
      <c r="CP88" s="458" t="str">
        <f t="shared" si="64"/>
        <v/>
      </c>
      <c r="CQ88" s="458" t="str">
        <f t="shared" si="65"/>
        <v/>
      </c>
      <c r="CR88" s="458" t="str">
        <f t="shared" si="66"/>
        <v/>
      </c>
      <c r="CS88" s="40" t="str">
        <f t="shared" si="67"/>
        <v/>
      </c>
      <c r="CT88" s="40" t="str">
        <f t="shared" si="68"/>
        <v/>
      </c>
      <c r="CU88" s="41" t="str">
        <f t="shared" si="69"/>
        <v/>
      </c>
    </row>
    <row r="89" spans="1:99" x14ac:dyDescent="0.2">
      <c r="A89" s="77">
        <f t="shared" si="70"/>
        <v>84</v>
      </c>
      <c r="B89" s="81"/>
      <c r="C89" s="82"/>
      <c r="D89" s="71"/>
      <c r="E89" s="72"/>
      <c r="F89" s="73"/>
      <c r="G89" s="443"/>
      <c r="H89" s="443"/>
      <c r="I89" s="74"/>
      <c r="J89" s="75"/>
      <c r="K89" s="41">
        <f t="shared" si="39"/>
        <v>3625</v>
      </c>
      <c r="L89" s="104"/>
      <c r="M89" s="105"/>
      <c r="N89" s="106">
        <f t="shared" si="40"/>
        <v>537.05999999999995</v>
      </c>
      <c r="O89" s="104"/>
      <c r="P89" s="105"/>
      <c r="Q89" s="106">
        <f t="shared" si="72"/>
        <v>10045.83</v>
      </c>
      <c r="R89" s="104"/>
      <c r="S89" s="105"/>
      <c r="T89" s="106">
        <f t="shared" si="73"/>
        <v>0</v>
      </c>
      <c r="U89" s="439"/>
      <c r="V89" s="42">
        <f t="shared" si="41"/>
        <v>84</v>
      </c>
      <c r="W89" s="39" t="str">
        <f>IF(AND(E89='Povolené hodnoty'!$B$4,F89=2),I89+L89+O89+R89,"")</f>
        <v/>
      </c>
      <c r="X89" s="41" t="str">
        <f>IF(AND(E89='Povolené hodnoty'!$B$4,F89=1),I89+L89+O89+R89,"")</f>
        <v/>
      </c>
      <c r="Y89" s="39" t="str">
        <f>IF(AND(E89='Povolené hodnoty'!$B$4,F89=10),J89+M89+P89+S89,"")</f>
        <v/>
      </c>
      <c r="Z89" s="41" t="str">
        <f>IF(AND(E89='Povolené hodnoty'!$B$4,F89=9),J89+M89+P89+S89,"")</f>
        <v/>
      </c>
      <c r="AA89" s="39" t="str">
        <f>IF(AND(E89&lt;&gt;'Povolené hodnoty'!$B$4,F89=2),I89+L89+O89+R89,"")</f>
        <v/>
      </c>
      <c r="AB89" s="40" t="str">
        <f>IF(AND(E89&lt;&gt;'Povolené hodnoty'!$B$4,F89=3),I89+L89+O89+R89,"")</f>
        <v/>
      </c>
      <c r="AC89" s="40" t="str">
        <f>IF(AND(E89&lt;&gt;'Povolené hodnoty'!$B$4,F89=4),I89+L89+O89+R89,"")</f>
        <v/>
      </c>
      <c r="AD89" s="40" t="str">
        <f>IF(AND(E89&lt;&gt;'Povolené hodnoty'!$B$4,F89="5a"),I89-J89+L89-M89+O89-P89+R89-S89,"")</f>
        <v/>
      </c>
      <c r="AE89" s="40" t="str">
        <f>IF(AND(E89&lt;&gt;'Povolené hodnoty'!$B$4,F89="5b"),I89-J89+L89-M89+O89-P89+R89-S89,"")</f>
        <v/>
      </c>
      <c r="AF89" s="40" t="str">
        <f>IF(AND(E89&lt;&gt;'Povolené hodnoty'!$B$4,F89=6),I89+L89+O89+R89,"")</f>
        <v/>
      </c>
      <c r="AG89" s="41" t="str">
        <f>IF(AND(E89&lt;&gt;'Povolené hodnoty'!$B$4,F89=7),I89+L89+O89+R89,"")</f>
        <v/>
      </c>
      <c r="AH89" s="39" t="str">
        <f>IF(AND(E89&lt;&gt;'Povolené hodnoty'!$B$4,F89=10),J89+M89+P89+S89,"")</f>
        <v/>
      </c>
      <c r="AI89" s="40" t="str">
        <f>IF(AND(E89&lt;&gt;'Povolené hodnoty'!$B$4,F89=11),J89+M89+P89+S89,"")</f>
        <v/>
      </c>
      <c r="AJ89" s="40" t="str">
        <f>IF(AND(E89&lt;&gt;'Povolené hodnoty'!$B$4,F89=12),J89+M89+P89+S89,"")</f>
        <v/>
      </c>
      <c r="AK89" s="41" t="str">
        <f>IF(AND(E89&lt;&gt;'Povolené hodnoty'!$B$4,F89=13),J89+M89+P89+S89,"")</f>
        <v/>
      </c>
      <c r="AL89" s="39" t="str">
        <f>IF(AND($G89='Povolené hodnoty'!$B$13,$H89=AL$4),SUM($I89,$L89,$O89,$R89),"")</f>
        <v/>
      </c>
      <c r="AM89" s="458" t="str">
        <f>IF(AND($G89='Povolené hodnoty'!$B$13,$H89=AM$4),SUM($I89,$L89,$O89,$R89),"")</f>
        <v/>
      </c>
      <c r="AN89" s="458" t="str">
        <f>IF(AND($G89='Povolené hodnoty'!$B$13,$H89=AN$4),SUM($I89,$L89,$O89,$R89),"")</f>
        <v/>
      </c>
      <c r="AO89" s="458" t="str">
        <f>IF(AND($G89='Povolené hodnoty'!$B$13,$H89=AO$4),SUM($I89,$L89,$O89,$R89),"")</f>
        <v/>
      </c>
      <c r="AP89" s="458" t="str">
        <f>IF(AND($G89='Povolené hodnoty'!$B$13,$H89=AP$4),SUM($I89,$L89,$O89,$R89),"")</f>
        <v/>
      </c>
      <c r="AQ89" s="40" t="str">
        <f>IF(AND($G89='Povolené hodnoty'!$B$13,OR($H89=AQ$4,$H89='Povolené hodnoty'!$E$36)),SUM($I89,-$J89,$L89,-$M89,$O89,-$P89,$R89,-$S89),"")</f>
        <v/>
      </c>
      <c r="AR89" s="40" t="str">
        <f>IF(AND($G89='Povolené hodnoty'!$B$13,$H89=AR$4),SUM($I89,$L89,$O89,$R89),"")</f>
        <v/>
      </c>
      <c r="AS89" s="41" t="str">
        <f>IF(AND($G89='Povolené hodnoty'!$B$13,$H89=AS$4),SUM($I89,$L89,$O89,$R89),"")</f>
        <v/>
      </c>
      <c r="AT89" s="39" t="str">
        <f>IF(AND($G89='Povolené hodnoty'!$B$14,$H89=AT$4),SUM($I89,$L89,$O89,$R89),"")</f>
        <v/>
      </c>
      <c r="AU89" s="458" t="str">
        <f>IF(AND($G89='Povolené hodnoty'!$B$14,$H89=AU$4),SUM($I89,$L89,$O89,$R89),"")</f>
        <v/>
      </c>
      <c r="AV89" s="41" t="str">
        <f>IF(AND($G89='Povolené hodnoty'!$B$14,$H89=AV$4),SUM($I89,$L89,$O89,$R89),"")</f>
        <v/>
      </c>
      <c r="AW89" s="39" t="str">
        <f>IF(AND($G89='Povolené hodnoty'!$B$13,$H89=AW$4),SUM($J89,$M89,$P89,$S89),"")</f>
        <v/>
      </c>
      <c r="AX89" s="458" t="str">
        <f>IF(AND($G89='Povolené hodnoty'!$B$13,$H89=AX$4),SUM($J89,$M89,$P89,$S89),"")</f>
        <v/>
      </c>
      <c r="AY89" s="458" t="str">
        <f>IF(AND($G89='Povolené hodnoty'!$B$13,$H89=AY$4),SUM($J89,$M89,$P89,$S89),"")</f>
        <v/>
      </c>
      <c r="AZ89" s="458" t="str">
        <f>IF(AND($G89='Povolené hodnoty'!$B$13,$H89=AZ$4),SUM($J89,$M89,$P89,$S89),"")</f>
        <v/>
      </c>
      <c r="BA89" s="458" t="str">
        <f>IF(AND($G89='Povolené hodnoty'!$B$13,$H89=BA$4),SUM($J89,$M89,$P89,$S89),"")</f>
        <v/>
      </c>
      <c r="BB89" s="40" t="str">
        <f>IF(AND($G89='Povolené hodnoty'!$B$13,$H89=BB$4),SUM($J89,$M89,$P89,$S89),"")</f>
        <v/>
      </c>
      <c r="BC89" s="40" t="str">
        <f>IF(AND($G89='Povolené hodnoty'!$B$13,$H89=BC$4),SUM($J89,$M89,$P89,$S89),"")</f>
        <v/>
      </c>
      <c r="BD89" s="40" t="str">
        <f>IF(AND($G89='Povolené hodnoty'!$B$13,$H89=BD$4),SUM($J89,$M89,$P89,$S89),"")</f>
        <v/>
      </c>
      <c r="BE89" s="41" t="str">
        <f>IF(AND($G89='Povolené hodnoty'!$B$13,$H89=BE$4),SUM($J89,$M89,$P89,$S89),"")</f>
        <v/>
      </c>
      <c r="BF89" s="39" t="str">
        <f>IF(AND($G89='Povolené hodnoty'!$B$14,$H89=BF$4),SUM($J89,$M89,$P89,$S89),"")</f>
        <v/>
      </c>
      <c r="BG89" s="458" t="str">
        <f>IF(AND($G89='Povolené hodnoty'!$B$14,$H89=BG$4),SUM($J89,$M89,$P89,$S89),"")</f>
        <v/>
      </c>
      <c r="BH89" s="458" t="str">
        <f>IF(AND($G89='Povolené hodnoty'!$B$14,$H89=BH$4),SUM($J89,$M89,$P89,$S89),"")</f>
        <v/>
      </c>
      <c r="BI89" s="458" t="str">
        <f>IF(AND($G89='Povolené hodnoty'!$B$14,$H89=BI$4),SUM($J89,$M89,$P89,$S89),"")</f>
        <v/>
      </c>
      <c r="BJ89" s="458" t="str">
        <f>IF(AND($G89='Povolené hodnoty'!$B$14,$H89=BJ$4),SUM($J89,$M89,$P89,$S89),"")</f>
        <v/>
      </c>
      <c r="BK89" s="40" t="str">
        <f>IF(AND($G89='Povolené hodnoty'!$B$14,$H89=BK$4),SUM($J89,$M89,$P89,$S89),"")</f>
        <v/>
      </c>
      <c r="BL89" s="40" t="str">
        <f>IF(AND($G89='Povolené hodnoty'!$B$14,$H89=BL$4),SUM($J89,$M89,$P89,$S89),"")</f>
        <v/>
      </c>
      <c r="BM89" s="41" t="str">
        <f>IF(AND($G89='Povolené hodnoty'!$B$14,$H89=BM$4),SUM($J89,$M89,$P89,$S89),"")</f>
        <v/>
      </c>
      <c r="BO89" s="18" t="b">
        <f t="shared" si="71"/>
        <v>0</v>
      </c>
      <c r="BP89" s="18" t="b">
        <f t="shared" si="42"/>
        <v>0</v>
      </c>
      <c r="BQ89" s="18" t="b">
        <f>AND(E89&lt;&gt;'Povolené hodnoty'!$B$6,F89&lt;&gt;'Povolené hodnoty'!$D$7,F89&lt;&gt;'Povolené hodnoty'!$D$8,OR(SUM(I89,L89,O89,R89)&lt;&gt;SUM(W89:X89,AA89:AG89),SUM(J89,M89,P89,S89)&lt;&gt;SUM(Y89:Z89,AH89:AK89),COUNT(I89:J89,L89:M89,O89:P89,R89:S89)&lt;&gt;COUNT(W89:AK89)))</f>
        <v>0</v>
      </c>
      <c r="BR89" s="18" t="b">
        <f>OR(AND(E89='Povolené hodnoty'!$B$6,$BR$5),AND(E89='Povolené hodnoty'!$B$6,H89&lt;&gt;'Povolené hodnoty'!$E$26,H89&lt;&gt;'Povolené hodnoty'!$E$35),AND(E89&lt;&gt;'Povolené hodnoty'!$B$6,OR(H89='Povolené hodnoty'!$E$26,H89='Povolené hodnoty'!$E$35)))</f>
        <v>0</v>
      </c>
      <c r="BS89" s="18" t="b">
        <f>OR(AND(G89&lt;&gt;'Povolené hodnoty'!$B$13,OR(H89='Povolené hodnoty'!$E$21,H89='Povolené hodnoty'!$E$22,H89='Povolené hodnoty'!$E$23,H89='Povolené hodnoty'!$E$24,H89='Povolené hodnoty'!$E$26,H89='Povolené hodnoty'!$E$36)),COUNT(I89:J89,L89:M89,O89:P89,R89:S89)&lt;&gt;COUNT(AL89:BM89))</f>
        <v>0</v>
      </c>
      <c r="BT89" s="18" t="b">
        <f t="shared" si="43"/>
        <v>0</v>
      </c>
      <c r="BV89" s="39" t="str">
        <f t="shared" si="44"/>
        <v/>
      </c>
      <c r="BW89" s="458" t="str">
        <f t="shared" si="45"/>
        <v/>
      </c>
      <c r="BX89" s="458" t="str">
        <f t="shared" si="46"/>
        <v/>
      </c>
      <c r="BY89" s="458" t="str">
        <f t="shared" si="47"/>
        <v/>
      </c>
      <c r="BZ89" s="458" t="str">
        <f t="shared" si="48"/>
        <v/>
      </c>
      <c r="CA89" s="40" t="str">
        <f t="shared" si="49"/>
        <v/>
      </c>
      <c r="CB89" s="40" t="str">
        <f t="shared" si="50"/>
        <v/>
      </c>
      <c r="CC89" s="39" t="str">
        <f t="shared" si="51"/>
        <v/>
      </c>
      <c r="CD89" s="458" t="str">
        <f t="shared" si="52"/>
        <v/>
      </c>
      <c r="CE89" s="41" t="str">
        <f t="shared" si="53"/>
        <v/>
      </c>
      <c r="CF89" s="39" t="str">
        <f t="shared" si="54"/>
        <v/>
      </c>
      <c r="CG89" s="458" t="str">
        <f t="shared" si="55"/>
        <v/>
      </c>
      <c r="CH89" s="458" t="str">
        <f t="shared" si="56"/>
        <v/>
      </c>
      <c r="CI89" s="458" t="str">
        <f t="shared" si="57"/>
        <v/>
      </c>
      <c r="CJ89" s="458" t="str">
        <f t="shared" si="58"/>
        <v/>
      </c>
      <c r="CK89" s="40" t="str">
        <f t="shared" si="59"/>
        <v/>
      </c>
      <c r="CL89" s="40" t="str">
        <f t="shared" si="60"/>
        <v/>
      </c>
      <c r="CM89" s="40" t="str">
        <f t="shared" si="61"/>
        <v/>
      </c>
      <c r="CN89" s="39" t="str">
        <f t="shared" si="62"/>
        <v/>
      </c>
      <c r="CO89" s="458" t="str">
        <f t="shared" si="63"/>
        <v/>
      </c>
      <c r="CP89" s="458" t="str">
        <f t="shared" si="64"/>
        <v/>
      </c>
      <c r="CQ89" s="458" t="str">
        <f t="shared" si="65"/>
        <v/>
      </c>
      <c r="CR89" s="458" t="str">
        <f t="shared" si="66"/>
        <v/>
      </c>
      <c r="CS89" s="40" t="str">
        <f t="shared" si="67"/>
        <v/>
      </c>
      <c r="CT89" s="40" t="str">
        <f t="shared" si="68"/>
        <v/>
      </c>
      <c r="CU89" s="41" t="str">
        <f t="shared" si="69"/>
        <v/>
      </c>
    </row>
    <row r="90" spans="1:99" x14ac:dyDescent="0.2">
      <c r="A90" s="77">
        <f t="shared" si="70"/>
        <v>85</v>
      </c>
      <c r="B90" s="81"/>
      <c r="C90" s="82"/>
      <c r="D90" s="71"/>
      <c r="E90" s="72"/>
      <c r="F90" s="73"/>
      <c r="G90" s="443"/>
      <c r="H90" s="443"/>
      <c r="I90" s="74"/>
      <c r="J90" s="75"/>
      <c r="K90" s="41">
        <f t="shared" si="39"/>
        <v>3625</v>
      </c>
      <c r="L90" s="104"/>
      <c r="M90" s="105"/>
      <c r="N90" s="106">
        <f t="shared" si="40"/>
        <v>537.05999999999995</v>
      </c>
      <c r="O90" s="104"/>
      <c r="P90" s="105"/>
      <c r="Q90" s="106">
        <f t="shared" si="72"/>
        <v>10045.83</v>
      </c>
      <c r="R90" s="104"/>
      <c r="S90" s="105"/>
      <c r="T90" s="106">
        <f t="shared" si="73"/>
        <v>0</v>
      </c>
      <c r="U90" s="439"/>
      <c r="V90" s="42">
        <f t="shared" si="41"/>
        <v>85</v>
      </c>
      <c r="W90" s="39" t="str">
        <f>IF(AND(E90='Povolené hodnoty'!$B$4,F90=2),I90+L90+O90+R90,"")</f>
        <v/>
      </c>
      <c r="X90" s="41" t="str">
        <f>IF(AND(E90='Povolené hodnoty'!$B$4,F90=1),I90+L90+O90+R90,"")</f>
        <v/>
      </c>
      <c r="Y90" s="39" t="str">
        <f>IF(AND(E90='Povolené hodnoty'!$B$4,F90=10),J90+M90+P90+S90,"")</f>
        <v/>
      </c>
      <c r="Z90" s="41" t="str">
        <f>IF(AND(E90='Povolené hodnoty'!$B$4,F90=9),J90+M90+P90+S90,"")</f>
        <v/>
      </c>
      <c r="AA90" s="39" t="str">
        <f>IF(AND(E90&lt;&gt;'Povolené hodnoty'!$B$4,F90=2),I90+L90+O90+R90,"")</f>
        <v/>
      </c>
      <c r="AB90" s="40" t="str">
        <f>IF(AND(E90&lt;&gt;'Povolené hodnoty'!$B$4,F90=3),I90+L90+O90+R90,"")</f>
        <v/>
      </c>
      <c r="AC90" s="40" t="str">
        <f>IF(AND(E90&lt;&gt;'Povolené hodnoty'!$B$4,F90=4),I90+L90+O90+R90,"")</f>
        <v/>
      </c>
      <c r="AD90" s="40" t="str">
        <f>IF(AND(E90&lt;&gt;'Povolené hodnoty'!$B$4,F90="5a"),I90-J90+L90-M90+O90-P90+R90-S90,"")</f>
        <v/>
      </c>
      <c r="AE90" s="40" t="str">
        <f>IF(AND(E90&lt;&gt;'Povolené hodnoty'!$B$4,F90="5b"),I90-J90+L90-M90+O90-P90+R90-S90,"")</f>
        <v/>
      </c>
      <c r="AF90" s="40" t="str">
        <f>IF(AND(E90&lt;&gt;'Povolené hodnoty'!$B$4,F90=6),I90+L90+O90+R90,"")</f>
        <v/>
      </c>
      <c r="AG90" s="41" t="str">
        <f>IF(AND(E90&lt;&gt;'Povolené hodnoty'!$B$4,F90=7),I90+L90+O90+R90,"")</f>
        <v/>
      </c>
      <c r="AH90" s="39" t="str">
        <f>IF(AND(E90&lt;&gt;'Povolené hodnoty'!$B$4,F90=10),J90+M90+P90+S90,"")</f>
        <v/>
      </c>
      <c r="AI90" s="40" t="str">
        <f>IF(AND(E90&lt;&gt;'Povolené hodnoty'!$B$4,F90=11),J90+M90+P90+S90,"")</f>
        <v/>
      </c>
      <c r="AJ90" s="40" t="str">
        <f>IF(AND(E90&lt;&gt;'Povolené hodnoty'!$B$4,F90=12),J90+M90+P90+S90,"")</f>
        <v/>
      </c>
      <c r="AK90" s="41" t="str">
        <f>IF(AND(E90&lt;&gt;'Povolené hodnoty'!$B$4,F90=13),J90+M90+P90+S90,"")</f>
        <v/>
      </c>
      <c r="AL90" s="39" t="str">
        <f>IF(AND($G90='Povolené hodnoty'!$B$13,$H90=AL$4),SUM($I90,$L90,$O90,$R90),"")</f>
        <v/>
      </c>
      <c r="AM90" s="458" t="str">
        <f>IF(AND($G90='Povolené hodnoty'!$B$13,$H90=AM$4),SUM($I90,$L90,$O90,$R90),"")</f>
        <v/>
      </c>
      <c r="AN90" s="458" t="str">
        <f>IF(AND($G90='Povolené hodnoty'!$B$13,$H90=AN$4),SUM($I90,$L90,$O90,$R90),"")</f>
        <v/>
      </c>
      <c r="AO90" s="458" t="str">
        <f>IF(AND($G90='Povolené hodnoty'!$B$13,$H90=AO$4),SUM($I90,$L90,$O90,$R90),"")</f>
        <v/>
      </c>
      <c r="AP90" s="458" t="str">
        <f>IF(AND($G90='Povolené hodnoty'!$B$13,$H90=AP$4),SUM($I90,$L90,$O90,$R90),"")</f>
        <v/>
      </c>
      <c r="AQ90" s="40" t="str">
        <f>IF(AND($G90='Povolené hodnoty'!$B$13,OR($H90=AQ$4,$H90='Povolené hodnoty'!$E$36)),SUM($I90,-$J90,$L90,-$M90,$O90,-$P90,$R90,-$S90),"")</f>
        <v/>
      </c>
      <c r="AR90" s="40" t="str">
        <f>IF(AND($G90='Povolené hodnoty'!$B$13,$H90=AR$4),SUM($I90,$L90,$O90,$R90),"")</f>
        <v/>
      </c>
      <c r="AS90" s="41" t="str">
        <f>IF(AND($G90='Povolené hodnoty'!$B$13,$H90=AS$4),SUM($I90,$L90,$O90,$R90),"")</f>
        <v/>
      </c>
      <c r="AT90" s="39" t="str">
        <f>IF(AND($G90='Povolené hodnoty'!$B$14,$H90=AT$4),SUM($I90,$L90,$O90,$R90),"")</f>
        <v/>
      </c>
      <c r="AU90" s="458" t="str">
        <f>IF(AND($G90='Povolené hodnoty'!$B$14,$H90=AU$4),SUM($I90,$L90,$O90,$R90),"")</f>
        <v/>
      </c>
      <c r="AV90" s="41" t="str">
        <f>IF(AND($G90='Povolené hodnoty'!$B$14,$H90=AV$4),SUM($I90,$L90,$O90,$R90),"")</f>
        <v/>
      </c>
      <c r="AW90" s="39" t="str">
        <f>IF(AND($G90='Povolené hodnoty'!$B$13,$H90=AW$4),SUM($J90,$M90,$P90,$S90),"")</f>
        <v/>
      </c>
      <c r="AX90" s="458" t="str">
        <f>IF(AND($G90='Povolené hodnoty'!$B$13,$H90=AX$4),SUM($J90,$M90,$P90,$S90),"")</f>
        <v/>
      </c>
      <c r="AY90" s="458" t="str">
        <f>IF(AND($G90='Povolené hodnoty'!$B$13,$H90=AY$4),SUM($J90,$M90,$P90,$S90),"")</f>
        <v/>
      </c>
      <c r="AZ90" s="458" t="str">
        <f>IF(AND($G90='Povolené hodnoty'!$B$13,$H90=AZ$4),SUM($J90,$M90,$P90,$S90),"")</f>
        <v/>
      </c>
      <c r="BA90" s="458" t="str">
        <f>IF(AND($G90='Povolené hodnoty'!$B$13,$H90=BA$4),SUM($J90,$M90,$P90,$S90),"")</f>
        <v/>
      </c>
      <c r="BB90" s="40" t="str">
        <f>IF(AND($G90='Povolené hodnoty'!$B$13,$H90=BB$4),SUM($J90,$M90,$P90,$S90),"")</f>
        <v/>
      </c>
      <c r="BC90" s="40" t="str">
        <f>IF(AND($G90='Povolené hodnoty'!$B$13,$H90=BC$4),SUM($J90,$M90,$P90,$S90),"")</f>
        <v/>
      </c>
      <c r="BD90" s="40" t="str">
        <f>IF(AND($G90='Povolené hodnoty'!$B$13,$H90=BD$4),SUM($J90,$M90,$P90,$S90),"")</f>
        <v/>
      </c>
      <c r="BE90" s="41" t="str">
        <f>IF(AND($G90='Povolené hodnoty'!$B$13,$H90=BE$4),SUM($J90,$M90,$P90,$S90),"")</f>
        <v/>
      </c>
      <c r="BF90" s="39" t="str">
        <f>IF(AND($G90='Povolené hodnoty'!$B$14,$H90=BF$4),SUM($J90,$M90,$P90,$S90),"")</f>
        <v/>
      </c>
      <c r="BG90" s="458" t="str">
        <f>IF(AND($G90='Povolené hodnoty'!$B$14,$H90=BG$4),SUM($J90,$M90,$P90,$S90),"")</f>
        <v/>
      </c>
      <c r="BH90" s="458" t="str">
        <f>IF(AND($G90='Povolené hodnoty'!$B$14,$H90=BH$4),SUM($J90,$M90,$P90,$S90),"")</f>
        <v/>
      </c>
      <c r="BI90" s="458" t="str">
        <f>IF(AND($G90='Povolené hodnoty'!$B$14,$H90=BI$4),SUM($J90,$M90,$P90,$S90),"")</f>
        <v/>
      </c>
      <c r="BJ90" s="458" t="str">
        <f>IF(AND($G90='Povolené hodnoty'!$B$14,$H90=BJ$4),SUM($J90,$M90,$P90,$S90),"")</f>
        <v/>
      </c>
      <c r="BK90" s="40" t="str">
        <f>IF(AND($G90='Povolené hodnoty'!$B$14,$H90=BK$4),SUM($J90,$M90,$P90,$S90),"")</f>
        <v/>
      </c>
      <c r="BL90" s="40" t="str">
        <f>IF(AND($G90='Povolené hodnoty'!$B$14,$H90=BL$4),SUM($J90,$M90,$P90,$S90),"")</f>
        <v/>
      </c>
      <c r="BM90" s="41" t="str">
        <f>IF(AND($G90='Povolené hodnoty'!$B$14,$H90=BM$4),SUM($J90,$M90,$P90,$S90),"")</f>
        <v/>
      </c>
      <c r="BO90" s="18" t="b">
        <f t="shared" si="71"/>
        <v>0</v>
      </c>
      <c r="BP90" s="18" t="b">
        <f t="shared" si="42"/>
        <v>0</v>
      </c>
      <c r="BQ90" s="18" t="b">
        <f>AND(E90&lt;&gt;'Povolené hodnoty'!$B$6,F90&lt;&gt;'Povolené hodnoty'!$D$7,F90&lt;&gt;'Povolené hodnoty'!$D$8,OR(SUM(I90,L90,O90,R90)&lt;&gt;SUM(W90:X90,AA90:AG90),SUM(J90,M90,P90,S90)&lt;&gt;SUM(Y90:Z90,AH90:AK90),COUNT(I90:J90,L90:M90,O90:P90,R90:S90)&lt;&gt;COUNT(W90:AK90)))</f>
        <v>0</v>
      </c>
      <c r="BR90" s="18" t="b">
        <f>OR(AND(E90='Povolené hodnoty'!$B$6,$BR$5),AND(E90='Povolené hodnoty'!$B$6,H90&lt;&gt;'Povolené hodnoty'!$E$26,H90&lt;&gt;'Povolené hodnoty'!$E$35),AND(E90&lt;&gt;'Povolené hodnoty'!$B$6,OR(H90='Povolené hodnoty'!$E$26,H90='Povolené hodnoty'!$E$35)))</f>
        <v>0</v>
      </c>
      <c r="BS90" s="18" t="b">
        <f>OR(AND(G90&lt;&gt;'Povolené hodnoty'!$B$13,OR(H90='Povolené hodnoty'!$E$21,H90='Povolené hodnoty'!$E$22,H90='Povolené hodnoty'!$E$23,H90='Povolené hodnoty'!$E$24,H90='Povolené hodnoty'!$E$26,H90='Povolené hodnoty'!$E$36)),COUNT(I90:J90,L90:M90,O90:P90,R90:S90)&lt;&gt;COUNT(AL90:BM90))</f>
        <v>0</v>
      </c>
      <c r="BT90" s="18" t="b">
        <f t="shared" si="43"/>
        <v>0</v>
      </c>
      <c r="BV90" s="39" t="str">
        <f t="shared" si="44"/>
        <v/>
      </c>
      <c r="BW90" s="458" t="str">
        <f t="shared" si="45"/>
        <v/>
      </c>
      <c r="BX90" s="458" t="str">
        <f t="shared" si="46"/>
        <v/>
      </c>
      <c r="BY90" s="458" t="str">
        <f t="shared" si="47"/>
        <v/>
      </c>
      <c r="BZ90" s="458" t="str">
        <f t="shared" si="48"/>
        <v/>
      </c>
      <c r="CA90" s="40" t="str">
        <f t="shared" si="49"/>
        <v/>
      </c>
      <c r="CB90" s="40" t="str">
        <f t="shared" si="50"/>
        <v/>
      </c>
      <c r="CC90" s="39" t="str">
        <f t="shared" si="51"/>
        <v/>
      </c>
      <c r="CD90" s="458" t="str">
        <f t="shared" si="52"/>
        <v/>
      </c>
      <c r="CE90" s="41" t="str">
        <f t="shared" si="53"/>
        <v/>
      </c>
      <c r="CF90" s="39" t="str">
        <f t="shared" si="54"/>
        <v/>
      </c>
      <c r="CG90" s="458" t="str">
        <f t="shared" si="55"/>
        <v/>
      </c>
      <c r="CH90" s="458" t="str">
        <f t="shared" si="56"/>
        <v/>
      </c>
      <c r="CI90" s="458" t="str">
        <f t="shared" si="57"/>
        <v/>
      </c>
      <c r="CJ90" s="458" t="str">
        <f t="shared" si="58"/>
        <v/>
      </c>
      <c r="CK90" s="40" t="str">
        <f t="shared" si="59"/>
        <v/>
      </c>
      <c r="CL90" s="40" t="str">
        <f t="shared" si="60"/>
        <v/>
      </c>
      <c r="CM90" s="40" t="str">
        <f t="shared" si="61"/>
        <v/>
      </c>
      <c r="CN90" s="39" t="str">
        <f t="shared" si="62"/>
        <v/>
      </c>
      <c r="CO90" s="458" t="str">
        <f t="shared" si="63"/>
        <v/>
      </c>
      <c r="CP90" s="458" t="str">
        <f t="shared" si="64"/>
        <v/>
      </c>
      <c r="CQ90" s="458" t="str">
        <f t="shared" si="65"/>
        <v/>
      </c>
      <c r="CR90" s="458" t="str">
        <f t="shared" si="66"/>
        <v/>
      </c>
      <c r="CS90" s="40" t="str">
        <f t="shared" si="67"/>
        <v/>
      </c>
      <c r="CT90" s="40" t="str">
        <f t="shared" si="68"/>
        <v/>
      </c>
      <c r="CU90" s="41" t="str">
        <f t="shared" si="69"/>
        <v/>
      </c>
    </row>
    <row r="91" spans="1:99" x14ac:dyDescent="0.2">
      <c r="A91" s="77">
        <f t="shared" si="70"/>
        <v>86</v>
      </c>
      <c r="B91" s="81"/>
      <c r="C91" s="82"/>
      <c r="D91" s="71"/>
      <c r="E91" s="72"/>
      <c r="F91" s="73"/>
      <c r="G91" s="443"/>
      <c r="H91" s="443"/>
      <c r="I91" s="74"/>
      <c r="J91" s="75"/>
      <c r="K91" s="41">
        <f t="shared" si="39"/>
        <v>3625</v>
      </c>
      <c r="L91" s="104"/>
      <c r="M91" s="105"/>
      <c r="N91" s="106">
        <f t="shared" si="40"/>
        <v>537.05999999999995</v>
      </c>
      <c r="O91" s="104"/>
      <c r="P91" s="105"/>
      <c r="Q91" s="106">
        <f t="shared" si="72"/>
        <v>10045.83</v>
      </c>
      <c r="R91" s="104"/>
      <c r="S91" s="105"/>
      <c r="T91" s="106">
        <f t="shared" si="73"/>
        <v>0</v>
      </c>
      <c r="U91" s="439"/>
      <c r="V91" s="42">
        <f t="shared" si="41"/>
        <v>86</v>
      </c>
      <c r="W91" s="39" t="str">
        <f>IF(AND(E91='Povolené hodnoty'!$B$4,F91=2),I91+L91+O91+R91,"")</f>
        <v/>
      </c>
      <c r="X91" s="41" t="str">
        <f>IF(AND(E91='Povolené hodnoty'!$B$4,F91=1),I91+L91+O91+R91,"")</f>
        <v/>
      </c>
      <c r="Y91" s="39" t="str">
        <f>IF(AND(E91='Povolené hodnoty'!$B$4,F91=10),J91+M91+P91+S91,"")</f>
        <v/>
      </c>
      <c r="Z91" s="41" t="str">
        <f>IF(AND(E91='Povolené hodnoty'!$B$4,F91=9),J91+M91+P91+S91,"")</f>
        <v/>
      </c>
      <c r="AA91" s="39" t="str">
        <f>IF(AND(E91&lt;&gt;'Povolené hodnoty'!$B$4,F91=2),I91+L91+O91+R91,"")</f>
        <v/>
      </c>
      <c r="AB91" s="40" t="str">
        <f>IF(AND(E91&lt;&gt;'Povolené hodnoty'!$B$4,F91=3),I91+L91+O91+R91,"")</f>
        <v/>
      </c>
      <c r="AC91" s="40" t="str">
        <f>IF(AND(E91&lt;&gt;'Povolené hodnoty'!$B$4,F91=4),I91+L91+O91+R91,"")</f>
        <v/>
      </c>
      <c r="AD91" s="40" t="str">
        <f>IF(AND(E91&lt;&gt;'Povolené hodnoty'!$B$4,F91="5a"),I91-J91+L91-M91+O91-P91+R91-S91,"")</f>
        <v/>
      </c>
      <c r="AE91" s="40" t="str">
        <f>IF(AND(E91&lt;&gt;'Povolené hodnoty'!$B$4,F91="5b"),I91-J91+L91-M91+O91-P91+R91-S91,"")</f>
        <v/>
      </c>
      <c r="AF91" s="40" t="str">
        <f>IF(AND(E91&lt;&gt;'Povolené hodnoty'!$B$4,F91=6),I91+L91+O91+R91,"")</f>
        <v/>
      </c>
      <c r="AG91" s="41" t="str">
        <f>IF(AND(E91&lt;&gt;'Povolené hodnoty'!$B$4,F91=7),I91+L91+O91+R91,"")</f>
        <v/>
      </c>
      <c r="AH91" s="39" t="str">
        <f>IF(AND(E91&lt;&gt;'Povolené hodnoty'!$B$4,F91=10),J91+M91+P91+S91,"")</f>
        <v/>
      </c>
      <c r="AI91" s="40" t="str">
        <f>IF(AND(E91&lt;&gt;'Povolené hodnoty'!$B$4,F91=11),J91+M91+P91+S91,"")</f>
        <v/>
      </c>
      <c r="AJ91" s="40" t="str">
        <f>IF(AND(E91&lt;&gt;'Povolené hodnoty'!$B$4,F91=12),J91+M91+P91+S91,"")</f>
        <v/>
      </c>
      <c r="AK91" s="41" t="str">
        <f>IF(AND(E91&lt;&gt;'Povolené hodnoty'!$B$4,F91=13),J91+M91+P91+S91,"")</f>
        <v/>
      </c>
      <c r="AL91" s="39" t="str">
        <f>IF(AND($G91='Povolené hodnoty'!$B$13,$H91=AL$4),SUM($I91,$L91,$O91,$R91),"")</f>
        <v/>
      </c>
      <c r="AM91" s="458" t="str">
        <f>IF(AND($G91='Povolené hodnoty'!$B$13,$H91=AM$4),SUM($I91,$L91,$O91,$R91),"")</f>
        <v/>
      </c>
      <c r="AN91" s="458" t="str">
        <f>IF(AND($G91='Povolené hodnoty'!$B$13,$H91=AN$4),SUM($I91,$L91,$O91,$R91),"")</f>
        <v/>
      </c>
      <c r="AO91" s="458" t="str">
        <f>IF(AND($G91='Povolené hodnoty'!$B$13,$H91=AO$4),SUM($I91,$L91,$O91,$R91),"")</f>
        <v/>
      </c>
      <c r="AP91" s="458" t="str">
        <f>IF(AND($G91='Povolené hodnoty'!$B$13,$H91=AP$4),SUM($I91,$L91,$O91,$R91),"")</f>
        <v/>
      </c>
      <c r="AQ91" s="40" t="str">
        <f>IF(AND($G91='Povolené hodnoty'!$B$13,OR($H91=AQ$4,$H91='Povolené hodnoty'!$E$36)),SUM($I91,-$J91,$L91,-$M91,$O91,-$P91,$R91,-$S91),"")</f>
        <v/>
      </c>
      <c r="AR91" s="40" t="str">
        <f>IF(AND($G91='Povolené hodnoty'!$B$13,$H91=AR$4),SUM($I91,$L91,$O91,$R91),"")</f>
        <v/>
      </c>
      <c r="AS91" s="41" t="str">
        <f>IF(AND($G91='Povolené hodnoty'!$B$13,$H91=AS$4),SUM($I91,$L91,$O91,$R91),"")</f>
        <v/>
      </c>
      <c r="AT91" s="39" t="str">
        <f>IF(AND($G91='Povolené hodnoty'!$B$14,$H91=AT$4),SUM($I91,$L91,$O91,$R91),"")</f>
        <v/>
      </c>
      <c r="AU91" s="458" t="str">
        <f>IF(AND($G91='Povolené hodnoty'!$B$14,$H91=AU$4),SUM($I91,$L91,$O91,$R91),"")</f>
        <v/>
      </c>
      <c r="AV91" s="41" t="str">
        <f>IF(AND($G91='Povolené hodnoty'!$B$14,$H91=AV$4),SUM($I91,$L91,$O91,$R91),"")</f>
        <v/>
      </c>
      <c r="AW91" s="39" t="str">
        <f>IF(AND($G91='Povolené hodnoty'!$B$13,$H91=AW$4),SUM($J91,$M91,$P91,$S91),"")</f>
        <v/>
      </c>
      <c r="AX91" s="458" t="str">
        <f>IF(AND($G91='Povolené hodnoty'!$B$13,$H91=AX$4),SUM($J91,$M91,$P91,$S91),"")</f>
        <v/>
      </c>
      <c r="AY91" s="458" t="str">
        <f>IF(AND($G91='Povolené hodnoty'!$B$13,$H91=AY$4),SUM($J91,$M91,$P91,$S91),"")</f>
        <v/>
      </c>
      <c r="AZ91" s="458" t="str">
        <f>IF(AND($G91='Povolené hodnoty'!$B$13,$H91=AZ$4),SUM($J91,$M91,$P91,$S91),"")</f>
        <v/>
      </c>
      <c r="BA91" s="458" t="str">
        <f>IF(AND($G91='Povolené hodnoty'!$B$13,$H91=BA$4),SUM($J91,$M91,$P91,$S91),"")</f>
        <v/>
      </c>
      <c r="BB91" s="40" t="str">
        <f>IF(AND($G91='Povolené hodnoty'!$B$13,$H91=BB$4),SUM($J91,$M91,$P91,$S91),"")</f>
        <v/>
      </c>
      <c r="BC91" s="40" t="str">
        <f>IF(AND($G91='Povolené hodnoty'!$B$13,$H91=BC$4),SUM($J91,$M91,$P91,$S91),"")</f>
        <v/>
      </c>
      <c r="BD91" s="40" t="str">
        <f>IF(AND($G91='Povolené hodnoty'!$B$13,$H91=BD$4),SUM($J91,$M91,$P91,$S91),"")</f>
        <v/>
      </c>
      <c r="BE91" s="41" t="str">
        <f>IF(AND($G91='Povolené hodnoty'!$B$13,$H91=BE$4),SUM($J91,$M91,$P91,$S91),"")</f>
        <v/>
      </c>
      <c r="BF91" s="39" t="str">
        <f>IF(AND($G91='Povolené hodnoty'!$B$14,$H91=BF$4),SUM($J91,$M91,$P91,$S91),"")</f>
        <v/>
      </c>
      <c r="BG91" s="458" t="str">
        <f>IF(AND($G91='Povolené hodnoty'!$B$14,$H91=BG$4),SUM($J91,$M91,$P91,$S91),"")</f>
        <v/>
      </c>
      <c r="BH91" s="458" t="str">
        <f>IF(AND($G91='Povolené hodnoty'!$B$14,$H91=BH$4),SUM($J91,$M91,$P91,$S91),"")</f>
        <v/>
      </c>
      <c r="BI91" s="458" t="str">
        <f>IF(AND($G91='Povolené hodnoty'!$B$14,$H91=BI$4),SUM($J91,$M91,$P91,$S91),"")</f>
        <v/>
      </c>
      <c r="BJ91" s="458" t="str">
        <f>IF(AND($G91='Povolené hodnoty'!$B$14,$H91=BJ$4),SUM($J91,$M91,$P91,$S91),"")</f>
        <v/>
      </c>
      <c r="BK91" s="40" t="str">
        <f>IF(AND($G91='Povolené hodnoty'!$B$14,$H91=BK$4),SUM($J91,$M91,$P91,$S91),"")</f>
        <v/>
      </c>
      <c r="BL91" s="40" t="str">
        <f>IF(AND($G91='Povolené hodnoty'!$B$14,$H91=BL$4),SUM($J91,$M91,$P91,$S91),"")</f>
        <v/>
      </c>
      <c r="BM91" s="41" t="str">
        <f>IF(AND($G91='Povolené hodnoty'!$B$14,$H91=BM$4),SUM($J91,$M91,$P91,$S91),"")</f>
        <v/>
      </c>
      <c r="BO91" s="18" t="b">
        <f t="shared" si="71"/>
        <v>0</v>
      </c>
      <c r="BP91" s="18" t="b">
        <f t="shared" si="42"/>
        <v>0</v>
      </c>
      <c r="BQ91" s="18" t="b">
        <f>AND(E91&lt;&gt;'Povolené hodnoty'!$B$6,F91&lt;&gt;'Povolené hodnoty'!$D$7,F91&lt;&gt;'Povolené hodnoty'!$D$8,OR(SUM(I91,L91,O91,R91)&lt;&gt;SUM(W91:X91,AA91:AG91),SUM(J91,M91,P91,S91)&lt;&gt;SUM(Y91:Z91,AH91:AK91),COUNT(I91:J91,L91:M91,O91:P91,R91:S91)&lt;&gt;COUNT(W91:AK91)))</f>
        <v>0</v>
      </c>
      <c r="BR91" s="18" t="b">
        <f>OR(AND(E91='Povolené hodnoty'!$B$6,$BR$5),AND(E91='Povolené hodnoty'!$B$6,H91&lt;&gt;'Povolené hodnoty'!$E$26,H91&lt;&gt;'Povolené hodnoty'!$E$35),AND(E91&lt;&gt;'Povolené hodnoty'!$B$6,OR(H91='Povolené hodnoty'!$E$26,H91='Povolené hodnoty'!$E$35)))</f>
        <v>0</v>
      </c>
      <c r="BS91" s="18" t="b">
        <f>OR(AND(G91&lt;&gt;'Povolené hodnoty'!$B$13,OR(H91='Povolené hodnoty'!$E$21,H91='Povolené hodnoty'!$E$22,H91='Povolené hodnoty'!$E$23,H91='Povolené hodnoty'!$E$24,H91='Povolené hodnoty'!$E$26,H91='Povolené hodnoty'!$E$36)),COUNT(I91:J91,L91:M91,O91:P91,R91:S91)&lt;&gt;COUNT(AL91:BM91))</f>
        <v>0</v>
      </c>
      <c r="BT91" s="18" t="b">
        <f t="shared" si="43"/>
        <v>0</v>
      </c>
      <c r="BV91" s="39" t="str">
        <f t="shared" si="44"/>
        <v/>
      </c>
      <c r="BW91" s="458" t="str">
        <f t="shared" si="45"/>
        <v/>
      </c>
      <c r="BX91" s="458" t="str">
        <f t="shared" si="46"/>
        <v/>
      </c>
      <c r="BY91" s="458" t="str">
        <f t="shared" si="47"/>
        <v/>
      </c>
      <c r="BZ91" s="458" t="str">
        <f t="shared" si="48"/>
        <v/>
      </c>
      <c r="CA91" s="40" t="str">
        <f t="shared" si="49"/>
        <v/>
      </c>
      <c r="CB91" s="40" t="str">
        <f t="shared" si="50"/>
        <v/>
      </c>
      <c r="CC91" s="39" t="str">
        <f t="shared" si="51"/>
        <v/>
      </c>
      <c r="CD91" s="458" t="str">
        <f t="shared" si="52"/>
        <v/>
      </c>
      <c r="CE91" s="41" t="str">
        <f t="shared" si="53"/>
        <v/>
      </c>
      <c r="CF91" s="39" t="str">
        <f t="shared" si="54"/>
        <v/>
      </c>
      <c r="CG91" s="458" t="str">
        <f t="shared" si="55"/>
        <v/>
      </c>
      <c r="CH91" s="458" t="str">
        <f t="shared" si="56"/>
        <v/>
      </c>
      <c r="CI91" s="458" t="str">
        <f t="shared" si="57"/>
        <v/>
      </c>
      <c r="CJ91" s="458" t="str">
        <f t="shared" si="58"/>
        <v/>
      </c>
      <c r="CK91" s="40" t="str">
        <f t="shared" si="59"/>
        <v/>
      </c>
      <c r="CL91" s="40" t="str">
        <f t="shared" si="60"/>
        <v/>
      </c>
      <c r="CM91" s="40" t="str">
        <f t="shared" si="61"/>
        <v/>
      </c>
      <c r="CN91" s="39" t="str">
        <f t="shared" si="62"/>
        <v/>
      </c>
      <c r="CO91" s="458" t="str">
        <f t="shared" si="63"/>
        <v/>
      </c>
      <c r="CP91" s="458" t="str">
        <f t="shared" si="64"/>
        <v/>
      </c>
      <c r="CQ91" s="458" t="str">
        <f t="shared" si="65"/>
        <v/>
      </c>
      <c r="CR91" s="458" t="str">
        <f t="shared" si="66"/>
        <v/>
      </c>
      <c r="CS91" s="40" t="str">
        <f t="shared" si="67"/>
        <v/>
      </c>
      <c r="CT91" s="40" t="str">
        <f t="shared" si="68"/>
        <v/>
      </c>
      <c r="CU91" s="41" t="str">
        <f t="shared" si="69"/>
        <v/>
      </c>
    </row>
    <row r="92" spans="1:99" x14ac:dyDescent="0.2">
      <c r="A92" s="77">
        <f t="shared" si="70"/>
        <v>87</v>
      </c>
      <c r="B92" s="81"/>
      <c r="C92" s="82"/>
      <c r="D92" s="71"/>
      <c r="E92" s="72"/>
      <c r="F92" s="73"/>
      <c r="G92" s="443"/>
      <c r="H92" s="443"/>
      <c r="I92" s="74"/>
      <c r="J92" s="75"/>
      <c r="K92" s="41">
        <f t="shared" si="39"/>
        <v>3625</v>
      </c>
      <c r="L92" s="104"/>
      <c r="M92" s="105"/>
      <c r="N92" s="106">
        <f t="shared" si="40"/>
        <v>537.05999999999995</v>
      </c>
      <c r="O92" s="104"/>
      <c r="P92" s="105"/>
      <c r="Q92" s="106">
        <f t="shared" si="72"/>
        <v>10045.83</v>
      </c>
      <c r="R92" s="104"/>
      <c r="S92" s="105"/>
      <c r="T92" s="106">
        <f t="shared" si="73"/>
        <v>0</v>
      </c>
      <c r="U92" s="439"/>
      <c r="V92" s="42">
        <f t="shared" si="41"/>
        <v>87</v>
      </c>
      <c r="W92" s="39" t="str">
        <f>IF(AND(E92='Povolené hodnoty'!$B$4,F92=2),I92+L92+O92+R92,"")</f>
        <v/>
      </c>
      <c r="X92" s="41" t="str">
        <f>IF(AND(E92='Povolené hodnoty'!$B$4,F92=1),I92+L92+O92+R92,"")</f>
        <v/>
      </c>
      <c r="Y92" s="39" t="str">
        <f>IF(AND(E92='Povolené hodnoty'!$B$4,F92=10),J92+M92+P92+S92,"")</f>
        <v/>
      </c>
      <c r="Z92" s="41" t="str">
        <f>IF(AND(E92='Povolené hodnoty'!$B$4,F92=9),J92+M92+P92+S92,"")</f>
        <v/>
      </c>
      <c r="AA92" s="39" t="str">
        <f>IF(AND(E92&lt;&gt;'Povolené hodnoty'!$B$4,F92=2),I92+L92+O92+R92,"")</f>
        <v/>
      </c>
      <c r="AB92" s="40" t="str">
        <f>IF(AND(E92&lt;&gt;'Povolené hodnoty'!$B$4,F92=3),I92+L92+O92+R92,"")</f>
        <v/>
      </c>
      <c r="AC92" s="40" t="str">
        <f>IF(AND(E92&lt;&gt;'Povolené hodnoty'!$B$4,F92=4),I92+L92+O92+R92,"")</f>
        <v/>
      </c>
      <c r="AD92" s="40" t="str">
        <f>IF(AND(E92&lt;&gt;'Povolené hodnoty'!$B$4,F92="5a"),I92-J92+L92-M92+O92-P92+R92-S92,"")</f>
        <v/>
      </c>
      <c r="AE92" s="40" t="str">
        <f>IF(AND(E92&lt;&gt;'Povolené hodnoty'!$B$4,F92="5b"),I92-J92+L92-M92+O92-P92+R92-S92,"")</f>
        <v/>
      </c>
      <c r="AF92" s="40" t="str">
        <f>IF(AND(E92&lt;&gt;'Povolené hodnoty'!$B$4,F92=6),I92+L92+O92+R92,"")</f>
        <v/>
      </c>
      <c r="AG92" s="41" t="str">
        <f>IF(AND(E92&lt;&gt;'Povolené hodnoty'!$B$4,F92=7),I92+L92+O92+R92,"")</f>
        <v/>
      </c>
      <c r="AH92" s="39" t="str">
        <f>IF(AND(E92&lt;&gt;'Povolené hodnoty'!$B$4,F92=10),J92+M92+P92+S92,"")</f>
        <v/>
      </c>
      <c r="AI92" s="40" t="str">
        <f>IF(AND(E92&lt;&gt;'Povolené hodnoty'!$B$4,F92=11),J92+M92+P92+S92,"")</f>
        <v/>
      </c>
      <c r="AJ92" s="40" t="str">
        <f>IF(AND(E92&lt;&gt;'Povolené hodnoty'!$B$4,F92=12),J92+M92+P92+S92,"")</f>
        <v/>
      </c>
      <c r="AK92" s="41" t="str">
        <f>IF(AND(E92&lt;&gt;'Povolené hodnoty'!$B$4,F92=13),J92+M92+P92+S92,"")</f>
        <v/>
      </c>
      <c r="AL92" s="39" t="str">
        <f>IF(AND($G92='Povolené hodnoty'!$B$13,$H92=AL$4),SUM($I92,$L92,$O92,$R92),"")</f>
        <v/>
      </c>
      <c r="AM92" s="458" t="str">
        <f>IF(AND($G92='Povolené hodnoty'!$B$13,$H92=AM$4),SUM($I92,$L92,$O92,$R92),"")</f>
        <v/>
      </c>
      <c r="AN92" s="458" t="str">
        <f>IF(AND($G92='Povolené hodnoty'!$B$13,$H92=AN$4),SUM($I92,$L92,$O92,$R92),"")</f>
        <v/>
      </c>
      <c r="AO92" s="458" t="str">
        <f>IF(AND($G92='Povolené hodnoty'!$B$13,$H92=AO$4),SUM($I92,$L92,$O92,$R92),"")</f>
        <v/>
      </c>
      <c r="AP92" s="458" t="str">
        <f>IF(AND($G92='Povolené hodnoty'!$B$13,$H92=AP$4),SUM($I92,$L92,$O92,$R92),"")</f>
        <v/>
      </c>
      <c r="AQ92" s="40" t="str">
        <f>IF(AND($G92='Povolené hodnoty'!$B$13,OR($H92=AQ$4,$H92='Povolené hodnoty'!$E$36)),SUM($I92,-$J92,$L92,-$M92,$O92,-$P92,$R92,-$S92),"")</f>
        <v/>
      </c>
      <c r="AR92" s="40" t="str">
        <f>IF(AND($G92='Povolené hodnoty'!$B$13,$H92=AR$4),SUM($I92,$L92,$O92,$R92),"")</f>
        <v/>
      </c>
      <c r="AS92" s="41" t="str">
        <f>IF(AND($G92='Povolené hodnoty'!$B$13,$H92=AS$4),SUM($I92,$L92,$O92,$R92),"")</f>
        <v/>
      </c>
      <c r="AT92" s="39" t="str">
        <f>IF(AND($G92='Povolené hodnoty'!$B$14,$H92=AT$4),SUM($I92,$L92,$O92,$R92),"")</f>
        <v/>
      </c>
      <c r="AU92" s="458" t="str">
        <f>IF(AND($G92='Povolené hodnoty'!$B$14,$H92=AU$4),SUM($I92,$L92,$O92,$R92),"")</f>
        <v/>
      </c>
      <c r="AV92" s="41" t="str">
        <f>IF(AND($G92='Povolené hodnoty'!$B$14,$H92=AV$4),SUM($I92,$L92,$O92,$R92),"")</f>
        <v/>
      </c>
      <c r="AW92" s="39" t="str">
        <f>IF(AND($G92='Povolené hodnoty'!$B$13,$H92=AW$4),SUM($J92,$M92,$P92,$S92),"")</f>
        <v/>
      </c>
      <c r="AX92" s="458" t="str">
        <f>IF(AND($G92='Povolené hodnoty'!$B$13,$H92=AX$4),SUM($J92,$M92,$P92,$S92),"")</f>
        <v/>
      </c>
      <c r="AY92" s="458" t="str">
        <f>IF(AND($G92='Povolené hodnoty'!$B$13,$H92=AY$4),SUM($J92,$M92,$P92,$S92),"")</f>
        <v/>
      </c>
      <c r="AZ92" s="458" t="str">
        <f>IF(AND($G92='Povolené hodnoty'!$B$13,$H92=AZ$4),SUM($J92,$M92,$P92,$S92),"")</f>
        <v/>
      </c>
      <c r="BA92" s="458" t="str">
        <f>IF(AND($G92='Povolené hodnoty'!$B$13,$H92=BA$4),SUM($J92,$M92,$P92,$S92),"")</f>
        <v/>
      </c>
      <c r="BB92" s="40" t="str">
        <f>IF(AND($G92='Povolené hodnoty'!$B$13,$H92=BB$4),SUM($J92,$M92,$P92,$S92),"")</f>
        <v/>
      </c>
      <c r="BC92" s="40" t="str">
        <f>IF(AND($G92='Povolené hodnoty'!$B$13,$H92=BC$4),SUM($J92,$M92,$P92,$S92),"")</f>
        <v/>
      </c>
      <c r="BD92" s="40" t="str">
        <f>IF(AND($G92='Povolené hodnoty'!$B$13,$H92=BD$4),SUM($J92,$M92,$P92,$S92),"")</f>
        <v/>
      </c>
      <c r="BE92" s="41" t="str">
        <f>IF(AND($G92='Povolené hodnoty'!$B$13,$H92=BE$4),SUM($J92,$M92,$P92,$S92),"")</f>
        <v/>
      </c>
      <c r="BF92" s="39" t="str">
        <f>IF(AND($G92='Povolené hodnoty'!$B$14,$H92=BF$4),SUM($J92,$M92,$P92,$S92),"")</f>
        <v/>
      </c>
      <c r="BG92" s="458" t="str">
        <f>IF(AND($G92='Povolené hodnoty'!$B$14,$H92=BG$4),SUM($J92,$M92,$P92,$S92),"")</f>
        <v/>
      </c>
      <c r="BH92" s="458" t="str">
        <f>IF(AND($G92='Povolené hodnoty'!$B$14,$H92=BH$4),SUM($J92,$M92,$P92,$S92),"")</f>
        <v/>
      </c>
      <c r="BI92" s="458" t="str">
        <f>IF(AND($G92='Povolené hodnoty'!$B$14,$H92=BI$4),SUM($J92,$M92,$P92,$S92),"")</f>
        <v/>
      </c>
      <c r="BJ92" s="458" t="str">
        <f>IF(AND($G92='Povolené hodnoty'!$B$14,$H92=BJ$4),SUM($J92,$M92,$P92,$S92),"")</f>
        <v/>
      </c>
      <c r="BK92" s="40" t="str">
        <f>IF(AND($G92='Povolené hodnoty'!$B$14,$H92=BK$4),SUM($J92,$M92,$P92,$S92),"")</f>
        <v/>
      </c>
      <c r="BL92" s="40" t="str">
        <f>IF(AND($G92='Povolené hodnoty'!$B$14,$H92=BL$4),SUM($J92,$M92,$P92,$S92),"")</f>
        <v/>
      </c>
      <c r="BM92" s="41" t="str">
        <f>IF(AND($G92='Povolené hodnoty'!$B$14,$H92=BM$4),SUM($J92,$M92,$P92,$S92),"")</f>
        <v/>
      </c>
      <c r="BO92" s="18" t="b">
        <f t="shared" si="71"/>
        <v>0</v>
      </c>
      <c r="BP92" s="18" t="b">
        <f t="shared" si="42"/>
        <v>0</v>
      </c>
      <c r="BQ92" s="18" t="b">
        <f>AND(E92&lt;&gt;'Povolené hodnoty'!$B$6,F92&lt;&gt;'Povolené hodnoty'!$D$7,F92&lt;&gt;'Povolené hodnoty'!$D$8,OR(SUM(I92,L92,O92,R92)&lt;&gt;SUM(W92:X92,AA92:AG92),SUM(J92,M92,P92,S92)&lt;&gt;SUM(Y92:Z92,AH92:AK92),COUNT(I92:J92,L92:M92,O92:P92,R92:S92)&lt;&gt;COUNT(W92:AK92)))</f>
        <v>0</v>
      </c>
      <c r="BR92" s="18" t="b">
        <f>OR(AND(E92='Povolené hodnoty'!$B$6,$BR$5),AND(E92='Povolené hodnoty'!$B$6,H92&lt;&gt;'Povolené hodnoty'!$E$26,H92&lt;&gt;'Povolené hodnoty'!$E$35),AND(E92&lt;&gt;'Povolené hodnoty'!$B$6,OR(H92='Povolené hodnoty'!$E$26,H92='Povolené hodnoty'!$E$35)))</f>
        <v>0</v>
      </c>
      <c r="BS92" s="18" t="b">
        <f>OR(AND(G92&lt;&gt;'Povolené hodnoty'!$B$13,OR(H92='Povolené hodnoty'!$E$21,H92='Povolené hodnoty'!$E$22,H92='Povolené hodnoty'!$E$23,H92='Povolené hodnoty'!$E$24,H92='Povolené hodnoty'!$E$26,H92='Povolené hodnoty'!$E$36)),COUNT(I92:J92,L92:M92,O92:P92,R92:S92)&lt;&gt;COUNT(AL92:BM92))</f>
        <v>0</v>
      </c>
      <c r="BT92" s="18" t="b">
        <f t="shared" si="43"/>
        <v>0</v>
      </c>
      <c r="BV92" s="39" t="str">
        <f t="shared" si="44"/>
        <v/>
      </c>
      <c r="BW92" s="458" t="str">
        <f t="shared" si="45"/>
        <v/>
      </c>
      <c r="BX92" s="458" t="str">
        <f t="shared" si="46"/>
        <v/>
      </c>
      <c r="BY92" s="458" t="str">
        <f t="shared" si="47"/>
        <v/>
      </c>
      <c r="BZ92" s="458" t="str">
        <f t="shared" si="48"/>
        <v/>
      </c>
      <c r="CA92" s="40" t="str">
        <f t="shared" si="49"/>
        <v/>
      </c>
      <c r="CB92" s="40" t="str">
        <f t="shared" si="50"/>
        <v/>
      </c>
      <c r="CC92" s="39" t="str">
        <f t="shared" si="51"/>
        <v/>
      </c>
      <c r="CD92" s="458" t="str">
        <f t="shared" si="52"/>
        <v/>
      </c>
      <c r="CE92" s="41" t="str">
        <f t="shared" si="53"/>
        <v/>
      </c>
      <c r="CF92" s="39" t="str">
        <f t="shared" si="54"/>
        <v/>
      </c>
      <c r="CG92" s="458" t="str">
        <f t="shared" si="55"/>
        <v/>
      </c>
      <c r="CH92" s="458" t="str">
        <f t="shared" si="56"/>
        <v/>
      </c>
      <c r="CI92" s="458" t="str">
        <f t="shared" si="57"/>
        <v/>
      </c>
      <c r="CJ92" s="458" t="str">
        <f t="shared" si="58"/>
        <v/>
      </c>
      <c r="CK92" s="40" t="str">
        <f t="shared" si="59"/>
        <v/>
      </c>
      <c r="CL92" s="40" t="str">
        <f t="shared" si="60"/>
        <v/>
      </c>
      <c r="CM92" s="40" t="str">
        <f t="shared" si="61"/>
        <v/>
      </c>
      <c r="CN92" s="39" t="str">
        <f t="shared" si="62"/>
        <v/>
      </c>
      <c r="CO92" s="458" t="str">
        <f t="shared" si="63"/>
        <v/>
      </c>
      <c r="CP92" s="458" t="str">
        <f t="shared" si="64"/>
        <v/>
      </c>
      <c r="CQ92" s="458" t="str">
        <f t="shared" si="65"/>
        <v/>
      </c>
      <c r="CR92" s="458" t="str">
        <f t="shared" si="66"/>
        <v/>
      </c>
      <c r="CS92" s="40" t="str">
        <f t="shared" si="67"/>
        <v/>
      </c>
      <c r="CT92" s="40" t="str">
        <f t="shared" si="68"/>
        <v/>
      </c>
      <c r="CU92" s="41" t="str">
        <f t="shared" si="69"/>
        <v/>
      </c>
    </row>
    <row r="93" spans="1:99" x14ac:dyDescent="0.2">
      <c r="A93" s="77">
        <f t="shared" si="70"/>
        <v>88</v>
      </c>
      <c r="B93" s="81"/>
      <c r="C93" s="82"/>
      <c r="D93" s="71"/>
      <c r="E93" s="72"/>
      <c r="F93" s="73"/>
      <c r="G93" s="443"/>
      <c r="H93" s="443"/>
      <c r="I93" s="74"/>
      <c r="J93" s="75"/>
      <c r="K93" s="41">
        <f t="shared" si="39"/>
        <v>3625</v>
      </c>
      <c r="L93" s="104"/>
      <c r="M93" s="105"/>
      <c r="N93" s="106">
        <f t="shared" si="40"/>
        <v>537.05999999999995</v>
      </c>
      <c r="O93" s="104"/>
      <c r="P93" s="105"/>
      <c r="Q93" s="106">
        <f t="shared" si="72"/>
        <v>10045.83</v>
      </c>
      <c r="R93" s="104"/>
      <c r="S93" s="105"/>
      <c r="T93" s="106">
        <f t="shared" si="73"/>
        <v>0</v>
      </c>
      <c r="U93" s="439"/>
      <c r="V93" s="42">
        <f t="shared" si="41"/>
        <v>88</v>
      </c>
      <c r="W93" s="39" t="str">
        <f>IF(AND(E93='Povolené hodnoty'!$B$4,F93=2),I93+L93+O93+R93,"")</f>
        <v/>
      </c>
      <c r="X93" s="41" t="str">
        <f>IF(AND(E93='Povolené hodnoty'!$B$4,F93=1),I93+L93+O93+R93,"")</f>
        <v/>
      </c>
      <c r="Y93" s="39" t="str">
        <f>IF(AND(E93='Povolené hodnoty'!$B$4,F93=10),J93+M93+P93+S93,"")</f>
        <v/>
      </c>
      <c r="Z93" s="41" t="str">
        <f>IF(AND(E93='Povolené hodnoty'!$B$4,F93=9),J93+M93+P93+S93,"")</f>
        <v/>
      </c>
      <c r="AA93" s="39" t="str">
        <f>IF(AND(E93&lt;&gt;'Povolené hodnoty'!$B$4,F93=2),I93+L93+O93+R93,"")</f>
        <v/>
      </c>
      <c r="AB93" s="40" t="str">
        <f>IF(AND(E93&lt;&gt;'Povolené hodnoty'!$B$4,F93=3),I93+L93+O93+R93,"")</f>
        <v/>
      </c>
      <c r="AC93" s="40" t="str">
        <f>IF(AND(E93&lt;&gt;'Povolené hodnoty'!$B$4,F93=4),I93+L93+O93+R93,"")</f>
        <v/>
      </c>
      <c r="AD93" s="40" t="str">
        <f>IF(AND(E93&lt;&gt;'Povolené hodnoty'!$B$4,F93="5a"),I93-J93+L93-M93+O93-P93+R93-S93,"")</f>
        <v/>
      </c>
      <c r="AE93" s="40" t="str">
        <f>IF(AND(E93&lt;&gt;'Povolené hodnoty'!$B$4,F93="5b"),I93-J93+L93-M93+O93-P93+R93-S93,"")</f>
        <v/>
      </c>
      <c r="AF93" s="40" t="str">
        <f>IF(AND(E93&lt;&gt;'Povolené hodnoty'!$B$4,F93=6),I93+L93+O93+R93,"")</f>
        <v/>
      </c>
      <c r="AG93" s="41" t="str">
        <f>IF(AND(E93&lt;&gt;'Povolené hodnoty'!$B$4,F93=7),I93+L93+O93+R93,"")</f>
        <v/>
      </c>
      <c r="AH93" s="39" t="str">
        <f>IF(AND(E93&lt;&gt;'Povolené hodnoty'!$B$4,F93=10),J93+M93+P93+S93,"")</f>
        <v/>
      </c>
      <c r="AI93" s="40" t="str">
        <f>IF(AND(E93&lt;&gt;'Povolené hodnoty'!$B$4,F93=11),J93+M93+P93+S93,"")</f>
        <v/>
      </c>
      <c r="AJ93" s="40" t="str">
        <f>IF(AND(E93&lt;&gt;'Povolené hodnoty'!$B$4,F93=12),J93+M93+P93+S93,"")</f>
        <v/>
      </c>
      <c r="AK93" s="41" t="str">
        <f>IF(AND(E93&lt;&gt;'Povolené hodnoty'!$B$4,F93=13),J93+M93+P93+S93,"")</f>
        <v/>
      </c>
      <c r="AL93" s="39" t="str">
        <f>IF(AND($G93='Povolené hodnoty'!$B$13,$H93=AL$4),SUM($I93,$L93,$O93,$R93),"")</f>
        <v/>
      </c>
      <c r="AM93" s="458" t="str">
        <f>IF(AND($G93='Povolené hodnoty'!$B$13,$H93=AM$4),SUM($I93,$L93,$O93,$R93),"")</f>
        <v/>
      </c>
      <c r="AN93" s="458" t="str">
        <f>IF(AND($G93='Povolené hodnoty'!$B$13,$H93=AN$4),SUM($I93,$L93,$O93,$R93),"")</f>
        <v/>
      </c>
      <c r="AO93" s="458" t="str">
        <f>IF(AND($G93='Povolené hodnoty'!$B$13,$H93=AO$4),SUM($I93,$L93,$O93,$R93),"")</f>
        <v/>
      </c>
      <c r="AP93" s="458" t="str">
        <f>IF(AND($G93='Povolené hodnoty'!$B$13,$H93=AP$4),SUM($I93,$L93,$O93,$R93),"")</f>
        <v/>
      </c>
      <c r="AQ93" s="40" t="str">
        <f>IF(AND($G93='Povolené hodnoty'!$B$13,OR($H93=AQ$4,$H93='Povolené hodnoty'!$E$36)),SUM($I93,-$J93,$L93,-$M93,$O93,-$P93,$R93,-$S93),"")</f>
        <v/>
      </c>
      <c r="AR93" s="40" t="str">
        <f>IF(AND($G93='Povolené hodnoty'!$B$13,$H93=AR$4),SUM($I93,$L93,$O93,$R93),"")</f>
        <v/>
      </c>
      <c r="AS93" s="41" t="str">
        <f>IF(AND($G93='Povolené hodnoty'!$B$13,$H93=AS$4),SUM($I93,$L93,$O93,$R93),"")</f>
        <v/>
      </c>
      <c r="AT93" s="39" t="str">
        <f>IF(AND($G93='Povolené hodnoty'!$B$14,$H93=AT$4),SUM($I93,$L93,$O93,$R93),"")</f>
        <v/>
      </c>
      <c r="AU93" s="458" t="str">
        <f>IF(AND($G93='Povolené hodnoty'!$B$14,$H93=AU$4),SUM($I93,$L93,$O93,$R93),"")</f>
        <v/>
      </c>
      <c r="AV93" s="41" t="str">
        <f>IF(AND($G93='Povolené hodnoty'!$B$14,$H93=AV$4),SUM($I93,$L93,$O93,$R93),"")</f>
        <v/>
      </c>
      <c r="AW93" s="39" t="str">
        <f>IF(AND($G93='Povolené hodnoty'!$B$13,$H93=AW$4),SUM($J93,$M93,$P93,$S93),"")</f>
        <v/>
      </c>
      <c r="AX93" s="458" t="str">
        <f>IF(AND($G93='Povolené hodnoty'!$B$13,$H93=AX$4),SUM($J93,$M93,$P93,$S93),"")</f>
        <v/>
      </c>
      <c r="AY93" s="458" t="str">
        <f>IF(AND($G93='Povolené hodnoty'!$B$13,$H93=AY$4),SUM($J93,$M93,$P93,$S93),"")</f>
        <v/>
      </c>
      <c r="AZ93" s="458" t="str">
        <f>IF(AND($G93='Povolené hodnoty'!$B$13,$H93=AZ$4),SUM($J93,$M93,$P93,$S93),"")</f>
        <v/>
      </c>
      <c r="BA93" s="458" t="str">
        <f>IF(AND($G93='Povolené hodnoty'!$B$13,$H93=BA$4),SUM($J93,$M93,$P93,$S93),"")</f>
        <v/>
      </c>
      <c r="BB93" s="40" t="str">
        <f>IF(AND($G93='Povolené hodnoty'!$B$13,$H93=BB$4),SUM($J93,$M93,$P93,$S93),"")</f>
        <v/>
      </c>
      <c r="BC93" s="40" t="str">
        <f>IF(AND($G93='Povolené hodnoty'!$B$13,$H93=BC$4),SUM($J93,$M93,$P93,$S93),"")</f>
        <v/>
      </c>
      <c r="BD93" s="40" t="str">
        <f>IF(AND($G93='Povolené hodnoty'!$B$13,$H93=BD$4),SUM($J93,$M93,$P93,$S93),"")</f>
        <v/>
      </c>
      <c r="BE93" s="41" t="str">
        <f>IF(AND($G93='Povolené hodnoty'!$B$13,$H93=BE$4),SUM($J93,$M93,$P93,$S93),"")</f>
        <v/>
      </c>
      <c r="BF93" s="39" t="str">
        <f>IF(AND($G93='Povolené hodnoty'!$B$14,$H93=BF$4),SUM($J93,$M93,$P93,$S93),"")</f>
        <v/>
      </c>
      <c r="BG93" s="458" t="str">
        <f>IF(AND($G93='Povolené hodnoty'!$B$14,$H93=BG$4),SUM($J93,$M93,$P93,$S93),"")</f>
        <v/>
      </c>
      <c r="BH93" s="458" t="str">
        <f>IF(AND($G93='Povolené hodnoty'!$B$14,$H93=BH$4),SUM($J93,$M93,$P93,$S93),"")</f>
        <v/>
      </c>
      <c r="BI93" s="458" t="str">
        <f>IF(AND($G93='Povolené hodnoty'!$B$14,$H93=BI$4),SUM($J93,$M93,$P93,$S93),"")</f>
        <v/>
      </c>
      <c r="BJ93" s="458" t="str">
        <f>IF(AND($G93='Povolené hodnoty'!$B$14,$H93=BJ$4),SUM($J93,$M93,$P93,$S93),"")</f>
        <v/>
      </c>
      <c r="BK93" s="40" t="str">
        <f>IF(AND($G93='Povolené hodnoty'!$B$14,$H93=BK$4),SUM($J93,$M93,$P93,$S93),"")</f>
        <v/>
      </c>
      <c r="BL93" s="40" t="str">
        <f>IF(AND($G93='Povolené hodnoty'!$B$14,$H93=BL$4),SUM($J93,$M93,$P93,$S93),"")</f>
        <v/>
      </c>
      <c r="BM93" s="41" t="str">
        <f>IF(AND($G93='Povolené hodnoty'!$B$14,$H93=BM$4),SUM($J93,$M93,$P93,$S93),"")</f>
        <v/>
      </c>
      <c r="BO93" s="18" t="b">
        <f t="shared" si="71"/>
        <v>0</v>
      </c>
      <c r="BP93" s="18" t="b">
        <f t="shared" si="42"/>
        <v>0</v>
      </c>
      <c r="BQ93" s="18" t="b">
        <f>AND(E93&lt;&gt;'Povolené hodnoty'!$B$6,F93&lt;&gt;'Povolené hodnoty'!$D$7,F93&lt;&gt;'Povolené hodnoty'!$D$8,OR(SUM(I93,L93,O93,R93)&lt;&gt;SUM(W93:X93,AA93:AG93),SUM(J93,M93,P93,S93)&lt;&gt;SUM(Y93:Z93,AH93:AK93),COUNT(I93:J93,L93:M93,O93:P93,R93:S93)&lt;&gt;COUNT(W93:AK93)))</f>
        <v>0</v>
      </c>
      <c r="BR93" s="18" t="b">
        <f>OR(AND(E93='Povolené hodnoty'!$B$6,$BR$5),AND(E93='Povolené hodnoty'!$B$6,H93&lt;&gt;'Povolené hodnoty'!$E$26,H93&lt;&gt;'Povolené hodnoty'!$E$35),AND(E93&lt;&gt;'Povolené hodnoty'!$B$6,OR(H93='Povolené hodnoty'!$E$26,H93='Povolené hodnoty'!$E$35)))</f>
        <v>0</v>
      </c>
      <c r="BS93" s="18" t="b">
        <f>OR(AND(G93&lt;&gt;'Povolené hodnoty'!$B$13,OR(H93='Povolené hodnoty'!$E$21,H93='Povolené hodnoty'!$E$22,H93='Povolené hodnoty'!$E$23,H93='Povolené hodnoty'!$E$24,H93='Povolené hodnoty'!$E$26,H93='Povolené hodnoty'!$E$36)),COUNT(I93:J93,L93:M93,O93:P93,R93:S93)&lt;&gt;COUNT(AL93:BM93))</f>
        <v>0</v>
      </c>
      <c r="BT93" s="18" t="b">
        <f t="shared" si="43"/>
        <v>0</v>
      </c>
      <c r="BV93" s="39" t="str">
        <f t="shared" si="44"/>
        <v/>
      </c>
      <c r="BW93" s="458" t="str">
        <f t="shared" si="45"/>
        <v/>
      </c>
      <c r="BX93" s="458" t="str">
        <f t="shared" si="46"/>
        <v/>
      </c>
      <c r="BY93" s="458" t="str">
        <f t="shared" si="47"/>
        <v/>
      </c>
      <c r="BZ93" s="458" t="str">
        <f t="shared" si="48"/>
        <v/>
      </c>
      <c r="CA93" s="40" t="str">
        <f t="shared" si="49"/>
        <v/>
      </c>
      <c r="CB93" s="40" t="str">
        <f t="shared" si="50"/>
        <v/>
      </c>
      <c r="CC93" s="39" t="str">
        <f t="shared" si="51"/>
        <v/>
      </c>
      <c r="CD93" s="458" t="str">
        <f t="shared" si="52"/>
        <v/>
      </c>
      <c r="CE93" s="41" t="str">
        <f t="shared" si="53"/>
        <v/>
      </c>
      <c r="CF93" s="39" t="str">
        <f t="shared" si="54"/>
        <v/>
      </c>
      <c r="CG93" s="458" t="str">
        <f t="shared" si="55"/>
        <v/>
      </c>
      <c r="CH93" s="458" t="str">
        <f t="shared" si="56"/>
        <v/>
      </c>
      <c r="CI93" s="458" t="str">
        <f t="shared" si="57"/>
        <v/>
      </c>
      <c r="CJ93" s="458" t="str">
        <f t="shared" si="58"/>
        <v/>
      </c>
      <c r="CK93" s="40" t="str">
        <f t="shared" si="59"/>
        <v/>
      </c>
      <c r="CL93" s="40" t="str">
        <f t="shared" si="60"/>
        <v/>
      </c>
      <c r="CM93" s="40" t="str">
        <f t="shared" si="61"/>
        <v/>
      </c>
      <c r="CN93" s="39" t="str">
        <f t="shared" si="62"/>
        <v/>
      </c>
      <c r="CO93" s="458" t="str">
        <f t="shared" si="63"/>
        <v/>
      </c>
      <c r="CP93" s="458" t="str">
        <f t="shared" si="64"/>
        <v/>
      </c>
      <c r="CQ93" s="458" t="str">
        <f t="shared" si="65"/>
        <v/>
      </c>
      <c r="CR93" s="458" t="str">
        <f t="shared" si="66"/>
        <v/>
      </c>
      <c r="CS93" s="40" t="str">
        <f t="shared" si="67"/>
        <v/>
      </c>
      <c r="CT93" s="40" t="str">
        <f t="shared" si="68"/>
        <v/>
      </c>
      <c r="CU93" s="41" t="str">
        <f t="shared" si="69"/>
        <v/>
      </c>
    </row>
    <row r="94" spans="1:99" x14ac:dyDescent="0.2">
      <c r="A94" s="77">
        <f t="shared" si="70"/>
        <v>89</v>
      </c>
      <c r="B94" s="81"/>
      <c r="C94" s="82"/>
      <c r="D94" s="71"/>
      <c r="E94" s="72"/>
      <c r="F94" s="73"/>
      <c r="G94" s="443"/>
      <c r="H94" s="443"/>
      <c r="I94" s="74"/>
      <c r="J94" s="75"/>
      <c r="K94" s="41">
        <f t="shared" si="39"/>
        <v>3625</v>
      </c>
      <c r="L94" s="104"/>
      <c r="M94" s="105"/>
      <c r="N94" s="106">
        <f t="shared" si="40"/>
        <v>537.05999999999995</v>
      </c>
      <c r="O94" s="104"/>
      <c r="P94" s="105"/>
      <c r="Q94" s="106">
        <f t="shared" si="72"/>
        <v>10045.83</v>
      </c>
      <c r="R94" s="104"/>
      <c r="S94" s="105"/>
      <c r="T94" s="106">
        <f t="shared" si="73"/>
        <v>0</v>
      </c>
      <c r="U94" s="439"/>
      <c r="V94" s="42">
        <f t="shared" si="41"/>
        <v>89</v>
      </c>
      <c r="W94" s="39" t="str">
        <f>IF(AND(E94='Povolené hodnoty'!$B$4,F94=2),I94+L94+O94+R94,"")</f>
        <v/>
      </c>
      <c r="X94" s="41" t="str">
        <f>IF(AND(E94='Povolené hodnoty'!$B$4,F94=1),I94+L94+O94+R94,"")</f>
        <v/>
      </c>
      <c r="Y94" s="39" t="str">
        <f>IF(AND(E94='Povolené hodnoty'!$B$4,F94=10),J94+M94+P94+S94,"")</f>
        <v/>
      </c>
      <c r="Z94" s="41" t="str">
        <f>IF(AND(E94='Povolené hodnoty'!$B$4,F94=9),J94+M94+P94+S94,"")</f>
        <v/>
      </c>
      <c r="AA94" s="39" t="str">
        <f>IF(AND(E94&lt;&gt;'Povolené hodnoty'!$B$4,F94=2),I94+L94+O94+R94,"")</f>
        <v/>
      </c>
      <c r="AB94" s="40" t="str">
        <f>IF(AND(E94&lt;&gt;'Povolené hodnoty'!$B$4,F94=3),I94+L94+O94+R94,"")</f>
        <v/>
      </c>
      <c r="AC94" s="40" t="str">
        <f>IF(AND(E94&lt;&gt;'Povolené hodnoty'!$B$4,F94=4),I94+L94+O94+R94,"")</f>
        <v/>
      </c>
      <c r="AD94" s="40" t="str">
        <f>IF(AND(E94&lt;&gt;'Povolené hodnoty'!$B$4,F94="5a"),I94-J94+L94-M94+O94-P94+R94-S94,"")</f>
        <v/>
      </c>
      <c r="AE94" s="40" t="str">
        <f>IF(AND(E94&lt;&gt;'Povolené hodnoty'!$B$4,F94="5b"),I94-J94+L94-M94+O94-P94+R94-S94,"")</f>
        <v/>
      </c>
      <c r="AF94" s="40" t="str">
        <f>IF(AND(E94&lt;&gt;'Povolené hodnoty'!$B$4,F94=6),I94+L94+O94+R94,"")</f>
        <v/>
      </c>
      <c r="AG94" s="41" t="str">
        <f>IF(AND(E94&lt;&gt;'Povolené hodnoty'!$B$4,F94=7),I94+L94+O94+R94,"")</f>
        <v/>
      </c>
      <c r="AH94" s="39" t="str">
        <f>IF(AND(E94&lt;&gt;'Povolené hodnoty'!$B$4,F94=10),J94+M94+P94+S94,"")</f>
        <v/>
      </c>
      <c r="AI94" s="40" t="str">
        <f>IF(AND(E94&lt;&gt;'Povolené hodnoty'!$B$4,F94=11),J94+M94+P94+S94,"")</f>
        <v/>
      </c>
      <c r="AJ94" s="40" t="str">
        <f>IF(AND(E94&lt;&gt;'Povolené hodnoty'!$B$4,F94=12),J94+M94+P94+S94,"")</f>
        <v/>
      </c>
      <c r="AK94" s="41" t="str">
        <f>IF(AND(E94&lt;&gt;'Povolené hodnoty'!$B$4,F94=13),J94+M94+P94+S94,"")</f>
        <v/>
      </c>
      <c r="AL94" s="39" t="str">
        <f>IF(AND($G94='Povolené hodnoty'!$B$13,$H94=AL$4),SUM($I94,$L94,$O94,$R94),"")</f>
        <v/>
      </c>
      <c r="AM94" s="458" t="str">
        <f>IF(AND($G94='Povolené hodnoty'!$B$13,$H94=AM$4),SUM($I94,$L94,$O94,$R94),"")</f>
        <v/>
      </c>
      <c r="AN94" s="458" t="str">
        <f>IF(AND($G94='Povolené hodnoty'!$B$13,$H94=AN$4),SUM($I94,$L94,$O94,$R94),"")</f>
        <v/>
      </c>
      <c r="AO94" s="458" t="str">
        <f>IF(AND($G94='Povolené hodnoty'!$B$13,$H94=AO$4),SUM($I94,$L94,$O94,$R94),"")</f>
        <v/>
      </c>
      <c r="AP94" s="458" t="str">
        <f>IF(AND($G94='Povolené hodnoty'!$B$13,$H94=AP$4),SUM($I94,$L94,$O94,$R94),"")</f>
        <v/>
      </c>
      <c r="AQ94" s="40" t="str">
        <f>IF(AND($G94='Povolené hodnoty'!$B$13,OR($H94=AQ$4,$H94='Povolené hodnoty'!$E$36)),SUM($I94,-$J94,$L94,-$M94,$O94,-$P94,$R94,-$S94),"")</f>
        <v/>
      </c>
      <c r="AR94" s="40" t="str">
        <f>IF(AND($G94='Povolené hodnoty'!$B$13,$H94=AR$4),SUM($I94,$L94,$O94,$R94),"")</f>
        <v/>
      </c>
      <c r="AS94" s="41" t="str">
        <f>IF(AND($G94='Povolené hodnoty'!$B$13,$H94=AS$4),SUM($I94,$L94,$O94,$R94),"")</f>
        <v/>
      </c>
      <c r="AT94" s="39" t="str">
        <f>IF(AND($G94='Povolené hodnoty'!$B$14,$H94=AT$4),SUM($I94,$L94,$O94,$R94),"")</f>
        <v/>
      </c>
      <c r="AU94" s="458" t="str">
        <f>IF(AND($G94='Povolené hodnoty'!$B$14,$H94=AU$4),SUM($I94,$L94,$O94,$R94),"")</f>
        <v/>
      </c>
      <c r="AV94" s="41" t="str">
        <f>IF(AND($G94='Povolené hodnoty'!$B$14,$H94=AV$4),SUM($I94,$L94,$O94,$R94),"")</f>
        <v/>
      </c>
      <c r="AW94" s="39" t="str">
        <f>IF(AND($G94='Povolené hodnoty'!$B$13,$H94=AW$4),SUM($J94,$M94,$P94,$S94),"")</f>
        <v/>
      </c>
      <c r="AX94" s="458" t="str">
        <f>IF(AND($G94='Povolené hodnoty'!$B$13,$H94=AX$4),SUM($J94,$M94,$P94,$S94),"")</f>
        <v/>
      </c>
      <c r="AY94" s="458" t="str">
        <f>IF(AND($G94='Povolené hodnoty'!$B$13,$H94=AY$4),SUM($J94,$M94,$P94,$S94),"")</f>
        <v/>
      </c>
      <c r="AZ94" s="458" t="str">
        <f>IF(AND($G94='Povolené hodnoty'!$B$13,$H94=AZ$4),SUM($J94,$M94,$P94,$S94),"")</f>
        <v/>
      </c>
      <c r="BA94" s="458" t="str">
        <f>IF(AND($G94='Povolené hodnoty'!$B$13,$H94=BA$4),SUM($J94,$M94,$P94,$S94),"")</f>
        <v/>
      </c>
      <c r="BB94" s="40" t="str">
        <f>IF(AND($G94='Povolené hodnoty'!$B$13,$H94=BB$4),SUM($J94,$M94,$P94,$S94),"")</f>
        <v/>
      </c>
      <c r="BC94" s="40" t="str">
        <f>IF(AND($G94='Povolené hodnoty'!$B$13,$H94=BC$4),SUM($J94,$M94,$P94,$S94),"")</f>
        <v/>
      </c>
      <c r="BD94" s="40" t="str">
        <f>IF(AND($G94='Povolené hodnoty'!$B$13,$H94=BD$4),SUM($J94,$M94,$P94,$S94),"")</f>
        <v/>
      </c>
      <c r="BE94" s="41" t="str">
        <f>IF(AND($G94='Povolené hodnoty'!$B$13,$H94=BE$4),SUM($J94,$M94,$P94,$S94),"")</f>
        <v/>
      </c>
      <c r="BF94" s="39" t="str">
        <f>IF(AND($G94='Povolené hodnoty'!$B$14,$H94=BF$4),SUM($J94,$M94,$P94,$S94),"")</f>
        <v/>
      </c>
      <c r="BG94" s="458" t="str">
        <f>IF(AND($G94='Povolené hodnoty'!$B$14,$H94=BG$4),SUM($J94,$M94,$P94,$S94),"")</f>
        <v/>
      </c>
      <c r="BH94" s="458" t="str">
        <f>IF(AND($G94='Povolené hodnoty'!$B$14,$H94=BH$4),SUM($J94,$M94,$P94,$S94),"")</f>
        <v/>
      </c>
      <c r="BI94" s="458" t="str">
        <f>IF(AND($G94='Povolené hodnoty'!$B$14,$H94=BI$4),SUM($J94,$M94,$P94,$S94),"")</f>
        <v/>
      </c>
      <c r="BJ94" s="458" t="str">
        <f>IF(AND($G94='Povolené hodnoty'!$B$14,$H94=BJ$4),SUM($J94,$M94,$P94,$S94),"")</f>
        <v/>
      </c>
      <c r="BK94" s="40" t="str">
        <f>IF(AND($G94='Povolené hodnoty'!$B$14,$H94=BK$4),SUM($J94,$M94,$P94,$S94),"")</f>
        <v/>
      </c>
      <c r="BL94" s="40" t="str">
        <f>IF(AND($G94='Povolené hodnoty'!$B$14,$H94=BL$4),SUM($J94,$M94,$P94,$S94),"")</f>
        <v/>
      </c>
      <c r="BM94" s="41" t="str">
        <f>IF(AND($G94='Povolené hodnoty'!$B$14,$H94=BM$4),SUM($J94,$M94,$P94,$S94),"")</f>
        <v/>
      </c>
      <c r="BO94" s="18" t="b">
        <f t="shared" si="71"/>
        <v>0</v>
      </c>
      <c r="BP94" s="18" t="b">
        <f t="shared" si="42"/>
        <v>0</v>
      </c>
      <c r="BQ94" s="18" t="b">
        <f>AND(E94&lt;&gt;'Povolené hodnoty'!$B$6,F94&lt;&gt;'Povolené hodnoty'!$D$7,F94&lt;&gt;'Povolené hodnoty'!$D$8,OR(SUM(I94,L94,O94,R94)&lt;&gt;SUM(W94:X94,AA94:AG94),SUM(J94,M94,P94,S94)&lt;&gt;SUM(Y94:Z94,AH94:AK94),COUNT(I94:J94,L94:M94,O94:P94,R94:S94)&lt;&gt;COUNT(W94:AK94)))</f>
        <v>0</v>
      </c>
      <c r="BR94" s="18" t="b">
        <f>OR(AND(E94='Povolené hodnoty'!$B$6,$BR$5),AND(E94='Povolené hodnoty'!$B$6,H94&lt;&gt;'Povolené hodnoty'!$E$26,H94&lt;&gt;'Povolené hodnoty'!$E$35),AND(E94&lt;&gt;'Povolené hodnoty'!$B$6,OR(H94='Povolené hodnoty'!$E$26,H94='Povolené hodnoty'!$E$35)))</f>
        <v>0</v>
      </c>
      <c r="BS94" s="18" t="b">
        <f>OR(AND(G94&lt;&gt;'Povolené hodnoty'!$B$13,OR(H94='Povolené hodnoty'!$E$21,H94='Povolené hodnoty'!$E$22,H94='Povolené hodnoty'!$E$23,H94='Povolené hodnoty'!$E$24,H94='Povolené hodnoty'!$E$26,H94='Povolené hodnoty'!$E$36)),COUNT(I94:J94,L94:M94,O94:P94,R94:S94)&lt;&gt;COUNT(AL94:BM94))</f>
        <v>0</v>
      </c>
      <c r="BT94" s="18" t="b">
        <f t="shared" si="43"/>
        <v>0</v>
      </c>
      <c r="BV94" s="39" t="str">
        <f t="shared" si="44"/>
        <v/>
      </c>
      <c r="BW94" s="458" t="str">
        <f t="shared" si="45"/>
        <v/>
      </c>
      <c r="BX94" s="458" t="str">
        <f t="shared" si="46"/>
        <v/>
      </c>
      <c r="BY94" s="458" t="str">
        <f t="shared" si="47"/>
        <v/>
      </c>
      <c r="BZ94" s="458" t="str">
        <f t="shared" si="48"/>
        <v/>
      </c>
      <c r="CA94" s="40" t="str">
        <f t="shared" si="49"/>
        <v/>
      </c>
      <c r="CB94" s="40" t="str">
        <f t="shared" si="50"/>
        <v/>
      </c>
      <c r="CC94" s="39" t="str">
        <f t="shared" si="51"/>
        <v/>
      </c>
      <c r="CD94" s="458" t="str">
        <f t="shared" si="52"/>
        <v/>
      </c>
      <c r="CE94" s="41" t="str">
        <f t="shared" si="53"/>
        <v/>
      </c>
      <c r="CF94" s="39" t="str">
        <f t="shared" si="54"/>
        <v/>
      </c>
      <c r="CG94" s="458" t="str">
        <f t="shared" si="55"/>
        <v/>
      </c>
      <c r="CH94" s="458" t="str">
        <f t="shared" si="56"/>
        <v/>
      </c>
      <c r="CI94" s="458" t="str">
        <f t="shared" si="57"/>
        <v/>
      </c>
      <c r="CJ94" s="458" t="str">
        <f t="shared" si="58"/>
        <v/>
      </c>
      <c r="CK94" s="40" t="str">
        <f t="shared" si="59"/>
        <v/>
      </c>
      <c r="CL94" s="40" t="str">
        <f t="shared" si="60"/>
        <v/>
      </c>
      <c r="CM94" s="40" t="str">
        <f t="shared" si="61"/>
        <v/>
      </c>
      <c r="CN94" s="39" t="str">
        <f t="shared" si="62"/>
        <v/>
      </c>
      <c r="CO94" s="458" t="str">
        <f t="shared" si="63"/>
        <v/>
      </c>
      <c r="CP94" s="458" t="str">
        <f t="shared" si="64"/>
        <v/>
      </c>
      <c r="CQ94" s="458" t="str">
        <f t="shared" si="65"/>
        <v/>
      </c>
      <c r="CR94" s="458" t="str">
        <f t="shared" si="66"/>
        <v/>
      </c>
      <c r="CS94" s="40" t="str">
        <f t="shared" si="67"/>
        <v/>
      </c>
      <c r="CT94" s="40" t="str">
        <f t="shared" si="68"/>
        <v/>
      </c>
      <c r="CU94" s="41" t="str">
        <f t="shared" si="69"/>
        <v/>
      </c>
    </row>
    <row r="95" spans="1:99" x14ac:dyDescent="0.2">
      <c r="A95" s="77">
        <f t="shared" si="70"/>
        <v>90</v>
      </c>
      <c r="B95" s="81"/>
      <c r="C95" s="82"/>
      <c r="D95" s="71"/>
      <c r="E95" s="72"/>
      <c r="F95" s="73"/>
      <c r="G95" s="443"/>
      <c r="H95" s="443"/>
      <c r="I95" s="74"/>
      <c r="J95" s="75"/>
      <c r="K95" s="41">
        <f t="shared" si="39"/>
        <v>3625</v>
      </c>
      <c r="L95" s="104"/>
      <c r="M95" s="105"/>
      <c r="N95" s="106">
        <f t="shared" si="40"/>
        <v>537.05999999999995</v>
      </c>
      <c r="O95" s="104"/>
      <c r="P95" s="105"/>
      <c r="Q95" s="106">
        <f t="shared" si="72"/>
        <v>10045.83</v>
      </c>
      <c r="R95" s="104"/>
      <c r="S95" s="105"/>
      <c r="T95" s="106">
        <f t="shared" si="73"/>
        <v>0</v>
      </c>
      <c r="U95" s="439"/>
      <c r="V95" s="42">
        <f t="shared" si="41"/>
        <v>90</v>
      </c>
      <c r="W95" s="39" t="str">
        <f>IF(AND(E95='Povolené hodnoty'!$B$4,F95=2),I95+L95+O95+R95,"")</f>
        <v/>
      </c>
      <c r="X95" s="41" t="str">
        <f>IF(AND(E95='Povolené hodnoty'!$B$4,F95=1),I95+L95+O95+R95,"")</f>
        <v/>
      </c>
      <c r="Y95" s="39" t="str">
        <f>IF(AND(E95='Povolené hodnoty'!$B$4,F95=10),J95+M95+P95+S95,"")</f>
        <v/>
      </c>
      <c r="Z95" s="41" t="str">
        <f>IF(AND(E95='Povolené hodnoty'!$B$4,F95=9),J95+M95+P95+S95,"")</f>
        <v/>
      </c>
      <c r="AA95" s="39" t="str">
        <f>IF(AND(E95&lt;&gt;'Povolené hodnoty'!$B$4,F95=2),I95+L95+O95+R95,"")</f>
        <v/>
      </c>
      <c r="AB95" s="40" t="str">
        <f>IF(AND(E95&lt;&gt;'Povolené hodnoty'!$B$4,F95=3),I95+L95+O95+R95,"")</f>
        <v/>
      </c>
      <c r="AC95" s="40" t="str">
        <f>IF(AND(E95&lt;&gt;'Povolené hodnoty'!$B$4,F95=4),I95+L95+O95+R95,"")</f>
        <v/>
      </c>
      <c r="AD95" s="40" t="str">
        <f>IF(AND(E95&lt;&gt;'Povolené hodnoty'!$B$4,F95="5a"),I95-J95+L95-M95+O95-P95+R95-S95,"")</f>
        <v/>
      </c>
      <c r="AE95" s="40" t="str">
        <f>IF(AND(E95&lt;&gt;'Povolené hodnoty'!$B$4,F95="5b"),I95-J95+L95-M95+O95-P95+R95-S95,"")</f>
        <v/>
      </c>
      <c r="AF95" s="40" t="str">
        <f>IF(AND(E95&lt;&gt;'Povolené hodnoty'!$B$4,F95=6),I95+L95+O95+R95,"")</f>
        <v/>
      </c>
      <c r="AG95" s="41" t="str">
        <f>IF(AND(E95&lt;&gt;'Povolené hodnoty'!$B$4,F95=7),I95+L95+O95+R95,"")</f>
        <v/>
      </c>
      <c r="AH95" s="39" t="str">
        <f>IF(AND(E95&lt;&gt;'Povolené hodnoty'!$B$4,F95=10),J95+M95+P95+S95,"")</f>
        <v/>
      </c>
      <c r="AI95" s="40" t="str">
        <f>IF(AND(E95&lt;&gt;'Povolené hodnoty'!$B$4,F95=11),J95+M95+P95+S95,"")</f>
        <v/>
      </c>
      <c r="AJ95" s="40" t="str">
        <f>IF(AND(E95&lt;&gt;'Povolené hodnoty'!$B$4,F95=12),J95+M95+P95+S95,"")</f>
        <v/>
      </c>
      <c r="AK95" s="41" t="str">
        <f>IF(AND(E95&lt;&gt;'Povolené hodnoty'!$B$4,F95=13),J95+M95+P95+S95,"")</f>
        <v/>
      </c>
      <c r="AL95" s="39" t="str">
        <f>IF(AND($G95='Povolené hodnoty'!$B$13,$H95=AL$4),SUM($I95,$L95,$O95,$R95),"")</f>
        <v/>
      </c>
      <c r="AM95" s="458" t="str">
        <f>IF(AND($G95='Povolené hodnoty'!$B$13,$H95=AM$4),SUM($I95,$L95,$O95,$R95),"")</f>
        <v/>
      </c>
      <c r="AN95" s="458" t="str">
        <f>IF(AND($G95='Povolené hodnoty'!$B$13,$H95=AN$4),SUM($I95,$L95,$O95,$R95),"")</f>
        <v/>
      </c>
      <c r="AO95" s="458" t="str">
        <f>IF(AND($G95='Povolené hodnoty'!$B$13,$H95=AO$4),SUM($I95,$L95,$O95,$R95),"")</f>
        <v/>
      </c>
      <c r="AP95" s="458" t="str">
        <f>IF(AND($G95='Povolené hodnoty'!$B$13,$H95=AP$4),SUM($I95,$L95,$O95,$R95),"")</f>
        <v/>
      </c>
      <c r="AQ95" s="40" t="str">
        <f>IF(AND($G95='Povolené hodnoty'!$B$13,OR($H95=AQ$4,$H95='Povolené hodnoty'!$E$36)),SUM($I95,-$J95,$L95,-$M95,$O95,-$P95,$R95,-$S95),"")</f>
        <v/>
      </c>
      <c r="AR95" s="40" t="str">
        <f>IF(AND($G95='Povolené hodnoty'!$B$13,$H95=AR$4),SUM($I95,$L95,$O95,$R95),"")</f>
        <v/>
      </c>
      <c r="AS95" s="41" t="str">
        <f>IF(AND($G95='Povolené hodnoty'!$B$13,$H95=AS$4),SUM($I95,$L95,$O95,$R95),"")</f>
        <v/>
      </c>
      <c r="AT95" s="39" t="str">
        <f>IF(AND($G95='Povolené hodnoty'!$B$14,$H95=AT$4),SUM($I95,$L95,$O95,$R95),"")</f>
        <v/>
      </c>
      <c r="AU95" s="458" t="str">
        <f>IF(AND($G95='Povolené hodnoty'!$B$14,$H95=AU$4),SUM($I95,$L95,$O95,$R95),"")</f>
        <v/>
      </c>
      <c r="AV95" s="41" t="str">
        <f>IF(AND($G95='Povolené hodnoty'!$B$14,$H95=AV$4),SUM($I95,$L95,$O95,$R95),"")</f>
        <v/>
      </c>
      <c r="AW95" s="39" t="str">
        <f>IF(AND($G95='Povolené hodnoty'!$B$13,$H95=AW$4),SUM($J95,$M95,$P95,$S95),"")</f>
        <v/>
      </c>
      <c r="AX95" s="458" t="str">
        <f>IF(AND($G95='Povolené hodnoty'!$B$13,$H95=AX$4),SUM($J95,$M95,$P95,$S95),"")</f>
        <v/>
      </c>
      <c r="AY95" s="458" t="str">
        <f>IF(AND($G95='Povolené hodnoty'!$B$13,$H95=AY$4),SUM($J95,$M95,$P95,$S95),"")</f>
        <v/>
      </c>
      <c r="AZ95" s="458" t="str">
        <f>IF(AND($G95='Povolené hodnoty'!$B$13,$H95=AZ$4),SUM($J95,$M95,$P95,$S95),"")</f>
        <v/>
      </c>
      <c r="BA95" s="458" t="str">
        <f>IF(AND($G95='Povolené hodnoty'!$B$13,$H95=BA$4),SUM($J95,$M95,$P95,$S95),"")</f>
        <v/>
      </c>
      <c r="BB95" s="40" t="str">
        <f>IF(AND($G95='Povolené hodnoty'!$B$13,$H95=BB$4),SUM($J95,$M95,$P95,$S95),"")</f>
        <v/>
      </c>
      <c r="BC95" s="40" t="str">
        <f>IF(AND($G95='Povolené hodnoty'!$B$13,$H95=BC$4),SUM($J95,$M95,$P95,$S95),"")</f>
        <v/>
      </c>
      <c r="BD95" s="40" t="str">
        <f>IF(AND($G95='Povolené hodnoty'!$B$13,$H95=BD$4),SUM($J95,$M95,$P95,$S95),"")</f>
        <v/>
      </c>
      <c r="BE95" s="41" t="str">
        <f>IF(AND($G95='Povolené hodnoty'!$B$13,$H95=BE$4),SUM($J95,$M95,$P95,$S95),"")</f>
        <v/>
      </c>
      <c r="BF95" s="39" t="str">
        <f>IF(AND($G95='Povolené hodnoty'!$B$14,$H95=BF$4),SUM($J95,$M95,$P95,$S95),"")</f>
        <v/>
      </c>
      <c r="BG95" s="458" t="str">
        <f>IF(AND($G95='Povolené hodnoty'!$B$14,$H95=BG$4),SUM($J95,$M95,$P95,$S95),"")</f>
        <v/>
      </c>
      <c r="BH95" s="458" t="str">
        <f>IF(AND($G95='Povolené hodnoty'!$B$14,$H95=BH$4),SUM($J95,$M95,$P95,$S95),"")</f>
        <v/>
      </c>
      <c r="BI95" s="458" t="str">
        <f>IF(AND($G95='Povolené hodnoty'!$B$14,$H95=BI$4),SUM($J95,$M95,$P95,$S95),"")</f>
        <v/>
      </c>
      <c r="BJ95" s="458" t="str">
        <f>IF(AND($G95='Povolené hodnoty'!$B$14,$H95=BJ$4),SUM($J95,$M95,$P95,$S95),"")</f>
        <v/>
      </c>
      <c r="BK95" s="40" t="str">
        <f>IF(AND($G95='Povolené hodnoty'!$B$14,$H95=BK$4),SUM($J95,$M95,$P95,$S95),"")</f>
        <v/>
      </c>
      <c r="BL95" s="40" t="str">
        <f>IF(AND($G95='Povolené hodnoty'!$B$14,$H95=BL$4),SUM($J95,$M95,$P95,$S95),"")</f>
        <v/>
      </c>
      <c r="BM95" s="41" t="str">
        <f>IF(AND($G95='Povolené hodnoty'!$B$14,$H95=BM$4),SUM($J95,$M95,$P95,$S95),"")</f>
        <v/>
      </c>
      <c r="BO95" s="18" t="b">
        <f t="shared" si="71"/>
        <v>0</v>
      </c>
      <c r="BP95" s="18" t="b">
        <f t="shared" si="42"/>
        <v>0</v>
      </c>
      <c r="BQ95" s="18" t="b">
        <f>AND(E95&lt;&gt;'Povolené hodnoty'!$B$6,F95&lt;&gt;'Povolené hodnoty'!$D$7,F95&lt;&gt;'Povolené hodnoty'!$D$8,OR(SUM(I95,L95,O95,R95)&lt;&gt;SUM(W95:X95,AA95:AG95),SUM(J95,M95,P95,S95)&lt;&gt;SUM(Y95:Z95,AH95:AK95),COUNT(I95:J95,L95:M95,O95:P95,R95:S95)&lt;&gt;COUNT(W95:AK95)))</f>
        <v>0</v>
      </c>
      <c r="BR95" s="18" t="b">
        <f>OR(AND(E95='Povolené hodnoty'!$B$6,$BR$5),AND(E95='Povolené hodnoty'!$B$6,H95&lt;&gt;'Povolené hodnoty'!$E$26,H95&lt;&gt;'Povolené hodnoty'!$E$35),AND(E95&lt;&gt;'Povolené hodnoty'!$B$6,OR(H95='Povolené hodnoty'!$E$26,H95='Povolené hodnoty'!$E$35)))</f>
        <v>0</v>
      </c>
      <c r="BS95" s="18" t="b">
        <f>OR(AND(G95&lt;&gt;'Povolené hodnoty'!$B$13,OR(H95='Povolené hodnoty'!$E$21,H95='Povolené hodnoty'!$E$22,H95='Povolené hodnoty'!$E$23,H95='Povolené hodnoty'!$E$24,H95='Povolené hodnoty'!$E$26,H95='Povolené hodnoty'!$E$36)),COUNT(I95:J95,L95:M95,O95:P95,R95:S95)&lt;&gt;COUNT(AL95:BM95))</f>
        <v>0</v>
      </c>
      <c r="BT95" s="18" t="b">
        <f t="shared" si="43"/>
        <v>0</v>
      </c>
      <c r="BV95" s="39" t="str">
        <f t="shared" si="44"/>
        <v/>
      </c>
      <c r="BW95" s="458" t="str">
        <f t="shared" si="45"/>
        <v/>
      </c>
      <c r="BX95" s="458" t="str">
        <f t="shared" si="46"/>
        <v/>
      </c>
      <c r="BY95" s="458" t="str">
        <f t="shared" si="47"/>
        <v/>
      </c>
      <c r="BZ95" s="458" t="str">
        <f t="shared" si="48"/>
        <v/>
      </c>
      <c r="CA95" s="40" t="str">
        <f t="shared" si="49"/>
        <v/>
      </c>
      <c r="CB95" s="40" t="str">
        <f t="shared" si="50"/>
        <v/>
      </c>
      <c r="CC95" s="39" t="str">
        <f t="shared" si="51"/>
        <v/>
      </c>
      <c r="CD95" s="458" t="str">
        <f t="shared" si="52"/>
        <v/>
      </c>
      <c r="CE95" s="41" t="str">
        <f t="shared" si="53"/>
        <v/>
      </c>
      <c r="CF95" s="39" t="str">
        <f t="shared" si="54"/>
        <v/>
      </c>
      <c r="CG95" s="458" t="str">
        <f t="shared" si="55"/>
        <v/>
      </c>
      <c r="CH95" s="458" t="str">
        <f t="shared" si="56"/>
        <v/>
      </c>
      <c r="CI95" s="458" t="str">
        <f t="shared" si="57"/>
        <v/>
      </c>
      <c r="CJ95" s="458" t="str">
        <f t="shared" si="58"/>
        <v/>
      </c>
      <c r="CK95" s="40" t="str">
        <f t="shared" si="59"/>
        <v/>
      </c>
      <c r="CL95" s="40" t="str">
        <f t="shared" si="60"/>
        <v/>
      </c>
      <c r="CM95" s="40" t="str">
        <f t="shared" si="61"/>
        <v/>
      </c>
      <c r="CN95" s="39" t="str">
        <f t="shared" si="62"/>
        <v/>
      </c>
      <c r="CO95" s="458" t="str">
        <f t="shared" si="63"/>
        <v/>
      </c>
      <c r="CP95" s="458" t="str">
        <f t="shared" si="64"/>
        <v/>
      </c>
      <c r="CQ95" s="458" t="str">
        <f t="shared" si="65"/>
        <v/>
      </c>
      <c r="CR95" s="458" t="str">
        <f t="shared" si="66"/>
        <v/>
      </c>
      <c r="CS95" s="40" t="str">
        <f t="shared" si="67"/>
        <v/>
      </c>
      <c r="CT95" s="40" t="str">
        <f t="shared" si="68"/>
        <v/>
      </c>
      <c r="CU95" s="41" t="str">
        <f t="shared" si="69"/>
        <v/>
      </c>
    </row>
    <row r="96" spans="1:99" x14ac:dyDescent="0.2">
      <c r="A96" s="77">
        <f t="shared" si="70"/>
        <v>91</v>
      </c>
      <c r="B96" s="81"/>
      <c r="C96" s="82"/>
      <c r="D96" s="71"/>
      <c r="E96" s="72"/>
      <c r="F96" s="73"/>
      <c r="G96" s="443"/>
      <c r="H96" s="443"/>
      <c r="I96" s="74"/>
      <c r="J96" s="75"/>
      <c r="K96" s="41">
        <f t="shared" si="39"/>
        <v>3625</v>
      </c>
      <c r="L96" s="104"/>
      <c r="M96" s="105"/>
      <c r="N96" s="106">
        <f t="shared" si="40"/>
        <v>537.05999999999995</v>
      </c>
      <c r="O96" s="104"/>
      <c r="P96" s="105"/>
      <c r="Q96" s="106">
        <f t="shared" si="72"/>
        <v>10045.83</v>
      </c>
      <c r="R96" s="104"/>
      <c r="S96" s="105"/>
      <c r="T96" s="106">
        <f t="shared" si="73"/>
        <v>0</v>
      </c>
      <c r="U96" s="439"/>
      <c r="V96" s="42">
        <f t="shared" si="41"/>
        <v>91</v>
      </c>
      <c r="W96" s="39" t="str">
        <f>IF(AND(E96='Povolené hodnoty'!$B$4,F96=2),I96+L96+O96+R96,"")</f>
        <v/>
      </c>
      <c r="X96" s="41" t="str">
        <f>IF(AND(E96='Povolené hodnoty'!$B$4,F96=1),I96+L96+O96+R96,"")</f>
        <v/>
      </c>
      <c r="Y96" s="39" t="str">
        <f>IF(AND(E96='Povolené hodnoty'!$B$4,F96=10),J96+M96+P96+S96,"")</f>
        <v/>
      </c>
      <c r="Z96" s="41" t="str">
        <f>IF(AND(E96='Povolené hodnoty'!$B$4,F96=9),J96+M96+P96+S96,"")</f>
        <v/>
      </c>
      <c r="AA96" s="39" t="str">
        <f>IF(AND(E96&lt;&gt;'Povolené hodnoty'!$B$4,F96=2),I96+L96+O96+R96,"")</f>
        <v/>
      </c>
      <c r="AB96" s="40" t="str">
        <f>IF(AND(E96&lt;&gt;'Povolené hodnoty'!$B$4,F96=3),I96+L96+O96+R96,"")</f>
        <v/>
      </c>
      <c r="AC96" s="40" t="str">
        <f>IF(AND(E96&lt;&gt;'Povolené hodnoty'!$B$4,F96=4),I96+L96+O96+R96,"")</f>
        <v/>
      </c>
      <c r="AD96" s="40" t="str">
        <f>IF(AND(E96&lt;&gt;'Povolené hodnoty'!$B$4,F96="5a"),I96-J96+L96-M96+O96-P96+R96-S96,"")</f>
        <v/>
      </c>
      <c r="AE96" s="40" t="str">
        <f>IF(AND(E96&lt;&gt;'Povolené hodnoty'!$B$4,F96="5b"),I96-J96+L96-M96+O96-P96+R96-S96,"")</f>
        <v/>
      </c>
      <c r="AF96" s="40" t="str">
        <f>IF(AND(E96&lt;&gt;'Povolené hodnoty'!$B$4,F96=6),I96+L96+O96+R96,"")</f>
        <v/>
      </c>
      <c r="AG96" s="41" t="str">
        <f>IF(AND(E96&lt;&gt;'Povolené hodnoty'!$B$4,F96=7),I96+L96+O96+R96,"")</f>
        <v/>
      </c>
      <c r="AH96" s="39" t="str">
        <f>IF(AND(E96&lt;&gt;'Povolené hodnoty'!$B$4,F96=10),J96+M96+P96+S96,"")</f>
        <v/>
      </c>
      <c r="AI96" s="40" t="str">
        <f>IF(AND(E96&lt;&gt;'Povolené hodnoty'!$B$4,F96=11),J96+M96+P96+S96,"")</f>
        <v/>
      </c>
      <c r="AJ96" s="40" t="str">
        <f>IF(AND(E96&lt;&gt;'Povolené hodnoty'!$B$4,F96=12),J96+M96+P96+S96,"")</f>
        <v/>
      </c>
      <c r="AK96" s="41" t="str">
        <f>IF(AND(E96&lt;&gt;'Povolené hodnoty'!$B$4,F96=13),J96+M96+P96+S96,"")</f>
        <v/>
      </c>
      <c r="AL96" s="39" t="str">
        <f>IF(AND($G96='Povolené hodnoty'!$B$13,$H96=AL$4),SUM($I96,$L96,$O96,$R96),"")</f>
        <v/>
      </c>
      <c r="AM96" s="458" t="str">
        <f>IF(AND($G96='Povolené hodnoty'!$B$13,$H96=AM$4),SUM($I96,$L96,$O96,$R96),"")</f>
        <v/>
      </c>
      <c r="AN96" s="458" t="str">
        <f>IF(AND($G96='Povolené hodnoty'!$B$13,$H96=AN$4),SUM($I96,$L96,$O96,$R96),"")</f>
        <v/>
      </c>
      <c r="AO96" s="458" t="str">
        <f>IF(AND($G96='Povolené hodnoty'!$B$13,$H96=AO$4),SUM($I96,$L96,$O96,$R96),"")</f>
        <v/>
      </c>
      <c r="AP96" s="458" t="str">
        <f>IF(AND($G96='Povolené hodnoty'!$B$13,$H96=AP$4),SUM($I96,$L96,$O96,$R96),"")</f>
        <v/>
      </c>
      <c r="AQ96" s="40" t="str">
        <f>IF(AND($G96='Povolené hodnoty'!$B$13,OR($H96=AQ$4,$H96='Povolené hodnoty'!$E$36)),SUM($I96,-$J96,$L96,-$M96,$O96,-$P96,$R96,-$S96),"")</f>
        <v/>
      </c>
      <c r="AR96" s="40" t="str">
        <f>IF(AND($G96='Povolené hodnoty'!$B$13,$H96=AR$4),SUM($I96,$L96,$O96,$R96),"")</f>
        <v/>
      </c>
      <c r="AS96" s="41" t="str">
        <f>IF(AND($G96='Povolené hodnoty'!$B$13,$H96=AS$4),SUM($I96,$L96,$O96,$R96),"")</f>
        <v/>
      </c>
      <c r="AT96" s="39" t="str">
        <f>IF(AND($G96='Povolené hodnoty'!$B$14,$H96=AT$4),SUM($I96,$L96,$O96,$R96),"")</f>
        <v/>
      </c>
      <c r="AU96" s="458" t="str">
        <f>IF(AND($G96='Povolené hodnoty'!$B$14,$H96=AU$4),SUM($I96,$L96,$O96,$R96),"")</f>
        <v/>
      </c>
      <c r="AV96" s="41" t="str">
        <f>IF(AND($G96='Povolené hodnoty'!$B$14,$H96=AV$4),SUM($I96,$L96,$O96,$R96),"")</f>
        <v/>
      </c>
      <c r="AW96" s="39" t="str">
        <f>IF(AND($G96='Povolené hodnoty'!$B$13,$H96=AW$4),SUM($J96,$M96,$P96,$S96),"")</f>
        <v/>
      </c>
      <c r="AX96" s="458" t="str">
        <f>IF(AND($G96='Povolené hodnoty'!$B$13,$H96=AX$4),SUM($J96,$M96,$P96,$S96),"")</f>
        <v/>
      </c>
      <c r="AY96" s="458" t="str">
        <f>IF(AND($G96='Povolené hodnoty'!$B$13,$H96=AY$4),SUM($J96,$M96,$P96,$S96),"")</f>
        <v/>
      </c>
      <c r="AZ96" s="458" t="str">
        <f>IF(AND($G96='Povolené hodnoty'!$B$13,$H96=AZ$4),SUM($J96,$M96,$P96,$S96),"")</f>
        <v/>
      </c>
      <c r="BA96" s="458" t="str">
        <f>IF(AND($G96='Povolené hodnoty'!$B$13,$H96=BA$4),SUM($J96,$M96,$P96,$S96),"")</f>
        <v/>
      </c>
      <c r="BB96" s="40" t="str">
        <f>IF(AND($G96='Povolené hodnoty'!$B$13,$H96=BB$4),SUM($J96,$M96,$P96,$S96),"")</f>
        <v/>
      </c>
      <c r="BC96" s="40" t="str">
        <f>IF(AND($G96='Povolené hodnoty'!$B$13,$H96=BC$4),SUM($J96,$M96,$P96,$S96),"")</f>
        <v/>
      </c>
      <c r="BD96" s="40" t="str">
        <f>IF(AND($G96='Povolené hodnoty'!$B$13,$H96=BD$4),SUM($J96,$M96,$P96,$S96),"")</f>
        <v/>
      </c>
      <c r="BE96" s="41" t="str">
        <f>IF(AND($G96='Povolené hodnoty'!$B$13,$H96=BE$4),SUM($J96,$M96,$P96,$S96),"")</f>
        <v/>
      </c>
      <c r="BF96" s="39" t="str">
        <f>IF(AND($G96='Povolené hodnoty'!$B$14,$H96=BF$4),SUM($J96,$M96,$P96,$S96),"")</f>
        <v/>
      </c>
      <c r="BG96" s="458" t="str">
        <f>IF(AND($G96='Povolené hodnoty'!$B$14,$H96=BG$4),SUM($J96,$M96,$P96,$S96),"")</f>
        <v/>
      </c>
      <c r="BH96" s="458" t="str">
        <f>IF(AND($G96='Povolené hodnoty'!$B$14,$H96=BH$4),SUM($J96,$M96,$P96,$S96),"")</f>
        <v/>
      </c>
      <c r="BI96" s="458" t="str">
        <f>IF(AND($G96='Povolené hodnoty'!$B$14,$H96=BI$4),SUM($J96,$M96,$P96,$S96),"")</f>
        <v/>
      </c>
      <c r="BJ96" s="458" t="str">
        <f>IF(AND($G96='Povolené hodnoty'!$B$14,$H96=BJ$4),SUM($J96,$M96,$P96,$S96),"")</f>
        <v/>
      </c>
      <c r="BK96" s="40" t="str">
        <f>IF(AND($G96='Povolené hodnoty'!$B$14,$H96=BK$4),SUM($J96,$M96,$P96,$S96),"")</f>
        <v/>
      </c>
      <c r="BL96" s="40" t="str">
        <f>IF(AND($G96='Povolené hodnoty'!$B$14,$H96=BL$4),SUM($J96,$M96,$P96,$S96),"")</f>
        <v/>
      </c>
      <c r="BM96" s="41" t="str">
        <f>IF(AND($G96='Povolené hodnoty'!$B$14,$H96=BM$4),SUM($J96,$M96,$P96,$S96),"")</f>
        <v/>
      </c>
      <c r="BO96" s="18" t="b">
        <f t="shared" si="71"/>
        <v>0</v>
      </c>
      <c r="BP96" s="18" t="b">
        <f t="shared" si="42"/>
        <v>0</v>
      </c>
      <c r="BQ96" s="18" t="b">
        <f>AND(E96&lt;&gt;'Povolené hodnoty'!$B$6,F96&lt;&gt;'Povolené hodnoty'!$D$7,F96&lt;&gt;'Povolené hodnoty'!$D$8,OR(SUM(I96,L96,O96,R96)&lt;&gt;SUM(W96:X96,AA96:AG96),SUM(J96,M96,P96,S96)&lt;&gt;SUM(Y96:Z96,AH96:AK96),COUNT(I96:J96,L96:M96,O96:P96,R96:S96)&lt;&gt;COUNT(W96:AK96)))</f>
        <v>0</v>
      </c>
      <c r="BR96" s="18" t="b">
        <f>OR(AND(E96='Povolené hodnoty'!$B$6,$BR$5),AND(E96='Povolené hodnoty'!$B$6,H96&lt;&gt;'Povolené hodnoty'!$E$26,H96&lt;&gt;'Povolené hodnoty'!$E$35),AND(E96&lt;&gt;'Povolené hodnoty'!$B$6,OR(H96='Povolené hodnoty'!$E$26,H96='Povolené hodnoty'!$E$35)))</f>
        <v>0</v>
      </c>
      <c r="BS96" s="18" t="b">
        <f>OR(AND(G96&lt;&gt;'Povolené hodnoty'!$B$13,OR(H96='Povolené hodnoty'!$E$21,H96='Povolené hodnoty'!$E$22,H96='Povolené hodnoty'!$E$23,H96='Povolené hodnoty'!$E$24,H96='Povolené hodnoty'!$E$26,H96='Povolené hodnoty'!$E$36)),COUNT(I96:J96,L96:M96,O96:P96,R96:S96)&lt;&gt;COUNT(AL96:BM96))</f>
        <v>0</v>
      </c>
      <c r="BT96" s="18" t="b">
        <f t="shared" si="43"/>
        <v>0</v>
      </c>
      <c r="BV96" s="39" t="str">
        <f t="shared" si="44"/>
        <v/>
      </c>
      <c r="BW96" s="458" t="str">
        <f t="shared" si="45"/>
        <v/>
      </c>
      <c r="BX96" s="458" t="str">
        <f t="shared" si="46"/>
        <v/>
      </c>
      <c r="BY96" s="458" t="str">
        <f t="shared" si="47"/>
        <v/>
      </c>
      <c r="BZ96" s="458" t="str">
        <f t="shared" si="48"/>
        <v/>
      </c>
      <c r="CA96" s="40" t="str">
        <f t="shared" si="49"/>
        <v/>
      </c>
      <c r="CB96" s="40" t="str">
        <f t="shared" si="50"/>
        <v/>
      </c>
      <c r="CC96" s="39" t="str">
        <f t="shared" si="51"/>
        <v/>
      </c>
      <c r="CD96" s="458" t="str">
        <f t="shared" si="52"/>
        <v/>
      </c>
      <c r="CE96" s="41" t="str">
        <f t="shared" si="53"/>
        <v/>
      </c>
      <c r="CF96" s="39" t="str">
        <f t="shared" si="54"/>
        <v/>
      </c>
      <c r="CG96" s="458" t="str">
        <f t="shared" si="55"/>
        <v/>
      </c>
      <c r="CH96" s="458" t="str">
        <f t="shared" si="56"/>
        <v/>
      </c>
      <c r="CI96" s="458" t="str">
        <f t="shared" si="57"/>
        <v/>
      </c>
      <c r="CJ96" s="458" t="str">
        <f t="shared" si="58"/>
        <v/>
      </c>
      <c r="CK96" s="40" t="str">
        <f t="shared" si="59"/>
        <v/>
      </c>
      <c r="CL96" s="40" t="str">
        <f t="shared" si="60"/>
        <v/>
      </c>
      <c r="CM96" s="40" t="str">
        <f t="shared" si="61"/>
        <v/>
      </c>
      <c r="CN96" s="39" t="str">
        <f t="shared" si="62"/>
        <v/>
      </c>
      <c r="CO96" s="458" t="str">
        <f t="shared" si="63"/>
        <v/>
      </c>
      <c r="CP96" s="458" t="str">
        <f t="shared" si="64"/>
        <v/>
      </c>
      <c r="CQ96" s="458" t="str">
        <f t="shared" si="65"/>
        <v/>
      </c>
      <c r="CR96" s="458" t="str">
        <f t="shared" si="66"/>
        <v/>
      </c>
      <c r="CS96" s="40" t="str">
        <f t="shared" si="67"/>
        <v/>
      </c>
      <c r="CT96" s="40" t="str">
        <f t="shared" si="68"/>
        <v/>
      </c>
      <c r="CU96" s="41" t="str">
        <f t="shared" si="69"/>
        <v/>
      </c>
    </row>
    <row r="97" spans="1:99" x14ac:dyDescent="0.2">
      <c r="A97" s="77">
        <f t="shared" si="70"/>
        <v>92</v>
      </c>
      <c r="B97" s="81"/>
      <c r="C97" s="82"/>
      <c r="D97" s="71"/>
      <c r="E97" s="72"/>
      <c r="F97" s="73"/>
      <c r="G97" s="443"/>
      <c r="H97" s="443"/>
      <c r="I97" s="74"/>
      <c r="J97" s="75"/>
      <c r="K97" s="41">
        <f t="shared" si="39"/>
        <v>3625</v>
      </c>
      <c r="L97" s="104"/>
      <c r="M97" s="105"/>
      <c r="N97" s="106">
        <f t="shared" si="40"/>
        <v>537.05999999999995</v>
      </c>
      <c r="O97" s="104"/>
      <c r="P97" s="105"/>
      <c r="Q97" s="106">
        <f t="shared" si="72"/>
        <v>10045.83</v>
      </c>
      <c r="R97" s="104"/>
      <c r="S97" s="105"/>
      <c r="T97" s="106">
        <f t="shared" si="73"/>
        <v>0</v>
      </c>
      <c r="U97" s="439"/>
      <c r="V97" s="42">
        <f t="shared" si="41"/>
        <v>92</v>
      </c>
      <c r="W97" s="39" t="str">
        <f>IF(AND(E97='Povolené hodnoty'!$B$4,F97=2),I97+L97+O97+R97,"")</f>
        <v/>
      </c>
      <c r="X97" s="41" t="str">
        <f>IF(AND(E97='Povolené hodnoty'!$B$4,F97=1),I97+L97+O97+R97,"")</f>
        <v/>
      </c>
      <c r="Y97" s="39" t="str">
        <f>IF(AND(E97='Povolené hodnoty'!$B$4,F97=10),J97+M97+P97+S97,"")</f>
        <v/>
      </c>
      <c r="Z97" s="41" t="str">
        <f>IF(AND(E97='Povolené hodnoty'!$B$4,F97=9),J97+M97+P97+S97,"")</f>
        <v/>
      </c>
      <c r="AA97" s="39" t="str">
        <f>IF(AND(E97&lt;&gt;'Povolené hodnoty'!$B$4,F97=2),I97+L97+O97+R97,"")</f>
        <v/>
      </c>
      <c r="AB97" s="40" t="str">
        <f>IF(AND(E97&lt;&gt;'Povolené hodnoty'!$B$4,F97=3),I97+L97+O97+R97,"")</f>
        <v/>
      </c>
      <c r="AC97" s="40" t="str">
        <f>IF(AND(E97&lt;&gt;'Povolené hodnoty'!$B$4,F97=4),I97+L97+O97+R97,"")</f>
        <v/>
      </c>
      <c r="AD97" s="40" t="str">
        <f>IF(AND(E97&lt;&gt;'Povolené hodnoty'!$B$4,F97="5a"),I97-J97+L97-M97+O97-P97+R97-S97,"")</f>
        <v/>
      </c>
      <c r="AE97" s="40" t="str">
        <f>IF(AND(E97&lt;&gt;'Povolené hodnoty'!$B$4,F97="5b"),I97-J97+L97-M97+O97-P97+R97-S97,"")</f>
        <v/>
      </c>
      <c r="AF97" s="40" t="str">
        <f>IF(AND(E97&lt;&gt;'Povolené hodnoty'!$B$4,F97=6),I97+L97+O97+R97,"")</f>
        <v/>
      </c>
      <c r="AG97" s="41" t="str">
        <f>IF(AND(E97&lt;&gt;'Povolené hodnoty'!$B$4,F97=7),I97+L97+O97+R97,"")</f>
        <v/>
      </c>
      <c r="AH97" s="39" t="str">
        <f>IF(AND(E97&lt;&gt;'Povolené hodnoty'!$B$4,F97=10),J97+M97+P97+S97,"")</f>
        <v/>
      </c>
      <c r="AI97" s="40" t="str">
        <f>IF(AND(E97&lt;&gt;'Povolené hodnoty'!$B$4,F97=11),J97+M97+P97+S97,"")</f>
        <v/>
      </c>
      <c r="AJ97" s="40" t="str">
        <f>IF(AND(E97&lt;&gt;'Povolené hodnoty'!$B$4,F97=12),J97+M97+P97+S97,"")</f>
        <v/>
      </c>
      <c r="AK97" s="41" t="str">
        <f>IF(AND(E97&lt;&gt;'Povolené hodnoty'!$B$4,F97=13),J97+M97+P97+S97,"")</f>
        <v/>
      </c>
      <c r="AL97" s="39" t="str">
        <f>IF(AND($G97='Povolené hodnoty'!$B$13,$H97=AL$4),SUM($I97,$L97,$O97,$R97),"")</f>
        <v/>
      </c>
      <c r="AM97" s="458" t="str">
        <f>IF(AND($G97='Povolené hodnoty'!$B$13,$H97=AM$4),SUM($I97,$L97,$O97,$R97),"")</f>
        <v/>
      </c>
      <c r="AN97" s="458" t="str">
        <f>IF(AND($G97='Povolené hodnoty'!$B$13,$H97=AN$4),SUM($I97,$L97,$O97,$R97),"")</f>
        <v/>
      </c>
      <c r="AO97" s="458" t="str">
        <f>IF(AND($G97='Povolené hodnoty'!$B$13,$H97=AO$4),SUM($I97,$L97,$O97,$R97),"")</f>
        <v/>
      </c>
      <c r="AP97" s="458" t="str">
        <f>IF(AND($G97='Povolené hodnoty'!$B$13,$H97=AP$4),SUM($I97,$L97,$O97,$R97),"")</f>
        <v/>
      </c>
      <c r="AQ97" s="40" t="str">
        <f>IF(AND($G97='Povolené hodnoty'!$B$13,OR($H97=AQ$4,$H97='Povolené hodnoty'!$E$36)),SUM($I97,-$J97,$L97,-$M97,$O97,-$P97,$R97,-$S97),"")</f>
        <v/>
      </c>
      <c r="AR97" s="40" t="str">
        <f>IF(AND($G97='Povolené hodnoty'!$B$13,$H97=AR$4),SUM($I97,$L97,$O97,$R97),"")</f>
        <v/>
      </c>
      <c r="AS97" s="41" t="str">
        <f>IF(AND($G97='Povolené hodnoty'!$B$13,$H97=AS$4),SUM($I97,$L97,$O97,$R97),"")</f>
        <v/>
      </c>
      <c r="AT97" s="39" t="str">
        <f>IF(AND($G97='Povolené hodnoty'!$B$14,$H97=AT$4),SUM($I97,$L97,$O97,$R97),"")</f>
        <v/>
      </c>
      <c r="AU97" s="458" t="str">
        <f>IF(AND($G97='Povolené hodnoty'!$B$14,$H97=AU$4),SUM($I97,$L97,$O97,$R97),"")</f>
        <v/>
      </c>
      <c r="AV97" s="41" t="str">
        <f>IF(AND($G97='Povolené hodnoty'!$B$14,$H97=AV$4),SUM($I97,$L97,$O97,$R97),"")</f>
        <v/>
      </c>
      <c r="AW97" s="39" t="str">
        <f>IF(AND($G97='Povolené hodnoty'!$B$13,$H97=AW$4),SUM($J97,$M97,$P97,$S97),"")</f>
        <v/>
      </c>
      <c r="AX97" s="458" t="str">
        <f>IF(AND($G97='Povolené hodnoty'!$B$13,$H97=AX$4),SUM($J97,$M97,$P97,$S97),"")</f>
        <v/>
      </c>
      <c r="AY97" s="458" t="str">
        <f>IF(AND($G97='Povolené hodnoty'!$B$13,$H97=AY$4),SUM($J97,$M97,$P97,$S97),"")</f>
        <v/>
      </c>
      <c r="AZ97" s="458" t="str">
        <f>IF(AND($G97='Povolené hodnoty'!$B$13,$H97=AZ$4),SUM($J97,$M97,$P97,$S97),"")</f>
        <v/>
      </c>
      <c r="BA97" s="458" t="str">
        <f>IF(AND($G97='Povolené hodnoty'!$B$13,$H97=BA$4),SUM($J97,$M97,$P97,$S97),"")</f>
        <v/>
      </c>
      <c r="BB97" s="40" t="str">
        <f>IF(AND($G97='Povolené hodnoty'!$B$13,$H97=BB$4),SUM($J97,$M97,$P97,$S97),"")</f>
        <v/>
      </c>
      <c r="BC97" s="40" t="str">
        <f>IF(AND($G97='Povolené hodnoty'!$B$13,$H97=BC$4),SUM($J97,$M97,$P97,$S97),"")</f>
        <v/>
      </c>
      <c r="BD97" s="40" t="str">
        <f>IF(AND($G97='Povolené hodnoty'!$B$13,$H97=BD$4),SUM($J97,$M97,$P97,$S97),"")</f>
        <v/>
      </c>
      <c r="BE97" s="41" t="str">
        <f>IF(AND($G97='Povolené hodnoty'!$B$13,$H97=BE$4),SUM($J97,$M97,$P97,$S97),"")</f>
        <v/>
      </c>
      <c r="BF97" s="39" t="str">
        <f>IF(AND($G97='Povolené hodnoty'!$B$14,$H97=BF$4),SUM($J97,$M97,$P97,$S97),"")</f>
        <v/>
      </c>
      <c r="BG97" s="458" t="str">
        <f>IF(AND($G97='Povolené hodnoty'!$B$14,$H97=BG$4),SUM($J97,$M97,$P97,$S97),"")</f>
        <v/>
      </c>
      <c r="BH97" s="458" t="str">
        <f>IF(AND($G97='Povolené hodnoty'!$B$14,$H97=BH$4),SUM($J97,$M97,$P97,$S97),"")</f>
        <v/>
      </c>
      <c r="BI97" s="458" t="str">
        <f>IF(AND($G97='Povolené hodnoty'!$B$14,$H97=BI$4),SUM($J97,$M97,$P97,$S97),"")</f>
        <v/>
      </c>
      <c r="BJ97" s="458" t="str">
        <f>IF(AND($G97='Povolené hodnoty'!$B$14,$H97=BJ$4),SUM($J97,$M97,$P97,$S97),"")</f>
        <v/>
      </c>
      <c r="BK97" s="40" t="str">
        <f>IF(AND($G97='Povolené hodnoty'!$B$14,$H97=BK$4),SUM($J97,$M97,$P97,$S97),"")</f>
        <v/>
      </c>
      <c r="BL97" s="40" t="str">
        <f>IF(AND($G97='Povolené hodnoty'!$B$14,$H97=BL$4),SUM($J97,$M97,$P97,$S97),"")</f>
        <v/>
      </c>
      <c r="BM97" s="41" t="str">
        <f>IF(AND($G97='Povolené hodnoty'!$B$14,$H97=BM$4),SUM($J97,$M97,$P97,$S97),"")</f>
        <v/>
      </c>
      <c r="BO97" s="18" t="b">
        <f t="shared" si="71"/>
        <v>0</v>
      </c>
      <c r="BP97" s="18" t="b">
        <f t="shared" si="42"/>
        <v>0</v>
      </c>
      <c r="BQ97" s="18" t="b">
        <f>AND(E97&lt;&gt;'Povolené hodnoty'!$B$6,F97&lt;&gt;'Povolené hodnoty'!$D$7,F97&lt;&gt;'Povolené hodnoty'!$D$8,OR(SUM(I97,L97,O97,R97)&lt;&gt;SUM(W97:X97,AA97:AG97),SUM(J97,M97,P97,S97)&lt;&gt;SUM(Y97:Z97,AH97:AK97),COUNT(I97:J97,L97:M97,O97:P97,R97:S97)&lt;&gt;COUNT(W97:AK97)))</f>
        <v>0</v>
      </c>
      <c r="BR97" s="18" t="b">
        <f>OR(AND(E97='Povolené hodnoty'!$B$6,$BR$5),AND(E97='Povolené hodnoty'!$B$6,H97&lt;&gt;'Povolené hodnoty'!$E$26,H97&lt;&gt;'Povolené hodnoty'!$E$35),AND(E97&lt;&gt;'Povolené hodnoty'!$B$6,OR(H97='Povolené hodnoty'!$E$26,H97='Povolené hodnoty'!$E$35)))</f>
        <v>0</v>
      </c>
      <c r="BS97" s="18" t="b">
        <f>OR(AND(G97&lt;&gt;'Povolené hodnoty'!$B$13,OR(H97='Povolené hodnoty'!$E$21,H97='Povolené hodnoty'!$E$22,H97='Povolené hodnoty'!$E$23,H97='Povolené hodnoty'!$E$24,H97='Povolené hodnoty'!$E$26,H97='Povolené hodnoty'!$E$36)),COUNT(I97:J97,L97:M97,O97:P97,R97:S97)&lt;&gt;COUNT(AL97:BM97))</f>
        <v>0</v>
      </c>
      <c r="BT97" s="18" t="b">
        <f t="shared" si="43"/>
        <v>0</v>
      </c>
      <c r="BV97" s="39" t="str">
        <f t="shared" si="44"/>
        <v/>
      </c>
      <c r="BW97" s="458" t="str">
        <f t="shared" si="45"/>
        <v/>
      </c>
      <c r="BX97" s="458" t="str">
        <f t="shared" si="46"/>
        <v/>
      </c>
      <c r="BY97" s="458" t="str">
        <f t="shared" si="47"/>
        <v/>
      </c>
      <c r="BZ97" s="458" t="str">
        <f t="shared" si="48"/>
        <v/>
      </c>
      <c r="CA97" s="40" t="str">
        <f t="shared" si="49"/>
        <v/>
      </c>
      <c r="CB97" s="40" t="str">
        <f t="shared" si="50"/>
        <v/>
      </c>
      <c r="CC97" s="39" t="str">
        <f t="shared" si="51"/>
        <v/>
      </c>
      <c r="CD97" s="458" t="str">
        <f t="shared" si="52"/>
        <v/>
      </c>
      <c r="CE97" s="41" t="str">
        <f t="shared" si="53"/>
        <v/>
      </c>
      <c r="CF97" s="39" t="str">
        <f t="shared" si="54"/>
        <v/>
      </c>
      <c r="CG97" s="458" t="str">
        <f t="shared" si="55"/>
        <v/>
      </c>
      <c r="CH97" s="458" t="str">
        <f t="shared" si="56"/>
        <v/>
      </c>
      <c r="CI97" s="458" t="str">
        <f t="shared" si="57"/>
        <v/>
      </c>
      <c r="CJ97" s="458" t="str">
        <f t="shared" si="58"/>
        <v/>
      </c>
      <c r="CK97" s="40" t="str">
        <f t="shared" si="59"/>
        <v/>
      </c>
      <c r="CL97" s="40" t="str">
        <f t="shared" si="60"/>
        <v/>
      </c>
      <c r="CM97" s="40" t="str">
        <f t="shared" si="61"/>
        <v/>
      </c>
      <c r="CN97" s="39" t="str">
        <f t="shared" si="62"/>
        <v/>
      </c>
      <c r="CO97" s="458" t="str">
        <f t="shared" si="63"/>
        <v/>
      </c>
      <c r="CP97" s="458" t="str">
        <f t="shared" si="64"/>
        <v/>
      </c>
      <c r="CQ97" s="458" t="str">
        <f t="shared" si="65"/>
        <v/>
      </c>
      <c r="CR97" s="458" t="str">
        <f t="shared" si="66"/>
        <v/>
      </c>
      <c r="CS97" s="40" t="str">
        <f t="shared" si="67"/>
        <v/>
      </c>
      <c r="CT97" s="40" t="str">
        <f t="shared" si="68"/>
        <v/>
      </c>
      <c r="CU97" s="41" t="str">
        <f t="shared" si="69"/>
        <v/>
      </c>
    </row>
    <row r="98" spans="1:99" x14ac:dyDescent="0.2">
      <c r="A98" s="77">
        <f t="shared" si="70"/>
        <v>93</v>
      </c>
      <c r="B98" s="81"/>
      <c r="C98" s="82"/>
      <c r="D98" s="71"/>
      <c r="E98" s="72"/>
      <c r="F98" s="73"/>
      <c r="G98" s="443"/>
      <c r="H98" s="443"/>
      <c r="I98" s="74"/>
      <c r="J98" s="75"/>
      <c r="K98" s="41">
        <f t="shared" si="39"/>
        <v>3625</v>
      </c>
      <c r="L98" s="104"/>
      <c r="M98" s="105"/>
      <c r="N98" s="106">
        <f t="shared" si="40"/>
        <v>537.05999999999995</v>
      </c>
      <c r="O98" s="104"/>
      <c r="P98" s="105"/>
      <c r="Q98" s="106">
        <f t="shared" si="72"/>
        <v>10045.83</v>
      </c>
      <c r="R98" s="104"/>
      <c r="S98" s="105"/>
      <c r="T98" s="106">
        <f t="shared" si="73"/>
        <v>0</v>
      </c>
      <c r="U98" s="439"/>
      <c r="V98" s="42">
        <f t="shared" si="41"/>
        <v>93</v>
      </c>
      <c r="W98" s="39" t="str">
        <f>IF(AND(E98='Povolené hodnoty'!$B$4,F98=2),I98+L98+O98+R98,"")</f>
        <v/>
      </c>
      <c r="X98" s="41" t="str">
        <f>IF(AND(E98='Povolené hodnoty'!$B$4,F98=1),I98+L98+O98+R98,"")</f>
        <v/>
      </c>
      <c r="Y98" s="39" t="str">
        <f>IF(AND(E98='Povolené hodnoty'!$B$4,F98=10),J98+M98+P98+S98,"")</f>
        <v/>
      </c>
      <c r="Z98" s="41" t="str">
        <f>IF(AND(E98='Povolené hodnoty'!$B$4,F98=9),J98+M98+P98+S98,"")</f>
        <v/>
      </c>
      <c r="AA98" s="39" t="str">
        <f>IF(AND(E98&lt;&gt;'Povolené hodnoty'!$B$4,F98=2),I98+L98+O98+R98,"")</f>
        <v/>
      </c>
      <c r="AB98" s="40" t="str">
        <f>IF(AND(E98&lt;&gt;'Povolené hodnoty'!$B$4,F98=3),I98+L98+O98+R98,"")</f>
        <v/>
      </c>
      <c r="AC98" s="40" t="str">
        <f>IF(AND(E98&lt;&gt;'Povolené hodnoty'!$B$4,F98=4),I98+L98+O98+R98,"")</f>
        <v/>
      </c>
      <c r="AD98" s="40" t="str">
        <f>IF(AND(E98&lt;&gt;'Povolené hodnoty'!$B$4,F98="5a"),I98-J98+L98-M98+O98-P98+R98-S98,"")</f>
        <v/>
      </c>
      <c r="AE98" s="40" t="str">
        <f>IF(AND(E98&lt;&gt;'Povolené hodnoty'!$B$4,F98="5b"),I98-J98+L98-M98+O98-P98+R98-S98,"")</f>
        <v/>
      </c>
      <c r="AF98" s="40" t="str">
        <f>IF(AND(E98&lt;&gt;'Povolené hodnoty'!$B$4,F98=6),I98+L98+O98+R98,"")</f>
        <v/>
      </c>
      <c r="AG98" s="41" t="str">
        <f>IF(AND(E98&lt;&gt;'Povolené hodnoty'!$B$4,F98=7),I98+L98+O98+R98,"")</f>
        <v/>
      </c>
      <c r="AH98" s="39" t="str">
        <f>IF(AND(E98&lt;&gt;'Povolené hodnoty'!$B$4,F98=10),J98+M98+P98+S98,"")</f>
        <v/>
      </c>
      <c r="AI98" s="40" t="str">
        <f>IF(AND(E98&lt;&gt;'Povolené hodnoty'!$B$4,F98=11),J98+M98+P98+S98,"")</f>
        <v/>
      </c>
      <c r="AJ98" s="40" t="str">
        <f>IF(AND(E98&lt;&gt;'Povolené hodnoty'!$B$4,F98=12),J98+M98+P98+S98,"")</f>
        <v/>
      </c>
      <c r="AK98" s="41" t="str">
        <f>IF(AND(E98&lt;&gt;'Povolené hodnoty'!$B$4,F98=13),J98+M98+P98+S98,"")</f>
        <v/>
      </c>
      <c r="AL98" s="39" t="str">
        <f>IF(AND($G98='Povolené hodnoty'!$B$13,$H98=AL$4),SUM($I98,$L98,$O98,$R98),"")</f>
        <v/>
      </c>
      <c r="AM98" s="458" t="str">
        <f>IF(AND($G98='Povolené hodnoty'!$B$13,$H98=AM$4),SUM($I98,$L98,$O98,$R98),"")</f>
        <v/>
      </c>
      <c r="AN98" s="458" t="str">
        <f>IF(AND($G98='Povolené hodnoty'!$B$13,$H98=AN$4),SUM($I98,$L98,$O98,$R98),"")</f>
        <v/>
      </c>
      <c r="AO98" s="458" t="str">
        <f>IF(AND($G98='Povolené hodnoty'!$B$13,$H98=AO$4),SUM($I98,$L98,$O98,$R98),"")</f>
        <v/>
      </c>
      <c r="AP98" s="458" t="str">
        <f>IF(AND($G98='Povolené hodnoty'!$B$13,$H98=AP$4),SUM($I98,$L98,$O98,$R98),"")</f>
        <v/>
      </c>
      <c r="AQ98" s="40" t="str">
        <f>IF(AND($G98='Povolené hodnoty'!$B$13,OR($H98=AQ$4,$H98='Povolené hodnoty'!$E$36)),SUM($I98,-$J98,$L98,-$M98,$O98,-$P98,$R98,-$S98),"")</f>
        <v/>
      </c>
      <c r="AR98" s="40" t="str">
        <f>IF(AND($G98='Povolené hodnoty'!$B$13,$H98=AR$4),SUM($I98,$L98,$O98,$R98),"")</f>
        <v/>
      </c>
      <c r="AS98" s="41" t="str">
        <f>IF(AND($G98='Povolené hodnoty'!$B$13,$H98=AS$4),SUM($I98,$L98,$O98,$R98),"")</f>
        <v/>
      </c>
      <c r="AT98" s="39" t="str">
        <f>IF(AND($G98='Povolené hodnoty'!$B$14,$H98=AT$4),SUM($I98,$L98,$O98,$R98),"")</f>
        <v/>
      </c>
      <c r="AU98" s="458" t="str">
        <f>IF(AND($G98='Povolené hodnoty'!$B$14,$H98=AU$4),SUM($I98,$L98,$O98,$R98),"")</f>
        <v/>
      </c>
      <c r="AV98" s="41" t="str">
        <f>IF(AND($G98='Povolené hodnoty'!$B$14,$H98=AV$4),SUM($I98,$L98,$O98,$R98),"")</f>
        <v/>
      </c>
      <c r="AW98" s="39" t="str">
        <f>IF(AND($G98='Povolené hodnoty'!$B$13,$H98=AW$4),SUM($J98,$M98,$P98,$S98),"")</f>
        <v/>
      </c>
      <c r="AX98" s="458" t="str">
        <f>IF(AND($G98='Povolené hodnoty'!$B$13,$H98=AX$4),SUM($J98,$M98,$P98,$S98),"")</f>
        <v/>
      </c>
      <c r="AY98" s="458" t="str">
        <f>IF(AND($G98='Povolené hodnoty'!$B$13,$H98=AY$4),SUM($J98,$M98,$P98,$S98),"")</f>
        <v/>
      </c>
      <c r="AZ98" s="458" t="str">
        <f>IF(AND($G98='Povolené hodnoty'!$B$13,$H98=AZ$4),SUM($J98,$M98,$P98,$S98),"")</f>
        <v/>
      </c>
      <c r="BA98" s="458" t="str">
        <f>IF(AND($G98='Povolené hodnoty'!$B$13,$H98=BA$4),SUM($J98,$M98,$P98,$S98),"")</f>
        <v/>
      </c>
      <c r="BB98" s="40" t="str">
        <f>IF(AND($G98='Povolené hodnoty'!$B$13,$H98=BB$4),SUM($J98,$M98,$P98,$S98),"")</f>
        <v/>
      </c>
      <c r="BC98" s="40" t="str">
        <f>IF(AND($G98='Povolené hodnoty'!$B$13,$H98=BC$4),SUM($J98,$M98,$P98,$S98),"")</f>
        <v/>
      </c>
      <c r="BD98" s="40" t="str">
        <f>IF(AND($G98='Povolené hodnoty'!$B$13,$H98=BD$4),SUM($J98,$M98,$P98,$S98),"")</f>
        <v/>
      </c>
      <c r="BE98" s="41" t="str">
        <f>IF(AND($G98='Povolené hodnoty'!$B$13,$H98=BE$4),SUM($J98,$M98,$P98,$S98),"")</f>
        <v/>
      </c>
      <c r="BF98" s="39" t="str">
        <f>IF(AND($G98='Povolené hodnoty'!$B$14,$H98=BF$4),SUM($J98,$M98,$P98,$S98),"")</f>
        <v/>
      </c>
      <c r="BG98" s="458" t="str">
        <f>IF(AND($G98='Povolené hodnoty'!$B$14,$H98=BG$4),SUM($J98,$M98,$P98,$S98),"")</f>
        <v/>
      </c>
      <c r="BH98" s="458" t="str">
        <f>IF(AND($G98='Povolené hodnoty'!$B$14,$H98=BH$4),SUM($J98,$M98,$P98,$S98),"")</f>
        <v/>
      </c>
      <c r="BI98" s="458" t="str">
        <f>IF(AND($G98='Povolené hodnoty'!$B$14,$H98=BI$4),SUM($J98,$M98,$P98,$S98),"")</f>
        <v/>
      </c>
      <c r="BJ98" s="458" t="str">
        <f>IF(AND($G98='Povolené hodnoty'!$B$14,$H98=BJ$4),SUM($J98,$M98,$P98,$S98),"")</f>
        <v/>
      </c>
      <c r="BK98" s="40" t="str">
        <f>IF(AND($G98='Povolené hodnoty'!$B$14,$H98=BK$4),SUM($J98,$M98,$P98,$S98),"")</f>
        <v/>
      </c>
      <c r="BL98" s="40" t="str">
        <f>IF(AND($G98='Povolené hodnoty'!$B$14,$H98=BL$4),SUM($J98,$M98,$P98,$S98),"")</f>
        <v/>
      </c>
      <c r="BM98" s="41" t="str">
        <f>IF(AND($G98='Povolené hodnoty'!$B$14,$H98=BM$4),SUM($J98,$M98,$P98,$S98),"")</f>
        <v/>
      </c>
      <c r="BO98" s="18" t="b">
        <f t="shared" si="71"/>
        <v>0</v>
      </c>
      <c r="BP98" s="18" t="b">
        <f t="shared" si="42"/>
        <v>0</v>
      </c>
      <c r="BQ98" s="18" t="b">
        <f>AND(E98&lt;&gt;'Povolené hodnoty'!$B$6,F98&lt;&gt;'Povolené hodnoty'!$D$7,F98&lt;&gt;'Povolené hodnoty'!$D$8,OR(SUM(I98,L98,O98,R98)&lt;&gt;SUM(W98:X98,AA98:AG98),SUM(J98,M98,P98,S98)&lt;&gt;SUM(Y98:Z98,AH98:AK98),COUNT(I98:J98,L98:M98,O98:P98,R98:S98)&lt;&gt;COUNT(W98:AK98)))</f>
        <v>0</v>
      </c>
      <c r="BR98" s="18" t="b">
        <f>OR(AND(E98='Povolené hodnoty'!$B$6,$BR$5),AND(E98='Povolené hodnoty'!$B$6,H98&lt;&gt;'Povolené hodnoty'!$E$26,H98&lt;&gt;'Povolené hodnoty'!$E$35),AND(E98&lt;&gt;'Povolené hodnoty'!$B$6,OR(H98='Povolené hodnoty'!$E$26,H98='Povolené hodnoty'!$E$35)))</f>
        <v>0</v>
      </c>
      <c r="BS98" s="18" t="b">
        <f>OR(AND(G98&lt;&gt;'Povolené hodnoty'!$B$13,OR(H98='Povolené hodnoty'!$E$21,H98='Povolené hodnoty'!$E$22,H98='Povolené hodnoty'!$E$23,H98='Povolené hodnoty'!$E$24,H98='Povolené hodnoty'!$E$26,H98='Povolené hodnoty'!$E$36)),COUNT(I98:J98,L98:M98,O98:P98,R98:S98)&lt;&gt;COUNT(AL98:BM98))</f>
        <v>0</v>
      </c>
      <c r="BT98" s="18" t="b">
        <f t="shared" si="43"/>
        <v>0</v>
      </c>
      <c r="BV98" s="39" t="str">
        <f t="shared" si="44"/>
        <v/>
      </c>
      <c r="BW98" s="458" t="str">
        <f t="shared" si="45"/>
        <v/>
      </c>
      <c r="BX98" s="458" t="str">
        <f t="shared" si="46"/>
        <v/>
      </c>
      <c r="BY98" s="458" t="str">
        <f t="shared" si="47"/>
        <v/>
      </c>
      <c r="BZ98" s="458" t="str">
        <f t="shared" si="48"/>
        <v/>
      </c>
      <c r="CA98" s="40" t="str">
        <f t="shared" si="49"/>
        <v/>
      </c>
      <c r="CB98" s="40" t="str">
        <f t="shared" si="50"/>
        <v/>
      </c>
      <c r="CC98" s="39" t="str">
        <f t="shared" si="51"/>
        <v/>
      </c>
      <c r="CD98" s="458" t="str">
        <f t="shared" si="52"/>
        <v/>
      </c>
      <c r="CE98" s="41" t="str">
        <f t="shared" si="53"/>
        <v/>
      </c>
      <c r="CF98" s="39" t="str">
        <f t="shared" si="54"/>
        <v/>
      </c>
      <c r="CG98" s="458" t="str">
        <f t="shared" si="55"/>
        <v/>
      </c>
      <c r="CH98" s="458" t="str">
        <f t="shared" si="56"/>
        <v/>
      </c>
      <c r="CI98" s="458" t="str">
        <f t="shared" si="57"/>
        <v/>
      </c>
      <c r="CJ98" s="458" t="str">
        <f t="shared" si="58"/>
        <v/>
      </c>
      <c r="CK98" s="40" t="str">
        <f t="shared" si="59"/>
        <v/>
      </c>
      <c r="CL98" s="40" t="str">
        <f t="shared" si="60"/>
        <v/>
      </c>
      <c r="CM98" s="40" t="str">
        <f t="shared" si="61"/>
        <v/>
      </c>
      <c r="CN98" s="39" t="str">
        <f t="shared" si="62"/>
        <v/>
      </c>
      <c r="CO98" s="458" t="str">
        <f t="shared" si="63"/>
        <v/>
      </c>
      <c r="CP98" s="458" t="str">
        <f t="shared" si="64"/>
        <v/>
      </c>
      <c r="CQ98" s="458" t="str">
        <f t="shared" si="65"/>
        <v/>
      </c>
      <c r="CR98" s="458" t="str">
        <f t="shared" si="66"/>
        <v/>
      </c>
      <c r="CS98" s="40" t="str">
        <f t="shared" si="67"/>
        <v/>
      </c>
      <c r="CT98" s="40" t="str">
        <f t="shared" si="68"/>
        <v/>
      </c>
      <c r="CU98" s="41" t="str">
        <f t="shared" si="69"/>
        <v/>
      </c>
    </row>
    <row r="99" spans="1:99" x14ac:dyDescent="0.2">
      <c r="A99" s="77">
        <f t="shared" si="70"/>
        <v>94</v>
      </c>
      <c r="B99" s="81"/>
      <c r="C99" s="82"/>
      <c r="D99" s="71"/>
      <c r="E99" s="72"/>
      <c r="F99" s="73"/>
      <c r="G99" s="443"/>
      <c r="H99" s="443"/>
      <c r="I99" s="74"/>
      <c r="J99" s="75"/>
      <c r="K99" s="41">
        <f t="shared" si="39"/>
        <v>3625</v>
      </c>
      <c r="L99" s="104"/>
      <c r="M99" s="105"/>
      <c r="N99" s="106">
        <f t="shared" si="40"/>
        <v>537.05999999999995</v>
      </c>
      <c r="O99" s="104"/>
      <c r="P99" s="105"/>
      <c r="Q99" s="106">
        <f t="shared" si="72"/>
        <v>10045.83</v>
      </c>
      <c r="R99" s="104"/>
      <c r="S99" s="105"/>
      <c r="T99" s="106">
        <f t="shared" si="73"/>
        <v>0</v>
      </c>
      <c r="U99" s="439"/>
      <c r="V99" s="42">
        <f t="shared" si="41"/>
        <v>94</v>
      </c>
      <c r="W99" s="39" t="str">
        <f>IF(AND(E99='Povolené hodnoty'!$B$4,F99=2),I99+L99+O99+R99,"")</f>
        <v/>
      </c>
      <c r="X99" s="41" t="str">
        <f>IF(AND(E99='Povolené hodnoty'!$B$4,F99=1),I99+L99+O99+R99,"")</f>
        <v/>
      </c>
      <c r="Y99" s="39" t="str">
        <f>IF(AND(E99='Povolené hodnoty'!$B$4,F99=10),J99+M99+P99+S99,"")</f>
        <v/>
      </c>
      <c r="Z99" s="41" t="str">
        <f>IF(AND(E99='Povolené hodnoty'!$B$4,F99=9),J99+M99+P99+S99,"")</f>
        <v/>
      </c>
      <c r="AA99" s="39" t="str">
        <f>IF(AND(E99&lt;&gt;'Povolené hodnoty'!$B$4,F99=2),I99+L99+O99+R99,"")</f>
        <v/>
      </c>
      <c r="AB99" s="40" t="str">
        <f>IF(AND(E99&lt;&gt;'Povolené hodnoty'!$B$4,F99=3),I99+L99+O99+R99,"")</f>
        <v/>
      </c>
      <c r="AC99" s="40" t="str">
        <f>IF(AND(E99&lt;&gt;'Povolené hodnoty'!$B$4,F99=4),I99+L99+O99+R99,"")</f>
        <v/>
      </c>
      <c r="AD99" s="40" t="str">
        <f>IF(AND(E99&lt;&gt;'Povolené hodnoty'!$B$4,F99="5a"),I99-J99+L99-M99+O99-P99+R99-S99,"")</f>
        <v/>
      </c>
      <c r="AE99" s="40" t="str">
        <f>IF(AND(E99&lt;&gt;'Povolené hodnoty'!$B$4,F99="5b"),I99-J99+L99-M99+O99-P99+R99-S99,"")</f>
        <v/>
      </c>
      <c r="AF99" s="40" t="str">
        <f>IF(AND(E99&lt;&gt;'Povolené hodnoty'!$B$4,F99=6),I99+L99+O99+R99,"")</f>
        <v/>
      </c>
      <c r="AG99" s="41" t="str">
        <f>IF(AND(E99&lt;&gt;'Povolené hodnoty'!$B$4,F99=7),I99+L99+O99+R99,"")</f>
        <v/>
      </c>
      <c r="AH99" s="39" t="str">
        <f>IF(AND(E99&lt;&gt;'Povolené hodnoty'!$B$4,F99=10),J99+M99+P99+S99,"")</f>
        <v/>
      </c>
      <c r="AI99" s="40" t="str">
        <f>IF(AND(E99&lt;&gt;'Povolené hodnoty'!$B$4,F99=11),J99+M99+P99+S99,"")</f>
        <v/>
      </c>
      <c r="AJ99" s="40" t="str">
        <f>IF(AND(E99&lt;&gt;'Povolené hodnoty'!$B$4,F99=12),J99+M99+P99+S99,"")</f>
        <v/>
      </c>
      <c r="AK99" s="41" t="str">
        <f>IF(AND(E99&lt;&gt;'Povolené hodnoty'!$B$4,F99=13),J99+M99+P99+S99,"")</f>
        <v/>
      </c>
      <c r="AL99" s="39" t="str">
        <f>IF(AND($G99='Povolené hodnoty'!$B$13,$H99=AL$4),SUM($I99,$L99,$O99,$R99),"")</f>
        <v/>
      </c>
      <c r="AM99" s="458" t="str">
        <f>IF(AND($G99='Povolené hodnoty'!$B$13,$H99=AM$4),SUM($I99,$L99,$O99,$R99),"")</f>
        <v/>
      </c>
      <c r="AN99" s="458" t="str">
        <f>IF(AND($G99='Povolené hodnoty'!$B$13,$H99=AN$4),SUM($I99,$L99,$O99,$R99),"")</f>
        <v/>
      </c>
      <c r="AO99" s="458" t="str">
        <f>IF(AND($G99='Povolené hodnoty'!$B$13,$H99=AO$4),SUM($I99,$L99,$O99,$R99),"")</f>
        <v/>
      </c>
      <c r="AP99" s="458" t="str">
        <f>IF(AND($G99='Povolené hodnoty'!$B$13,$H99=AP$4),SUM($I99,$L99,$O99,$R99),"")</f>
        <v/>
      </c>
      <c r="AQ99" s="40" t="str">
        <f>IF(AND($G99='Povolené hodnoty'!$B$13,OR($H99=AQ$4,$H99='Povolené hodnoty'!$E$36)),SUM($I99,-$J99,$L99,-$M99,$O99,-$P99,$R99,-$S99),"")</f>
        <v/>
      </c>
      <c r="AR99" s="40" t="str">
        <f>IF(AND($G99='Povolené hodnoty'!$B$13,$H99=AR$4),SUM($I99,$L99,$O99,$R99),"")</f>
        <v/>
      </c>
      <c r="AS99" s="41" t="str">
        <f>IF(AND($G99='Povolené hodnoty'!$B$13,$H99=AS$4),SUM($I99,$L99,$O99,$R99),"")</f>
        <v/>
      </c>
      <c r="AT99" s="39" t="str">
        <f>IF(AND($G99='Povolené hodnoty'!$B$14,$H99=AT$4),SUM($I99,$L99,$O99,$R99),"")</f>
        <v/>
      </c>
      <c r="AU99" s="458" t="str">
        <f>IF(AND($G99='Povolené hodnoty'!$B$14,$H99=AU$4),SUM($I99,$L99,$O99,$R99),"")</f>
        <v/>
      </c>
      <c r="AV99" s="41" t="str">
        <f>IF(AND($G99='Povolené hodnoty'!$B$14,$H99=AV$4),SUM($I99,$L99,$O99,$R99),"")</f>
        <v/>
      </c>
      <c r="AW99" s="39" t="str">
        <f>IF(AND($G99='Povolené hodnoty'!$B$13,$H99=AW$4),SUM($J99,$M99,$P99,$S99),"")</f>
        <v/>
      </c>
      <c r="AX99" s="458" t="str">
        <f>IF(AND($G99='Povolené hodnoty'!$B$13,$H99=AX$4),SUM($J99,$M99,$P99,$S99),"")</f>
        <v/>
      </c>
      <c r="AY99" s="458" t="str">
        <f>IF(AND($G99='Povolené hodnoty'!$B$13,$H99=AY$4),SUM($J99,$M99,$P99,$S99),"")</f>
        <v/>
      </c>
      <c r="AZ99" s="458" t="str">
        <f>IF(AND($G99='Povolené hodnoty'!$B$13,$H99=AZ$4),SUM($J99,$M99,$P99,$S99),"")</f>
        <v/>
      </c>
      <c r="BA99" s="458" t="str">
        <f>IF(AND($G99='Povolené hodnoty'!$B$13,$H99=BA$4),SUM($J99,$M99,$P99,$S99),"")</f>
        <v/>
      </c>
      <c r="BB99" s="40" t="str">
        <f>IF(AND($G99='Povolené hodnoty'!$B$13,$H99=BB$4),SUM($J99,$M99,$P99,$S99),"")</f>
        <v/>
      </c>
      <c r="BC99" s="40" t="str">
        <f>IF(AND($G99='Povolené hodnoty'!$B$13,$H99=BC$4),SUM($J99,$M99,$P99,$S99),"")</f>
        <v/>
      </c>
      <c r="BD99" s="40" t="str">
        <f>IF(AND($G99='Povolené hodnoty'!$B$13,$H99=BD$4),SUM($J99,$M99,$P99,$S99),"")</f>
        <v/>
      </c>
      <c r="BE99" s="41" t="str">
        <f>IF(AND($G99='Povolené hodnoty'!$B$13,$H99=BE$4),SUM($J99,$M99,$P99,$S99),"")</f>
        <v/>
      </c>
      <c r="BF99" s="39" t="str">
        <f>IF(AND($G99='Povolené hodnoty'!$B$14,$H99=BF$4),SUM($J99,$M99,$P99,$S99),"")</f>
        <v/>
      </c>
      <c r="BG99" s="458" t="str">
        <f>IF(AND($G99='Povolené hodnoty'!$B$14,$H99=BG$4),SUM($J99,$M99,$P99,$S99),"")</f>
        <v/>
      </c>
      <c r="BH99" s="458" t="str">
        <f>IF(AND($G99='Povolené hodnoty'!$B$14,$H99=BH$4),SUM($J99,$M99,$P99,$S99),"")</f>
        <v/>
      </c>
      <c r="BI99" s="458" t="str">
        <f>IF(AND($G99='Povolené hodnoty'!$B$14,$H99=BI$4),SUM($J99,$M99,$P99,$S99),"")</f>
        <v/>
      </c>
      <c r="BJ99" s="458" t="str">
        <f>IF(AND($G99='Povolené hodnoty'!$B$14,$H99=BJ$4),SUM($J99,$M99,$P99,$S99),"")</f>
        <v/>
      </c>
      <c r="BK99" s="40" t="str">
        <f>IF(AND($G99='Povolené hodnoty'!$B$14,$H99=BK$4),SUM($J99,$M99,$P99,$S99),"")</f>
        <v/>
      </c>
      <c r="BL99" s="40" t="str">
        <f>IF(AND($G99='Povolené hodnoty'!$B$14,$H99=BL$4),SUM($J99,$M99,$P99,$S99),"")</f>
        <v/>
      </c>
      <c r="BM99" s="41" t="str">
        <f>IF(AND($G99='Povolené hodnoty'!$B$14,$H99=BM$4),SUM($J99,$M99,$P99,$S99),"")</f>
        <v/>
      </c>
      <c r="BO99" s="18" t="b">
        <f t="shared" si="71"/>
        <v>0</v>
      </c>
      <c r="BP99" s="18" t="b">
        <f t="shared" si="42"/>
        <v>0</v>
      </c>
      <c r="BQ99" s="18" t="b">
        <f>AND(E99&lt;&gt;'Povolené hodnoty'!$B$6,F99&lt;&gt;'Povolené hodnoty'!$D$7,F99&lt;&gt;'Povolené hodnoty'!$D$8,OR(SUM(I99,L99,O99,R99)&lt;&gt;SUM(W99:X99,AA99:AG99),SUM(J99,M99,P99,S99)&lt;&gt;SUM(Y99:Z99,AH99:AK99),COUNT(I99:J99,L99:M99,O99:P99,R99:S99)&lt;&gt;COUNT(W99:AK99)))</f>
        <v>0</v>
      </c>
      <c r="BR99" s="18" t="b">
        <f>OR(AND(E99='Povolené hodnoty'!$B$6,$BR$5),AND(E99='Povolené hodnoty'!$B$6,H99&lt;&gt;'Povolené hodnoty'!$E$26,H99&lt;&gt;'Povolené hodnoty'!$E$35),AND(E99&lt;&gt;'Povolené hodnoty'!$B$6,OR(H99='Povolené hodnoty'!$E$26,H99='Povolené hodnoty'!$E$35)))</f>
        <v>0</v>
      </c>
      <c r="BS99" s="18" t="b">
        <f>OR(AND(G99&lt;&gt;'Povolené hodnoty'!$B$13,OR(H99='Povolené hodnoty'!$E$21,H99='Povolené hodnoty'!$E$22,H99='Povolené hodnoty'!$E$23,H99='Povolené hodnoty'!$E$24,H99='Povolené hodnoty'!$E$26,H99='Povolené hodnoty'!$E$36)),COUNT(I99:J99,L99:M99,O99:P99,R99:S99)&lt;&gt;COUNT(AL99:BM99))</f>
        <v>0</v>
      </c>
      <c r="BT99" s="18" t="b">
        <f t="shared" si="43"/>
        <v>0</v>
      </c>
      <c r="BV99" s="39" t="str">
        <f t="shared" si="44"/>
        <v/>
      </c>
      <c r="BW99" s="458" t="str">
        <f t="shared" si="45"/>
        <v/>
      </c>
      <c r="BX99" s="458" t="str">
        <f t="shared" si="46"/>
        <v/>
      </c>
      <c r="BY99" s="458" t="str">
        <f t="shared" si="47"/>
        <v/>
      </c>
      <c r="BZ99" s="458" t="str">
        <f t="shared" si="48"/>
        <v/>
      </c>
      <c r="CA99" s="40" t="str">
        <f t="shared" si="49"/>
        <v/>
      </c>
      <c r="CB99" s="40" t="str">
        <f t="shared" si="50"/>
        <v/>
      </c>
      <c r="CC99" s="39" t="str">
        <f t="shared" si="51"/>
        <v/>
      </c>
      <c r="CD99" s="458" t="str">
        <f t="shared" si="52"/>
        <v/>
      </c>
      <c r="CE99" s="41" t="str">
        <f t="shared" si="53"/>
        <v/>
      </c>
      <c r="CF99" s="39" t="str">
        <f t="shared" si="54"/>
        <v/>
      </c>
      <c r="CG99" s="458" t="str">
        <f t="shared" si="55"/>
        <v/>
      </c>
      <c r="CH99" s="458" t="str">
        <f t="shared" si="56"/>
        <v/>
      </c>
      <c r="CI99" s="458" t="str">
        <f t="shared" si="57"/>
        <v/>
      </c>
      <c r="CJ99" s="458" t="str">
        <f t="shared" si="58"/>
        <v/>
      </c>
      <c r="CK99" s="40" t="str">
        <f t="shared" si="59"/>
        <v/>
      </c>
      <c r="CL99" s="40" t="str">
        <f t="shared" si="60"/>
        <v/>
      </c>
      <c r="CM99" s="40" t="str">
        <f t="shared" si="61"/>
        <v/>
      </c>
      <c r="CN99" s="39" t="str">
        <f t="shared" si="62"/>
        <v/>
      </c>
      <c r="CO99" s="458" t="str">
        <f t="shared" si="63"/>
        <v/>
      </c>
      <c r="CP99" s="458" t="str">
        <f t="shared" si="64"/>
        <v/>
      </c>
      <c r="CQ99" s="458" t="str">
        <f t="shared" si="65"/>
        <v/>
      </c>
      <c r="CR99" s="458" t="str">
        <f t="shared" si="66"/>
        <v/>
      </c>
      <c r="CS99" s="40" t="str">
        <f t="shared" si="67"/>
        <v/>
      </c>
      <c r="CT99" s="40" t="str">
        <f t="shared" si="68"/>
        <v/>
      </c>
      <c r="CU99" s="41" t="str">
        <f t="shared" si="69"/>
        <v/>
      </c>
    </row>
    <row r="100" spans="1:99" x14ac:dyDescent="0.2">
      <c r="A100" s="77">
        <f t="shared" si="70"/>
        <v>95</v>
      </c>
      <c r="B100" s="81"/>
      <c r="C100" s="82"/>
      <c r="D100" s="71"/>
      <c r="E100" s="72"/>
      <c r="F100" s="73"/>
      <c r="G100" s="443"/>
      <c r="H100" s="443"/>
      <c r="I100" s="74"/>
      <c r="J100" s="75"/>
      <c r="K100" s="41">
        <f t="shared" si="39"/>
        <v>3625</v>
      </c>
      <c r="L100" s="104"/>
      <c r="M100" s="105"/>
      <c r="N100" s="106">
        <f t="shared" si="40"/>
        <v>537.05999999999995</v>
      </c>
      <c r="O100" s="104"/>
      <c r="P100" s="105"/>
      <c r="Q100" s="106">
        <f t="shared" si="72"/>
        <v>10045.83</v>
      </c>
      <c r="R100" s="104"/>
      <c r="S100" s="105"/>
      <c r="T100" s="106">
        <f t="shared" si="73"/>
        <v>0</v>
      </c>
      <c r="U100" s="439"/>
      <c r="V100" s="42">
        <f t="shared" si="41"/>
        <v>95</v>
      </c>
      <c r="W100" s="39" t="str">
        <f>IF(AND(E100='Povolené hodnoty'!$B$4,F100=2),I100+L100+O100+R100,"")</f>
        <v/>
      </c>
      <c r="X100" s="41" t="str">
        <f>IF(AND(E100='Povolené hodnoty'!$B$4,F100=1),I100+L100+O100+R100,"")</f>
        <v/>
      </c>
      <c r="Y100" s="39" t="str">
        <f>IF(AND(E100='Povolené hodnoty'!$B$4,F100=10),J100+M100+P100+S100,"")</f>
        <v/>
      </c>
      <c r="Z100" s="41" t="str">
        <f>IF(AND(E100='Povolené hodnoty'!$B$4,F100=9),J100+M100+P100+S100,"")</f>
        <v/>
      </c>
      <c r="AA100" s="39" t="str">
        <f>IF(AND(E100&lt;&gt;'Povolené hodnoty'!$B$4,F100=2),I100+L100+O100+R100,"")</f>
        <v/>
      </c>
      <c r="AB100" s="40" t="str">
        <f>IF(AND(E100&lt;&gt;'Povolené hodnoty'!$B$4,F100=3),I100+L100+O100+R100,"")</f>
        <v/>
      </c>
      <c r="AC100" s="40" t="str">
        <f>IF(AND(E100&lt;&gt;'Povolené hodnoty'!$B$4,F100=4),I100+L100+O100+R100,"")</f>
        <v/>
      </c>
      <c r="AD100" s="40" t="str">
        <f>IF(AND(E100&lt;&gt;'Povolené hodnoty'!$B$4,F100="5a"),I100-J100+L100-M100+O100-P100+R100-S100,"")</f>
        <v/>
      </c>
      <c r="AE100" s="40" t="str">
        <f>IF(AND(E100&lt;&gt;'Povolené hodnoty'!$B$4,F100="5b"),I100-J100+L100-M100+O100-P100+R100-S100,"")</f>
        <v/>
      </c>
      <c r="AF100" s="40" t="str">
        <f>IF(AND(E100&lt;&gt;'Povolené hodnoty'!$B$4,F100=6),I100+L100+O100+R100,"")</f>
        <v/>
      </c>
      <c r="AG100" s="41" t="str">
        <f>IF(AND(E100&lt;&gt;'Povolené hodnoty'!$B$4,F100=7),I100+L100+O100+R100,"")</f>
        <v/>
      </c>
      <c r="AH100" s="39" t="str">
        <f>IF(AND(E100&lt;&gt;'Povolené hodnoty'!$B$4,F100=10),J100+M100+P100+S100,"")</f>
        <v/>
      </c>
      <c r="AI100" s="40" t="str">
        <f>IF(AND(E100&lt;&gt;'Povolené hodnoty'!$B$4,F100=11),J100+M100+P100+S100,"")</f>
        <v/>
      </c>
      <c r="AJ100" s="40" t="str">
        <f>IF(AND(E100&lt;&gt;'Povolené hodnoty'!$B$4,F100=12),J100+M100+P100+S100,"")</f>
        <v/>
      </c>
      <c r="AK100" s="41" t="str">
        <f>IF(AND(E100&lt;&gt;'Povolené hodnoty'!$B$4,F100=13),J100+M100+P100+S100,"")</f>
        <v/>
      </c>
      <c r="AL100" s="39" t="str">
        <f>IF(AND($G100='Povolené hodnoty'!$B$13,$H100=AL$4),SUM($I100,$L100,$O100,$R100),"")</f>
        <v/>
      </c>
      <c r="AM100" s="458" t="str">
        <f>IF(AND($G100='Povolené hodnoty'!$B$13,$H100=AM$4),SUM($I100,$L100,$O100,$R100),"")</f>
        <v/>
      </c>
      <c r="AN100" s="458" t="str">
        <f>IF(AND($G100='Povolené hodnoty'!$B$13,$H100=AN$4),SUM($I100,$L100,$O100,$R100),"")</f>
        <v/>
      </c>
      <c r="AO100" s="458" t="str">
        <f>IF(AND($G100='Povolené hodnoty'!$B$13,$H100=AO$4),SUM($I100,$L100,$O100,$R100),"")</f>
        <v/>
      </c>
      <c r="AP100" s="458" t="str">
        <f>IF(AND($G100='Povolené hodnoty'!$B$13,$H100=AP$4),SUM($I100,$L100,$O100,$R100),"")</f>
        <v/>
      </c>
      <c r="AQ100" s="40" t="str">
        <f>IF(AND($G100='Povolené hodnoty'!$B$13,OR($H100=AQ$4,$H100='Povolené hodnoty'!$E$36)),SUM($I100,-$J100,$L100,-$M100,$O100,-$P100,$R100,-$S100),"")</f>
        <v/>
      </c>
      <c r="AR100" s="40" t="str">
        <f>IF(AND($G100='Povolené hodnoty'!$B$13,$H100=AR$4),SUM($I100,$L100,$O100,$R100),"")</f>
        <v/>
      </c>
      <c r="AS100" s="41" t="str">
        <f>IF(AND($G100='Povolené hodnoty'!$B$13,$H100=AS$4),SUM($I100,$L100,$O100,$R100),"")</f>
        <v/>
      </c>
      <c r="AT100" s="39" t="str">
        <f>IF(AND($G100='Povolené hodnoty'!$B$14,$H100=AT$4),SUM($I100,$L100,$O100,$R100),"")</f>
        <v/>
      </c>
      <c r="AU100" s="458" t="str">
        <f>IF(AND($G100='Povolené hodnoty'!$B$14,$H100=AU$4),SUM($I100,$L100,$O100,$R100),"")</f>
        <v/>
      </c>
      <c r="AV100" s="41" t="str">
        <f>IF(AND($G100='Povolené hodnoty'!$B$14,$H100=AV$4),SUM($I100,$L100,$O100,$R100),"")</f>
        <v/>
      </c>
      <c r="AW100" s="39" t="str">
        <f>IF(AND($G100='Povolené hodnoty'!$B$13,$H100=AW$4),SUM($J100,$M100,$P100,$S100),"")</f>
        <v/>
      </c>
      <c r="AX100" s="458" t="str">
        <f>IF(AND($G100='Povolené hodnoty'!$B$13,$H100=AX$4),SUM($J100,$M100,$P100,$S100),"")</f>
        <v/>
      </c>
      <c r="AY100" s="458" t="str">
        <f>IF(AND($G100='Povolené hodnoty'!$B$13,$H100=AY$4),SUM($J100,$M100,$P100,$S100),"")</f>
        <v/>
      </c>
      <c r="AZ100" s="458" t="str">
        <f>IF(AND($G100='Povolené hodnoty'!$B$13,$H100=AZ$4),SUM($J100,$M100,$P100,$S100),"")</f>
        <v/>
      </c>
      <c r="BA100" s="458" t="str">
        <f>IF(AND($G100='Povolené hodnoty'!$B$13,$H100=BA$4),SUM($J100,$M100,$P100,$S100),"")</f>
        <v/>
      </c>
      <c r="BB100" s="40" t="str">
        <f>IF(AND($G100='Povolené hodnoty'!$B$13,$H100=BB$4),SUM($J100,$M100,$P100,$S100),"")</f>
        <v/>
      </c>
      <c r="BC100" s="40" t="str">
        <f>IF(AND($G100='Povolené hodnoty'!$B$13,$H100=BC$4),SUM($J100,$M100,$P100,$S100),"")</f>
        <v/>
      </c>
      <c r="BD100" s="40" t="str">
        <f>IF(AND($G100='Povolené hodnoty'!$B$13,$H100=BD$4),SUM($J100,$M100,$P100,$S100),"")</f>
        <v/>
      </c>
      <c r="BE100" s="41" t="str">
        <f>IF(AND($G100='Povolené hodnoty'!$B$13,$H100=BE$4),SUM($J100,$M100,$P100,$S100),"")</f>
        <v/>
      </c>
      <c r="BF100" s="39" t="str">
        <f>IF(AND($G100='Povolené hodnoty'!$B$14,$H100=BF$4),SUM($J100,$M100,$P100,$S100),"")</f>
        <v/>
      </c>
      <c r="BG100" s="458" t="str">
        <f>IF(AND($G100='Povolené hodnoty'!$B$14,$H100=BG$4),SUM($J100,$M100,$P100,$S100),"")</f>
        <v/>
      </c>
      <c r="BH100" s="458" t="str">
        <f>IF(AND($G100='Povolené hodnoty'!$B$14,$H100=BH$4),SUM($J100,$M100,$P100,$S100),"")</f>
        <v/>
      </c>
      <c r="BI100" s="458" t="str">
        <f>IF(AND($G100='Povolené hodnoty'!$B$14,$H100=BI$4),SUM($J100,$M100,$P100,$S100),"")</f>
        <v/>
      </c>
      <c r="BJ100" s="458" t="str">
        <f>IF(AND($G100='Povolené hodnoty'!$B$14,$H100=BJ$4),SUM($J100,$M100,$P100,$S100),"")</f>
        <v/>
      </c>
      <c r="BK100" s="40" t="str">
        <f>IF(AND($G100='Povolené hodnoty'!$B$14,$H100=BK$4),SUM($J100,$M100,$P100,$S100),"")</f>
        <v/>
      </c>
      <c r="BL100" s="40" t="str">
        <f>IF(AND($G100='Povolené hodnoty'!$B$14,$H100=BL$4),SUM($J100,$M100,$P100,$S100),"")</f>
        <v/>
      </c>
      <c r="BM100" s="41" t="str">
        <f>IF(AND($G100='Povolené hodnoty'!$B$14,$H100=BM$4),SUM($J100,$M100,$P100,$S100),"")</f>
        <v/>
      </c>
      <c r="BO100" s="18" t="b">
        <f t="shared" si="71"/>
        <v>0</v>
      </c>
      <c r="BP100" s="18" t="b">
        <f t="shared" si="42"/>
        <v>0</v>
      </c>
      <c r="BQ100" s="18" t="b">
        <f>AND(E100&lt;&gt;'Povolené hodnoty'!$B$6,F100&lt;&gt;'Povolené hodnoty'!$D$7,F100&lt;&gt;'Povolené hodnoty'!$D$8,OR(SUM(I100,L100,O100,R100)&lt;&gt;SUM(W100:X100,AA100:AG100),SUM(J100,M100,P100,S100)&lt;&gt;SUM(Y100:Z100,AH100:AK100),COUNT(I100:J100,L100:M100,O100:P100,R100:S100)&lt;&gt;COUNT(W100:AK100)))</f>
        <v>0</v>
      </c>
      <c r="BR100" s="18" t="b">
        <f>OR(AND(E100='Povolené hodnoty'!$B$6,$BR$5),AND(E100='Povolené hodnoty'!$B$6,H100&lt;&gt;'Povolené hodnoty'!$E$26,H100&lt;&gt;'Povolené hodnoty'!$E$35),AND(E100&lt;&gt;'Povolené hodnoty'!$B$6,OR(H100='Povolené hodnoty'!$E$26,H100='Povolené hodnoty'!$E$35)))</f>
        <v>0</v>
      </c>
      <c r="BS100" s="18" t="b">
        <f>OR(AND(G100&lt;&gt;'Povolené hodnoty'!$B$13,OR(H100='Povolené hodnoty'!$E$21,H100='Povolené hodnoty'!$E$22,H100='Povolené hodnoty'!$E$23,H100='Povolené hodnoty'!$E$24,H100='Povolené hodnoty'!$E$26,H100='Povolené hodnoty'!$E$36)),COUNT(I100:J100,L100:M100,O100:P100,R100:S100)&lt;&gt;COUNT(AL100:BM100))</f>
        <v>0</v>
      </c>
      <c r="BT100" s="18" t="b">
        <f t="shared" si="43"/>
        <v>0</v>
      </c>
      <c r="BV100" s="39" t="str">
        <f t="shared" si="44"/>
        <v/>
      </c>
      <c r="BW100" s="458" t="str">
        <f t="shared" si="45"/>
        <v/>
      </c>
      <c r="BX100" s="458" t="str">
        <f t="shared" si="46"/>
        <v/>
      </c>
      <c r="BY100" s="458" t="str">
        <f t="shared" si="47"/>
        <v/>
      </c>
      <c r="BZ100" s="458" t="str">
        <f t="shared" si="48"/>
        <v/>
      </c>
      <c r="CA100" s="40" t="str">
        <f t="shared" si="49"/>
        <v/>
      </c>
      <c r="CB100" s="40" t="str">
        <f t="shared" si="50"/>
        <v/>
      </c>
      <c r="CC100" s="39" t="str">
        <f t="shared" si="51"/>
        <v/>
      </c>
      <c r="CD100" s="458" t="str">
        <f t="shared" si="52"/>
        <v/>
      </c>
      <c r="CE100" s="41" t="str">
        <f t="shared" si="53"/>
        <v/>
      </c>
      <c r="CF100" s="39" t="str">
        <f t="shared" si="54"/>
        <v/>
      </c>
      <c r="CG100" s="458" t="str">
        <f t="shared" si="55"/>
        <v/>
      </c>
      <c r="CH100" s="458" t="str">
        <f t="shared" si="56"/>
        <v/>
      </c>
      <c r="CI100" s="458" t="str">
        <f t="shared" si="57"/>
        <v/>
      </c>
      <c r="CJ100" s="458" t="str">
        <f t="shared" si="58"/>
        <v/>
      </c>
      <c r="CK100" s="40" t="str">
        <f t="shared" si="59"/>
        <v/>
      </c>
      <c r="CL100" s="40" t="str">
        <f t="shared" si="60"/>
        <v/>
      </c>
      <c r="CM100" s="40" t="str">
        <f t="shared" si="61"/>
        <v/>
      </c>
      <c r="CN100" s="39" t="str">
        <f t="shared" si="62"/>
        <v/>
      </c>
      <c r="CO100" s="458" t="str">
        <f t="shared" si="63"/>
        <v/>
      </c>
      <c r="CP100" s="458" t="str">
        <f t="shared" si="64"/>
        <v/>
      </c>
      <c r="CQ100" s="458" t="str">
        <f t="shared" si="65"/>
        <v/>
      </c>
      <c r="CR100" s="458" t="str">
        <f t="shared" si="66"/>
        <v/>
      </c>
      <c r="CS100" s="40" t="str">
        <f t="shared" si="67"/>
        <v/>
      </c>
      <c r="CT100" s="40" t="str">
        <f t="shared" si="68"/>
        <v/>
      </c>
      <c r="CU100" s="41" t="str">
        <f t="shared" si="69"/>
        <v/>
      </c>
    </row>
    <row r="101" spans="1:99" x14ac:dyDescent="0.2">
      <c r="A101" s="77">
        <f t="shared" si="70"/>
        <v>96</v>
      </c>
      <c r="B101" s="81"/>
      <c r="C101" s="82"/>
      <c r="D101" s="71"/>
      <c r="E101" s="72"/>
      <c r="F101" s="73"/>
      <c r="G101" s="443"/>
      <c r="H101" s="443"/>
      <c r="I101" s="74"/>
      <c r="J101" s="75"/>
      <c r="K101" s="41">
        <f t="shared" si="39"/>
        <v>3625</v>
      </c>
      <c r="L101" s="104"/>
      <c r="M101" s="105"/>
      <c r="N101" s="106">
        <f t="shared" si="40"/>
        <v>537.05999999999995</v>
      </c>
      <c r="O101" s="104"/>
      <c r="P101" s="105"/>
      <c r="Q101" s="106">
        <f t="shared" si="72"/>
        <v>10045.83</v>
      </c>
      <c r="R101" s="104"/>
      <c r="S101" s="105"/>
      <c r="T101" s="106">
        <f t="shared" si="73"/>
        <v>0</v>
      </c>
      <c r="U101" s="439"/>
      <c r="V101" s="42">
        <f t="shared" si="41"/>
        <v>96</v>
      </c>
      <c r="W101" s="39" t="str">
        <f>IF(AND(E101='Povolené hodnoty'!$B$4,F101=2),I101+L101+O101+R101,"")</f>
        <v/>
      </c>
      <c r="X101" s="41" t="str">
        <f>IF(AND(E101='Povolené hodnoty'!$B$4,F101=1),I101+L101+O101+R101,"")</f>
        <v/>
      </c>
      <c r="Y101" s="39" t="str">
        <f>IF(AND(E101='Povolené hodnoty'!$B$4,F101=10),J101+M101+P101+S101,"")</f>
        <v/>
      </c>
      <c r="Z101" s="41" t="str">
        <f>IF(AND(E101='Povolené hodnoty'!$B$4,F101=9),J101+M101+P101+S101,"")</f>
        <v/>
      </c>
      <c r="AA101" s="39" t="str">
        <f>IF(AND(E101&lt;&gt;'Povolené hodnoty'!$B$4,F101=2),I101+L101+O101+R101,"")</f>
        <v/>
      </c>
      <c r="AB101" s="40" t="str">
        <f>IF(AND(E101&lt;&gt;'Povolené hodnoty'!$B$4,F101=3),I101+L101+O101+R101,"")</f>
        <v/>
      </c>
      <c r="AC101" s="40" t="str">
        <f>IF(AND(E101&lt;&gt;'Povolené hodnoty'!$B$4,F101=4),I101+L101+O101+R101,"")</f>
        <v/>
      </c>
      <c r="AD101" s="40" t="str">
        <f>IF(AND(E101&lt;&gt;'Povolené hodnoty'!$B$4,F101="5a"),I101-J101+L101-M101+O101-P101+R101-S101,"")</f>
        <v/>
      </c>
      <c r="AE101" s="40" t="str">
        <f>IF(AND(E101&lt;&gt;'Povolené hodnoty'!$B$4,F101="5b"),I101-J101+L101-M101+O101-P101+R101-S101,"")</f>
        <v/>
      </c>
      <c r="AF101" s="40" t="str">
        <f>IF(AND(E101&lt;&gt;'Povolené hodnoty'!$B$4,F101=6),I101+L101+O101+R101,"")</f>
        <v/>
      </c>
      <c r="AG101" s="41" t="str">
        <f>IF(AND(E101&lt;&gt;'Povolené hodnoty'!$B$4,F101=7),I101+L101+O101+R101,"")</f>
        <v/>
      </c>
      <c r="AH101" s="39" t="str">
        <f>IF(AND(E101&lt;&gt;'Povolené hodnoty'!$B$4,F101=10),J101+M101+P101+S101,"")</f>
        <v/>
      </c>
      <c r="AI101" s="40" t="str">
        <f>IF(AND(E101&lt;&gt;'Povolené hodnoty'!$B$4,F101=11),J101+M101+P101+S101,"")</f>
        <v/>
      </c>
      <c r="AJ101" s="40" t="str">
        <f>IF(AND(E101&lt;&gt;'Povolené hodnoty'!$B$4,F101=12),J101+M101+P101+S101,"")</f>
        <v/>
      </c>
      <c r="AK101" s="41" t="str">
        <f>IF(AND(E101&lt;&gt;'Povolené hodnoty'!$B$4,F101=13),J101+M101+P101+S101,"")</f>
        <v/>
      </c>
      <c r="AL101" s="39" t="str">
        <f>IF(AND($G101='Povolené hodnoty'!$B$13,$H101=AL$4),SUM($I101,$L101,$O101,$R101),"")</f>
        <v/>
      </c>
      <c r="AM101" s="458" t="str">
        <f>IF(AND($G101='Povolené hodnoty'!$B$13,$H101=AM$4),SUM($I101,$L101,$O101,$R101),"")</f>
        <v/>
      </c>
      <c r="AN101" s="458" t="str">
        <f>IF(AND($G101='Povolené hodnoty'!$B$13,$H101=AN$4),SUM($I101,$L101,$O101,$R101),"")</f>
        <v/>
      </c>
      <c r="AO101" s="458" t="str">
        <f>IF(AND($G101='Povolené hodnoty'!$B$13,$H101=AO$4),SUM($I101,$L101,$O101,$R101),"")</f>
        <v/>
      </c>
      <c r="AP101" s="458" t="str">
        <f>IF(AND($G101='Povolené hodnoty'!$B$13,$H101=AP$4),SUM($I101,$L101,$O101,$R101),"")</f>
        <v/>
      </c>
      <c r="AQ101" s="40" t="str">
        <f>IF(AND($G101='Povolené hodnoty'!$B$13,OR($H101=AQ$4,$H101='Povolené hodnoty'!$E$36)),SUM($I101,-$J101,$L101,-$M101,$O101,-$P101,$R101,-$S101),"")</f>
        <v/>
      </c>
      <c r="AR101" s="40" t="str">
        <f>IF(AND($G101='Povolené hodnoty'!$B$13,$H101=AR$4),SUM($I101,$L101,$O101,$R101),"")</f>
        <v/>
      </c>
      <c r="AS101" s="41" t="str">
        <f>IF(AND($G101='Povolené hodnoty'!$B$13,$H101=AS$4),SUM($I101,$L101,$O101,$R101),"")</f>
        <v/>
      </c>
      <c r="AT101" s="39" t="str">
        <f>IF(AND($G101='Povolené hodnoty'!$B$14,$H101=AT$4),SUM($I101,$L101,$O101,$R101),"")</f>
        <v/>
      </c>
      <c r="AU101" s="458" t="str">
        <f>IF(AND($G101='Povolené hodnoty'!$B$14,$H101=AU$4),SUM($I101,$L101,$O101,$R101),"")</f>
        <v/>
      </c>
      <c r="AV101" s="41" t="str">
        <f>IF(AND($G101='Povolené hodnoty'!$B$14,$H101=AV$4),SUM($I101,$L101,$O101,$R101),"")</f>
        <v/>
      </c>
      <c r="AW101" s="39" t="str">
        <f>IF(AND($G101='Povolené hodnoty'!$B$13,$H101=AW$4),SUM($J101,$M101,$P101,$S101),"")</f>
        <v/>
      </c>
      <c r="AX101" s="458" t="str">
        <f>IF(AND($G101='Povolené hodnoty'!$B$13,$H101=AX$4),SUM($J101,$M101,$P101,$S101),"")</f>
        <v/>
      </c>
      <c r="AY101" s="458" t="str">
        <f>IF(AND($G101='Povolené hodnoty'!$B$13,$H101=AY$4),SUM($J101,$M101,$P101,$S101),"")</f>
        <v/>
      </c>
      <c r="AZ101" s="458" t="str">
        <f>IF(AND($G101='Povolené hodnoty'!$B$13,$H101=AZ$4),SUM($J101,$M101,$P101,$S101),"")</f>
        <v/>
      </c>
      <c r="BA101" s="458" t="str">
        <f>IF(AND($G101='Povolené hodnoty'!$B$13,$H101=BA$4),SUM($J101,$M101,$P101,$S101),"")</f>
        <v/>
      </c>
      <c r="BB101" s="40" t="str">
        <f>IF(AND($G101='Povolené hodnoty'!$B$13,$H101=BB$4),SUM($J101,$M101,$P101,$S101),"")</f>
        <v/>
      </c>
      <c r="BC101" s="40" t="str">
        <f>IF(AND($G101='Povolené hodnoty'!$B$13,$H101=BC$4),SUM($J101,$M101,$P101,$S101),"")</f>
        <v/>
      </c>
      <c r="BD101" s="40" t="str">
        <f>IF(AND($G101='Povolené hodnoty'!$B$13,$H101=BD$4),SUM($J101,$M101,$P101,$S101),"")</f>
        <v/>
      </c>
      <c r="BE101" s="41" t="str">
        <f>IF(AND($G101='Povolené hodnoty'!$B$13,$H101=BE$4),SUM($J101,$M101,$P101,$S101),"")</f>
        <v/>
      </c>
      <c r="BF101" s="39" t="str">
        <f>IF(AND($G101='Povolené hodnoty'!$B$14,$H101=BF$4),SUM($J101,$M101,$P101,$S101),"")</f>
        <v/>
      </c>
      <c r="BG101" s="458" t="str">
        <f>IF(AND($G101='Povolené hodnoty'!$B$14,$H101=BG$4),SUM($J101,$M101,$P101,$S101),"")</f>
        <v/>
      </c>
      <c r="BH101" s="458" t="str">
        <f>IF(AND($G101='Povolené hodnoty'!$B$14,$H101=BH$4),SUM($J101,$M101,$P101,$S101),"")</f>
        <v/>
      </c>
      <c r="BI101" s="458" t="str">
        <f>IF(AND($G101='Povolené hodnoty'!$B$14,$H101=BI$4),SUM($J101,$M101,$P101,$S101),"")</f>
        <v/>
      </c>
      <c r="BJ101" s="458" t="str">
        <f>IF(AND($G101='Povolené hodnoty'!$B$14,$H101=BJ$4),SUM($J101,$M101,$P101,$S101),"")</f>
        <v/>
      </c>
      <c r="BK101" s="40" t="str">
        <f>IF(AND($G101='Povolené hodnoty'!$B$14,$H101=BK$4),SUM($J101,$M101,$P101,$S101),"")</f>
        <v/>
      </c>
      <c r="BL101" s="40" t="str">
        <f>IF(AND($G101='Povolené hodnoty'!$B$14,$H101=BL$4),SUM($J101,$M101,$P101,$S101),"")</f>
        <v/>
      </c>
      <c r="BM101" s="41" t="str">
        <f>IF(AND($G101='Povolené hodnoty'!$B$14,$H101=BM$4),SUM($J101,$M101,$P101,$S101),"")</f>
        <v/>
      </c>
      <c r="BO101" s="18" t="b">
        <f t="shared" si="71"/>
        <v>0</v>
      </c>
      <c r="BP101" s="18" t="b">
        <f t="shared" si="42"/>
        <v>0</v>
      </c>
      <c r="BQ101" s="18" t="b">
        <f>AND(E101&lt;&gt;'Povolené hodnoty'!$B$6,F101&lt;&gt;'Povolené hodnoty'!$D$7,F101&lt;&gt;'Povolené hodnoty'!$D$8,OR(SUM(I101,L101,O101,R101)&lt;&gt;SUM(W101:X101,AA101:AG101),SUM(J101,M101,P101,S101)&lt;&gt;SUM(Y101:Z101,AH101:AK101),COUNT(I101:J101,L101:M101,O101:P101,R101:S101)&lt;&gt;COUNT(W101:AK101)))</f>
        <v>0</v>
      </c>
      <c r="BR101" s="18" t="b">
        <f>OR(AND(E101='Povolené hodnoty'!$B$6,$BR$5),AND(E101='Povolené hodnoty'!$B$6,H101&lt;&gt;'Povolené hodnoty'!$E$26,H101&lt;&gt;'Povolené hodnoty'!$E$35),AND(E101&lt;&gt;'Povolené hodnoty'!$B$6,OR(H101='Povolené hodnoty'!$E$26,H101='Povolené hodnoty'!$E$35)))</f>
        <v>0</v>
      </c>
      <c r="BS101" s="18" t="b">
        <f>OR(AND(G101&lt;&gt;'Povolené hodnoty'!$B$13,OR(H101='Povolené hodnoty'!$E$21,H101='Povolené hodnoty'!$E$22,H101='Povolené hodnoty'!$E$23,H101='Povolené hodnoty'!$E$24,H101='Povolené hodnoty'!$E$26,H101='Povolené hodnoty'!$E$36)),COUNT(I101:J101,L101:M101,O101:P101,R101:S101)&lt;&gt;COUNT(AL101:BM101))</f>
        <v>0</v>
      </c>
      <c r="BT101" s="18" t="b">
        <f t="shared" si="43"/>
        <v>0</v>
      </c>
      <c r="BV101" s="39" t="str">
        <f t="shared" si="44"/>
        <v/>
      </c>
      <c r="BW101" s="458" t="str">
        <f t="shared" si="45"/>
        <v/>
      </c>
      <c r="BX101" s="458" t="str">
        <f t="shared" si="46"/>
        <v/>
      </c>
      <c r="BY101" s="458" t="str">
        <f t="shared" si="47"/>
        <v/>
      </c>
      <c r="BZ101" s="458" t="str">
        <f t="shared" si="48"/>
        <v/>
      </c>
      <c r="CA101" s="40" t="str">
        <f t="shared" si="49"/>
        <v/>
      </c>
      <c r="CB101" s="40" t="str">
        <f t="shared" si="50"/>
        <v/>
      </c>
      <c r="CC101" s="39" t="str">
        <f t="shared" si="51"/>
        <v/>
      </c>
      <c r="CD101" s="458" t="str">
        <f t="shared" si="52"/>
        <v/>
      </c>
      <c r="CE101" s="41" t="str">
        <f t="shared" si="53"/>
        <v/>
      </c>
      <c r="CF101" s="39" t="str">
        <f t="shared" si="54"/>
        <v/>
      </c>
      <c r="CG101" s="458" t="str">
        <f t="shared" si="55"/>
        <v/>
      </c>
      <c r="CH101" s="458" t="str">
        <f t="shared" si="56"/>
        <v/>
      </c>
      <c r="CI101" s="458" t="str">
        <f t="shared" si="57"/>
        <v/>
      </c>
      <c r="CJ101" s="458" t="str">
        <f t="shared" si="58"/>
        <v/>
      </c>
      <c r="CK101" s="40" t="str">
        <f t="shared" si="59"/>
        <v/>
      </c>
      <c r="CL101" s="40" t="str">
        <f t="shared" si="60"/>
        <v/>
      </c>
      <c r="CM101" s="40" t="str">
        <f t="shared" si="61"/>
        <v/>
      </c>
      <c r="CN101" s="39" t="str">
        <f t="shared" si="62"/>
        <v/>
      </c>
      <c r="CO101" s="458" t="str">
        <f t="shared" si="63"/>
        <v/>
      </c>
      <c r="CP101" s="458" t="str">
        <f t="shared" si="64"/>
        <v/>
      </c>
      <c r="CQ101" s="458" t="str">
        <f t="shared" si="65"/>
        <v/>
      </c>
      <c r="CR101" s="458" t="str">
        <f t="shared" si="66"/>
        <v/>
      </c>
      <c r="CS101" s="40" t="str">
        <f t="shared" si="67"/>
        <v/>
      </c>
      <c r="CT101" s="40" t="str">
        <f t="shared" si="68"/>
        <v/>
      </c>
      <c r="CU101" s="41" t="str">
        <f t="shared" si="69"/>
        <v/>
      </c>
    </row>
    <row r="102" spans="1:99" x14ac:dyDescent="0.2">
      <c r="A102" s="77">
        <f t="shared" si="70"/>
        <v>97</v>
      </c>
      <c r="B102" s="81"/>
      <c r="C102" s="82"/>
      <c r="D102" s="71"/>
      <c r="E102" s="72"/>
      <c r="F102" s="73"/>
      <c r="G102" s="443"/>
      <c r="H102" s="443"/>
      <c r="I102" s="74"/>
      <c r="J102" s="75"/>
      <c r="K102" s="41">
        <f t="shared" si="39"/>
        <v>3625</v>
      </c>
      <c r="L102" s="104"/>
      <c r="M102" s="105"/>
      <c r="N102" s="106">
        <f t="shared" si="40"/>
        <v>537.05999999999995</v>
      </c>
      <c r="O102" s="104"/>
      <c r="P102" s="105"/>
      <c r="Q102" s="106">
        <f t="shared" si="72"/>
        <v>10045.83</v>
      </c>
      <c r="R102" s="104"/>
      <c r="S102" s="105"/>
      <c r="T102" s="106">
        <f t="shared" si="73"/>
        <v>0</v>
      </c>
      <c r="U102" s="439"/>
      <c r="V102" s="42">
        <f t="shared" si="41"/>
        <v>97</v>
      </c>
      <c r="W102" s="39" t="str">
        <f>IF(AND(E102='Povolené hodnoty'!$B$4,F102=2),I102+L102+O102+R102,"")</f>
        <v/>
      </c>
      <c r="X102" s="41" t="str">
        <f>IF(AND(E102='Povolené hodnoty'!$B$4,F102=1),I102+L102+O102+R102,"")</f>
        <v/>
      </c>
      <c r="Y102" s="39" t="str">
        <f>IF(AND(E102='Povolené hodnoty'!$B$4,F102=10),J102+M102+P102+S102,"")</f>
        <v/>
      </c>
      <c r="Z102" s="41" t="str">
        <f>IF(AND(E102='Povolené hodnoty'!$B$4,F102=9),J102+M102+P102+S102,"")</f>
        <v/>
      </c>
      <c r="AA102" s="39" t="str">
        <f>IF(AND(E102&lt;&gt;'Povolené hodnoty'!$B$4,F102=2),I102+L102+O102+R102,"")</f>
        <v/>
      </c>
      <c r="AB102" s="40" t="str">
        <f>IF(AND(E102&lt;&gt;'Povolené hodnoty'!$B$4,F102=3),I102+L102+O102+R102,"")</f>
        <v/>
      </c>
      <c r="AC102" s="40" t="str">
        <f>IF(AND(E102&lt;&gt;'Povolené hodnoty'!$B$4,F102=4),I102+L102+O102+R102,"")</f>
        <v/>
      </c>
      <c r="AD102" s="40" t="str">
        <f>IF(AND(E102&lt;&gt;'Povolené hodnoty'!$B$4,F102="5a"),I102-J102+L102-M102+O102-P102+R102-S102,"")</f>
        <v/>
      </c>
      <c r="AE102" s="40" t="str">
        <f>IF(AND(E102&lt;&gt;'Povolené hodnoty'!$B$4,F102="5b"),I102-J102+L102-M102+O102-P102+R102-S102,"")</f>
        <v/>
      </c>
      <c r="AF102" s="40" t="str">
        <f>IF(AND(E102&lt;&gt;'Povolené hodnoty'!$B$4,F102=6),I102+L102+O102+R102,"")</f>
        <v/>
      </c>
      <c r="AG102" s="41" t="str">
        <f>IF(AND(E102&lt;&gt;'Povolené hodnoty'!$B$4,F102=7),I102+L102+O102+R102,"")</f>
        <v/>
      </c>
      <c r="AH102" s="39" t="str">
        <f>IF(AND(E102&lt;&gt;'Povolené hodnoty'!$B$4,F102=10),J102+M102+P102+S102,"")</f>
        <v/>
      </c>
      <c r="AI102" s="40" t="str">
        <f>IF(AND(E102&lt;&gt;'Povolené hodnoty'!$B$4,F102=11),J102+M102+P102+S102,"")</f>
        <v/>
      </c>
      <c r="AJ102" s="40" t="str">
        <f>IF(AND(E102&lt;&gt;'Povolené hodnoty'!$B$4,F102=12),J102+M102+P102+S102,"")</f>
        <v/>
      </c>
      <c r="AK102" s="41" t="str">
        <f>IF(AND(E102&lt;&gt;'Povolené hodnoty'!$B$4,F102=13),J102+M102+P102+S102,"")</f>
        <v/>
      </c>
      <c r="AL102" s="39" t="str">
        <f>IF(AND($G102='Povolené hodnoty'!$B$13,$H102=AL$4),SUM($I102,$L102,$O102,$R102),"")</f>
        <v/>
      </c>
      <c r="AM102" s="458" t="str">
        <f>IF(AND($G102='Povolené hodnoty'!$B$13,$H102=AM$4),SUM($I102,$L102,$O102,$R102),"")</f>
        <v/>
      </c>
      <c r="AN102" s="458" t="str">
        <f>IF(AND($G102='Povolené hodnoty'!$B$13,$H102=AN$4),SUM($I102,$L102,$O102,$R102),"")</f>
        <v/>
      </c>
      <c r="AO102" s="458" t="str">
        <f>IF(AND($G102='Povolené hodnoty'!$B$13,$H102=AO$4),SUM($I102,$L102,$O102,$R102),"")</f>
        <v/>
      </c>
      <c r="AP102" s="458" t="str">
        <f>IF(AND($G102='Povolené hodnoty'!$B$13,$H102=AP$4),SUM($I102,$L102,$O102,$R102),"")</f>
        <v/>
      </c>
      <c r="AQ102" s="40" t="str">
        <f>IF(AND($G102='Povolené hodnoty'!$B$13,OR($H102=AQ$4,$H102='Povolené hodnoty'!$E$36)),SUM($I102,-$J102,$L102,-$M102,$O102,-$P102,$R102,-$S102),"")</f>
        <v/>
      </c>
      <c r="AR102" s="40" t="str">
        <f>IF(AND($G102='Povolené hodnoty'!$B$13,$H102=AR$4),SUM($I102,$L102,$O102,$R102),"")</f>
        <v/>
      </c>
      <c r="AS102" s="41" t="str">
        <f>IF(AND($G102='Povolené hodnoty'!$B$13,$H102=AS$4),SUM($I102,$L102,$O102,$R102),"")</f>
        <v/>
      </c>
      <c r="AT102" s="39" t="str">
        <f>IF(AND($G102='Povolené hodnoty'!$B$14,$H102=AT$4),SUM($I102,$L102,$O102,$R102),"")</f>
        <v/>
      </c>
      <c r="AU102" s="458" t="str">
        <f>IF(AND($G102='Povolené hodnoty'!$B$14,$H102=AU$4),SUM($I102,$L102,$O102,$R102),"")</f>
        <v/>
      </c>
      <c r="AV102" s="41" t="str">
        <f>IF(AND($G102='Povolené hodnoty'!$B$14,$H102=AV$4),SUM($I102,$L102,$O102,$R102),"")</f>
        <v/>
      </c>
      <c r="AW102" s="39" t="str">
        <f>IF(AND($G102='Povolené hodnoty'!$B$13,$H102=AW$4),SUM($J102,$M102,$P102,$S102),"")</f>
        <v/>
      </c>
      <c r="AX102" s="458" t="str">
        <f>IF(AND($G102='Povolené hodnoty'!$B$13,$H102=AX$4),SUM($J102,$M102,$P102,$S102),"")</f>
        <v/>
      </c>
      <c r="AY102" s="458" t="str">
        <f>IF(AND($G102='Povolené hodnoty'!$B$13,$H102=AY$4),SUM($J102,$M102,$P102,$S102),"")</f>
        <v/>
      </c>
      <c r="AZ102" s="458" t="str">
        <f>IF(AND($G102='Povolené hodnoty'!$B$13,$H102=AZ$4),SUM($J102,$M102,$P102,$S102),"")</f>
        <v/>
      </c>
      <c r="BA102" s="458" t="str">
        <f>IF(AND($G102='Povolené hodnoty'!$B$13,$H102=BA$4),SUM($J102,$M102,$P102,$S102),"")</f>
        <v/>
      </c>
      <c r="BB102" s="40" t="str">
        <f>IF(AND($G102='Povolené hodnoty'!$B$13,$H102=BB$4),SUM($J102,$M102,$P102,$S102),"")</f>
        <v/>
      </c>
      <c r="BC102" s="40" t="str">
        <f>IF(AND($G102='Povolené hodnoty'!$B$13,$H102=BC$4),SUM($J102,$M102,$P102,$S102),"")</f>
        <v/>
      </c>
      <c r="BD102" s="40" t="str">
        <f>IF(AND($G102='Povolené hodnoty'!$B$13,$H102=BD$4),SUM($J102,$M102,$P102,$S102),"")</f>
        <v/>
      </c>
      <c r="BE102" s="41" t="str">
        <f>IF(AND($G102='Povolené hodnoty'!$B$13,$H102=BE$4),SUM($J102,$M102,$P102,$S102),"")</f>
        <v/>
      </c>
      <c r="BF102" s="39" t="str">
        <f>IF(AND($G102='Povolené hodnoty'!$B$14,$H102=BF$4),SUM($J102,$M102,$P102,$S102),"")</f>
        <v/>
      </c>
      <c r="BG102" s="458" t="str">
        <f>IF(AND($G102='Povolené hodnoty'!$B$14,$H102=BG$4),SUM($J102,$M102,$P102,$S102),"")</f>
        <v/>
      </c>
      <c r="BH102" s="458" t="str">
        <f>IF(AND($G102='Povolené hodnoty'!$B$14,$H102=BH$4),SUM($J102,$M102,$P102,$S102),"")</f>
        <v/>
      </c>
      <c r="BI102" s="458" t="str">
        <f>IF(AND($G102='Povolené hodnoty'!$B$14,$H102=BI$4),SUM($J102,$M102,$P102,$S102),"")</f>
        <v/>
      </c>
      <c r="BJ102" s="458" t="str">
        <f>IF(AND($G102='Povolené hodnoty'!$B$14,$H102=BJ$4),SUM($J102,$M102,$P102,$S102),"")</f>
        <v/>
      </c>
      <c r="BK102" s="40" t="str">
        <f>IF(AND($G102='Povolené hodnoty'!$B$14,$H102=BK$4),SUM($J102,$M102,$P102,$S102),"")</f>
        <v/>
      </c>
      <c r="BL102" s="40" t="str">
        <f>IF(AND($G102='Povolené hodnoty'!$B$14,$H102=BL$4),SUM($J102,$M102,$P102,$S102),"")</f>
        <v/>
      </c>
      <c r="BM102" s="41" t="str">
        <f>IF(AND($G102='Povolené hodnoty'!$B$14,$H102=BM$4),SUM($J102,$M102,$P102,$S102),"")</f>
        <v/>
      </c>
      <c r="BO102" s="18" t="b">
        <f t="shared" si="71"/>
        <v>0</v>
      </c>
      <c r="BP102" s="18" t="b">
        <f t="shared" si="42"/>
        <v>0</v>
      </c>
      <c r="BQ102" s="18" t="b">
        <f>AND(E102&lt;&gt;'Povolené hodnoty'!$B$6,F102&lt;&gt;'Povolené hodnoty'!$D$7,F102&lt;&gt;'Povolené hodnoty'!$D$8,OR(SUM(I102,L102,O102,R102)&lt;&gt;SUM(W102:X102,AA102:AG102),SUM(J102,M102,P102,S102)&lt;&gt;SUM(Y102:Z102,AH102:AK102),COUNT(I102:J102,L102:M102,O102:P102,R102:S102)&lt;&gt;COUNT(W102:AK102)))</f>
        <v>0</v>
      </c>
      <c r="BR102" s="18" t="b">
        <f>OR(AND(E102='Povolené hodnoty'!$B$6,$BR$5),AND(E102='Povolené hodnoty'!$B$6,H102&lt;&gt;'Povolené hodnoty'!$E$26,H102&lt;&gt;'Povolené hodnoty'!$E$35),AND(E102&lt;&gt;'Povolené hodnoty'!$B$6,OR(H102='Povolené hodnoty'!$E$26,H102='Povolené hodnoty'!$E$35)))</f>
        <v>0</v>
      </c>
      <c r="BS102" s="18" t="b">
        <f>OR(AND(G102&lt;&gt;'Povolené hodnoty'!$B$13,OR(H102='Povolené hodnoty'!$E$21,H102='Povolené hodnoty'!$E$22,H102='Povolené hodnoty'!$E$23,H102='Povolené hodnoty'!$E$24,H102='Povolené hodnoty'!$E$26,H102='Povolené hodnoty'!$E$36)),COUNT(I102:J102,L102:M102,O102:P102,R102:S102)&lt;&gt;COUNT(AL102:BM102))</f>
        <v>0</v>
      </c>
      <c r="BT102" s="18" t="b">
        <f t="shared" si="43"/>
        <v>0</v>
      </c>
      <c r="BV102" s="39" t="str">
        <f t="shared" si="44"/>
        <v/>
      </c>
      <c r="BW102" s="458" t="str">
        <f t="shared" si="45"/>
        <v/>
      </c>
      <c r="BX102" s="458" t="str">
        <f t="shared" si="46"/>
        <v/>
      </c>
      <c r="BY102" s="458" t="str">
        <f t="shared" si="47"/>
        <v/>
      </c>
      <c r="BZ102" s="458" t="str">
        <f t="shared" si="48"/>
        <v/>
      </c>
      <c r="CA102" s="40" t="str">
        <f t="shared" si="49"/>
        <v/>
      </c>
      <c r="CB102" s="40" t="str">
        <f t="shared" si="50"/>
        <v/>
      </c>
      <c r="CC102" s="39" t="str">
        <f t="shared" si="51"/>
        <v/>
      </c>
      <c r="CD102" s="458" t="str">
        <f t="shared" si="52"/>
        <v/>
      </c>
      <c r="CE102" s="41" t="str">
        <f t="shared" si="53"/>
        <v/>
      </c>
      <c r="CF102" s="39" t="str">
        <f t="shared" si="54"/>
        <v/>
      </c>
      <c r="CG102" s="458" t="str">
        <f t="shared" si="55"/>
        <v/>
      </c>
      <c r="CH102" s="458" t="str">
        <f t="shared" si="56"/>
        <v/>
      </c>
      <c r="CI102" s="458" t="str">
        <f t="shared" si="57"/>
        <v/>
      </c>
      <c r="CJ102" s="458" t="str">
        <f t="shared" si="58"/>
        <v/>
      </c>
      <c r="CK102" s="40" t="str">
        <f t="shared" si="59"/>
        <v/>
      </c>
      <c r="CL102" s="40" t="str">
        <f t="shared" si="60"/>
        <v/>
      </c>
      <c r="CM102" s="40" t="str">
        <f t="shared" si="61"/>
        <v/>
      </c>
      <c r="CN102" s="39" t="str">
        <f t="shared" si="62"/>
        <v/>
      </c>
      <c r="CO102" s="458" t="str">
        <f t="shared" si="63"/>
        <v/>
      </c>
      <c r="CP102" s="458" t="str">
        <f t="shared" si="64"/>
        <v/>
      </c>
      <c r="CQ102" s="458" t="str">
        <f t="shared" si="65"/>
        <v/>
      </c>
      <c r="CR102" s="458" t="str">
        <f t="shared" si="66"/>
        <v/>
      </c>
      <c r="CS102" s="40" t="str">
        <f t="shared" si="67"/>
        <v/>
      </c>
      <c r="CT102" s="40" t="str">
        <f t="shared" si="68"/>
        <v/>
      </c>
      <c r="CU102" s="41" t="str">
        <f t="shared" si="69"/>
        <v/>
      </c>
    </row>
    <row r="103" spans="1:99" x14ac:dyDescent="0.2">
      <c r="A103" s="77">
        <f t="shared" si="70"/>
        <v>98</v>
      </c>
      <c r="B103" s="81"/>
      <c r="C103" s="82"/>
      <c r="D103" s="71"/>
      <c r="E103" s="72"/>
      <c r="F103" s="73"/>
      <c r="G103" s="443"/>
      <c r="H103" s="443"/>
      <c r="I103" s="74"/>
      <c r="J103" s="75"/>
      <c r="K103" s="41">
        <f t="shared" si="39"/>
        <v>3625</v>
      </c>
      <c r="L103" s="104"/>
      <c r="M103" s="105"/>
      <c r="N103" s="106">
        <f t="shared" si="40"/>
        <v>537.05999999999995</v>
      </c>
      <c r="O103" s="104"/>
      <c r="P103" s="105"/>
      <c r="Q103" s="106">
        <f t="shared" si="72"/>
        <v>10045.83</v>
      </c>
      <c r="R103" s="104"/>
      <c r="S103" s="105"/>
      <c r="T103" s="106">
        <f t="shared" si="73"/>
        <v>0</v>
      </c>
      <c r="U103" s="439"/>
      <c r="V103" s="42">
        <f t="shared" si="41"/>
        <v>98</v>
      </c>
      <c r="W103" s="39" t="str">
        <f>IF(AND(E103='Povolené hodnoty'!$B$4,F103=2),I103+L103+O103+R103,"")</f>
        <v/>
      </c>
      <c r="X103" s="41" t="str">
        <f>IF(AND(E103='Povolené hodnoty'!$B$4,F103=1),I103+L103+O103+R103,"")</f>
        <v/>
      </c>
      <c r="Y103" s="39" t="str">
        <f>IF(AND(E103='Povolené hodnoty'!$B$4,F103=10),J103+M103+P103+S103,"")</f>
        <v/>
      </c>
      <c r="Z103" s="41" t="str">
        <f>IF(AND(E103='Povolené hodnoty'!$B$4,F103=9),J103+M103+P103+S103,"")</f>
        <v/>
      </c>
      <c r="AA103" s="39" t="str">
        <f>IF(AND(E103&lt;&gt;'Povolené hodnoty'!$B$4,F103=2),I103+L103+O103+R103,"")</f>
        <v/>
      </c>
      <c r="AB103" s="40" t="str">
        <f>IF(AND(E103&lt;&gt;'Povolené hodnoty'!$B$4,F103=3),I103+L103+O103+R103,"")</f>
        <v/>
      </c>
      <c r="AC103" s="40" t="str">
        <f>IF(AND(E103&lt;&gt;'Povolené hodnoty'!$B$4,F103=4),I103+L103+O103+R103,"")</f>
        <v/>
      </c>
      <c r="AD103" s="40" t="str">
        <f>IF(AND(E103&lt;&gt;'Povolené hodnoty'!$B$4,F103="5a"),I103-J103+L103-M103+O103-P103+R103-S103,"")</f>
        <v/>
      </c>
      <c r="AE103" s="40" t="str">
        <f>IF(AND(E103&lt;&gt;'Povolené hodnoty'!$B$4,F103="5b"),I103-J103+L103-M103+O103-P103+R103-S103,"")</f>
        <v/>
      </c>
      <c r="AF103" s="40" t="str">
        <f>IF(AND(E103&lt;&gt;'Povolené hodnoty'!$B$4,F103=6),I103+L103+O103+R103,"")</f>
        <v/>
      </c>
      <c r="AG103" s="41" t="str">
        <f>IF(AND(E103&lt;&gt;'Povolené hodnoty'!$B$4,F103=7),I103+L103+O103+R103,"")</f>
        <v/>
      </c>
      <c r="AH103" s="39" t="str">
        <f>IF(AND(E103&lt;&gt;'Povolené hodnoty'!$B$4,F103=10),J103+M103+P103+S103,"")</f>
        <v/>
      </c>
      <c r="AI103" s="40" t="str">
        <f>IF(AND(E103&lt;&gt;'Povolené hodnoty'!$B$4,F103=11),J103+M103+P103+S103,"")</f>
        <v/>
      </c>
      <c r="AJ103" s="40" t="str">
        <f>IF(AND(E103&lt;&gt;'Povolené hodnoty'!$B$4,F103=12),J103+M103+P103+S103,"")</f>
        <v/>
      </c>
      <c r="AK103" s="41" t="str">
        <f>IF(AND(E103&lt;&gt;'Povolené hodnoty'!$B$4,F103=13),J103+M103+P103+S103,"")</f>
        <v/>
      </c>
      <c r="AL103" s="39" t="str">
        <f>IF(AND($G103='Povolené hodnoty'!$B$13,$H103=AL$4),SUM($I103,$L103,$O103,$R103),"")</f>
        <v/>
      </c>
      <c r="AM103" s="458" t="str">
        <f>IF(AND($G103='Povolené hodnoty'!$B$13,$H103=AM$4),SUM($I103,$L103,$O103,$R103),"")</f>
        <v/>
      </c>
      <c r="AN103" s="458" t="str">
        <f>IF(AND($G103='Povolené hodnoty'!$B$13,$H103=AN$4),SUM($I103,$L103,$O103,$R103),"")</f>
        <v/>
      </c>
      <c r="AO103" s="458" t="str">
        <f>IF(AND($G103='Povolené hodnoty'!$B$13,$H103=AO$4),SUM($I103,$L103,$O103,$R103),"")</f>
        <v/>
      </c>
      <c r="AP103" s="458" t="str">
        <f>IF(AND($G103='Povolené hodnoty'!$B$13,$H103=AP$4),SUM($I103,$L103,$O103,$R103),"")</f>
        <v/>
      </c>
      <c r="AQ103" s="40" t="str">
        <f>IF(AND($G103='Povolené hodnoty'!$B$13,OR($H103=AQ$4,$H103='Povolené hodnoty'!$E$36)),SUM($I103,-$J103,$L103,-$M103,$O103,-$P103,$R103,-$S103),"")</f>
        <v/>
      </c>
      <c r="AR103" s="40" t="str">
        <f>IF(AND($G103='Povolené hodnoty'!$B$13,$H103=AR$4),SUM($I103,$L103,$O103,$R103),"")</f>
        <v/>
      </c>
      <c r="AS103" s="41" t="str">
        <f>IF(AND($G103='Povolené hodnoty'!$B$13,$H103=AS$4),SUM($I103,$L103,$O103,$R103),"")</f>
        <v/>
      </c>
      <c r="AT103" s="39" t="str">
        <f>IF(AND($G103='Povolené hodnoty'!$B$14,$H103=AT$4),SUM($I103,$L103,$O103,$R103),"")</f>
        <v/>
      </c>
      <c r="AU103" s="458" t="str">
        <f>IF(AND($G103='Povolené hodnoty'!$B$14,$H103=AU$4),SUM($I103,$L103,$O103,$R103),"")</f>
        <v/>
      </c>
      <c r="AV103" s="41" t="str">
        <f>IF(AND($G103='Povolené hodnoty'!$B$14,$H103=AV$4),SUM($I103,$L103,$O103,$R103),"")</f>
        <v/>
      </c>
      <c r="AW103" s="39" t="str">
        <f>IF(AND($G103='Povolené hodnoty'!$B$13,$H103=AW$4),SUM($J103,$M103,$P103,$S103),"")</f>
        <v/>
      </c>
      <c r="AX103" s="458" t="str">
        <f>IF(AND($G103='Povolené hodnoty'!$B$13,$H103=AX$4),SUM($J103,$M103,$P103,$S103),"")</f>
        <v/>
      </c>
      <c r="AY103" s="458" t="str">
        <f>IF(AND($G103='Povolené hodnoty'!$B$13,$H103=AY$4),SUM($J103,$M103,$P103,$S103),"")</f>
        <v/>
      </c>
      <c r="AZ103" s="458" t="str">
        <f>IF(AND($G103='Povolené hodnoty'!$B$13,$H103=AZ$4),SUM($J103,$M103,$P103,$S103),"")</f>
        <v/>
      </c>
      <c r="BA103" s="458" t="str">
        <f>IF(AND($G103='Povolené hodnoty'!$B$13,$H103=BA$4),SUM($J103,$M103,$P103,$S103),"")</f>
        <v/>
      </c>
      <c r="BB103" s="40" t="str">
        <f>IF(AND($G103='Povolené hodnoty'!$B$13,$H103=BB$4),SUM($J103,$M103,$P103,$S103),"")</f>
        <v/>
      </c>
      <c r="BC103" s="40" t="str">
        <f>IF(AND($G103='Povolené hodnoty'!$B$13,$H103=BC$4),SUM($J103,$M103,$P103,$S103),"")</f>
        <v/>
      </c>
      <c r="BD103" s="40" t="str">
        <f>IF(AND($G103='Povolené hodnoty'!$B$13,$H103=BD$4),SUM($J103,$M103,$P103,$S103),"")</f>
        <v/>
      </c>
      <c r="BE103" s="41" t="str">
        <f>IF(AND($G103='Povolené hodnoty'!$B$13,$H103=BE$4),SUM($J103,$M103,$P103,$S103),"")</f>
        <v/>
      </c>
      <c r="BF103" s="39" t="str">
        <f>IF(AND($G103='Povolené hodnoty'!$B$14,$H103=BF$4),SUM($J103,$M103,$P103,$S103),"")</f>
        <v/>
      </c>
      <c r="BG103" s="458" t="str">
        <f>IF(AND($G103='Povolené hodnoty'!$B$14,$H103=BG$4),SUM($J103,$M103,$P103,$S103),"")</f>
        <v/>
      </c>
      <c r="BH103" s="458" t="str">
        <f>IF(AND($G103='Povolené hodnoty'!$B$14,$H103=BH$4),SUM($J103,$M103,$P103,$S103),"")</f>
        <v/>
      </c>
      <c r="BI103" s="458" t="str">
        <f>IF(AND($G103='Povolené hodnoty'!$B$14,$H103=BI$4),SUM($J103,$M103,$P103,$S103),"")</f>
        <v/>
      </c>
      <c r="BJ103" s="458" t="str">
        <f>IF(AND($G103='Povolené hodnoty'!$B$14,$H103=BJ$4),SUM($J103,$M103,$P103,$S103),"")</f>
        <v/>
      </c>
      <c r="BK103" s="40" t="str">
        <f>IF(AND($G103='Povolené hodnoty'!$B$14,$H103=BK$4),SUM($J103,$M103,$P103,$S103),"")</f>
        <v/>
      </c>
      <c r="BL103" s="40" t="str">
        <f>IF(AND($G103='Povolené hodnoty'!$B$14,$H103=BL$4),SUM($J103,$M103,$P103,$S103),"")</f>
        <v/>
      </c>
      <c r="BM103" s="41" t="str">
        <f>IF(AND($G103='Povolené hodnoty'!$B$14,$H103=BM$4),SUM($J103,$M103,$P103,$S103),"")</f>
        <v/>
      </c>
      <c r="BO103" s="18" t="b">
        <f t="shared" si="71"/>
        <v>0</v>
      </c>
      <c r="BP103" s="18" t="b">
        <f t="shared" si="42"/>
        <v>0</v>
      </c>
      <c r="BQ103" s="18" t="b">
        <f>AND(E103&lt;&gt;'Povolené hodnoty'!$B$6,F103&lt;&gt;'Povolené hodnoty'!$D$7,F103&lt;&gt;'Povolené hodnoty'!$D$8,OR(SUM(I103,L103,O103,R103)&lt;&gt;SUM(W103:X103,AA103:AG103),SUM(J103,M103,P103,S103)&lt;&gt;SUM(Y103:Z103,AH103:AK103),COUNT(I103:J103,L103:M103,O103:P103,R103:S103)&lt;&gt;COUNT(W103:AK103)))</f>
        <v>0</v>
      </c>
      <c r="BR103" s="18" t="b">
        <f>OR(AND(E103='Povolené hodnoty'!$B$6,$BR$5),AND(E103='Povolené hodnoty'!$B$6,H103&lt;&gt;'Povolené hodnoty'!$E$26,H103&lt;&gt;'Povolené hodnoty'!$E$35),AND(E103&lt;&gt;'Povolené hodnoty'!$B$6,OR(H103='Povolené hodnoty'!$E$26,H103='Povolené hodnoty'!$E$35)))</f>
        <v>0</v>
      </c>
      <c r="BS103" s="18" t="b">
        <f>OR(AND(G103&lt;&gt;'Povolené hodnoty'!$B$13,OR(H103='Povolené hodnoty'!$E$21,H103='Povolené hodnoty'!$E$22,H103='Povolené hodnoty'!$E$23,H103='Povolené hodnoty'!$E$24,H103='Povolené hodnoty'!$E$26,H103='Povolené hodnoty'!$E$36)),COUNT(I103:J103,L103:M103,O103:P103,R103:S103)&lt;&gt;COUNT(AL103:BM103))</f>
        <v>0</v>
      </c>
      <c r="BT103" s="18" t="b">
        <f t="shared" si="43"/>
        <v>0</v>
      </c>
      <c r="BV103" s="39" t="str">
        <f t="shared" si="44"/>
        <v/>
      </c>
      <c r="BW103" s="458" t="str">
        <f t="shared" si="45"/>
        <v/>
      </c>
      <c r="BX103" s="458" t="str">
        <f t="shared" si="46"/>
        <v/>
      </c>
      <c r="BY103" s="458" t="str">
        <f t="shared" si="47"/>
        <v/>
      </c>
      <c r="BZ103" s="458" t="str">
        <f t="shared" si="48"/>
        <v/>
      </c>
      <c r="CA103" s="40" t="str">
        <f t="shared" si="49"/>
        <v/>
      </c>
      <c r="CB103" s="40" t="str">
        <f t="shared" si="50"/>
        <v/>
      </c>
      <c r="CC103" s="39" t="str">
        <f t="shared" si="51"/>
        <v/>
      </c>
      <c r="CD103" s="458" t="str">
        <f t="shared" si="52"/>
        <v/>
      </c>
      <c r="CE103" s="41" t="str">
        <f t="shared" si="53"/>
        <v/>
      </c>
      <c r="CF103" s="39" t="str">
        <f t="shared" si="54"/>
        <v/>
      </c>
      <c r="CG103" s="458" t="str">
        <f t="shared" si="55"/>
        <v/>
      </c>
      <c r="CH103" s="458" t="str">
        <f t="shared" si="56"/>
        <v/>
      </c>
      <c r="CI103" s="458" t="str">
        <f t="shared" si="57"/>
        <v/>
      </c>
      <c r="CJ103" s="458" t="str">
        <f t="shared" si="58"/>
        <v/>
      </c>
      <c r="CK103" s="40" t="str">
        <f t="shared" si="59"/>
        <v/>
      </c>
      <c r="CL103" s="40" t="str">
        <f t="shared" si="60"/>
        <v/>
      </c>
      <c r="CM103" s="40" t="str">
        <f t="shared" si="61"/>
        <v/>
      </c>
      <c r="CN103" s="39" t="str">
        <f t="shared" si="62"/>
        <v/>
      </c>
      <c r="CO103" s="458" t="str">
        <f t="shared" si="63"/>
        <v/>
      </c>
      <c r="CP103" s="458" t="str">
        <f t="shared" si="64"/>
        <v/>
      </c>
      <c r="CQ103" s="458" t="str">
        <f t="shared" si="65"/>
        <v/>
      </c>
      <c r="CR103" s="458" t="str">
        <f t="shared" si="66"/>
        <v/>
      </c>
      <c r="CS103" s="40" t="str">
        <f t="shared" si="67"/>
        <v/>
      </c>
      <c r="CT103" s="40" t="str">
        <f t="shared" si="68"/>
        <v/>
      </c>
      <c r="CU103" s="41" t="str">
        <f t="shared" si="69"/>
        <v/>
      </c>
    </row>
    <row r="104" spans="1:99" x14ac:dyDescent="0.2">
      <c r="A104" s="77">
        <f t="shared" si="70"/>
        <v>99</v>
      </c>
      <c r="B104" s="81"/>
      <c r="C104" s="82"/>
      <c r="D104" s="71"/>
      <c r="E104" s="72"/>
      <c r="F104" s="73"/>
      <c r="G104" s="443"/>
      <c r="H104" s="443"/>
      <c r="I104" s="74"/>
      <c r="J104" s="75"/>
      <c r="K104" s="41">
        <f t="shared" si="39"/>
        <v>3625</v>
      </c>
      <c r="L104" s="104"/>
      <c r="M104" s="105"/>
      <c r="N104" s="106">
        <f t="shared" si="40"/>
        <v>537.05999999999995</v>
      </c>
      <c r="O104" s="104"/>
      <c r="P104" s="105"/>
      <c r="Q104" s="106">
        <f t="shared" si="72"/>
        <v>10045.83</v>
      </c>
      <c r="R104" s="104"/>
      <c r="S104" s="105"/>
      <c r="T104" s="106">
        <f t="shared" si="73"/>
        <v>0</v>
      </c>
      <c r="U104" s="439"/>
      <c r="V104" s="42">
        <f t="shared" si="41"/>
        <v>99</v>
      </c>
      <c r="W104" s="39" t="str">
        <f>IF(AND(E104='Povolené hodnoty'!$B$4,F104=2),I104+L104+O104+R104,"")</f>
        <v/>
      </c>
      <c r="X104" s="41" t="str">
        <f>IF(AND(E104='Povolené hodnoty'!$B$4,F104=1),I104+L104+O104+R104,"")</f>
        <v/>
      </c>
      <c r="Y104" s="39" t="str">
        <f>IF(AND(E104='Povolené hodnoty'!$B$4,F104=10),J104+M104+P104+S104,"")</f>
        <v/>
      </c>
      <c r="Z104" s="41" t="str">
        <f>IF(AND(E104='Povolené hodnoty'!$B$4,F104=9),J104+M104+P104+S104,"")</f>
        <v/>
      </c>
      <c r="AA104" s="39" t="str">
        <f>IF(AND(E104&lt;&gt;'Povolené hodnoty'!$B$4,F104=2),I104+L104+O104+R104,"")</f>
        <v/>
      </c>
      <c r="AB104" s="40" t="str">
        <f>IF(AND(E104&lt;&gt;'Povolené hodnoty'!$B$4,F104=3),I104+L104+O104+R104,"")</f>
        <v/>
      </c>
      <c r="AC104" s="40" t="str">
        <f>IF(AND(E104&lt;&gt;'Povolené hodnoty'!$B$4,F104=4),I104+L104+O104+R104,"")</f>
        <v/>
      </c>
      <c r="AD104" s="40" t="str">
        <f>IF(AND(E104&lt;&gt;'Povolené hodnoty'!$B$4,F104="5a"),I104-J104+L104-M104+O104-P104+R104-S104,"")</f>
        <v/>
      </c>
      <c r="AE104" s="40" t="str">
        <f>IF(AND(E104&lt;&gt;'Povolené hodnoty'!$B$4,F104="5b"),I104-J104+L104-M104+O104-P104+R104-S104,"")</f>
        <v/>
      </c>
      <c r="AF104" s="40" t="str">
        <f>IF(AND(E104&lt;&gt;'Povolené hodnoty'!$B$4,F104=6),I104+L104+O104+R104,"")</f>
        <v/>
      </c>
      <c r="AG104" s="41" t="str">
        <f>IF(AND(E104&lt;&gt;'Povolené hodnoty'!$B$4,F104=7),I104+L104+O104+R104,"")</f>
        <v/>
      </c>
      <c r="AH104" s="39" t="str">
        <f>IF(AND(E104&lt;&gt;'Povolené hodnoty'!$B$4,F104=10),J104+M104+P104+S104,"")</f>
        <v/>
      </c>
      <c r="AI104" s="40" t="str">
        <f>IF(AND(E104&lt;&gt;'Povolené hodnoty'!$B$4,F104=11),J104+M104+P104+S104,"")</f>
        <v/>
      </c>
      <c r="AJ104" s="40" t="str">
        <f>IF(AND(E104&lt;&gt;'Povolené hodnoty'!$B$4,F104=12),J104+M104+P104+S104,"")</f>
        <v/>
      </c>
      <c r="AK104" s="41" t="str">
        <f>IF(AND(E104&lt;&gt;'Povolené hodnoty'!$B$4,F104=13),J104+M104+P104+S104,"")</f>
        <v/>
      </c>
      <c r="AL104" s="39" t="str">
        <f>IF(AND($G104='Povolené hodnoty'!$B$13,$H104=AL$4),SUM($I104,$L104,$O104,$R104),"")</f>
        <v/>
      </c>
      <c r="AM104" s="458" t="str">
        <f>IF(AND($G104='Povolené hodnoty'!$B$13,$H104=AM$4),SUM($I104,$L104,$O104,$R104),"")</f>
        <v/>
      </c>
      <c r="AN104" s="458" t="str">
        <f>IF(AND($G104='Povolené hodnoty'!$B$13,$H104=AN$4),SUM($I104,$L104,$O104,$R104),"")</f>
        <v/>
      </c>
      <c r="AO104" s="458" t="str">
        <f>IF(AND($G104='Povolené hodnoty'!$B$13,$H104=AO$4),SUM($I104,$L104,$O104,$R104),"")</f>
        <v/>
      </c>
      <c r="AP104" s="458" t="str">
        <f>IF(AND($G104='Povolené hodnoty'!$B$13,$H104=AP$4),SUM($I104,$L104,$O104,$R104),"")</f>
        <v/>
      </c>
      <c r="AQ104" s="40" t="str">
        <f>IF(AND($G104='Povolené hodnoty'!$B$13,OR($H104=AQ$4,$H104='Povolené hodnoty'!$E$36)),SUM($I104,-$J104,$L104,-$M104,$O104,-$P104,$R104,-$S104),"")</f>
        <v/>
      </c>
      <c r="AR104" s="40" t="str">
        <f>IF(AND($G104='Povolené hodnoty'!$B$13,$H104=AR$4),SUM($I104,$L104,$O104,$R104),"")</f>
        <v/>
      </c>
      <c r="AS104" s="41" t="str">
        <f>IF(AND($G104='Povolené hodnoty'!$B$13,$H104=AS$4),SUM($I104,$L104,$O104,$R104),"")</f>
        <v/>
      </c>
      <c r="AT104" s="39" t="str">
        <f>IF(AND($G104='Povolené hodnoty'!$B$14,$H104=AT$4),SUM($I104,$L104,$O104,$R104),"")</f>
        <v/>
      </c>
      <c r="AU104" s="458" t="str">
        <f>IF(AND($G104='Povolené hodnoty'!$B$14,$H104=AU$4),SUM($I104,$L104,$O104,$R104),"")</f>
        <v/>
      </c>
      <c r="AV104" s="41" t="str">
        <f>IF(AND($G104='Povolené hodnoty'!$B$14,$H104=AV$4),SUM($I104,$L104,$O104,$R104),"")</f>
        <v/>
      </c>
      <c r="AW104" s="39" t="str">
        <f>IF(AND($G104='Povolené hodnoty'!$B$13,$H104=AW$4),SUM($J104,$M104,$P104,$S104),"")</f>
        <v/>
      </c>
      <c r="AX104" s="458" t="str">
        <f>IF(AND($G104='Povolené hodnoty'!$B$13,$H104=AX$4),SUM($J104,$M104,$P104,$S104),"")</f>
        <v/>
      </c>
      <c r="AY104" s="458" t="str">
        <f>IF(AND($G104='Povolené hodnoty'!$B$13,$H104=AY$4),SUM($J104,$M104,$P104,$S104),"")</f>
        <v/>
      </c>
      <c r="AZ104" s="458" t="str">
        <f>IF(AND($G104='Povolené hodnoty'!$B$13,$H104=AZ$4),SUM($J104,$M104,$P104,$S104),"")</f>
        <v/>
      </c>
      <c r="BA104" s="458" t="str">
        <f>IF(AND($G104='Povolené hodnoty'!$B$13,$H104=BA$4),SUM($J104,$M104,$P104,$S104),"")</f>
        <v/>
      </c>
      <c r="BB104" s="40" t="str">
        <f>IF(AND($G104='Povolené hodnoty'!$B$13,$H104=BB$4),SUM($J104,$M104,$P104,$S104),"")</f>
        <v/>
      </c>
      <c r="BC104" s="40" t="str">
        <f>IF(AND($G104='Povolené hodnoty'!$B$13,$H104=BC$4),SUM($J104,$M104,$P104,$S104),"")</f>
        <v/>
      </c>
      <c r="BD104" s="40" t="str">
        <f>IF(AND($G104='Povolené hodnoty'!$B$13,$H104=BD$4),SUM($J104,$M104,$P104,$S104),"")</f>
        <v/>
      </c>
      <c r="BE104" s="41" t="str">
        <f>IF(AND($G104='Povolené hodnoty'!$B$13,$H104=BE$4),SUM($J104,$M104,$P104,$S104),"")</f>
        <v/>
      </c>
      <c r="BF104" s="39" t="str">
        <f>IF(AND($G104='Povolené hodnoty'!$B$14,$H104=BF$4),SUM($J104,$M104,$P104,$S104),"")</f>
        <v/>
      </c>
      <c r="BG104" s="458" t="str">
        <f>IF(AND($G104='Povolené hodnoty'!$B$14,$H104=BG$4),SUM($J104,$M104,$P104,$S104),"")</f>
        <v/>
      </c>
      <c r="BH104" s="458" t="str">
        <f>IF(AND($G104='Povolené hodnoty'!$B$14,$H104=BH$4),SUM($J104,$M104,$P104,$S104),"")</f>
        <v/>
      </c>
      <c r="BI104" s="458" t="str">
        <f>IF(AND($G104='Povolené hodnoty'!$B$14,$H104=BI$4),SUM($J104,$M104,$P104,$S104),"")</f>
        <v/>
      </c>
      <c r="BJ104" s="458" t="str">
        <f>IF(AND($G104='Povolené hodnoty'!$B$14,$H104=BJ$4),SUM($J104,$M104,$P104,$S104),"")</f>
        <v/>
      </c>
      <c r="BK104" s="40" t="str">
        <f>IF(AND($G104='Povolené hodnoty'!$B$14,$H104=BK$4),SUM($J104,$M104,$P104,$S104),"")</f>
        <v/>
      </c>
      <c r="BL104" s="40" t="str">
        <f>IF(AND($G104='Povolené hodnoty'!$B$14,$H104=BL$4),SUM($J104,$M104,$P104,$S104),"")</f>
        <v/>
      </c>
      <c r="BM104" s="41" t="str">
        <f>IF(AND($G104='Povolené hodnoty'!$B$14,$H104=BM$4),SUM($J104,$M104,$P104,$S104),"")</f>
        <v/>
      </c>
      <c r="BO104" s="18" t="b">
        <f t="shared" si="71"/>
        <v>0</v>
      </c>
      <c r="BP104" s="18" t="b">
        <f t="shared" si="42"/>
        <v>0</v>
      </c>
      <c r="BQ104" s="18" t="b">
        <f>AND(E104&lt;&gt;'Povolené hodnoty'!$B$6,F104&lt;&gt;'Povolené hodnoty'!$D$7,F104&lt;&gt;'Povolené hodnoty'!$D$8,OR(SUM(I104,L104,O104,R104)&lt;&gt;SUM(W104:X104,AA104:AG104),SUM(J104,M104,P104,S104)&lt;&gt;SUM(Y104:Z104,AH104:AK104),COUNT(I104:J104,L104:M104,O104:P104,R104:S104)&lt;&gt;COUNT(W104:AK104)))</f>
        <v>0</v>
      </c>
      <c r="BR104" s="18" t="b">
        <f>OR(AND(E104='Povolené hodnoty'!$B$6,$BR$5),AND(E104='Povolené hodnoty'!$B$6,H104&lt;&gt;'Povolené hodnoty'!$E$26,H104&lt;&gt;'Povolené hodnoty'!$E$35),AND(E104&lt;&gt;'Povolené hodnoty'!$B$6,OR(H104='Povolené hodnoty'!$E$26,H104='Povolené hodnoty'!$E$35)))</f>
        <v>0</v>
      </c>
      <c r="BS104" s="18" t="b">
        <f>OR(AND(G104&lt;&gt;'Povolené hodnoty'!$B$13,OR(H104='Povolené hodnoty'!$E$21,H104='Povolené hodnoty'!$E$22,H104='Povolené hodnoty'!$E$23,H104='Povolené hodnoty'!$E$24,H104='Povolené hodnoty'!$E$26,H104='Povolené hodnoty'!$E$36)),COUNT(I104:J104,L104:M104,O104:P104,R104:S104)&lt;&gt;COUNT(AL104:BM104))</f>
        <v>0</v>
      </c>
      <c r="BT104" s="18" t="b">
        <f t="shared" si="43"/>
        <v>0</v>
      </c>
      <c r="BV104" s="39" t="str">
        <f t="shared" si="44"/>
        <v/>
      </c>
      <c r="BW104" s="458" t="str">
        <f t="shared" si="45"/>
        <v/>
      </c>
      <c r="BX104" s="458" t="str">
        <f t="shared" si="46"/>
        <v/>
      </c>
      <c r="BY104" s="458" t="str">
        <f t="shared" si="47"/>
        <v/>
      </c>
      <c r="BZ104" s="458" t="str">
        <f t="shared" si="48"/>
        <v/>
      </c>
      <c r="CA104" s="40" t="str">
        <f t="shared" si="49"/>
        <v/>
      </c>
      <c r="CB104" s="40" t="str">
        <f t="shared" si="50"/>
        <v/>
      </c>
      <c r="CC104" s="39" t="str">
        <f t="shared" si="51"/>
        <v/>
      </c>
      <c r="CD104" s="458" t="str">
        <f t="shared" si="52"/>
        <v/>
      </c>
      <c r="CE104" s="41" t="str">
        <f t="shared" si="53"/>
        <v/>
      </c>
      <c r="CF104" s="39" t="str">
        <f t="shared" si="54"/>
        <v/>
      </c>
      <c r="CG104" s="458" t="str">
        <f t="shared" si="55"/>
        <v/>
      </c>
      <c r="CH104" s="458" t="str">
        <f t="shared" si="56"/>
        <v/>
      </c>
      <c r="CI104" s="458" t="str">
        <f t="shared" si="57"/>
        <v/>
      </c>
      <c r="CJ104" s="458" t="str">
        <f t="shared" si="58"/>
        <v/>
      </c>
      <c r="CK104" s="40" t="str">
        <f t="shared" si="59"/>
        <v/>
      </c>
      <c r="CL104" s="40" t="str">
        <f t="shared" si="60"/>
        <v/>
      </c>
      <c r="CM104" s="40" t="str">
        <f t="shared" si="61"/>
        <v/>
      </c>
      <c r="CN104" s="39" t="str">
        <f t="shared" si="62"/>
        <v/>
      </c>
      <c r="CO104" s="458" t="str">
        <f t="shared" si="63"/>
        <v/>
      </c>
      <c r="CP104" s="458" t="str">
        <f t="shared" si="64"/>
        <v/>
      </c>
      <c r="CQ104" s="458" t="str">
        <f t="shared" si="65"/>
        <v/>
      </c>
      <c r="CR104" s="458" t="str">
        <f t="shared" si="66"/>
        <v/>
      </c>
      <c r="CS104" s="40" t="str">
        <f t="shared" si="67"/>
        <v/>
      </c>
      <c r="CT104" s="40" t="str">
        <f t="shared" si="68"/>
        <v/>
      </c>
      <c r="CU104" s="41" t="str">
        <f t="shared" si="69"/>
        <v/>
      </c>
    </row>
    <row r="105" spans="1:99" x14ac:dyDescent="0.2">
      <c r="A105" s="77">
        <f t="shared" si="70"/>
        <v>100</v>
      </c>
      <c r="B105" s="81"/>
      <c r="C105" s="82"/>
      <c r="D105" s="71"/>
      <c r="E105" s="72"/>
      <c r="F105" s="73"/>
      <c r="G105" s="443"/>
      <c r="H105" s="443"/>
      <c r="I105" s="74"/>
      <c r="J105" s="75"/>
      <c r="K105" s="41">
        <f t="shared" si="39"/>
        <v>3625</v>
      </c>
      <c r="L105" s="104"/>
      <c r="M105" s="105"/>
      <c r="N105" s="106">
        <f t="shared" si="40"/>
        <v>537.05999999999995</v>
      </c>
      <c r="O105" s="104"/>
      <c r="P105" s="105"/>
      <c r="Q105" s="106">
        <f t="shared" si="72"/>
        <v>10045.83</v>
      </c>
      <c r="R105" s="104"/>
      <c r="S105" s="105"/>
      <c r="T105" s="106">
        <f t="shared" si="73"/>
        <v>0</v>
      </c>
      <c r="U105" s="439"/>
      <c r="V105" s="42">
        <f t="shared" si="41"/>
        <v>100</v>
      </c>
      <c r="W105" s="39" t="str">
        <f>IF(AND(E105='Povolené hodnoty'!$B$4,F105=2),I105+L105+O105+R105,"")</f>
        <v/>
      </c>
      <c r="X105" s="41" t="str">
        <f>IF(AND(E105='Povolené hodnoty'!$B$4,F105=1),I105+L105+O105+R105,"")</f>
        <v/>
      </c>
      <c r="Y105" s="39" t="str">
        <f>IF(AND(E105='Povolené hodnoty'!$B$4,F105=10),J105+M105+P105+S105,"")</f>
        <v/>
      </c>
      <c r="Z105" s="41" t="str">
        <f>IF(AND(E105='Povolené hodnoty'!$B$4,F105=9),J105+M105+P105+S105,"")</f>
        <v/>
      </c>
      <c r="AA105" s="39" t="str">
        <f>IF(AND(E105&lt;&gt;'Povolené hodnoty'!$B$4,F105=2),I105+L105+O105+R105,"")</f>
        <v/>
      </c>
      <c r="AB105" s="40" t="str">
        <f>IF(AND(E105&lt;&gt;'Povolené hodnoty'!$B$4,F105=3),I105+L105+O105+R105,"")</f>
        <v/>
      </c>
      <c r="AC105" s="40" t="str">
        <f>IF(AND(E105&lt;&gt;'Povolené hodnoty'!$B$4,F105=4),I105+L105+O105+R105,"")</f>
        <v/>
      </c>
      <c r="AD105" s="40" t="str">
        <f>IF(AND(E105&lt;&gt;'Povolené hodnoty'!$B$4,F105="5a"),I105-J105+L105-M105+O105-P105+R105-S105,"")</f>
        <v/>
      </c>
      <c r="AE105" s="40" t="str">
        <f>IF(AND(E105&lt;&gt;'Povolené hodnoty'!$B$4,F105="5b"),I105-J105+L105-M105+O105-P105+R105-S105,"")</f>
        <v/>
      </c>
      <c r="AF105" s="40" t="str">
        <f>IF(AND(E105&lt;&gt;'Povolené hodnoty'!$B$4,F105=6),I105+L105+O105+R105,"")</f>
        <v/>
      </c>
      <c r="AG105" s="41" t="str">
        <f>IF(AND(E105&lt;&gt;'Povolené hodnoty'!$B$4,F105=7),I105+L105+O105+R105,"")</f>
        <v/>
      </c>
      <c r="AH105" s="39" t="str">
        <f>IF(AND(E105&lt;&gt;'Povolené hodnoty'!$B$4,F105=10),J105+M105+P105+S105,"")</f>
        <v/>
      </c>
      <c r="AI105" s="40" t="str">
        <f>IF(AND(E105&lt;&gt;'Povolené hodnoty'!$B$4,F105=11),J105+M105+P105+S105,"")</f>
        <v/>
      </c>
      <c r="AJ105" s="40" t="str">
        <f>IF(AND(E105&lt;&gt;'Povolené hodnoty'!$B$4,F105=12),J105+M105+P105+S105,"")</f>
        <v/>
      </c>
      <c r="AK105" s="41" t="str">
        <f>IF(AND(E105&lt;&gt;'Povolené hodnoty'!$B$4,F105=13),J105+M105+P105+S105,"")</f>
        <v/>
      </c>
      <c r="AL105" s="39" t="str">
        <f>IF(AND($G105='Povolené hodnoty'!$B$13,$H105=AL$4),SUM($I105,$L105,$O105,$R105),"")</f>
        <v/>
      </c>
      <c r="AM105" s="458" t="str">
        <f>IF(AND($G105='Povolené hodnoty'!$B$13,$H105=AM$4),SUM($I105,$L105,$O105,$R105),"")</f>
        <v/>
      </c>
      <c r="AN105" s="458" t="str">
        <f>IF(AND($G105='Povolené hodnoty'!$B$13,$H105=AN$4),SUM($I105,$L105,$O105,$R105),"")</f>
        <v/>
      </c>
      <c r="AO105" s="458" t="str">
        <f>IF(AND($G105='Povolené hodnoty'!$B$13,$H105=AO$4),SUM($I105,$L105,$O105,$R105),"")</f>
        <v/>
      </c>
      <c r="AP105" s="458" t="str">
        <f>IF(AND($G105='Povolené hodnoty'!$B$13,$H105=AP$4),SUM($I105,$L105,$O105,$R105),"")</f>
        <v/>
      </c>
      <c r="AQ105" s="40" t="str">
        <f>IF(AND($G105='Povolené hodnoty'!$B$13,OR($H105=AQ$4,$H105='Povolené hodnoty'!$E$36)),SUM($I105,-$J105,$L105,-$M105,$O105,-$P105,$R105,-$S105),"")</f>
        <v/>
      </c>
      <c r="AR105" s="40" t="str">
        <f>IF(AND($G105='Povolené hodnoty'!$B$13,$H105=AR$4),SUM($I105,$L105,$O105,$R105),"")</f>
        <v/>
      </c>
      <c r="AS105" s="41" t="str">
        <f>IF(AND($G105='Povolené hodnoty'!$B$13,$H105=AS$4),SUM($I105,$L105,$O105,$R105),"")</f>
        <v/>
      </c>
      <c r="AT105" s="39" t="str">
        <f>IF(AND($G105='Povolené hodnoty'!$B$14,$H105=AT$4),SUM($I105,$L105,$O105,$R105),"")</f>
        <v/>
      </c>
      <c r="AU105" s="458" t="str">
        <f>IF(AND($G105='Povolené hodnoty'!$B$14,$H105=AU$4),SUM($I105,$L105,$O105,$R105),"")</f>
        <v/>
      </c>
      <c r="AV105" s="41" t="str">
        <f>IF(AND($G105='Povolené hodnoty'!$B$14,$H105=AV$4),SUM($I105,$L105,$O105,$R105),"")</f>
        <v/>
      </c>
      <c r="AW105" s="39" t="str">
        <f>IF(AND($G105='Povolené hodnoty'!$B$13,$H105=AW$4),SUM($J105,$M105,$P105,$S105),"")</f>
        <v/>
      </c>
      <c r="AX105" s="458" t="str">
        <f>IF(AND($G105='Povolené hodnoty'!$B$13,$H105=AX$4),SUM($J105,$M105,$P105,$S105),"")</f>
        <v/>
      </c>
      <c r="AY105" s="458" t="str">
        <f>IF(AND($G105='Povolené hodnoty'!$B$13,$H105=AY$4),SUM($J105,$M105,$P105,$S105),"")</f>
        <v/>
      </c>
      <c r="AZ105" s="458" t="str">
        <f>IF(AND($G105='Povolené hodnoty'!$B$13,$H105=AZ$4),SUM($J105,$M105,$P105,$S105),"")</f>
        <v/>
      </c>
      <c r="BA105" s="458" t="str">
        <f>IF(AND($G105='Povolené hodnoty'!$B$13,$H105=BA$4),SUM($J105,$M105,$P105,$S105),"")</f>
        <v/>
      </c>
      <c r="BB105" s="40" t="str">
        <f>IF(AND($G105='Povolené hodnoty'!$B$13,$H105=BB$4),SUM($J105,$M105,$P105,$S105),"")</f>
        <v/>
      </c>
      <c r="BC105" s="40" t="str">
        <f>IF(AND($G105='Povolené hodnoty'!$B$13,$H105=BC$4),SUM($J105,$M105,$P105,$S105),"")</f>
        <v/>
      </c>
      <c r="BD105" s="40" t="str">
        <f>IF(AND($G105='Povolené hodnoty'!$B$13,$H105=BD$4),SUM($J105,$M105,$P105,$S105),"")</f>
        <v/>
      </c>
      <c r="BE105" s="41" t="str">
        <f>IF(AND($G105='Povolené hodnoty'!$B$13,$H105=BE$4),SUM($J105,$M105,$P105,$S105),"")</f>
        <v/>
      </c>
      <c r="BF105" s="39" t="str">
        <f>IF(AND($G105='Povolené hodnoty'!$B$14,$H105=BF$4),SUM($J105,$M105,$P105,$S105),"")</f>
        <v/>
      </c>
      <c r="BG105" s="458" t="str">
        <f>IF(AND($G105='Povolené hodnoty'!$B$14,$H105=BG$4),SUM($J105,$M105,$P105,$S105),"")</f>
        <v/>
      </c>
      <c r="BH105" s="458" t="str">
        <f>IF(AND($G105='Povolené hodnoty'!$B$14,$H105=BH$4),SUM($J105,$M105,$P105,$S105),"")</f>
        <v/>
      </c>
      <c r="BI105" s="458" t="str">
        <f>IF(AND($G105='Povolené hodnoty'!$B$14,$H105=BI$4),SUM($J105,$M105,$P105,$S105),"")</f>
        <v/>
      </c>
      <c r="BJ105" s="458" t="str">
        <f>IF(AND($G105='Povolené hodnoty'!$B$14,$H105=BJ$4),SUM($J105,$M105,$P105,$S105),"")</f>
        <v/>
      </c>
      <c r="BK105" s="40" t="str">
        <f>IF(AND($G105='Povolené hodnoty'!$B$14,$H105=BK$4),SUM($J105,$M105,$P105,$S105),"")</f>
        <v/>
      </c>
      <c r="BL105" s="40" t="str">
        <f>IF(AND($G105='Povolené hodnoty'!$B$14,$H105=BL$4),SUM($J105,$M105,$P105,$S105),"")</f>
        <v/>
      </c>
      <c r="BM105" s="41" t="str">
        <f>IF(AND($G105='Povolené hodnoty'!$B$14,$H105=BM$4),SUM($J105,$M105,$P105,$S105),"")</f>
        <v/>
      </c>
      <c r="BO105" s="18" t="b">
        <f t="shared" si="71"/>
        <v>0</v>
      </c>
      <c r="BP105" s="18" t="b">
        <f t="shared" si="42"/>
        <v>0</v>
      </c>
      <c r="BQ105" s="18" t="b">
        <f>AND(E105&lt;&gt;'Povolené hodnoty'!$B$6,F105&lt;&gt;'Povolené hodnoty'!$D$7,F105&lt;&gt;'Povolené hodnoty'!$D$8,OR(SUM(I105,L105,O105,R105)&lt;&gt;SUM(W105:X105,AA105:AG105),SUM(J105,M105,P105,S105)&lt;&gt;SUM(Y105:Z105,AH105:AK105),COUNT(I105:J105,L105:M105,O105:P105,R105:S105)&lt;&gt;COUNT(W105:AK105)))</f>
        <v>0</v>
      </c>
      <c r="BR105" s="18" t="b">
        <f>OR(AND(E105='Povolené hodnoty'!$B$6,$BR$5),AND(E105='Povolené hodnoty'!$B$6,H105&lt;&gt;'Povolené hodnoty'!$E$26,H105&lt;&gt;'Povolené hodnoty'!$E$35),AND(E105&lt;&gt;'Povolené hodnoty'!$B$6,OR(H105='Povolené hodnoty'!$E$26,H105='Povolené hodnoty'!$E$35)))</f>
        <v>0</v>
      </c>
      <c r="BS105" s="18" t="b">
        <f>OR(AND(G105&lt;&gt;'Povolené hodnoty'!$B$13,OR(H105='Povolené hodnoty'!$E$21,H105='Povolené hodnoty'!$E$22,H105='Povolené hodnoty'!$E$23,H105='Povolené hodnoty'!$E$24,H105='Povolené hodnoty'!$E$26,H105='Povolené hodnoty'!$E$36)),COUNT(I105:J105,L105:M105,O105:P105,R105:S105)&lt;&gt;COUNT(AL105:BM105))</f>
        <v>0</v>
      </c>
      <c r="BT105" s="18" t="b">
        <f t="shared" si="43"/>
        <v>0</v>
      </c>
      <c r="BV105" s="39" t="str">
        <f t="shared" si="44"/>
        <v/>
      </c>
      <c r="BW105" s="458" t="str">
        <f t="shared" si="45"/>
        <v/>
      </c>
      <c r="BX105" s="458" t="str">
        <f t="shared" si="46"/>
        <v/>
      </c>
      <c r="BY105" s="458" t="str">
        <f t="shared" si="47"/>
        <v/>
      </c>
      <c r="BZ105" s="458" t="str">
        <f t="shared" si="48"/>
        <v/>
      </c>
      <c r="CA105" s="40" t="str">
        <f t="shared" si="49"/>
        <v/>
      </c>
      <c r="CB105" s="40" t="str">
        <f t="shared" si="50"/>
        <v/>
      </c>
      <c r="CC105" s="39" t="str">
        <f t="shared" si="51"/>
        <v/>
      </c>
      <c r="CD105" s="458" t="str">
        <f t="shared" si="52"/>
        <v/>
      </c>
      <c r="CE105" s="41" t="str">
        <f t="shared" si="53"/>
        <v/>
      </c>
      <c r="CF105" s="39" t="str">
        <f t="shared" si="54"/>
        <v/>
      </c>
      <c r="CG105" s="458" t="str">
        <f t="shared" si="55"/>
        <v/>
      </c>
      <c r="CH105" s="458" t="str">
        <f t="shared" si="56"/>
        <v/>
      </c>
      <c r="CI105" s="458" t="str">
        <f t="shared" si="57"/>
        <v/>
      </c>
      <c r="CJ105" s="458" t="str">
        <f t="shared" si="58"/>
        <v/>
      </c>
      <c r="CK105" s="40" t="str">
        <f t="shared" si="59"/>
        <v/>
      </c>
      <c r="CL105" s="40" t="str">
        <f t="shared" si="60"/>
        <v/>
      </c>
      <c r="CM105" s="40" t="str">
        <f t="shared" si="61"/>
        <v/>
      </c>
      <c r="CN105" s="39" t="str">
        <f t="shared" si="62"/>
        <v/>
      </c>
      <c r="CO105" s="458" t="str">
        <f t="shared" si="63"/>
        <v/>
      </c>
      <c r="CP105" s="458" t="str">
        <f t="shared" si="64"/>
        <v/>
      </c>
      <c r="CQ105" s="458" t="str">
        <f t="shared" si="65"/>
        <v/>
      </c>
      <c r="CR105" s="458" t="str">
        <f t="shared" si="66"/>
        <v/>
      </c>
      <c r="CS105" s="40" t="str">
        <f t="shared" si="67"/>
        <v/>
      </c>
      <c r="CT105" s="40" t="str">
        <f t="shared" si="68"/>
        <v/>
      </c>
      <c r="CU105" s="41" t="str">
        <f t="shared" si="69"/>
        <v/>
      </c>
    </row>
    <row r="106" spans="1:99" x14ac:dyDescent="0.2">
      <c r="A106" s="77">
        <f t="shared" si="70"/>
        <v>101</v>
      </c>
      <c r="B106" s="81"/>
      <c r="C106" s="82"/>
      <c r="D106" s="71"/>
      <c r="E106" s="72"/>
      <c r="F106" s="73"/>
      <c r="G106" s="443"/>
      <c r="H106" s="443"/>
      <c r="I106" s="74"/>
      <c r="J106" s="75"/>
      <c r="K106" s="41">
        <f t="shared" si="39"/>
        <v>3625</v>
      </c>
      <c r="L106" s="104"/>
      <c r="M106" s="105"/>
      <c r="N106" s="106">
        <f t="shared" si="40"/>
        <v>537.05999999999995</v>
      </c>
      <c r="O106" s="104"/>
      <c r="P106" s="105"/>
      <c r="Q106" s="106">
        <f t="shared" si="72"/>
        <v>10045.83</v>
      </c>
      <c r="R106" s="104"/>
      <c r="S106" s="105"/>
      <c r="T106" s="106">
        <f t="shared" si="73"/>
        <v>0</v>
      </c>
      <c r="U106" s="439"/>
      <c r="V106" s="42">
        <f t="shared" si="41"/>
        <v>101</v>
      </c>
      <c r="W106" s="39" t="str">
        <f>IF(AND(E106='Povolené hodnoty'!$B$4,F106=2),I106+L106+O106+R106,"")</f>
        <v/>
      </c>
      <c r="X106" s="41" t="str">
        <f>IF(AND(E106='Povolené hodnoty'!$B$4,F106=1),I106+L106+O106+R106,"")</f>
        <v/>
      </c>
      <c r="Y106" s="39" t="str">
        <f>IF(AND(E106='Povolené hodnoty'!$B$4,F106=10),J106+M106+P106+S106,"")</f>
        <v/>
      </c>
      <c r="Z106" s="41" t="str">
        <f>IF(AND(E106='Povolené hodnoty'!$B$4,F106=9),J106+M106+P106+S106,"")</f>
        <v/>
      </c>
      <c r="AA106" s="39" t="str">
        <f>IF(AND(E106&lt;&gt;'Povolené hodnoty'!$B$4,F106=2),I106+L106+O106+R106,"")</f>
        <v/>
      </c>
      <c r="AB106" s="40" t="str">
        <f>IF(AND(E106&lt;&gt;'Povolené hodnoty'!$B$4,F106=3),I106+L106+O106+R106,"")</f>
        <v/>
      </c>
      <c r="AC106" s="40" t="str">
        <f>IF(AND(E106&lt;&gt;'Povolené hodnoty'!$B$4,F106=4),I106+L106+O106+R106,"")</f>
        <v/>
      </c>
      <c r="AD106" s="40" t="str">
        <f>IF(AND(E106&lt;&gt;'Povolené hodnoty'!$B$4,F106="5a"),I106-J106+L106-M106+O106-P106+R106-S106,"")</f>
        <v/>
      </c>
      <c r="AE106" s="40" t="str">
        <f>IF(AND(E106&lt;&gt;'Povolené hodnoty'!$B$4,F106="5b"),I106-J106+L106-M106+O106-P106+R106-S106,"")</f>
        <v/>
      </c>
      <c r="AF106" s="40" t="str">
        <f>IF(AND(E106&lt;&gt;'Povolené hodnoty'!$B$4,F106=6),I106+L106+O106+R106,"")</f>
        <v/>
      </c>
      <c r="AG106" s="41" t="str">
        <f>IF(AND(E106&lt;&gt;'Povolené hodnoty'!$B$4,F106=7),I106+L106+O106+R106,"")</f>
        <v/>
      </c>
      <c r="AH106" s="39" t="str">
        <f>IF(AND(E106&lt;&gt;'Povolené hodnoty'!$B$4,F106=10),J106+M106+P106+S106,"")</f>
        <v/>
      </c>
      <c r="AI106" s="40" t="str">
        <f>IF(AND(E106&lt;&gt;'Povolené hodnoty'!$B$4,F106=11),J106+M106+P106+S106,"")</f>
        <v/>
      </c>
      <c r="AJ106" s="40" t="str">
        <f>IF(AND(E106&lt;&gt;'Povolené hodnoty'!$B$4,F106=12),J106+M106+P106+S106,"")</f>
        <v/>
      </c>
      <c r="AK106" s="41" t="str">
        <f>IF(AND(E106&lt;&gt;'Povolené hodnoty'!$B$4,F106=13),J106+M106+P106+S106,"")</f>
        <v/>
      </c>
      <c r="AL106" s="39" t="str">
        <f>IF(AND($G106='Povolené hodnoty'!$B$13,$H106=AL$4),SUM($I106,$L106,$O106,$R106),"")</f>
        <v/>
      </c>
      <c r="AM106" s="458" t="str">
        <f>IF(AND($G106='Povolené hodnoty'!$B$13,$H106=AM$4),SUM($I106,$L106,$O106,$R106),"")</f>
        <v/>
      </c>
      <c r="AN106" s="458" t="str">
        <f>IF(AND($G106='Povolené hodnoty'!$B$13,$H106=AN$4),SUM($I106,$L106,$O106,$R106),"")</f>
        <v/>
      </c>
      <c r="AO106" s="458" t="str">
        <f>IF(AND($G106='Povolené hodnoty'!$B$13,$H106=AO$4),SUM($I106,$L106,$O106,$R106),"")</f>
        <v/>
      </c>
      <c r="AP106" s="458" t="str">
        <f>IF(AND($G106='Povolené hodnoty'!$B$13,$H106=AP$4),SUM($I106,$L106,$O106,$R106),"")</f>
        <v/>
      </c>
      <c r="AQ106" s="40" t="str">
        <f>IF(AND($G106='Povolené hodnoty'!$B$13,OR($H106=AQ$4,$H106='Povolené hodnoty'!$E$36)),SUM($I106,-$J106,$L106,-$M106,$O106,-$P106,$R106,-$S106),"")</f>
        <v/>
      </c>
      <c r="AR106" s="40" t="str">
        <f>IF(AND($G106='Povolené hodnoty'!$B$13,$H106=AR$4),SUM($I106,$L106,$O106,$R106),"")</f>
        <v/>
      </c>
      <c r="AS106" s="41" t="str">
        <f>IF(AND($G106='Povolené hodnoty'!$B$13,$H106=AS$4),SUM($I106,$L106,$O106,$R106),"")</f>
        <v/>
      </c>
      <c r="AT106" s="39" t="str">
        <f>IF(AND($G106='Povolené hodnoty'!$B$14,$H106=AT$4),SUM($I106,$L106,$O106,$R106),"")</f>
        <v/>
      </c>
      <c r="AU106" s="458" t="str">
        <f>IF(AND($G106='Povolené hodnoty'!$B$14,$H106=AU$4),SUM($I106,$L106,$O106,$R106),"")</f>
        <v/>
      </c>
      <c r="AV106" s="41" t="str">
        <f>IF(AND($G106='Povolené hodnoty'!$B$14,$H106=AV$4),SUM($I106,$L106,$O106,$R106),"")</f>
        <v/>
      </c>
      <c r="AW106" s="39" t="str">
        <f>IF(AND($G106='Povolené hodnoty'!$B$13,$H106=AW$4),SUM($J106,$M106,$P106,$S106),"")</f>
        <v/>
      </c>
      <c r="AX106" s="458" t="str">
        <f>IF(AND($G106='Povolené hodnoty'!$B$13,$H106=AX$4),SUM($J106,$M106,$P106,$S106),"")</f>
        <v/>
      </c>
      <c r="AY106" s="458" t="str">
        <f>IF(AND($G106='Povolené hodnoty'!$B$13,$H106=AY$4),SUM($J106,$M106,$P106,$S106),"")</f>
        <v/>
      </c>
      <c r="AZ106" s="458" t="str">
        <f>IF(AND($G106='Povolené hodnoty'!$B$13,$H106=AZ$4),SUM($J106,$M106,$P106,$S106),"")</f>
        <v/>
      </c>
      <c r="BA106" s="458" t="str">
        <f>IF(AND($G106='Povolené hodnoty'!$B$13,$H106=BA$4),SUM($J106,$M106,$P106,$S106),"")</f>
        <v/>
      </c>
      <c r="BB106" s="40" t="str">
        <f>IF(AND($G106='Povolené hodnoty'!$B$13,$H106=BB$4),SUM($J106,$M106,$P106,$S106),"")</f>
        <v/>
      </c>
      <c r="BC106" s="40" t="str">
        <f>IF(AND($G106='Povolené hodnoty'!$B$13,$H106=BC$4),SUM($J106,$M106,$P106,$S106),"")</f>
        <v/>
      </c>
      <c r="BD106" s="40" t="str">
        <f>IF(AND($G106='Povolené hodnoty'!$B$13,$H106=BD$4),SUM($J106,$M106,$P106,$S106),"")</f>
        <v/>
      </c>
      <c r="BE106" s="41" t="str">
        <f>IF(AND($G106='Povolené hodnoty'!$B$13,$H106=BE$4),SUM($J106,$M106,$P106,$S106),"")</f>
        <v/>
      </c>
      <c r="BF106" s="39" t="str">
        <f>IF(AND($G106='Povolené hodnoty'!$B$14,$H106=BF$4),SUM($J106,$M106,$P106,$S106),"")</f>
        <v/>
      </c>
      <c r="BG106" s="458" t="str">
        <f>IF(AND($G106='Povolené hodnoty'!$B$14,$H106=BG$4),SUM($J106,$M106,$P106,$S106),"")</f>
        <v/>
      </c>
      <c r="BH106" s="458" t="str">
        <f>IF(AND($G106='Povolené hodnoty'!$B$14,$H106=BH$4),SUM($J106,$M106,$P106,$S106),"")</f>
        <v/>
      </c>
      <c r="BI106" s="458" t="str">
        <f>IF(AND($G106='Povolené hodnoty'!$B$14,$H106=BI$4),SUM($J106,$M106,$P106,$S106),"")</f>
        <v/>
      </c>
      <c r="BJ106" s="458" t="str">
        <f>IF(AND($G106='Povolené hodnoty'!$B$14,$H106=BJ$4),SUM($J106,$M106,$P106,$S106),"")</f>
        <v/>
      </c>
      <c r="BK106" s="40" t="str">
        <f>IF(AND($G106='Povolené hodnoty'!$B$14,$H106=BK$4),SUM($J106,$M106,$P106,$S106),"")</f>
        <v/>
      </c>
      <c r="BL106" s="40" t="str">
        <f>IF(AND($G106='Povolené hodnoty'!$B$14,$H106=BL$4),SUM($J106,$M106,$P106,$S106),"")</f>
        <v/>
      </c>
      <c r="BM106" s="41" t="str">
        <f>IF(AND($G106='Povolené hodnoty'!$B$14,$H106=BM$4),SUM($J106,$M106,$P106,$S106),"")</f>
        <v/>
      </c>
      <c r="BO106" s="18" t="b">
        <f t="shared" si="71"/>
        <v>0</v>
      </c>
      <c r="BP106" s="18" t="b">
        <f t="shared" si="42"/>
        <v>0</v>
      </c>
      <c r="BQ106" s="18" t="b">
        <f>AND(E106&lt;&gt;'Povolené hodnoty'!$B$6,F106&lt;&gt;'Povolené hodnoty'!$D$7,F106&lt;&gt;'Povolené hodnoty'!$D$8,OR(SUM(I106,L106,O106,R106)&lt;&gt;SUM(W106:X106,AA106:AG106),SUM(J106,M106,P106,S106)&lt;&gt;SUM(Y106:Z106,AH106:AK106),COUNT(I106:J106,L106:M106,O106:P106,R106:S106)&lt;&gt;COUNT(W106:AK106)))</f>
        <v>0</v>
      </c>
      <c r="BR106" s="18" t="b">
        <f>OR(AND(E106='Povolené hodnoty'!$B$6,$BR$5),AND(E106='Povolené hodnoty'!$B$6,H106&lt;&gt;'Povolené hodnoty'!$E$26,H106&lt;&gt;'Povolené hodnoty'!$E$35),AND(E106&lt;&gt;'Povolené hodnoty'!$B$6,OR(H106='Povolené hodnoty'!$E$26,H106='Povolené hodnoty'!$E$35)))</f>
        <v>0</v>
      </c>
      <c r="BS106" s="18" t="b">
        <f>OR(AND(G106&lt;&gt;'Povolené hodnoty'!$B$13,OR(H106='Povolené hodnoty'!$E$21,H106='Povolené hodnoty'!$E$22,H106='Povolené hodnoty'!$E$23,H106='Povolené hodnoty'!$E$24,H106='Povolené hodnoty'!$E$26,H106='Povolené hodnoty'!$E$36)),COUNT(I106:J106,L106:M106,O106:P106,R106:S106)&lt;&gt;COUNT(AL106:BM106))</f>
        <v>0</v>
      </c>
      <c r="BT106" s="18" t="b">
        <f t="shared" si="43"/>
        <v>0</v>
      </c>
      <c r="BV106" s="39" t="str">
        <f t="shared" si="44"/>
        <v/>
      </c>
      <c r="BW106" s="458" t="str">
        <f t="shared" si="45"/>
        <v/>
      </c>
      <c r="BX106" s="458" t="str">
        <f t="shared" si="46"/>
        <v/>
      </c>
      <c r="BY106" s="458" t="str">
        <f t="shared" si="47"/>
        <v/>
      </c>
      <c r="BZ106" s="458" t="str">
        <f t="shared" si="48"/>
        <v/>
      </c>
      <c r="CA106" s="40" t="str">
        <f t="shared" si="49"/>
        <v/>
      </c>
      <c r="CB106" s="40" t="str">
        <f t="shared" si="50"/>
        <v/>
      </c>
      <c r="CC106" s="39" t="str">
        <f t="shared" si="51"/>
        <v/>
      </c>
      <c r="CD106" s="458" t="str">
        <f t="shared" si="52"/>
        <v/>
      </c>
      <c r="CE106" s="41" t="str">
        <f t="shared" si="53"/>
        <v/>
      </c>
      <c r="CF106" s="39" t="str">
        <f t="shared" si="54"/>
        <v/>
      </c>
      <c r="CG106" s="458" t="str">
        <f t="shared" si="55"/>
        <v/>
      </c>
      <c r="CH106" s="458" t="str">
        <f t="shared" si="56"/>
        <v/>
      </c>
      <c r="CI106" s="458" t="str">
        <f t="shared" si="57"/>
        <v/>
      </c>
      <c r="CJ106" s="458" t="str">
        <f t="shared" si="58"/>
        <v/>
      </c>
      <c r="CK106" s="40" t="str">
        <f t="shared" si="59"/>
        <v/>
      </c>
      <c r="CL106" s="40" t="str">
        <f t="shared" si="60"/>
        <v/>
      </c>
      <c r="CM106" s="40" t="str">
        <f t="shared" si="61"/>
        <v/>
      </c>
      <c r="CN106" s="39" t="str">
        <f t="shared" si="62"/>
        <v/>
      </c>
      <c r="CO106" s="458" t="str">
        <f t="shared" si="63"/>
        <v/>
      </c>
      <c r="CP106" s="458" t="str">
        <f t="shared" si="64"/>
        <v/>
      </c>
      <c r="CQ106" s="458" t="str">
        <f t="shared" si="65"/>
        <v/>
      </c>
      <c r="CR106" s="458" t="str">
        <f t="shared" si="66"/>
        <v/>
      </c>
      <c r="CS106" s="40" t="str">
        <f t="shared" si="67"/>
        <v/>
      </c>
      <c r="CT106" s="40" t="str">
        <f t="shared" si="68"/>
        <v/>
      </c>
      <c r="CU106" s="41" t="str">
        <f t="shared" si="69"/>
        <v/>
      </c>
    </row>
    <row r="107" spans="1:99" x14ac:dyDescent="0.2">
      <c r="A107" s="77">
        <f t="shared" si="70"/>
        <v>102</v>
      </c>
      <c r="B107" s="81"/>
      <c r="C107" s="82"/>
      <c r="D107" s="71"/>
      <c r="E107" s="72"/>
      <c r="F107" s="73"/>
      <c r="G107" s="443"/>
      <c r="H107" s="443"/>
      <c r="I107" s="74"/>
      <c r="J107" s="75"/>
      <c r="K107" s="41">
        <f t="shared" si="39"/>
        <v>3625</v>
      </c>
      <c r="L107" s="104"/>
      <c r="M107" s="105"/>
      <c r="N107" s="106">
        <f t="shared" si="40"/>
        <v>537.05999999999995</v>
      </c>
      <c r="O107" s="104"/>
      <c r="P107" s="105"/>
      <c r="Q107" s="106">
        <f t="shared" si="72"/>
        <v>10045.83</v>
      </c>
      <c r="R107" s="104"/>
      <c r="S107" s="105"/>
      <c r="T107" s="106">
        <f t="shared" si="73"/>
        <v>0</v>
      </c>
      <c r="U107" s="439"/>
      <c r="V107" s="42">
        <f t="shared" si="41"/>
        <v>102</v>
      </c>
      <c r="W107" s="39" t="str">
        <f>IF(AND(E107='Povolené hodnoty'!$B$4,F107=2),I107+L107+O107+R107,"")</f>
        <v/>
      </c>
      <c r="X107" s="41" t="str">
        <f>IF(AND(E107='Povolené hodnoty'!$B$4,F107=1),I107+L107+O107+R107,"")</f>
        <v/>
      </c>
      <c r="Y107" s="39" t="str">
        <f>IF(AND(E107='Povolené hodnoty'!$B$4,F107=10),J107+M107+P107+S107,"")</f>
        <v/>
      </c>
      <c r="Z107" s="41" t="str">
        <f>IF(AND(E107='Povolené hodnoty'!$B$4,F107=9),J107+M107+P107+S107,"")</f>
        <v/>
      </c>
      <c r="AA107" s="39" t="str">
        <f>IF(AND(E107&lt;&gt;'Povolené hodnoty'!$B$4,F107=2),I107+L107+O107+R107,"")</f>
        <v/>
      </c>
      <c r="AB107" s="40" t="str">
        <f>IF(AND(E107&lt;&gt;'Povolené hodnoty'!$B$4,F107=3),I107+L107+O107+R107,"")</f>
        <v/>
      </c>
      <c r="AC107" s="40" t="str">
        <f>IF(AND(E107&lt;&gt;'Povolené hodnoty'!$B$4,F107=4),I107+L107+O107+R107,"")</f>
        <v/>
      </c>
      <c r="AD107" s="40" t="str">
        <f>IF(AND(E107&lt;&gt;'Povolené hodnoty'!$B$4,F107="5a"),I107-J107+L107-M107+O107-P107+R107-S107,"")</f>
        <v/>
      </c>
      <c r="AE107" s="40" t="str">
        <f>IF(AND(E107&lt;&gt;'Povolené hodnoty'!$B$4,F107="5b"),I107-J107+L107-M107+O107-P107+R107-S107,"")</f>
        <v/>
      </c>
      <c r="AF107" s="40" t="str">
        <f>IF(AND(E107&lt;&gt;'Povolené hodnoty'!$B$4,F107=6),I107+L107+O107+R107,"")</f>
        <v/>
      </c>
      <c r="AG107" s="41" t="str">
        <f>IF(AND(E107&lt;&gt;'Povolené hodnoty'!$B$4,F107=7),I107+L107+O107+R107,"")</f>
        <v/>
      </c>
      <c r="AH107" s="39" t="str">
        <f>IF(AND(E107&lt;&gt;'Povolené hodnoty'!$B$4,F107=10),J107+M107+P107+S107,"")</f>
        <v/>
      </c>
      <c r="AI107" s="40" t="str">
        <f>IF(AND(E107&lt;&gt;'Povolené hodnoty'!$B$4,F107=11),J107+M107+P107+S107,"")</f>
        <v/>
      </c>
      <c r="AJ107" s="40" t="str">
        <f>IF(AND(E107&lt;&gt;'Povolené hodnoty'!$B$4,F107=12),J107+M107+P107+S107,"")</f>
        <v/>
      </c>
      <c r="AK107" s="41" t="str">
        <f>IF(AND(E107&lt;&gt;'Povolené hodnoty'!$B$4,F107=13),J107+M107+P107+S107,"")</f>
        <v/>
      </c>
      <c r="AL107" s="39" t="str">
        <f>IF(AND($G107='Povolené hodnoty'!$B$13,$H107=AL$4),SUM($I107,$L107,$O107,$R107),"")</f>
        <v/>
      </c>
      <c r="AM107" s="458" t="str">
        <f>IF(AND($G107='Povolené hodnoty'!$B$13,$H107=AM$4),SUM($I107,$L107,$O107,$R107),"")</f>
        <v/>
      </c>
      <c r="AN107" s="458" t="str">
        <f>IF(AND($G107='Povolené hodnoty'!$B$13,$H107=AN$4),SUM($I107,$L107,$O107,$R107),"")</f>
        <v/>
      </c>
      <c r="AO107" s="458" t="str">
        <f>IF(AND($G107='Povolené hodnoty'!$B$13,$H107=AO$4),SUM($I107,$L107,$O107,$R107),"")</f>
        <v/>
      </c>
      <c r="AP107" s="458" t="str">
        <f>IF(AND($G107='Povolené hodnoty'!$B$13,$H107=AP$4),SUM($I107,$L107,$O107,$R107),"")</f>
        <v/>
      </c>
      <c r="AQ107" s="40" t="str">
        <f>IF(AND($G107='Povolené hodnoty'!$B$13,OR($H107=AQ$4,$H107='Povolené hodnoty'!$E$36)),SUM($I107,-$J107,$L107,-$M107,$O107,-$P107,$R107,-$S107),"")</f>
        <v/>
      </c>
      <c r="AR107" s="40" t="str">
        <f>IF(AND($G107='Povolené hodnoty'!$B$13,$H107=AR$4),SUM($I107,$L107,$O107,$R107),"")</f>
        <v/>
      </c>
      <c r="AS107" s="41" t="str">
        <f>IF(AND($G107='Povolené hodnoty'!$B$13,$H107=AS$4),SUM($I107,$L107,$O107,$R107),"")</f>
        <v/>
      </c>
      <c r="AT107" s="39" t="str">
        <f>IF(AND($G107='Povolené hodnoty'!$B$14,$H107=AT$4),SUM($I107,$L107,$O107,$R107),"")</f>
        <v/>
      </c>
      <c r="AU107" s="458" t="str">
        <f>IF(AND($G107='Povolené hodnoty'!$B$14,$H107=AU$4),SUM($I107,$L107,$O107,$R107),"")</f>
        <v/>
      </c>
      <c r="AV107" s="41" t="str">
        <f>IF(AND($G107='Povolené hodnoty'!$B$14,$H107=AV$4),SUM($I107,$L107,$O107,$R107),"")</f>
        <v/>
      </c>
      <c r="AW107" s="39" t="str">
        <f>IF(AND($G107='Povolené hodnoty'!$B$13,$H107=AW$4),SUM($J107,$M107,$P107,$S107),"")</f>
        <v/>
      </c>
      <c r="AX107" s="458" t="str">
        <f>IF(AND($G107='Povolené hodnoty'!$B$13,$H107=AX$4),SUM($J107,$M107,$P107,$S107),"")</f>
        <v/>
      </c>
      <c r="AY107" s="458" t="str">
        <f>IF(AND($G107='Povolené hodnoty'!$B$13,$H107=AY$4),SUM($J107,$M107,$P107,$S107),"")</f>
        <v/>
      </c>
      <c r="AZ107" s="458" t="str">
        <f>IF(AND($G107='Povolené hodnoty'!$B$13,$H107=AZ$4),SUM($J107,$M107,$P107,$S107),"")</f>
        <v/>
      </c>
      <c r="BA107" s="458" t="str">
        <f>IF(AND($G107='Povolené hodnoty'!$B$13,$H107=BA$4),SUM($J107,$M107,$P107,$S107),"")</f>
        <v/>
      </c>
      <c r="BB107" s="40" t="str">
        <f>IF(AND($G107='Povolené hodnoty'!$B$13,$H107=BB$4),SUM($J107,$M107,$P107,$S107),"")</f>
        <v/>
      </c>
      <c r="BC107" s="40" t="str">
        <f>IF(AND($G107='Povolené hodnoty'!$B$13,$H107=BC$4),SUM($J107,$M107,$P107,$S107),"")</f>
        <v/>
      </c>
      <c r="BD107" s="40" t="str">
        <f>IF(AND($G107='Povolené hodnoty'!$B$13,$H107=BD$4),SUM($J107,$M107,$P107,$S107),"")</f>
        <v/>
      </c>
      <c r="BE107" s="41" t="str">
        <f>IF(AND($G107='Povolené hodnoty'!$B$13,$H107=BE$4),SUM($J107,$M107,$P107,$S107),"")</f>
        <v/>
      </c>
      <c r="BF107" s="39" t="str">
        <f>IF(AND($G107='Povolené hodnoty'!$B$14,$H107=BF$4),SUM($J107,$M107,$P107,$S107),"")</f>
        <v/>
      </c>
      <c r="BG107" s="458" t="str">
        <f>IF(AND($G107='Povolené hodnoty'!$B$14,$H107=BG$4),SUM($J107,$M107,$P107,$S107),"")</f>
        <v/>
      </c>
      <c r="BH107" s="458" t="str">
        <f>IF(AND($G107='Povolené hodnoty'!$B$14,$H107=BH$4),SUM($J107,$M107,$P107,$S107),"")</f>
        <v/>
      </c>
      <c r="BI107" s="458" t="str">
        <f>IF(AND($G107='Povolené hodnoty'!$B$14,$H107=BI$4),SUM($J107,$M107,$P107,$S107),"")</f>
        <v/>
      </c>
      <c r="BJ107" s="458" t="str">
        <f>IF(AND($G107='Povolené hodnoty'!$B$14,$H107=BJ$4),SUM($J107,$M107,$P107,$S107),"")</f>
        <v/>
      </c>
      <c r="BK107" s="40" t="str">
        <f>IF(AND($G107='Povolené hodnoty'!$B$14,$H107=BK$4),SUM($J107,$M107,$P107,$S107),"")</f>
        <v/>
      </c>
      <c r="BL107" s="40" t="str">
        <f>IF(AND($G107='Povolené hodnoty'!$B$14,$H107=BL$4),SUM($J107,$M107,$P107,$S107),"")</f>
        <v/>
      </c>
      <c r="BM107" s="41" t="str">
        <f>IF(AND($G107='Povolené hodnoty'!$B$14,$H107=BM$4),SUM($J107,$M107,$P107,$S107),"")</f>
        <v/>
      </c>
      <c r="BO107" s="18" t="b">
        <f t="shared" si="71"/>
        <v>0</v>
      </c>
      <c r="BP107" s="18" t="b">
        <f t="shared" si="42"/>
        <v>0</v>
      </c>
      <c r="BQ107" s="18" t="b">
        <f>AND(E107&lt;&gt;'Povolené hodnoty'!$B$6,F107&lt;&gt;'Povolené hodnoty'!$D$7,F107&lt;&gt;'Povolené hodnoty'!$D$8,OR(SUM(I107,L107,O107,R107)&lt;&gt;SUM(W107:X107,AA107:AG107),SUM(J107,M107,P107,S107)&lt;&gt;SUM(Y107:Z107,AH107:AK107),COUNT(I107:J107,L107:M107,O107:P107,R107:S107)&lt;&gt;COUNT(W107:AK107)))</f>
        <v>0</v>
      </c>
      <c r="BR107" s="18" t="b">
        <f>OR(AND(E107='Povolené hodnoty'!$B$6,$BR$5),AND(E107='Povolené hodnoty'!$B$6,H107&lt;&gt;'Povolené hodnoty'!$E$26,H107&lt;&gt;'Povolené hodnoty'!$E$35),AND(E107&lt;&gt;'Povolené hodnoty'!$B$6,OR(H107='Povolené hodnoty'!$E$26,H107='Povolené hodnoty'!$E$35)))</f>
        <v>0</v>
      </c>
      <c r="BS107" s="18" t="b">
        <f>OR(AND(G107&lt;&gt;'Povolené hodnoty'!$B$13,OR(H107='Povolené hodnoty'!$E$21,H107='Povolené hodnoty'!$E$22,H107='Povolené hodnoty'!$E$23,H107='Povolené hodnoty'!$E$24,H107='Povolené hodnoty'!$E$26,H107='Povolené hodnoty'!$E$36)),COUNT(I107:J107,L107:M107,O107:P107,R107:S107)&lt;&gt;COUNT(AL107:BM107))</f>
        <v>0</v>
      </c>
      <c r="BT107" s="18" t="b">
        <f t="shared" si="43"/>
        <v>0</v>
      </c>
      <c r="BV107" s="39" t="str">
        <f t="shared" si="44"/>
        <v/>
      </c>
      <c r="BW107" s="458" t="str">
        <f t="shared" si="45"/>
        <v/>
      </c>
      <c r="BX107" s="458" t="str">
        <f t="shared" si="46"/>
        <v/>
      </c>
      <c r="BY107" s="458" t="str">
        <f t="shared" si="47"/>
        <v/>
      </c>
      <c r="BZ107" s="458" t="str">
        <f t="shared" si="48"/>
        <v/>
      </c>
      <c r="CA107" s="40" t="str">
        <f t="shared" si="49"/>
        <v/>
      </c>
      <c r="CB107" s="40" t="str">
        <f t="shared" si="50"/>
        <v/>
      </c>
      <c r="CC107" s="39" t="str">
        <f t="shared" si="51"/>
        <v/>
      </c>
      <c r="CD107" s="458" t="str">
        <f t="shared" si="52"/>
        <v/>
      </c>
      <c r="CE107" s="41" t="str">
        <f t="shared" si="53"/>
        <v/>
      </c>
      <c r="CF107" s="39" t="str">
        <f t="shared" si="54"/>
        <v/>
      </c>
      <c r="CG107" s="458" t="str">
        <f t="shared" si="55"/>
        <v/>
      </c>
      <c r="CH107" s="458" t="str">
        <f t="shared" si="56"/>
        <v/>
      </c>
      <c r="CI107" s="458" t="str">
        <f t="shared" si="57"/>
        <v/>
      </c>
      <c r="CJ107" s="458" t="str">
        <f t="shared" si="58"/>
        <v/>
      </c>
      <c r="CK107" s="40" t="str">
        <f t="shared" si="59"/>
        <v/>
      </c>
      <c r="CL107" s="40" t="str">
        <f t="shared" si="60"/>
        <v/>
      </c>
      <c r="CM107" s="40" t="str">
        <f t="shared" si="61"/>
        <v/>
      </c>
      <c r="CN107" s="39" t="str">
        <f t="shared" si="62"/>
        <v/>
      </c>
      <c r="CO107" s="458" t="str">
        <f t="shared" si="63"/>
        <v/>
      </c>
      <c r="CP107" s="458" t="str">
        <f t="shared" si="64"/>
        <v/>
      </c>
      <c r="CQ107" s="458" t="str">
        <f t="shared" si="65"/>
        <v/>
      </c>
      <c r="CR107" s="458" t="str">
        <f t="shared" si="66"/>
        <v/>
      </c>
      <c r="CS107" s="40" t="str">
        <f t="shared" si="67"/>
        <v/>
      </c>
      <c r="CT107" s="40" t="str">
        <f t="shared" si="68"/>
        <v/>
      </c>
      <c r="CU107" s="41" t="str">
        <f t="shared" si="69"/>
        <v/>
      </c>
    </row>
    <row r="108" spans="1:99" x14ac:dyDescent="0.2">
      <c r="A108" s="77">
        <f t="shared" si="70"/>
        <v>103</v>
      </c>
      <c r="B108" s="81"/>
      <c r="C108" s="82"/>
      <c r="D108" s="71"/>
      <c r="E108" s="72"/>
      <c r="F108" s="73"/>
      <c r="G108" s="443"/>
      <c r="H108" s="443"/>
      <c r="I108" s="74"/>
      <c r="J108" s="75"/>
      <c r="K108" s="41">
        <f t="shared" si="39"/>
        <v>3625</v>
      </c>
      <c r="L108" s="104"/>
      <c r="M108" s="105"/>
      <c r="N108" s="106">
        <f t="shared" si="40"/>
        <v>537.05999999999995</v>
      </c>
      <c r="O108" s="104"/>
      <c r="P108" s="105"/>
      <c r="Q108" s="106">
        <f t="shared" si="72"/>
        <v>10045.83</v>
      </c>
      <c r="R108" s="104"/>
      <c r="S108" s="105"/>
      <c r="T108" s="106">
        <f t="shared" si="73"/>
        <v>0</v>
      </c>
      <c r="U108" s="439"/>
      <c r="V108" s="42">
        <f t="shared" si="41"/>
        <v>103</v>
      </c>
      <c r="W108" s="39" t="str">
        <f>IF(AND(E108='Povolené hodnoty'!$B$4,F108=2),I108+L108+O108+R108,"")</f>
        <v/>
      </c>
      <c r="X108" s="41" t="str">
        <f>IF(AND(E108='Povolené hodnoty'!$B$4,F108=1),I108+L108+O108+R108,"")</f>
        <v/>
      </c>
      <c r="Y108" s="39" t="str">
        <f>IF(AND(E108='Povolené hodnoty'!$B$4,F108=10),J108+M108+P108+S108,"")</f>
        <v/>
      </c>
      <c r="Z108" s="41" t="str">
        <f>IF(AND(E108='Povolené hodnoty'!$B$4,F108=9),J108+M108+P108+S108,"")</f>
        <v/>
      </c>
      <c r="AA108" s="39" t="str">
        <f>IF(AND(E108&lt;&gt;'Povolené hodnoty'!$B$4,F108=2),I108+L108+O108+R108,"")</f>
        <v/>
      </c>
      <c r="AB108" s="40" t="str">
        <f>IF(AND(E108&lt;&gt;'Povolené hodnoty'!$B$4,F108=3),I108+L108+O108+R108,"")</f>
        <v/>
      </c>
      <c r="AC108" s="40" t="str">
        <f>IF(AND(E108&lt;&gt;'Povolené hodnoty'!$B$4,F108=4),I108+L108+O108+R108,"")</f>
        <v/>
      </c>
      <c r="AD108" s="40" t="str">
        <f>IF(AND(E108&lt;&gt;'Povolené hodnoty'!$B$4,F108="5a"),I108-J108+L108-M108+O108-P108+R108-S108,"")</f>
        <v/>
      </c>
      <c r="AE108" s="40" t="str">
        <f>IF(AND(E108&lt;&gt;'Povolené hodnoty'!$B$4,F108="5b"),I108-J108+L108-M108+O108-P108+R108-S108,"")</f>
        <v/>
      </c>
      <c r="AF108" s="40" t="str">
        <f>IF(AND(E108&lt;&gt;'Povolené hodnoty'!$B$4,F108=6),I108+L108+O108+R108,"")</f>
        <v/>
      </c>
      <c r="AG108" s="41" t="str">
        <f>IF(AND(E108&lt;&gt;'Povolené hodnoty'!$B$4,F108=7),I108+L108+O108+R108,"")</f>
        <v/>
      </c>
      <c r="AH108" s="39" t="str">
        <f>IF(AND(E108&lt;&gt;'Povolené hodnoty'!$B$4,F108=10),J108+M108+P108+S108,"")</f>
        <v/>
      </c>
      <c r="AI108" s="40" t="str">
        <f>IF(AND(E108&lt;&gt;'Povolené hodnoty'!$B$4,F108=11),J108+M108+P108+S108,"")</f>
        <v/>
      </c>
      <c r="AJ108" s="40" t="str">
        <f>IF(AND(E108&lt;&gt;'Povolené hodnoty'!$B$4,F108=12),J108+M108+P108+S108,"")</f>
        <v/>
      </c>
      <c r="AK108" s="41" t="str">
        <f>IF(AND(E108&lt;&gt;'Povolené hodnoty'!$B$4,F108=13),J108+M108+P108+S108,"")</f>
        <v/>
      </c>
      <c r="AL108" s="39" t="str">
        <f>IF(AND($G108='Povolené hodnoty'!$B$13,$H108=AL$4),SUM($I108,$L108,$O108,$R108),"")</f>
        <v/>
      </c>
      <c r="AM108" s="458" t="str">
        <f>IF(AND($G108='Povolené hodnoty'!$B$13,$H108=AM$4),SUM($I108,$L108,$O108,$R108),"")</f>
        <v/>
      </c>
      <c r="AN108" s="458" t="str">
        <f>IF(AND($G108='Povolené hodnoty'!$B$13,$H108=AN$4),SUM($I108,$L108,$O108,$R108),"")</f>
        <v/>
      </c>
      <c r="AO108" s="458" t="str">
        <f>IF(AND($G108='Povolené hodnoty'!$B$13,$H108=AO$4),SUM($I108,$L108,$O108,$R108),"")</f>
        <v/>
      </c>
      <c r="AP108" s="458" t="str">
        <f>IF(AND($G108='Povolené hodnoty'!$B$13,$H108=AP$4),SUM($I108,$L108,$O108,$R108),"")</f>
        <v/>
      </c>
      <c r="AQ108" s="40" t="str">
        <f>IF(AND($G108='Povolené hodnoty'!$B$13,OR($H108=AQ$4,$H108='Povolené hodnoty'!$E$36)),SUM($I108,-$J108,$L108,-$M108,$O108,-$P108,$R108,-$S108),"")</f>
        <v/>
      </c>
      <c r="AR108" s="40" t="str">
        <f>IF(AND($G108='Povolené hodnoty'!$B$13,$H108=AR$4),SUM($I108,$L108,$O108,$R108),"")</f>
        <v/>
      </c>
      <c r="AS108" s="41" t="str">
        <f>IF(AND($G108='Povolené hodnoty'!$B$13,$H108=AS$4),SUM($I108,$L108,$O108,$R108),"")</f>
        <v/>
      </c>
      <c r="AT108" s="39" t="str">
        <f>IF(AND($G108='Povolené hodnoty'!$B$14,$H108=AT$4),SUM($I108,$L108,$O108,$R108),"")</f>
        <v/>
      </c>
      <c r="AU108" s="458" t="str">
        <f>IF(AND($G108='Povolené hodnoty'!$B$14,$H108=AU$4),SUM($I108,$L108,$O108,$R108),"")</f>
        <v/>
      </c>
      <c r="AV108" s="41" t="str">
        <f>IF(AND($G108='Povolené hodnoty'!$B$14,$H108=AV$4),SUM($I108,$L108,$O108,$R108),"")</f>
        <v/>
      </c>
      <c r="AW108" s="39" t="str">
        <f>IF(AND($G108='Povolené hodnoty'!$B$13,$H108=AW$4),SUM($J108,$M108,$P108,$S108),"")</f>
        <v/>
      </c>
      <c r="AX108" s="458" t="str">
        <f>IF(AND($G108='Povolené hodnoty'!$B$13,$H108=AX$4),SUM($J108,$M108,$P108,$S108),"")</f>
        <v/>
      </c>
      <c r="AY108" s="458" t="str">
        <f>IF(AND($G108='Povolené hodnoty'!$B$13,$H108=AY$4),SUM($J108,$M108,$P108,$S108),"")</f>
        <v/>
      </c>
      <c r="AZ108" s="458" t="str">
        <f>IF(AND($G108='Povolené hodnoty'!$B$13,$H108=AZ$4),SUM($J108,$M108,$P108,$S108),"")</f>
        <v/>
      </c>
      <c r="BA108" s="458" t="str">
        <f>IF(AND($G108='Povolené hodnoty'!$B$13,$H108=BA$4),SUM($J108,$M108,$P108,$S108),"")</f>
        <v/>
      </c>
      <c r="BB108" s="40" t="str">
        <f>IF(AND($G108='Povolené hodnoty'!$B$13,$H108=BB$4),SUM($J108,$M108,$P108,$S108),"")</f>
        <v/>
      </c>
      <c r="BC108" s="40" t="str">
        <f>IF(AND($G108='Povolené hodnoty'!$B$13,$H108=BC$4),SUM($J108,$M108,$P108,$S108),"")</f>
        <v/>
      </c>
      <c r="BD108" s="40" t="str">
        <f>IF(AND($G108='Povolené hodnoty'!$B$13,$H108=BD$4),SUM($J108,$M108,$P108,$S108),"")</f>
        <v/>
      </c>
      <c r="BE108" s="41" t="str">
        <f>IF(AND($G108='Povolené hodnoty'!$B$13,$H108=BE$4),SUM($J108,$M108,$P108,$S108),"")</f>
        <v/>
      </c>
      <c r="BF108" s="39" t="str">
        <f>IF(AND($G108='Povolené hodnoty'!$B$14,$H108=BF$4),SUM($J108,$M108,$P108,$S108),"")</f>
        <v/>
      </c>
      <c r="BG108" s="458" t="str">
        <f>IF(AND($G108='Povolené hodnoty'!$B$14,$H108=BG$4),SUM($J108,$M108,$P108,$S108),"")</f>
        <v/>
      </c>
      <c r="BH108" s="458" t="str">
        <f>IF(AND($G108='Povolené hodnoty'!$B$14,$H108=BH$4),SUM($J108,$M108,$P108,$S108),"")</f>
        <v/>
      </c>
      <c r="BI108" s="458" t="str">
        <f>IF(AND($G108='Povolené hodnoty'!$B$14,$H108=BI$4),SUM($J108,$M108,$P108,$S108),"")</f>
        <v/>
      </c>
      <c r="BJ108" s="458" t="str">
        <f>IF(AND($G108='Povolené hodnoty'!$B$14,$H108=BJ$4),SUM($J108,$M108,$P108,$S108),"")</f>
        <v/>
      </c>
      <c r="BK108" s="40" t="str">
        <f>IF(AND($G108='Povolené hodnoty'!$B$14,$H108=BK$4),SUM($J108,$M108,$P108,$S108),"")</f>
        <v/>
      </c>
      <c r="BL108" s="40" t="str">
        <f>IF(AND($G108='Povolené hodnoty'!$B$14,$H108=BL$4),SUM($J108,$M108,$P108,$S108),"")</f>
        <v/>
      </c>
      <c r="BM108" s="41" t="str">
        <f>IF(AND($G108='Povolené hodnoty'!$B$14,$H108=BM$4),SUM($J108,$M108,$P108,$S108),"")</f>
        <v/>
      </c>
      <c r="BO108" s="18" t="b">
        <f t="shared" si="71"/>
        <v>0</v>
      </c>
      <c r="BP108" s="18" t="b">
        <f t="shared" si="42"/>
        <v>0</v>
      </c>
      <c r="BQ108" s="18" t="b">
        <f>AND(E108&lt;&gt;'Povolené hodnoty'!$B$6,F108&lt;&gt;'Povolené hodnoty'!$D$7,F108&lt;&gt;'Povolené hodnoty'!$D$8,OR(SUM(I108,L108,O108,R108)&lt;&gt;SUM(W108:X108,AA108:AG108),SUM(J108,M108,P108,S108)&lt;&gt;SUM(Y108:Z108,AH108:AK108),COUNT(I108:J108,L108:M108,O108:P108,R108:S108)&lt;&gt;COUNT(W108:AK108)))</f>
        <v>0</v>
      </c>
      <c r="BR108" s="18" t="b">
        <f>OR(AND(E108='Povolené hodnoty'!$B$6,$BR$5),AND(E108='Povolené hodnoty'!$B$6,H108&lt;&gt;'Povolené hodnoty'!$E$26,H108&lt;&gt;'Povolené hodnoty'!$E$35),AND(E108&lt;&gt;'Povolené hodnoty'!$B$6,OR(H108='Povolené hodnoty'!$E$26,H108='Povolené hodnoty'!$E$35)))</f>
        <v>0</v>
      </c>
      <c r="BS108" s="18" t="b">
        <f>OR(AND(G108&lt;&gt;'Povolené hodnoty'!$B$13,OR(H108='Povolené hodnoty'!$E$21,H108='Povolené hodnoty'!$E$22,H108='Povolené hodnoty'!$E$23,H108='Povolené hodnoty'!$E$24,H108='Povolené hodnoty'!$E$26,H108='Povolené hodnoty'!$E$36)),COUNT(I108:J108,L108:M108,O108:P108,R108:S108)&lt;&gt;COUNT(AL108:BM108))</f>
        <v>0</v>
      </c>
      <c r="BT108" s="18" t="b">
        <f t="shared" si="43"/>
        <v>0</v>
      </c>
      <c r="BV108" s="39" t="str">
        <f t="shared" si="44"/>
        <v/>
      </c>
      <c r="BW108" s="458" t="str">
        <f t="shared" si="45"/>
        <v/>
      </c>
      <c r="BX108" s="458" t="str">
        <f t="shared" si="46"/>
        <v/>
      </c>
      <c r="BY108" s="458" t="str">
        <f t="shared" si="47"/>
        <v/>
      </c>
      <c r="BZ108" s="458" t="str">
        <f t="shared" si="48"/>
        <v/>
      </c>
      <c r="CA108" s="40" t="str">
        <f t="shared" si="49"/>
        <v/>
      </c>
      <c r="CB108" s="40" t="str">
        <f t="shared" si="50"/>
        <v/>
      </c>
      <c r="CC108" s="39" t="str">
        <f t="shared" si="51"/>
        <v/>
      </c>
      <c r="CD108" s="458" t="str">
        <f t="shared" si="52"/>
        <v/>
      </c>
      <c r="CE108" s="41" t="str">
        <f t="shared" si="53"/>
        <v/>
      </c>
      <c r="CF108" s="39" t="str">
        <f t="shared" si="54"/>
        <v/>
      </c>
      <c r="CG108" s="458" t="str">
        <f t="shared" si="55"/>
        <v/>
      </c>
      <c r="CH108" s="458" t="str">
        <f t="shared" si="56"/>
        <v/>
      </c>
      <c r="CI108" s="458" t="str">
        <f t="shared" si="57"/>
        <v/>
      </c>
      <c r="CJ108" s="458" t="str">
        <f t="shared" si="58"/>
        <v/>
      </c>
      <c r="CK108" s="40" t="str">
        <f t="shared" si="59"/>
        <v/>
      </c>
      <c r="CL108" s="40" t="str">
        <f t="shared" si="60"/>
        <v/>
      </c>
      <c r="CM108" s="40" t="str">
        <f t="shared" si="61"/>
        <v/>
      </c>
      <c r="CN108" s="39" t="str">
        <f t="shared" si="62"/>
        <v/>
      </c>
      <c r="CO108" s="458" t="str">
        <f t="shared" si="63"/>
        <v/>
      </c>
      <c r="CP108" s="458" t="str">
        <f t="shared" si="64"/>
        <v/>
      </c>
      <c r="CQ108" s="458" t="str">
        <f t="shared" si="65"/>
        <v/>
      </c>
      <c r="CR108" s="458" t="str">
        <f t="shared" si="66"/>
        <v/>
      </c>
      <c r="CS108" s="40" t="str">
        <f t="shared" si="67"/>
        <v/>
      </c>
      <c r="CT108" s="40" t="str">
        <f t="shared" si="68"/>
        <v/>
      </c>
      <c r="CU108" s="41" t="str">
        <f t="shared" si="69"/>
        <v/>
      </c>
    </row>
    <row r="109" spans="1:99" x14ac:dyDescent="0.2">
      <c r="A109" s="77">
        <f t="shared" si="70"/>
        <v>104</v>
      </c>
      <c r="B109" s="81"/>
      <c r="C109" s="82"/>
      <c r="D109" s="71"/>
      <c r="E109" s="72"/>
      <c r="F109" s="73"/>
      <c r="G109" s="443"/>
      <c r="H109" s="443"/>
      <c r="I109" s="74"/>
      <c r="J109" s="75"/>
      <c r="K109" s="41">
        <f t="shared" ref="K109:K172" si="74">K108+I109-J109</f>
        <v>3625</v>
      </c>
      <c r="L109" s="104"/>
      <c r="M109" s="105"/>
      <c r="N109" s="106">
        <f t="shared" ref="N109:N172" si="75">N108+L109-M109</f>
        <v>537.05999999999995</v>
      </c>
      <c r="O109" s="104"/>
      <c r="P109" s="105"/>
      <c r="Q109" s="106">
        <f t="shared" si="72"/>
        <v>10045.83</v>
      </c>
      <c r="R109" s="104"/>
      <c r="S109" s="105"/>
      <c r="T109" s="106">
        <f t="shared" si="73"/>
        <v>0</v>
      </c>
      <c r="U109" s="439"/>
      <c r="V109" s="42">
        <f t="shared" si="41"/>
        <v>104</v>
      </c>
      <c r="W109" s="39" t="str">
        <f>IF(AND(E109='Povolené hodnoty'!$B$4,F109=2),I109+L109+O109+R109,"")</f>
        <v/>
      </c>
      <c r="X109" s="41" t="str">
        <f>IF(AND(E109='Povolené hodnoty'!$B$4,F109=1),I109+L109+O109+R109,"")</f>
        <v/>
      </c>
      <c r="Y109" s="39" t="str">
        <f>IF(AND(E109='Povolené hodnoty'!$B$4,F109=10),J109+M109+P109+S109,"")</f>
        <v/>
      </c>
      <c r="Z109" s="41" t="str">
        <f>IF(AND(E109='Povolené hodnoty'!$B$4,F109=9),J109+M109+P109+S109,"")</f>
        <v/>
      </c>
      <c r="AA109" s="39" t="str">
        <f>IF(AND(E109&lt;&gt;'Povolené hodnoty'!$B$4,F109=2),I109+L109+O109+R109,"")</f>
        <v/>
      </c>
      <c r="AB109" s="40" t="str">
        <f>IF(AND(E109&lt;&gt;'Povolené hodnoty'!$B$4,F109=3),I109+L109+O109+R109,"")</f>
        <v/>
      </c>
      <c r="AC109" s="40" t="str">
        <f>IF(AND(E109&lt;&gt;'Povolené hodnoty'!$B$4,F109=4),I109+L109+O109+R109,"")</f>
        <v/>
      </c>
      <c r="AD109" s="40" t="str">
        <f>IF(AND(E109&lt;&gt;'Povolené hodnoty'!$B$4,F109="5a"),I109-J109+L109-M109+O109-P109+R109-S109,"")</f>
        <v/>
      </c>
      <c r="AE109" s="40" t="str">
        <f>IF(AND(E109&lt;&gt;'Povolené hodnoty'!$B$4,F109="5b"),I109-J109+L109-M109+O109-P109+R109-S109,"")</f>
        <v/>
      </c>
      <c r="AF109" s="40" t="str">
        <f>IF(AND(E109&lt;&gt;'Povolené hodnoty'!$B$4,F109=6),I109+L109+O109+R109,"")</f>
        <v/>
      </c>
      <c r="AG109" s="41" t="str">
        <f>IF(AND(E109&lt;&gt;'Povolené hodnoty'!$B$4,F109=7),I109+L109+O109+R109,"")</f>
        <v/>
      </c>
      <c r="AH109" s="39" t="str">
        <f>IF(AND(E109&lt;&gt;'Povolené hodnoty'!$B$4,F109=10),J109+M109+P109+S109,"")</f>
        <v/>
      </c>
      <c r="AI109" s="40" t="str">
        <f>IF(AND(E109&lt;&gt;'Povolené hodnoty'!$B$4,F109=11),J109+M109+P109+S109,"")</f>
        <v/>
      </c>
      <c r="AJ109" s="40" t="str">
        <f>IF(AND(E109&lt;&gt;'Povolené hodnoty'!$B$4,F109=12),J109+M109+P109+S109,"")</f>
        <v/>
      </c>
      <c r="AK109" s="41" t="str">
        <f>IF(AND(E109&lt;&gt;'Povolené hodnoty'!$B$4,F109=13),J109+M109+P109+S109,"")</f>
        <v/>
      </c>
      <c r="AL109" s="39" t="str">
        <f>IF(AND($G109='Povolené hodnoty'!$B$13,$H109=AL$4),SUM($I109,$L109,$O109,$R109),"")</f>
        <v/>
      </c>
      <c r="AM109" s="458" t="str">
        <f>IF(AND($G109='Povolené hodnoty'!$B$13,$H109=AM$4),SUM($I109,$L109,$O109,$R109),"")</f>
        <v/>
      </c>
      <c r="AN109" s="458" t="str">
        <f>IF(AND($G109='Povolené hodnoty'!$B$13,$H109=AN$4),SUM($I109,$L109,$O109,$R109),"")</f>
        <v/>
      </c>
      <c r="AO109" s="458" t="str">
        <f>IF(AND($G109='Povolené hodnoty'!$B$13,$H109=AO$4),SUM($I109,$L109,$O109,$R109),"")</f>
        <v/>
      </c>
      <c r="AP109" s="458" t="str">
        <f>IF(AND($G109='Povolené hodnoty'!$B$13,$H109=AP$4),SUM($I109,$L109,$O109,$R109),"")</f>
        <v/>
      </c>
      <c r="AQ109" s="40" t="str">
        <f>IF(AND($G109='Povolené hodnoty'!$B$13,OR($H109=AQ$4,$H109='Povolené hodnoty'!$E$36)),SUM($I109,-$J109,$L109,-$M109,$O109,-$P109,$R109,-$S109),"")</f>
        <v/>
      </c>
      <c r="AR109" s="40" t="str">
        <f>IF(AND($G109='Povolené hodnoty'!$B$13,$H109=AR$4),SUM($I109,$L109,$O109,$R109),"")</f>
        <v/>
      </c>
      <c r="AS109" s="41" t="str">
        <f>IF(AND($G109='Povolené hodnoty'!$B$13,$H109=AS$4),SUM($I109,$L109,$O109,$R109),"")</f>
        <v/>
      </c>
      <c r="AT109" s="39" t="str">
        <f>IF(AND($G109='Povolené hodnoty'!$B$14,$H109=AT$4),SUM($I109,$L109,$O109,$R109),"")</f>
        <v/>
      </c>
      <c r="AU109" s="458" t="str">
        <f>IF(AND($G109='Povolené hodnoty'!$B$14,$H109=AU$4),SUM($I109,$L109,$O109,$R109),"")</f>
        <v/>
      </c>
      <c r="AV109" s="41" t="str">
        <f>IF(AND($G109='Povolené hodnoty'!$B$14,$H109=AV$4),SUM($I109,$L109,$O109,$R109),"")</f>
        <v/>
      </c>
      <c r="AW109" s="39" t="str">
        <f>IF(AND($G109='Povolené hodnoty'!$B$13,$H109=AW$4),SUM($J109,$M109,$P109,$S109),"")</f>
        <v/>
      </c>
      <c r="AX109" s="458" t="str">
        <f>IF(AND($G109='Povolené hodnoty'!$B$13,$H109=AX$4),SUM($J109,$M109,$P109,$S109),"")</f>
        <v/>
      </c>
      <c r="AY109" s="458" t="str">
        <f>IF(AND($G109='Povolené hodnoty'!$B$13,$H109=AY$4),SUM($J109,$M109,$P109,$S109),"")</f>
        <v/>
      </c>
      <c r="AZ109" s="458" t="str">
        <f>IF(AND($G109='Povolené hodnoty'!$B$13,$H109=AZ$4),SUM($J109,$M109,$P109,$S109),"")</f>
        <v/>
      </c>
      <c r="BA109" s="458" t="str">
        <f>IF(AND($G109='Povolené hodnoty'!$B$13,$H109=BA$4),SUM($J109,$M109,$P109,$S109),"")</f>
        <v/>
      </c>
      <c r="BB109" s="40" t="str">
        <f>IF(AND($G109='Povolené hodnoty'!$B$13,$H109=BB$4),SUM($J109,$M109,$P109,$S109),"")</f>
        <v/>
      </c>
      <c r="BC109" s="40" t="str">
        <f>IF(AND($G109='Povolené hodnoty'!$B$13,$H109=BC$4),SUM($J109,$M109,$P109,$S109),"")</f>
        <v/>
      </c>
      <c r="BD109" s="40" t="str">
        <f>IF(AND($G109='Povolené hodnoty'!$B$13,$H109=BD$4),SUM($J109,$M109,$P109,$S109),"")</f>
        <v/>
      </c>
      <c r="BE109" s="41" t="str">
        <f>IF(AND($G109='Povolené hodnoty'!$B$13,$H109=BE$4),SUM($J109,$M109,$P109,$S109),"")</f>
        <v/>
      </c>
      <c r="BF109" s="39" t="str">
        <f>IF(AND($G109='Povolené hodnoty'!$B$14,$H109=BF$4),SUM($J109,$M109,$P109,$S109),"")</f>
        <v/>
      </c>
      <c r="BG109" s="458" t="str">
        <f>IF(AND($G109='Povolené hodnoty'!$B$14,$H109=BG$4),SUM($J109,$M109,$P109,$S109),"")</f>
        <v/>
      </c>
      <c r="BH109" s="458" t="str">
        <f>IF(AND($G109='Povolené hodnoty'!$B$14,$H109=BH$4),SUM($J109,$M109,$P109,$S109),"")</f>
        <v/>
      </c>
      <c r="BI109" s="458" t="str">
        <f>IF(AND($G109='Povolené hodnoty'!$B$14,$H109=BI$4),SUM($J109,$M109,$P109,$S109),"")</f>
        <v/>
      </c>
      <c r="BJ109" s="458" t="str">
        <f>IF(AND($G109='Povolené hodnoty'!$B$14,$H109=BJ$4),SUM($J109,$M109,$P109,$S109),"")</f>
        <v/>
      </c>
      <c r="BK109" s="40" t="str">
        <f>IF(AND($G109='Povolené hodnoty'!$B$14,$H109=BK$4),SUM($J109,$M109,$P109,$S109),"")</f>
        <v/>
      </c>
      <c r="BL109" s="40" t="str">
        <f>IF(AND($G109='Povolené hodnoty'!$B$14,$H109=BL$4),SUM($J109,$M109,$P109,$S109),"")</f>
        <v/>
      </c>
      <c r="BM109" s="41" t="str">
        <f>IF(AND($G109='Povolené hodnoty'!$B$14,$H109=BM$4),SUM($J109,$M109,$P109,$S109),"")</f>
        <v/>
      </c>
      <c r="BO109" s="18" t="b">
        <f t="shared" si="71"/>
        <v>0</v>
      </c>
      <c r="BP109" s="18" t="b">
        <f t="shared" si="42"/>
        <v>0</v>
      </c>
      <c r="BQ109" s="18" t="b">
        <f>AND(E109&lt;&gt;'Povolené hodnoty'!$B$6,F109&lt;&gt;'Povolené hodnoty'!$D$7,F109&lt;&gt;'Povolené hodnoty'!$D$8,OR(SUM(I109,L109,O109,R109)&lt;&gt;SUM(W109:X109,AA109:AG109),SUM(J109,M109,P109,S109)&lt;&gt;SUM(Y109:Z109,AH109:AK109),COUNT(I109:J109,L109:M109,O109:P109,R109:S109)&lt;&gt;COUNT(W109:AK109)))</f>
        <v>0</v>
      </c>
      <c r="BR109" s="18" t="b">
        <f>OR(AND(E109='Povolené hodnoty'!$B$6,$BR$5),AND(E109='Povolené hodnoty'!$B$6,H109&lt;&gt;'Povolené hodnoty'!$E$26,H109&lt;&gt;'Povolené hodnoty'!$E$35),AND(E109&lt;&gt;'Povolené hodnoty'!$B$6,OR(H109='Povolené hodnoty'!$E$26,H109='Povolené hodnoty'!$E$35)))</f>
        <v>0</v>
      </c>
      <c r="BS109" s="18" t="b">
        <f>OR(AND(G109&lt;&gt;'Povolené hodnoty'!$B$13,OR(H109='Povolené hodnoty'!$E$21,H109='Povolené hodnoty'!$E$22,H109='Povolené hodnoty'!$E$23,H109='Povolené hodnoty'!$E$24,H109='Povolené hodnoty'!$E$26,H109='Povolené hodnoty'!$E$36)),COUNT(I109:J109,L109:M109,O109:P109,R109:S109)&lt;&gt;COUNT(AL109:BM109))</f>
        <v>0</v>
      </c>
      <c r="BT109" s="18" t="b">
        <f t="shared" si="43"/>
        <v>0</v>
      </c>
      <c r="BV109" s="39" t="str">
        <f t="shared" si="44"/>
        <v/>
      </c>
      <c r="BW109" s="458" t="str">
        <f t="shared" si="45"/>
        <v/>
      </c>
      <c r="BX109" s="458" t="str">
        <f t="shared" si="46"/>
        <v/>
      </c>
      <c r="BY109" s="458" t="str">
        <f t="shared" si="47"/>
        <v/>
      </c>
      <c r="BZ109" s="458" t="str">
        <f t="shared" si="48"/>
        <v/>
      </c>
      <c r="CA109" s="40" t="str">
        <f t="shared" si="49"/>
        <v/>
      </c>
      <c r="CB109" s="40" t="str">
        <f t="shared" si="50"/>
        <v/>
      </c>
      <c r="CC109" s="39" t="str">
        <f t="shared" si="51"/>
        <v/>
      </c>
      <c r="CD109" s="458" t="str">
        <f t="shared" si="52"/>
        <v/>
      </c>
      <c r="CE109" s="41" t="str">
        <f t="shared" si="53"/>
        <v/>
      </c>
      <c r="CF109" s="39" t="str">
        <f t="shared" si="54"/>
        <v/>
      </c>
      <c r="CG109" s="458" t="str">
        <f t="shared" si="55"/>
        <v/>
      </c>
      <c r="CH109" s="458" t="str">
        <f t="shared" si="56"/>
        <v/>
      </c>
      <c r="CI109" s="458" t="str">
        <f t="shared" si="57"/>
        <v/>
      </c>
      <c r="CJ109" s="458" t="str">
        <f t="shared" si="58"/>
        <v/>
      </c>
      <c r="CK109" s="40" t="str">
        <f t="shared" si="59"/>
        <v/>
      </c>
      <c r="CL109" s="40" t="str">
        <f t="shared" si="60"/>
        <v/>
      </c>
      <c r="CM109" s="40" t="str">
        <f t="shared" si="61"/>
        <v/>
      </c>
      <c r="CN109" s="39" t="str">
        <f t="shared" si="62"/>
        <v/>
      </c>
      <c r="CO109" s="458" t="str">
        <f t="shared" si="63"/>
        <v/>
      </c>
      <c r="CP109" s="458" t="str">
        <f t="shared" si="64"/>
        <v/>
      </c>
      <c r="CQ109" s="458" t="str">
        <f t="shared" si="65"/>
        <v/>
      </c>
      <c r="CR109" s="458" t="str">
        <f t="shared" si="66"/>
        <v/>
      </c>
      <c r="CS109" s="40" t="str">
        <f t="shared" si="67"/>
        <v/>
      </c>
      <c r="CT109" s="40" t="str">
        <f t="shared" si="68"/>
        <v/>
      </c>
      <c r="CU109" s="41" t="str">
        <f t="shared" si="69"/>
        <v/>
      </c>
    </row>
    <row r="110" spans="1:99" x14ac:dyDescent="0.2">
      <c r="A110" s="77">
        <f t="shared" si="70"/>
        <v>105</v>
      </c>
      <c r="B110" s="81"/>
      <c r="C110" s="82"/>
      <c r="D110" s="71"/>
      <c r="E110" s="72"/>
      <c r="F110" s="73"/>
      <c r="G110" s="443"/>
      <c r="H110" s="443"/>
      <c r="I110" s="74"/>
      <c r="J110" s="75"/>
      <c r="K110" s="41">
        <f t="shared" si="74"/>
        <v>3625</v>
      </c>
      <c r="L110" s="104"/>
      <c r="M110" s="105"/>
      <c r="N110" s="106">
        <f t="shared" si="75"/>
        <v>537.05999999999995</v>
      </c>
      <c r="O110" s="104"/>
      <c r="P110" s="105"/>
      <c r="Q110" s="106">
        <f t="shared" si="72"/>
        <v>10045.83</v>
      </c>
      <c r="R110" s="104"/>
      <c r="S110" s="105"/>
      <c r="T110" s="106">
        <f t="shared" si="73"/>
        <v>0</v>
      </c>
      <c r="U110" s="439"/>
      <c r="V110" s="42">
        <f t="shared" si="41"/>
        <v>105</v>
      </c>
      <c r="W110" s="39" t="str">
        <f>IF(AND(E110='Povolené hodnoty'!$B$4,F110=2),I110+L110+O110+R110,"")</f>
        <v/>
      </c>
      <c r="X110" s="41" t="str">
        <f>IF(AND(E110='Povolené hodnoty'!$B$4,F110=1),I110+L110+O110+R110,"")</f>
        <v/>
      </c>
      <c r="Y110" s="39" t="str">
        <f>IF(AND(E110='Povolené hodnoty'!$B$4,F110=10),J110+M110+P110+S110,"")</f>
        <v/>
      </c>
      <c r="Z110" s="41" t="str">
        <f>IF(AND(E110='Povolené hodnoty'!$B$4,F110=9),J110+M110+P110+S110,"")</f>
        <v/>
      </c>
      <c r="AA110" s="39" t="str">
        <f>IF(AND(E110&lt;&gt;'Povolené hodnoty'!$B$4,F110=2),I110+L110+O110+R110,"")</f>
        <v/>
      </c>
      <c r="AB110" s="40" t="str">
        <f>IF(AND(E110&lt;&gt;'Povolené hodnoty'!$B$4,F110=3),I110+L110+O110+R110,"")</f>
        <v/>
      </c>
      <c r="AC110" s="40" t="str">
        <f>IF(AND(E110&lt;&gt;'Povolené hodnoty'!$B$4,F110=4),I110+L110+O110+R110,"")</f>
        <v/>
      </c>
      <c r="AD110" s="40" t="str">
        <f>IF(AND(E110&lt;&gt;'Povolené hodnoty'!$B$4,F110="5a"),I110-J110+L110-M110+O110-P110+R110-S110,"")</f>
        <v/>
      </c>
      <c r="AE110" s="40" t="str">
        <f>IF(AND(E110&lt;&gt;'Povolené hodnoty'!$B$4,F110="5b"),I110-J110+L110-M110+O110-P110+R110-S110,"")</f>
        <v/>
      </c>
      <c r="AF110" s="40" t="str">
        <f>IF(AND(E110&lt;&gt;'Povolené hodnoty'!$B$4,F110=6),I110+L110+O110+R110,"")</f>
        <v/>
      </c>
      <c r="AG110" s="41" t="str">
        <f>IF(AND(E110&lt;&gt;'Povolené hodnoty'!$B$4,F110=7),I110+L110+O110+R110,"")</f>
        <v/>
      </c>
      <c r="AH110" s="39" t="str">
        <f>IF(AND(E110&lt;&gt;'Povolené hodnoty'!$B$4,F110=10),J110+M110+P110+S110,"")</f>
        <v/>
      </c>
      <c r="AI110" s="40" t="str">
        <f>IF(AND(E110&lt;&gt;'Povolené hodnoty'!$B$4,F110=11),J110+M110+P110+S110,"")</f>
        <v/>
      </c>
      <c r="AJ110" s="40" t="str">
        <f>IF(AND(E110&lt;&gt;'Povolené hodnoty'!$B$4,F110=12),J110+M110+P110+S110,"")</f>
        <v/>
      </c>
      <c r="AK110" s="41" t="str">
        <f>IF(AND(E110&lt;&gt;'Povolené hodnoty'!$B$4,F110=13),J110+M110+P110+S110,"")</f>
        <v/>
      </c>
      <c r="AL110" s="39" t="str">
        <f>IF(AND($G110='Povolené hodnoty'!$B$13,$H110=AL$4),SUM($I110,$L110,$O110,$R110),"")</f>
        <v/>
      </c>
      <c r="AM110" s="458" t="str">
        <f>IF(AND($G110='Povolené hodnoty'!$B$13,$H110=AM$4),SUM($I110,$L110,$O110,$R110),"")</f>
        <v/>
      </c>
      <c r="AN110" s="458" t="str">
        <f>IF(AND($G110='Povolené hodnoty'!$B$13,$H110=AN$4),SUM($I110,$L110,$O110,$R110),"")</f>
        <v/>
      </c>
      <c r="AO110" s="458" t="str">
        <f>IF(AND($G110='Povolené hodnoty'!$B$13,$H110=AO$4),SUM($I110,$L110,$O110,$R110),"")</f>
        <v/>
      </c>
      <c r="AP110" s="458" t="str">
        <f>IF(AND($G110='Povolené hodnoty'!$B$13,$H110=AP$4),SUM($I110,$L110,$O110,$R110),"")</f>
        <v/>
      </c>
      <c r="AQ110" s="40" t="str">
        <f>IF(AND($G110='Povolené hodnoty'!$B$13,OR($H110=AQ$4,$H110='Povolené hodnoty'!$E$36)),SUM($I110,-$J110,$L110,-$M110,$O110,-$P110,$R110,-$S110),"")</f>
        <v/>
      </c>
      <c r="AR110" s="40" t="str">
        <f>IF(AND($G110='Povolené hodnoty'!$B$13,$H110=AR$4),SUM($I110,$L110,$O110,$R110),"")</f>
        <v/>
      </c>
      <c r="AS110" s="41" t="str">
        <f>IF(AND($G110='Povolené hodnoty'!$B$13,$H110=AS$4),SUM($I110,$L110,$O110,$R110),"")</f>
        <v/>
      </c>
      <c r="AT110" s="39" t="str">
        <f>IF(AND($G110='Povolené hodnoty'!$B$14,$H110=AT$4),SUM($I110,$L110,$O110,$R110),"")</f>
        <v/>
      </c>
      <c r="AU110" s="458" t="str">
        <f>IF(AND($G110='Povolené hodnoty'!$B$14,$H110=AU$4),SUM($I110,$L110,$O110,$R110),"")</f>
        <v/>
      </c>
      <c r="AV110" s="41" t="str">
        <f>IF(AND($G110='Povolené hodnoty'!$B$14,$H110=AV$4),SUM($I110,$L110,$O110,$R110),"")</f>
        <v/>
      </c>
      <c r="AW110" s="39" t="str">
        <f>IF(AND($G110='Povolené hodnoty'!$B$13,$H110=AW$4),SUM($J110,$M110,$P110,$S110),"")</f>
        <v/>
      </c>
      <c r="AX110" s="458" t="str">
        <f>IF(AND($G110='Povolené hodnoty'!$B$13,$H110=AX$4),SUM($J110,$M110,$P110,$S110),"")</f>
        <v/>
      </c>
      <c r="AY110" s="458" t="str">
        <f>IF(AND($G110='Povolené hodnoty'!$B$13,$H110=AY$4),SUM($J110,$M110,$P110,$S110),"")</f>
        <v/>
      </c>
      <c r="AZ110" s="458" t="str">
        <f>IF(AND($G110='Povolené hodnoty'!$B$13,$H110=AZ$4),SUM($J110,$M110,$P110,$S110),"")</f>
        <v/>
      </c>
      <c r="BA110" s="458" t="str">
        <f>IF(AND($G110='Povolené hodnoty'!$B$13,$H110=BA$4),SUM($J110,$M110,$P110,$S110),"")</f>
        <v/>
      </c>
      <c r="BB110" s="40" t="str">
        <f>IF(AND($G110='Povolené hodnoty'!$B$13,$H110=BB$4),SUM($J110,$M110,$P110,$S110),"")</f>
        <v/>
      </c>
      <c r="BC110" s="40" t="str">
        <f>IF(AND($G110='Povolené hodnoty'!$B$13,$H110=BC$4),SUM($J110,$M110,$P110,$S110),"")</f>
        <v/>
      </c>
      <c r="BD110" s="40" t="str">
        <f>IF(AND($G110='Povolené hodnoty'!$B$13,$H110=BD$4),SUM($J110,$M110,$P110,$S110),"")</f>
        <v/>
      </c>
      <c r="BE110" s="41" t="str">
        <f>IF(AND($G110='Povolené hodnoty'!$B$13,$H110=BE$4),SUM($J110,$M110,$P110,$S110),"")</f>
        <v/>
      </c>
      <c r="BF110" s="39" t="str">
        <f>IF(AND($G110='Povolené hodnoty'!$B$14,$H110=BF$4),SUM($J110,$M110,$P110,$S110),"")</f>
        <v/>
      </c>
      <c r="BG110" s="458" t="str">
        <f>IF(AND($G110='Povolené hodnoty'!$B$14,$H110=BG$4),SUM($J110,$M110,$P110,$S110),"")</f>
        <v/>
      </c>
      <c r="BH110" s="458" t="str">
        <f>IF(AND($G110='Povolené hodnoty'!$B$14,$H110=BH$4),SUM($J110,$M110,$P110,$S110),"")</f>
        <v/>
      </c>
      <c r="BI110" s="458" t="str">
        <f>IF(AND($G110='Povolené hodnoty'!$B$14,$H110=BI$4),SUM($J110,$M110,$P110,$S110),"")</f>
        <v/>
      </c>
      <c r="BJ110" s="458" t="str">
        <f>IF(AND($G110='Povolené hodnoty'!$B$14,$H110=BJ$4),SUM($J110,$M110,$P110,$S110),"")</f>
        <v/>
      </c>
      <c r="BK110" s="40" t="str">
        <f>IF(AND($G110='Povolené hodnoty'!$B$14,$H110=BK$4),SUM($J110,$M110,$P110,$S110),"")</f>
        <v/>
      </c>
      <c r="BL110" s="40" t="str">
        <f>IF(AND($G110='Povolené hodnoty'!$B$14,$H110=BL$4),SUM($J110,$M110,$P110,$S110),"")</f>
        <v/>
      </c>
      <c r="BM110" s="41" t="str">
        <f>IF(AND($G110='Povolené hodnoty'!$B$14,$H110=BM$4),SUM($J110,$M110,$P110,$S110),"")</f>
        <v/>
      </c>
      <c r="BO110" s="18" t="b">
        <f t="shared" si="71"/>
        <v>0</v>
      </c>
      <c r="BP110" s="18" t="b">
        <f t="shared" si="42"/>
        <v>0</v>
      </c>
      <c r="BQ110" s="18" t="b">
        <f>AND(E110&lt;&gt;'Povolené hodnoty'!$B$6,F110&lt;&gt;'Povolené hodnoty'!$D$7,F110&lt;&gt;'Povolené hodnoty'!$D$8,OR(SUM(I110,L110,O110,R110)&lt;&gt;SUM(W110:X110,AA110:AG110),SUM(J110,M110,P110,S110)&lt;&gt;SUM(Y110:Z110,AH110:AK110),COUNT(I110:J110,L110:M110,O110:P110,R110:S110)&lt;&gt;COUNT(W110:AK110)))</f>
        <v>0</v>
      </c>
      <c r="BR110" s="18" t="b">
        <f>OR(AND(E110='Povolené hodnoty'!$B$6,$BR$5),AND(E110='Povolené hodnoty'!$B$6,H110&lt;&gt;'Povolené hodnoty'!$E$26,H110&lt;&gt;'Povolené hodnoty'!$E$35),AND(E110&lt;&gt;'Povolené hodnoty'!$B$6,OR(H110='Povolené hodnoty'!$E$26,H110='Povolené hodnoty'!$E$35)))</f>
        <v>0</v>
      </c>
      <c r="BS110" s="18" t="b">
        <f>OR(AND(G110&lt;&gt;'Povolené hodnoty'!$B$13,OR(H110='Povolené hodnoty'!$E$21,H110='Povolené hodnoty'!$E$22,H110='Povolené hodnoty'!$E$23,H110='Povolené hodnoty'!$E$24,H110='Povolené hodnoty'!$E$26,H110='Povolené hodnoty'!$E$36)),COUNT(I110:J110,L110:M110,O110:P110,R110:S110)&lt;&gt;COUNT(AL110:BM110))</f>
        <v>0</v>
      </c>
      <c r="BT110" s="18" t="b">
        <f t="shared" si="43"/>
        <v>0</v>
      </c>
      <c r="BV110" s="39" t="str">
        <f t="shared" si="44"/>
        <v/>
      </c>
      <c r="BW110" s="458" t="str">
        <f t="shared" si="45"/>
        <v/>
      </c>
      <c r="BX110" s="458" t="str">
        <f t="shared" si="46"/>
        <v/>
      </c>
      <c r="BY110" s="458" t="str">
        <f t="shared" si="47"/>
        <v/>
      </c>
      <c r="BZ110" s="458" t="str">
        <f t="shared" si="48"/>
        <v/>
      </c>
      <c r="CA110" s="40" t="str">
        <f t="shared" si="49"/>
        <v/>
      </c>
      <c r="CB110" s="40" t="str">
        <f t="shared" si="50"/>
        <v/>
      </c>
      <c r="CC110" s="39" t="str">
        <f t="shared" si="51"/>
        <v/>
      </c>
      <c r="CD110" s="458" t="str">
        <f t="shared" si="52"/>
        <v/>
      </c>
      <c r="CE110" s="41" t="str">
        <f t="shared" si="53"/>
        <v/>
      </c>
      <c r="CF110" s="39" t="str">
        <f t="shared" si="54"/>
        <v/>
      </c>
      <c r="CG110" s="458" t="str">
        <f t="shared" si="55"/>
        <v/>
      </c>
      <c r="CH110" s="458" t="str">
        <f t="shared" si="56"/>
        <v/>
      </c>
      <c r="CI110" s="458" t="str">
        <f t="shared" si="57"/>
        <v/>
      </c>
      <c r="CJ110" s="458" t="str">
        <f t="shared" si="58"/>
        <v/>
      </c>
      <c r="CK110" s="40" t="str">
        <f t="shared" si="59"/>
        <v/>
      </c>
      <c r="CL110" s="40" t="str">
        <f t="shared" si="60"/>
        <v/>
      </c>
      <c r="CM110" s="40" t="str">
        <f t="shared" si="61"/>
        <v/>
      </c>
      <c r="CN110" s="39" t="str">
        <f t="shared" si="62"/>
        <v/>
      </c>
      <c r="CO110" s="458" t="str">
        <f t="shared" si="63"/>
        <v/>
      </c>
      <c r="CP110" s="458" t="str">
        <f t="shared" si="64"/>
        <v/>
      </c>
      <c r="CQ110" s="458" t="str">
        <f t="shared" si="65"/>
        <v/>
      </c>
      <c r="CR110" s="458" t="str">
        <f t="shared" si="66"/>
        <v/>
      </c>
      <c r="CS110" s="40" t="str">
        <f t="shared" si="67"/>
        <v/>
      </c>
      <c r="CT110" s="40" t="str">
        <f t="shared" si="68"/>
        <v/>
      </c>
      <c r="CU110" s="41" t="str">
        <f t="shared" si="69"/>
        <v/>
      </c>
    </row>
    <row r="111" spans="1:99" x14ac:dyDescent="0.2">
      <c r="A111" s="77">
        <f t="shared" si="70"/>
        <v>106</v>
      </c>
      <c r="B111" s="81"/>
      <c r="C111" s="82"/>
      <c r="D111" s="71"/>
      <c r="E111" s="72"/>
      <c r="F111" s="73"/>
      <c r="G111" s="443"/>
      <c r="H111" s="443"/>
      <c r="I111" s="74"/>
      <c r="J111" s="75"/>
      <c r="K111" s="41">
        <f t="shared" si="74"/>
        <v>3625</v>
      </c>
      <c r="L111" s="104"/>
      <c r="M111" s="105"/>
      <c r="N111" s="106">
        <f t="shared" si="75"/>
        <v>537.05999999999995</v>
      </c>
      <c r="O111" s="104"/>
      <c r="P111" s="105"/>
      <c r="Q111" s="106">
        <f t="shared" si="72"/>
        <v>10045.83</v>
      </c>
      <c r="R111" s="104"/>
      <c r="S111" s="105"/>
      <c r="T111" s="106">
        <f t="shared" si="73"/>
        <v>0</v>
      </c>
      <c r="U111" s="439"/>
      <c r="V111" s="42">
        <f t="shared" si="41"/>
        <v>106</v>
      </c>
      <c r="W111" s="39" t="str">
        <f>IF(AND(E111='Povolené hodnoty'!$B$4,F111=2),I111+L111+O111+R111,"")</f>
        <v/>
      </c>
      <c r="X111" s="41" t="str">
        <f>IF(AND(E111='Povolené hodnoty'!$B$4,F111=1),I111+L111+O111+R111,"")</f>
        <v/>
      </c>
      <c r="Y111" s="39" t="str">
        <f>IF(AND(E111='Povolené hodnoty'!$B$4,F111=10),J111+M111+P111+S111,"")</f>
        <v/>
      </c>
      <c r="Z111" s="41" t="str">
        <f>IF(AND(E111='Povolené hodnoty'!$B$4,F111=9),J111+M111+P111+S111,"")</f>
        <v/>
      </c>
      <c r="AA111" s="39" t="str">
        <f>IF(AND(E111&lt;&gt;'Povolené hodnoty'!$B$4,F111=2),I111+L111+O111+R111,"")</f>
        <v/>
      </c>
      <c r="AB111" s="40" t="str">
        <f>IF(AND(E111&lt;&gt;'Povolené hodnoty'!$B$4,F111=3),I111+L111+O111+R111,"")</f>
        <v/>
      </c>
      <c r="AC111" s="40" t="str">
        <f>IF(AND(E111&lt;&gt;'Povolené hodnoty'!$B$4,F111=4),I111+L111+O111+R111,"")</f>
        <v/>
      </c>
      <c r="AD111" s="40" t="str">
        <f>IF(AND(E111&lt;&gt;'Povolené hodnoty'!$B$4,F111="5a"),I111-J111+L111-M111+O111-P111+R111-S111,"")</f>
        <v/>
      </c>
      <c r="AE111" s="40" t="str">
        <f>IF(AND(E111&lt;&gt;'Povolené hodnoty'!$B$4,F111="5b"),I111-J111+L111-M111+O111-P111+R111-S111,"")</f>
        <v/>
      </c>
      <c r="AF111" s="40" t="str">
        <f>IF(AND(E111&lt;&gt;'Povolené hodnoty'!$B$4,F111=6),I111+L111+O111+R111,"")</f>
        <v/>
      </c>
      <c r="AG111" s="41" t="str">
        <f>IF(AND(E111&lt;&gt;'Povolené hodnoty'!$B$4,F111=7),I111+L111+O111+R111,"")</f>
        <v/>
      </c>
      <c r="AH111" s="39" t="str">
        <f>IF(AND(E111&lt;&gt;'Povolené hodnoty'!$B$4,F111=10),J111+M111+P111+S111,"")</f>
        <v/>
      </c>
      <c r="AI111" s="40" t="str">
        <f>IF(AND(E111&lt;&gt;'Povolené hodnoty'!$B$4,F111=11),J111+M111+P111+S111,"")</f>
        <v/>
      </c>
      <c r="AJ111" s="40" t="str">
        <f>IF(AND(E111&lt;&gt;'Povolené hodnoty'!$B$4,F111=12),J111+M111+P111+S111,"")</f>
        <v/>
      </c>
      <c r="AK111" s="41" t="str">
        <f>IF(AND(E111&lt;&gt;'Povolené hodnoty'!$B$4,F111=13),J111+M111+P111+S111,"")</f>
        <v/>
      </c>
      <c r="AL111" s="39" t="str">
        <f>IF(AND($G111='Povolené hodnoty'!$B$13,$H111=AL$4),SUM($I111,$L111,$O111,$R111),"")</f>
        <v/>
      </c>
      <c r="AM111" s="458" t="str">
        <f>IF(AND($G111='Povolené hodnoty'!$B$13,$H111=AM$4),SUM($I111,$L111,$O111,$R111),"")</f>
        <v/>
      </c>
      <c r="AN111" s="458" t="str">
        <f>IF(AND($G111='Povolené hodnoty'!$B$13,$H111=AN$4),SUM($I111,$L111,$O111,$R111),"")</f>
        <v/>
      </c>
      <c r="AO111" s="458" t="str">
        <f>IF(AND($G111='Povolené hodnoty'!$B$13,$H111=AO$4),SUM($I111,$L111,$O111,$R111),"")</f>
        <v/>
      </c>
      <c r="AP111" s="458" t="str">
        <f>IF(AND($G111='Povolené hodnoty'!$B$13,$H111=AP$4),SUM($I111,$L111,$O111,$R111),"")</f>
        <v/>
      </c>
      <c r="AQ111" s="40" t="str">
        <f>IF(AND($G111='Povolené hodnoty'!$B$13,OR($H111=AQ$4,$H111='Povolené hodnoty'!$E$36)),SUM($I111,-$J111,$L111,-$M111,$O111,-$P111,$R111,-$S111),"")</f>
        <v/>
      </c>
      <c r="AR111" s="40" t="str">
        <f>IF(AND($G111='Povolené hodnoty'!$B$13,$H111=AR$4),SUM($I111,$L111,$O111,$R111),"")</f>
        <v/>
      </c>
      <c r="AS111" s="41" t="str">
        <f>IF(AND($G111='Povolené hodnoty'!$B$13,$H111=AS$4),SUM($I111,$L111,$O111,$R111),"")</f>
        <v/>
      </c>
      <c r="AT111" s="39" t="str">
        <f>IF(AND($G111='Povolené hodnoty'!$B$14,$H111=AT$4),SUM($I111,$L111,$O111,$R111),"")</f>
        <v/>
      </c>
      <c r="AU111" s="458" t="str">
        <f>IF(AND($G111='Povolené hodnoty'!$B$14,$H111=AU$4),SUM($I111,$L111,$O111,$R111),"")</f>
        <v/>
      </c>
      <c r="AV111" s="41" t="str">
        <f>IF(AND($G111='Povolené hodnoty'!$B$14,$H111=AV$4),SUM($I111,$L111,$O111,$R111),"")</f>
        <v/>
      </c>
      <c r="AW111" s="39" t="str">
        <f>IF(AND($G111='Povolené hodnoty'!$B$13,$H111=AW$4),SUM($J111,$M111,$P111,$S111),"")</f>
        <v/>
      </c>
      <c r="AX111" s="458" t="str">
        <f>IF(AND($G111='Povolené hodnoty'!$B$13,$H111=AX$4),SUM($J111,$M111,$P111,$S111),"")</f>
        <v/>
      </c>
      <c r="AY111" s="458" t="str">
        <f>IF(AND($G111='Povolené hodnoty'!$B$13,$H111=AY$4),SUM($J111,$M111,$P111,$S111),"")</f>
        <v/>
      </c>
      <c r="AZ111" s="458" t="str">
        <f>IF(AND($G111='Povolené hodnoty'!$B$13,$H111=AZ$4),SUM($J111,$M111,$P111,$S111),"")</f>
        <v/>
      </c>
      <c r="BA111" s="458" t="str">
        <f>IF(AND($G111='Povolené hodnoty'!$B$13,$H111=BA$4),SUM($J111,$M111,$P111,$S111),"")</f>
        <v/>
      </c>
      <c r="BB111" s="40" t="str">
        <f>IF(AND($G111='Povolené hodnoty'!$B$13,$H111=BB$4),SUM($J111,$M111,$P111,$S111),"")</f>
        <v/>
      </c>
      <c r="BC111" s="40" t="str">
        <f>IF(AND($G111='Povolené hodnoty'!$B$13,$H111=BC$4),SUM($J111,$M111,$P111,$S111),"")</f>
        <v/>
      </c>
      <c r="BD111" s="40" t="str">
        <f>IF(AND($G111='Povolené hodnoty'!$B$13,$H111=BD$4),SUM($J111,$M111,$P111,$S111),"")</f>
        <v/>
      </c>
      <c r="BE111" s="41" t="str">
        <f>IF(AND($G111='Povolené hodnoty'!$B$13,$H111=BE$4),SUM($J111,$M111,$P111,$S111),"")</f>
        <v/>
      </c>
      <c r="BF111" s="39" t="str">
        <f>IF(AND($G111='Povolené hodnoty'!$B$14,$H111=BF$4),SUM($J111,$M111,$P111,$S111),"")</f>
        <v/>
      </c>
      <c r="BG111" s="458" t="str">
        <f>IF(AND($G111='Povolené hodnoty'!$B$14,$H111=BG$4),SUM($J111,$M111,$P111,$S111),"")</f>
        <v/>
      </c>
      <c r="BH111" s="458" t="str">
        <f>IF(AND($G111='Povolené hodnoty'!$B$14,$H111=BH$4),SUM($J111,$M111,$P111,$S111),"")</f>
        <v/>
      </c>
      <c r="BI111" s="458" t="str">
        <f>IF(AND($G111='Povolené hodnoty'!$B$14,$H111=BI$4),SUM($J111,$M111,$P111,$S111),"")</f>
        <v/>
      </c>
      <c r="BJ111" s="458" t="str">
        <f>IF(AND($G111='Povolené hodnoty'!$B$14,$H111=BJ$4),SUM($J111,$M111,$P111,$S111),"")</f>
        <v/>
      </c>
      <c r="BK111" s="40" t="str">
        <f>IF(AND($G111='Povolené hodnoty'!$B$14,$H111=BK$4),SUM($J111,$M111,$P111,$S111),"")</f>
        <v/>
      </c>
      <c r="BL111" s="40" t="str">
        <f>IF(AND($G111='Povolené hodnoty'!$B$14,$H111=BL$4),SUM($J111,$M111,$P111,$S111),"")</f>
        <v/>
      </c>
      <c r="BM111" s="41" t="str">
        <f>IF(AND($G111='Povolené hodnoty'!$B$14,$H111=BM$4),SUM($J111,$M111,$P111,$S111),"")</f>
        <v/>
      </c>
      <c r="BO111" s="18" t="b">
        <f t="shared" si="71"/>
        <v>0</v>
      </c>
      <c r="BP111" s="18" t="b">
        <f t="shared" si="42"/>
        <v>0</v>
      </c>
      <c r="BQ111" s="18" t="b">
        <f>AND(E111&lt;&gt;'Povolené hodnoty'!$B$6,F111&lt;&gt;'Povolené hodnoty'!$D$7,F111&lt;&gt;'Povolené hodnoty'!$D$8,OR(SUM(I111,L111,O111,R111)&lt;&gt;SUM(W111:X111,AA111:AG111),SUM(J111,M111,P111,S111)&lt;&gt;SUM(Y111:Z111,AH111:AK111),COUNT(I111:J111,L111:M111,O111:P111,R111:S111)&lt;&gt;COUNT(W111:AK111)))</f>
        <v>0</v>
      </c>
      <c r="BR111" s="18" t="b">
        <f>OR(AND(E111='Povolené hodnoty'!$B$6,$BR$5),AND(E111='Povolené hodnoty'!$B$6,H111&lt;&gt;'Povolené hodnoty'!$E$26,H111&lt;&gt;'Povolené hodnoty'!$E$35),AND(E111&lt;&gt;'Povolené hodnoty'!$B$6,OR(H111='Povolené hodnoty'!$E$26,H111='Povolené hodnoty'!$E$35)))</f>
        <v>0</v>
      </c>
      <c r="BS111" s="18" t="b">
        <f>OR(AND(G111&lt;&gt;'Povolené hodnoty'!$B$13,OR(H111='Povolené hodnoty'!$E$21,H111='Povolené hodnoty'!$E$22,H111='Povolené hodnoty'!$E$23,H111='Povolené hodnoty'!$E$24,H111='Povolené hodnoty'!$E$26,H111='Povolené hodnoty'!$E$36)),COUNT(I111:J111,L111:M111,O111:P111,R111:S111)&lt;&gt;COUNT(AL111:BM111))</f>
        <v>0</v>
      </c>
      <c r="BT111" s="18" t="b">
        <f t="shared" si="43"/>
        <v>0</v>
      </c>
      <c r="BV111" s="39" t="str">
        <f t="shared" si="44"/>
        <v/>
      </c>
      <c r="BW111" s="458" t="str">
        <f t="shared" si="45"/>
        <v/>
      </c>
      <c r="BX111" s="458" t="str">
        <f t="shared" si="46"/>
        <v/>
      </c>
      <c r="BY111" s="458" t="str">
        <f t="shared" si="47"/>
        <v/>
      </c>
      <c r="BZ111" s="458" t="str">
        <f t="shared" si="48"/>
        <v/>
      </c>
      <c r="CA111" s="40" t="str">
        <f t="shared" si="49"/>
        <v/>
      </c>
      <c r="CB111" s="40" t="str">
        <f t="shared" si="50"/>
        <v/>
      </c>
      <c r="CC111" s="39" t="str">
        <f t="shared" si="51"/>
        <v/>
      </c>
      <c r="CD111" s="458" t="str">
        <f t="shared" si="52"/>
        <v/>
      </c>
      <c r="CE111" s="41" t="str">
        <f t="shared" si="53"/>
        <v/>
      </c>
      <c r="CF111" s="39" t="str">
        <f t="shared" si="54"/>
        <v/>
      </c>
      <c r="CG111" s="458" t="str">
        <f t="shared" si="55"/>
        <v/>
      </c>
      <c r="CH111" s="458" t="str">
        <f t="shared" si="56"/>
        <v/>
      </c>
      <c r="CI111" s="458" t="str">
        <f t="shared" si="57"/>
        <v/>
      </c>
      <c r="CJ111" s="458" t="str">
        <f t="shared" si="58"/>
        <v/>
      </c>
      <c r="CK111" s="40" t="str">
        <f t="shared" si="59"/>
        <v/>
      </c>
      <c r="CL111" s="40" t="str">
        <f t="shared" si="60"/>
        <v/>
      </c>
      <c r="CM111" s="40" t="str">
        <f t="shared" si="61"/>
        <v/>
      </c>
      <c r="CN111" s="39" t="str">
        <f t="shared" si="62"/>
        <v/>
      </c>
      <c r="CO111" s="458" t="str">
        <f t="shared" si="63"/>
        <v/>
      </c>
      <c r="CP111" s="458" t="str">
        <f t="shared" si="64"/>
        <v/>
      </c>
      <c r="CQ111" s="458" t="str">
        <f t="shared" si="65"/>
        <v/>
      </c>
      <c r="CR111" s="458" t="str">
        <f t="shared" si="66"/>
        <v/>
      </c>
      <c r="CS111" s="40" t="str">
        <f t="shared" si="67"/>
        <v/>
      </c>
      <c r="CT111" s="40" t="str">
        <f t="shared" si="68"/>
        <v/>
      </c>
      <c r="CU111" s="41" t="str">
        <f t="shared" si="69"/>
        <v/>
      </c>
    </row>
    <row r="112" spans="1:99" x14ac:dyDescent="0.2">
      <c r="A112" s="77">
        <f t="shared" si="70"/>
        <v>107</v>
      </c>
      <c r="B112" s="81"/>
      <c r="C112" s="82"/>
      <c r="D112" s="71"/>
      <c r="E112" s="72"/>
      <c r="F112" s="73"/>
      <c r="G112" s="443"/>
      <c r="H112" s="443"/>
      <c r="I112" s="74"/>
      <c r="J112" s="75"/>
      <c r="K112" s="41">
        <f t="shared" si="74"/>
        <v>3625</v>
      </c>
      <c r="L112" s="104"/>
      <c r="M112" s="105"/>
      <c r="N112" s="106">
        <f t="shared" si="75"/>
        <v>537.05999999999995</v>
      </c>
      <c r="O112" s="104"/>
      <c r="P112" s="105"/>
      <c r="Q112" s="106">
        <f t="shared" si="72"/>
        <v>10045.83</v>
      </c>
      <c r="R112" s="104"/>
      <c r="S112" s="105"/>
      <c r="T112" s="106">
        <f t="shared" si="73"/>
        <v>0</v>
      </c>
      <c r="U112" s="439"/>
      <c r="V112" s="42">
        <f t="shared" si="41"/>
        <v>107</v>
      </c>
      <c r="W112" s="39" t="str">
        <f>IF(AND(E112='Povolené hodnoty'!$B$4,F112=2),I112+L112+O112+R112,"")</f>
        <v/>
      </c>
      <c r="X112" s="41" t="str">
        <f>IF(AND(E112='Povolené hodnoty'!$B$4,F112=1),I112+L112+O112+R112,"")</f>
        <v/>
      </c>
      <c r="Y112" s="39" t="str">
        <f>IF(AND(E112='Povolené hodnoty'!$B$4,F112=10),J112+M112+P112+S112,"")</f>
        <v/>
      </c>
      <c r="Z112" s="41" t="str">
        <f>IF(AND(E112='Povolené hodnoty'!$B$4,F112=9),J112+M112+P112+S112,"")</f>
        <v/>
      </c>
      <c r="AA112" s="39" t="str">
        <f>IF(AND(E112&lt;&gt;'Povolené hodnoty'!$B$4,F112=2),I112+L112+O112+R112,"")</f>
        <v/>
      </c>
      <c r="AB112" s="40" t="str">
        <f>IF(AND(E112&lt;&gt;'Povolené hodnoty'!$B$4,F112=3),I112+L112+O112+R112,"")</f>
        <v/>
      </c>
      <c r="AC112" s="40" t="str">
        <f>IF(AND(E112&lt;&gt;'Povolené hodnoty'!$B$4,F112=4),I112+L112+O112+R112,"")</f>
        <v/>
      </c>
      <c r="AD112" s="40" t="str">
        <f>IF(AND(E112&lt;&gt;'Povolené hodnoty'!$B$4,F112="5a"),I112-J112+L112-M112+O112-P112+R112-S112,"")</f>
        <v/>
      </c>
      <c r="AE112" s="40" t="str">
        <f>IF(AND(E112&lt;&gt;'Povolené hodnoty'!$B$4,F112="5b"),I112-J112+L112-M112+O112-P112+R112-S112,"")</f>
        <v/>
      </c>
      <c r="AF112" s="40" t="str">
        <f>IF(AND(E112&lt;&gt;'Povolené hodnoty'!$B$4,F112=6),I112+L112+O112+R112,"")</f>
        <v/>
      </c>
      <c r="AG112" s="41" t="str">
        <f>IF(AND(E112&lt;&gt;'Povolené hodnoty'!$B$4,F112=7),I112+L112+O112+R112,"")</f>
        <v/>
      </c>
      <c r="AH112" s="39" t="str">
        <f>IF(AND(E112&lt;&gt;'Povolené hodnoty'!$B$4,F112=10),J112+M112+P112+S112,"")</f>
        <v/>
      </c>
      <c r="AI112" s="40" t="str">
        <f>IF(AND(E112&lt;&gt;'Povolené hodnoty'!$B$4,F112=11),J112+M112+P112+S112,"")</f>
        <v/>
      </c>
      <c r="AJ112" s="40" t="str">
        <f>IF(AND(E112&lt;&gt;'Povolené hodnoty'!$B$4,F112=12),J112+M112+P112+S112,"")</f>
        <v/>
      </c>
      <c r="AK112" s="41" t="str">
        <f>IF(AND(E112&lt;&gt;'Povolené hodnoty'!$B$4,F112=13),J112+M112+P112+S112,"")</f>
        <v/>
      </c>
      <c r="AL112" s="39" t="str">
        <f>IF(AND($G112='Povolené hodnoty'!$B$13,$H112=AL$4),SUM($I112,$L112,$O112,$R112),"")</f>
        <v/>
      </c>
      <c r="AM112" s="458" t="str">
        <f>IF(AND($G112='Povolené hodnoty'!$B$13,$H112=AM$4),SUM($I112,$L112,$O112,$R112),"")</f>
        <v/>
      </c>
      <c r="AN112" s="458" t="str">
        <f>IF(AND($G112='Povolené hodnoty'!$B$13,$H112=AN$4),SUM($I112,$L112,$O112,$R112),"")</f>
        <v/>
      </c>
      <c r="AO112" s="458" t="str">
        <f>IF(AND($G112='Povolené hodnoty'!$B$13,$H112=AO$4),SUM($I112,$L112,$O112,$R112),"")</f>
        <v/>
      </c>
      <c r="AP112" s="458" t="str">
        <f>IF(AND($G112='Povolené hodnoty'!$B$13,$H112=AP$4),SUM($I112,$L112,$O112,$R112),"")</f>
        <v/>
      </c>
      <c r="AQ112" s="40" t="str">
        <f>IF(AND($G112='Povolené hodnoty'!$B$13,OR($H112=AQ$4,$H112='Povolené hodnoty'!$E$36)),SUM($I112,-$J112,$L112,-$M112,$O112,-$P112,$R112,-$S112),"")</f>
        <v/>
      </c>
      <c r="AR112" s="40" t="str">
        <f>IF(AND($G112='Povolené hodnoty'!$B$13,$H112=AR$4),SUM($I112,$L112,$O112,$R112),"")</f>
        <v/>
      </c>
      <c r="AS112" s="41" t="str">
        <f>IF(AND($G112='Povolené hodnoty'!$B$13,$H112=AS$4),SUM($I112,$L112,$O112,$R112),"")</f>
        <v/>
      </c>
      <c r="AT112" s="39" t="str">
        <f>IF(AND($G112='Povolené hodnoty'!$B$14,$H112=AT$4),SUM($I112,$L112,$O112,$R112),"")</f>
        <v/>
      </c>
      <c r="AU112" s="458" t="str">
        <f>IF(AND($G112='Povolené hodnoty'!$B$14,$H112=AU$4),SUM($I112,$L112,$O112,$R112),"")</f>
        <v/>
      </c>
      <c r="AV112" s="41" t="str">
        <f>IF(AND($G112='Povolené hodnoty'!$B$14,$H112=AV$4),SUM($I112,$L112,$O112,$R112),"")</f>
        <v/>
      </c>
      <c r="AW112" s="39" t="str">
        <f>IF(AND($G112='Povolené hodnoty'!$B$13,$H112=AW$4),SUM($J112,$M112,$P112,$S112),"")</f>
        <v/>
      </c>
      <c r="AX112" s="458" t="str">
        <f>IF(AND($G112='Povolené hodnoty'!$B$13,$H112=AX$4),SUM($J112,$M112,$P112,$S112),"")</f>
        <v/>
      </c>
      <c r="AY112" s="458" t="str">
        <f>IF(AND($G112='Povolené hodnoty'!$B$13,$H112=AY$4),SUM($J112,$M112,$P112,$S112),"")</f>
        <v/>
      </c>
      <c r="AZ112" s="458" t="str">
        <f>IF(AND($G112='Povolené hodnoty'!$B$13,$H112=AZ$4),SUM($J112,$M112,$P112,$S112),"")</f>
        <v/>
      </c>
      <c r="BA112" s="458" t="str">
        <f>IF(AND($G112='Povolené hodnoty'!$B$13,$H112=BA$4),SUM($J112,$M112,$P112,$S112),"")</f>
        <v/>
      </c>
      <c r="BB112" s="40" t="str">
        <f>IF(AND($G112='Povolené hodnoty'!$B$13,$H112=BB$4),SUM($J112,$M112,$P112,$S112),"")</f>
        <v/>
      </c>
      <c r="BC112" s="40" t="str">
        <f>IF(AND($G112='Povolené hodnoty'!$B$13,$H112=BC$4),SUM($J112,$M112,$P112,$S112),"")</f>
        <v/>
      </c>
      <c r="BD112" s="40" t="str">
        <f>IF(AND($G112='Povolené hodnoty'!$B$13,$H112=BD$4),SUM($J112,$M112,$P112,$S112),"")</f>
        <v/>
      </c>
      <c r="BE112" s="41" t="str">
        <f>IF(AND($G112='Povolené hodnoty'!$B$13,$H112=BE$4),SUM($J112,$M112,$P112,$S112),"")</f>
        <v/>
      </c>
      <c r="BF112" s="39" t="str">
        <f>IF(AND($G112='Povolené hodnoty'!$B$14,$H112=BF$4),SUM($J112,$M112,$P112,$S112),"")</f>
        <v/>
      </c>
      <c r="BG112" s="458" t="str">
        <f>IF(AND($G112='Povolené hodnoty'!$B$14,$H112=BG$4),SUM($J112,$M112,$P112,$S112),"")</f>
        <v/>
      </c>
      <c r="BH112" s="458" t="str">
        <f>IF(AND($G112='Povolené hodnoty'!$B$14,$H112=BH$4),SUM($J112,$M112,$P112,$S112),"")</f>
        <v/>
      </c>
      <c r="BI112" s="458" t="str">
        <f>IF(AND($G112='Povolené hodnoty'!$B$14,$H112=BI$4),SUM($J112,$M112,$P112,$S112),"")</f>
        <v/>
      </c>
      <c r="BJ112" s="458" t="str">
        <f>IF(AND($G112='Povolené hodnoty'!$B$14,$H112=BJ$4),SUM($J112,$M112,$P112,$S112),"")</f>
        <v/>
      </c>
      <c r="BK112" s="40" t="str">
        <f>IF(AND($G112='Povolené hodnoty'!$B$14,$H112=BK$4),SUM($J112,$M112,$P112,$S112),"")</f>
        <v/>
      </c>
      <c r="BL112" s="40" t="str">
        <f>IF(AND($G112='Povolené hodnoty'!$B$14,$H112=BL$4),SUM($J112,$M112,$P112,$S112),"")</f>
        <v/>
      </c>
      <c r="BM112" s="41" t="str">
        <f>IF(AND($G112='Povolené hodnoty'!$B$14,$H112=BM$4),SUM($J112,$M112,$P112,$S112),"")</f>
        <v/>
      </c>
      <c r="BO112" s="18" t="b">
        <f t="shared" si="71"/>
        <v>0</v>
      </c>
      <c r="BP112" s="18" t="b">
        <f t="shared" si="42"/>
        <v>0</v>
      </c>
      <c r="BQ112" s="18" t="b">
        <f>AND(E112&lt;&gt;'Povolené hodnoty'!$B$6,F112&lt;&gt;'Povolené hodnoty'!$D$7,F112&lt;&gt;'Povolené hodnoty'!$D$8,OR(SUM(I112,L112,O112,R112)&lt;&gt;SUM(W112:X112,AA112:AG112),SUM(J112,M112,P112,S112)&lt;&gt;SUM(Y112:Z112,AH112:AK112),COUNT(I112:J112,L112:M112,O112:P112,R112:S112)&lt;&gt;COUNT(W112:AK112)))</f>
        <v>0</v>
      </c>
      <c r="BR112" s="18" t="b">
        <f>OR(AND(E112='Povolené hodnoty'!$B$6,$BR$5),AND(E112='Povolené hodnoty'!$B$6,H112&lt;&gt;'Povolené hodnoty'!$E$26,H112&lt;&gt;'Povolené hodnoty'!$E$35),AND(E112&lt;&gt;'Povolené hodnoty'!$B$6,OR(H112='Povolené hodnoty'!$E$26,H112='Povolené hodnoty'!$E$35)))</f>
        <v>0</v>
      </c>
      <c r="BS112" s="18" t="b">
        <f>OR(AND(G112&lt;&gt;'Povolené hodnoty'!$B$13,OR(H112='Povolené hodnoty'!$E$21,H112='Povolené hodnoty'!$E$22,H112='Povolené hodnoty'!$E$23,H112='Povolené hodnoty'!$E$24,H112='Povolené hodnoty'!$E$26,H112='Povolené hodnoty'!$E$36)),COUNT(I112:J112,L112:M112,O112:P112,R112:S112)&lt;&gt;COUNT(AL112:BM112))</f>
        <v>0</v>
      </c>
      <c r="BT112" s="18" t="b">
        <f t="shared" si="43"/>
        <v>0</v>
      </c>
      <c r="BV112" s="39" t="str">
        <f t="shared" si="44"/>
        <v/>
      </c>
      <c r="BW112" s="458" t="str">
        <f t="shared" si="45"/>
        <v/>
      </c>
      <c r="BX112" s="458" t="str">
        <f t="shared" si="46"/>
        <v/>
      </c>
      <c r="BY112" s="458" t="str">
        <f t="shared" si="47"/>
        <v/>
      </c>
      <c r="BZ112" s="458" t="str">
        <f t="shared" si="48"/>
        <v/>
      </c>
      <c r="CA112" s="40" t="str">
        <f t="shared" si="49"/>
        <v/>
      </c>
      <c r="CB112" s="40" t="str">
        <f t="shared" si="50"/>
        <v/>
      </c>
      <c r="CC112" s="39" t="str">
        <f t="shared" si="51"/>
        <v/>
      </c>
      <c r="CD112" s="458" t="str">
        <f t="shared" si="52"/>
        <v/>
      </c>
      <c r="CE112" s="41" t="str">
        <f t="shared" si="53"/>
        <v/>
      </c>
      <c r="CF112" s="39" t="str">
        <f t="shared" si="54"/>
        <v/>
      </c>
      <c r="CG112" s="458" t="str">
        <f t="shared" si="55"/>
        <v/>
      </c>
      <c r="CH112" s="458" t="str">
        <f t="shared" si="56"/>
        <v/>
      </c>
      <c r="CI112" s="458" t="str">
        <f t="shared" si="57"/>
        <v/>
      </c>
      <c r="CJ112" s="458" t="str">
        <f t="shared" si="58"/>
        <v/>
      </c>
      <c r="CK112" s="40" t="str">
        <f t="shared" si="59"/>
        <v/>
      </c>
      <c r="CL112" s="40" t="str">
        <f t="shared" si="60"/>
        <v/>
      </c>
      <c r="CM112" s="40" t="str">
        <f t="shared" si="61"/>
        <v/>
      </c>
      <c r="CN112" s="39" t="str">
        <f t="shared" si="62"/>
        <v/>
      </c>
      <c r="CO112" s="458" t="str">
        <f t="shared" si="63"/>
        <v/>
      </c>
      <c r="CP112" s="458" t="str">
        <f t="shared" si="64"/>
        <v/>
      </c>
      <c r="CQ112" s="458" t="str">
        <f t="shared" si="65"/>
        <v/>
      </c>
      <c r="CR112" s="458" t="str">
        <f t="shared" si="66"/>
        <v/>
      </c>
      <c r="CS112" s="40" t="str">
        <f t="shared" si="67"/>
        <v/>
      </c>
      <c r="CT112" s="40" t="str">
        <f t="shared" si="68"/>
        <v/>
      </c>
      <c r="CU112" s="41" t="str">
        <f t="shared" si="69"/>
        <v/>
      </c>
    </row>
    <row r="113" spans="1:99" x14ac:dyDescent="0.2">
      <c r="A113" s="77">
        <f t="shared" si="70"/>
        <v>108</v>
      </c>
      <c r="B113" s="81"/>
      <c r="C113" s="82"/>
      <c r="D113" s="71"/>
      <c r="E113" s="72"/>
      <c r="F113" s="73"/>
      <c r="G113" s="443"/>
      <c r="H113" s="443"/>
      <c r="I113" s="74"/>
      <c r="J113" s="75"/>
      <c r="K113" s="41">
        <f t="shared" si="74"/>
        <v>3625</v>
      </c>
      <c r="L113" s="104"/>
      <c r="M113" s="105"/>
      <c r="N113" s="106">
        <f t="shared" si="75"/>
        <v>537.05999999999995</v>
      </c>
      <c r="O113" s="104"/>
      <c r="P113" s="105"/>
      <c r="Q113" s="106">
        <f t="shared" si="72"/>
        <v>10045.83</v>
      </c>
      <c r="R113" s="104"/>
      <c r="S113" s="105"/>
      <c r="T113" s="106">
        <f t="shared" si="73"/>
        <v>0</v>
      </c>
      <c r="U113" s="439"/>
      <c r="V113" s="42">
        <f t="shared" si="41"/>
        <v>108</v>
      </c>
      <c r="W113" s="39" t="str">
        <f>IF(AND(E113='Povolené hodnoty'!$B$4,F113=2),I113+L113+O113+R113,"")</f>
        <v/>
      </c>
      <c r="X113" s="41" t="str">
        <f>IF(AND(E113='Povolené hodnoty'!$B$4,F113=1),I113+L113+O113+R113,"")</f>
        <v/>
      </c>
      <c r="Y113" s="39" t="str">
        <f>IF(AND(E113='Povolené hodnoty'!$B$4,F113=10),J113+M113+P113+S113,"")</f>
        <v/>
      </c>
      <c r="Z113" s="41" t="str">
        <f>IF(AND(E113='Povolené hodnoty'!$B$4,F113=9),J113+M113+P113+S113,"")</f>
        <v/>
      </c>
      <c r="AA113" s="39" t="str">
        <f>IF(AND(E113&lt;&gt;'Povolené hodnoty'!$B$4,F113=2),I113+L113+O113+R113,"")</f>
        <v/>
      </c>
      <c r="AB113" s="40" t="str">
        <f>IF(AND(E113&lt;&gt;'Povolené hodnoty'!$B$4,F113=3),I113+L113+O113+R113,"")</f>
        <v/>
      </c>
      <c r="AC113" s="40" t="str">
        <f>IF(AND(E113&lt;&gt;'Povolené hodnoty'!$B$4,F113=4),I113+L113+O113+R113,"")</f>
        <v/>
      </c>
      <c r="AD113" s="40" t="str">
        <f>IF(AND(E113&lt;&gt;'Povolené hodnoty'!$B$4,F113="5a"),I113-J113+L113-M113+O113-P113+R113-S113,"")</f>
        <v/>
      </c>
      <c r="AE113" s="40" t="str">
        <f>IF(AND(E113&lt;&gt;'Povolené hodnoty'!$B$4,F113="5b"),I113-J113+L113-M113+O113-P113+R113-S113,"")</f>
        <v/>
      </c>
      <c r="AF113" s="40" t="str">
        <f>IF(AND(E113&lt;&gt;'Povolené hodnoty'!$B$4,F113=6),I113+L113+O113+R113,"")</f>
        <v/>
      </c>
      <c r="AG113" s="41" t="str">
        <f>IF(AND(E113&lt;&gt;'Povolené hodnoty'!$B$4,F113=7),I113+L113+O113+R113,"")</f>
        <v/>
      </c>
      <c r="AH113" s="39" t="str">
        <f>IF(AND(E113&lt;&gt;'Povolené hodnoty'!$B$4,F113=10),J113+M113+P113+S113,"")</f>
        <v/>
      </c>
      <c r="AI113" s="40" t="str">
        <f>IF(AND(E113&lt;&gt;'Povolené hodnoty'!$B$4,F113=11),J113+M113+P113+S113,"")</f>
        <v/>
      </c>
      <c r="AJ113" s="40" t="str">
        <f>IF(AND(E113&lt;&gt;'Povolené hodnoty'!$B$4,F113=12),J113+M113+P113+S113,"")</f>
        <v/>
      </c>
      <c r="AK113" s="41" t="str">
        <f>IF(AND(E113&lt;&gt;'Povolené hodnoty'!$B$4,F113=13),J113+M113+P113+S113,"")</f>
        <v/>
      </c>
      <c r="AL113" s="39" t="str">
        <f>IF(AND($G113='Povolené hodnoty'!$B$13,$H113=AL$4),SUM($I113,$L113,$O113,$R113),"")</f>
        <v/>
      </c>
      <c r="AM113" s="458" t="str">
        <f>IF(AND($G113='Povolené hodnoty'!$B$13,$H113=AM$4),SUM($I113,$L113,$O113,$R113),"")</f>
        <v/>
      </c>
      <c r="AN113" s="458" t="str">
        <f>IF(AND($G113='Povolené hodnoty'!$B$13,$H113=AN$4),SUM($I113,$L113,$O113,$R113),"")</f>
        <v/>
      </c>
      <c r="AO113" s="458" t="str">
        <f>IF(AND($G113='Povolené hodnoty'!$B$13,$H113=AO$4),SUM($I113,$L113,$O113,$R113),"")</f>
        <v/>
      </c>
      <c r="AP113" s="458" t="str">
        <f>IF(AND($G113='Povolené hodnoty'!$B$13,$H113=AP$4),SUM($I113,$L113,$O113,$R113),"")</f>
        <v/>
      </c>
      <c r="AQ113" s="40" t="str">
        <f>IF(AND($G113='Povolené hodnoty'!$B$13,OR($H113=AQ$4,$H113='Povolené hodnoty'!$E$36)),SUM($I113,-$J113,$L113,-$M113,$O113,-$P113,$R113,-$S113),"")</f>
        <v/>
      </c>
      <c r="AR113" s="40" t="str">
        <f>IF(AND($G113='Povolené hodnoty'!$B$13,$H113=AR$4),SUM($I113,$L113,$O113,$R113),"")</f>
        <v/>
      </c>
      <c r="AS113" s="41" t="str">
        <f>IF(AND($G113='Povolené hodnoty'!$B$13,$H113=AS$4),SUM($I113,$L113,$O113,$R113),"")</f>
        <v/>
      </c>
      <c r="AT113" s="39" t="str">
        <f>IF(AND($G113='Povolené hodnoty'!$B$14,$H113=AT$4),SUM($I113,$L113,$O113,$R113),"")</f>
        <v/>
      </c>
      <c r="AU113" s="458" t="str">
        <f>IF(AND($G113='Povolené hodnoty'!$B$14,$H113=AU$4),SUM($I113,$L113,$O113,$R113),"")</f>
        <v/>
      </c>
      <c r="AV113" s="41" t="str">
        <f>IF(AND($G113='Povolené hodnoty'!$B$14,$H113=AV$4),SUM($I113,$L113,$O113,$R113),"")</f>
        <v/>
      </c>
      <c r="AW113" s="39" t="str">
        <f>IF(AND($G113='Povolené hodnoty'!$B$13,$H113=AW$4),SUM($J113,$M113,$P113,$S113),"")</f>
        <v/>
      </c>
      <c r="AX113" s="458" t="str">
        <f>IF(AND($G113='Povolené hodnoty'!$B$13,$H113=AX$4),SUM($J113,$M113,$P113,$S113),"")</f>
        <v/>
      </c>
      <c r="AY113" s="458" t="str">
        <f>IF(AND($G113='Povolené hodnoty'!$B$13,$H113=AY$4),SUM($J113,$M113,$P113,$S113),"")</f>
        <v/>
      </c>
      <c r="AZ113" s="458" t="str">
        <f>IF(AND($G113='Povolené hodnoty'!$B$13,$H113=AZ$4),SUM($J113,$M113,$P113,$S113),"")</f>
        <v/>
      </c>
      <c r="BA113" s="458" t="str">
        <f>IF(AND($G113='Povolené hodnoty'!$B$13,$H113=BA$4),SUM($J113,$M113,$P113,$S113),"")</f>
        <v/>
      </c>
      <c r="BB113" s="40" t="str">
        <f>IF(AND($G113='Povolené hodnoty'!$B$13,$H113=BB$4),SUM($J113,$M113,$P113,$S113),"")</f>
        <v/>
      </c>
      <c r="BC113" s="40" t="str">
        <f>IF(AND($G113='Povolené hodnoty'!$B$13,$H113=BC$4),SUM($J113,$M113,$P113,$S113),"")</f>
        <v/>
      </c>
      <c r="BD113" s="40" t="str">
        <f>IF(AND($G113='Povolené hodnoty'!$B$13,$H113=BD$4),SUM($J113,$M113,$P113,$S113),"")</f>
        <v/>
      </c>
      <c r="BE113" s="41" t="str">
        <f>IF(AND($G113='Povolené hodnoty'!$B$13,$H113=BE$4),SUM($J113,$M113,$P113,$S113),"")</f>
        <v/>
      </c>
      <c r="BF113" s="39" t="str">
        <f>IF(AND($G113='Povolené hodnoty'!$B$14,$H113=BF$4),SUM($J113,$M113,$P113,$S113),"")</f>
        <v/>
      </c>
      <c r="BG113" s="458" t="str">
        <f>IF(AND($G113='Povolené hodnoty'!$B$14,$H113=BG$4),SUM($J113,$M113,$P113,$S113),"")</f>
        <v/>
      </c>
      <c r="BH113" s="458" t="str">
        <f>IF(AND($G113='Povolené hodnoty'!$B$14,$H113=BH$4),SUM($J113,$M113,$P113,$S113),"")</f>
        <v/>
      </c>
      <c r="BI113" s="458" t="str">
        <f>IF(AND($G113='Povolené hodnoty'!$B$14,$H113=BI$4),SUM($J113,$M113,$P113,$S113),"")</f>
        <v/>
      </c>
      <c r="BJ113" s="458" t="str">
        <f>IF(AND($G113='Povolené hodnoty'!$B$14,$H113=BJ$4),SUM($J113,$M113,$P113,$S113),"")</f>
        <v/>
      </c>
      <c r="BK113" s="40" t="str">
        <f>IF(AND($G113='Povolené hodnoty'!$B$14,$H113=BK$4),SUM($J113,$M113,$P113,$S113),"")</f>
        <v/>
      </c>
      <c r="BL113" s="40" t="str">
        <f>IF(AND($G113='Povolené hodnoty'!$B$14,$H113=BL$4),SUM($J113,$M113,$P113,$S113),"")</f>
        <v/>
      </c>
      <c r="BM113" s="41" t="str">
        <f>IF(AND($G113='Povolené hodnoty'!$B$14,$H113=BM$4),SUM($J113,$M113,$P113,$S113),"")</f>
        <v/>
      </c>
      <c r="BO113" s="18" t="b">
        <f t="shared" si="71"/>
        <v>0</v>
      </c>
      <c r="BP113" s="18" t="b">
        <f t="shared" si="42"/>
        <v>0</v>
      </c>
      <c r="BQ113" s="18" t="b">
        <f>AND(E113&lt;&gt;'Povolené hodnoty'!$B$6,F113&lt;&gt;'Povolené hodnoty'!$D$7,F113&lt;&gt;'Povolené hodnoty'!$D$8,OR(SUM(I113,L113,O113,R113)&lt;&gt;SUM(W113:X113,AA113:AG113),SUM(J113,M113,P113,S113)&lt;&gt;SUM(Y113:Z113,AH113:AK113),COUNT(I113:J113,L113:M113,O113:P113,R113:S113)&lt;&gt;COUNT(W113:AK113)))</f>
        <v>0</v>
      </c>
      <c r="BR113" s="18" t="b">
        <f>OR(AND(E113='Povolené hodnoty'!$B$6,$BR$5),AND(E113='Povolené hodnoty'!$B$6,H113&lt;&gt;'Povolené hodnoty'!$E$26,H113&lt;&gt;'Povolené hodnoty'!$E$35),AND(E113&lt;&gt;'Povolené hodnoty'!$B$6,OR(H113='Povolené hodnoty'!$E$26,H113='Povolené hodnoty'!$E$35)))</f>
        <v>0</v>
      </c>
      <c r="BS113" s="18" t="b">
        <f>OR(AND(G113&lt;&gt;'Povolené hodnoty'!$B$13,OR(H113='Povolené hodnoty'!$E$21,H113='Povolené hodnoty'!$E$22,H113='Povolené hodnoty'!$E$23,H113='Povolené hodnoty'!$E$24,H113='Povolené hodnoty'!$E$26,H113='Povolené hodnoty'!$E$36)),COUNT(I113:J113,L113:M113,O113:P113,R113:S113)&lt;&gt;COUNT(AL113:BM113))</f>
        <v>0</v>
      </c>
      <c r="BT113" s="18" t="b">
        <f t="shared" si="43"/>
        <v>0</v>
      </c>
      <c r="BV113" s="39" t="str">
        <f t="shared" si="44"/>
        <v/>
      </c>
      <c r="BW113" s="458" t="str">
        <f t="shared" si="45"/>
        <v/>
      </c>
      <c r="BX113" s="458" t="str">
        <f t="shared" si="46"/>
        <v/>
      </c>
      <c r="BY113" s="458" t="str">
        <f t="shared" si="47"/>
        <v/>
      </c>
      <c r="BZ113" s="458" t="str">
        <f t="shared" si="48"/>
        <v/>
      </c>
      <c r="CA113" s="40" t="str">
        <f t="shared" si="49"/>
        <v/>
      </c>
      <c r="CB113" s="40" t="str">
        <f t="shared" si="50"/>
        <v/>
      </c>
      <c r="CC113" s="39" t="str">
        <f t="shared" si="51"/>
        <v/>
      </c>
      <c r="CD113" s="458" t="str">
        <f t="shared" si="52"/>
        <v/>
      </c>
      <c r="CE113" s="41" t="str">
        <f t="shared" si="53"/>
        <v/>
      </c>
      <c r="CF113" s="39" t="str">
        <f t="shared" si="54"/>
        <v/>
      </c>
      <c r="CG113" s="458" t="str">
        <f t="shared" si="55"/>
        <v/>
      </c>
      <c r="CH113" s="458" t="str">
        <f t="shared" si="56"/>
        <v/>
      </c>
      <c r="CI113" s="458" t="str">
        <f t="shared" si="57"/>
        <v/>
      </c>
      <c r="CJ113" s="458" t="str">
        <f t="shared" si="58"/>
        <v/>
      </c>
      <c r="CK113" s="40" t="str">
        <f t="shared" si="59"/>
        <v/>
      </c>
      <c r="CL113" s="40" t="str">
        <f t="shared" si="60"/>
        <v/>
      </c>
      <c r="CM113" s="40" t="str">
        <f t="shared" si="61"/>
        <v/>
      </c>
      <c r="CN113" s="39" t="str">
        <f t="shared" si="62"/>
        <v/>
      </c>
      <c r="CO113" s="458" t="str">
        <f t="shared" si="63"/>
        <v/>
      </c>
      <c r="CP113" s="458" t="str">
        <f t="shared" si="64"/>
        <v/>
      </c>
      <c r="CQ113" s="458" t="str">
        <f t="shared" si="65"/>
        <v/>
      </c>
      <c r="CR113" s="458" t="str">
        <f t="shared" si="66"/>
        <v/>
      </c>
      <c r="CS113" s="40" t="str">
        <f t="shared" si="67"/>
        <v/>
      </c>
      <c r="CT113" s="40" t="str">
        <f t="shared" si="68"/>
        <v/>
      </c>
      <c r="CU113" s="41" t="str">
        <f t="shared" si="69"/>
        <v/>
      </c>
    </row>
    <row r="114" spans="1:99" x14ac:dyDescent="0.2">
      <c r="A114" s="77">
        <f t="shared" si="70"/>
        <v>109</v>
      </c>
      <c r="B114" s="81"/>
      <c r="C114" s="82"/>
      <c r="D114" s="71"/>
      <c r="E114" s="72"/>
      <c r="F114" s="73"/>
      <c r="G114" s="443"/>
      <c r="H114" s="443"/>
      <c r="I114" s="74"/>
      <c r="J114" s="75"/>
      <c r="K114" s="41">
        <f t="shared" si="74"/>
        <v>3625</v>
      </c>
      <c r="L114" s="104"/>
      <c r="M114" s="105"/>
      <c r="N114" s="106">
        <f t="shared" si="75"/>
        <v>537.05999999999995</v>
      </c>
      <c r="O114" s="104"/>
      <c r="P114" s="105"/>
      <c r="Q114" s="106">
        <f t="shared" si="72"/>
        <v>10045.83</v>
      </c>
      <c r="R114" s="104"/>
      <c r="S114" s="105"/>
      <c r="T114" s="106">
        <f t="shared" si="73"/>
        <v>0</v>
      </c>
      <c r="U114" s="439"/>
      <c r="V114" s="42">
        <f t="shared" si="41"/>
        <v>109</v>
      </c>
      <c r="W114" s="39" t="str">
        <f>IF(AND(E114='Povolené hodnoty'!$B$4,F114=2),I114+L114+O114+R114,"")</f>
        <v/>
      </c>
      <c r="X114" s="41" t="str">
        <f>IF(AND(E114='Povolené hodnoty'!$B$4,F114=1),I114+L114+O114+R114,"")</f>
        <v/>
      </c>
      <c r="Y114" s="39" t="str">
        <f>IF(AND(E114='Povolené hodnoty'!$B$4,F114=10),J114+M114+P114+S114,"")</f>
        <v/>
      </c>
      <c r="Z114" s="41" t="str">
        <f>IF(AND(E114='Povolené hodnoty'!$B$4,F114=9),J114+M114+P114+S114,"")</f>
        <v/>
      </c>
      <c r="AA114" s="39" t="str">
        <f>IF(AND(E114&lt;&gt;'Povolené hodnoty'!$B$4,F114=2),I114+L114+O114+R114,"")</f>
        <v/>
      </c>
      <c r="AB114" s="40" t="str">
        <f>IF(AND(E114&lt;&gt;'Povolené hodnoty'!$B$4,F114=3),I114+L114+O114+R114,"")</f>
        <v/>
      </c>
      <c r="AC114" s="40" t="str">
        <f>IF(AND(E114&lt;&gt;'Povolené hodnoty'!$B$4,F114=4),I114+L114+O114+R114,"")</f>
        <v/>
      </c>
      <c r="AD114" s="40" t="str">
        <f>IF(AND(E114&lt;&gt;'Povolené hodnoty'!$B$4,F114="5a"),I114-J114+L114-M114+O114-P114+R114-S114,"")</f>
        <v/>
      </c>
      <c r="AE114" s="40" t="str">
        <f>IF(AND(E114&lt;&gt;'Povolené hodnoty'!$B$4,F114="5b"),I114-J114+L114-M114+O114-P114+R114-S114,"")</f>
        <v/>
      </c>
      <c r="AF114" s="40" t="str">
        <f>IF(AND(E114&lt;&gt;'Povolené hodnoty'!$B$4,F114=6),I114+L114+O114+R114,"")</f>
        <v/>
      </c>
      <c r="AG114" s="41" t="str">
        <f>IF(AND(E114&lt;&gt;'Povolené hodnoty'!$B$4,F114=7),I114+L114+O114+R114,"")</f>
        <v/>
      </c>
      <c r="AH114" s="39" t="str">
        <f>IF(AND(E114&lt;&gt;'Povolené hodnoty'!$B$4,F114=10),J114+M114+P114+S114,"")</f>
        <v/>
      </c>
      <c r="AI114" s="40" t="str">
        <f>IF(AND(E114&lt;&gt;'Povolené hodnoty'!$B$4,F114=11),J114+M114+P114+S114,"")</f>
        <v/>
      </c>
      <c r="AJ114" s="40" t="str">
        <f>IF(AND(E114&lt;&gt;'Povolené hodnoty'!$B$4,F114=12),J114+M114+P114+S114,"")</f>
        <v/>
      </c>
      <c r="AK114" s="41" t="str">
        <f>IF(AND(E114&lt;&gt;'Povolené hodnoty'!$B$4,F114=13),J114+M114+P114+S114,"")</f>
        <v/>
      </c>
      <c r="AL114" s="39" t="str">
        <f>IF(AND($G114='Povolené hodnoty'!$B$13,$H114=AL$4),SUM($I114,$L114,$O114,$R114),"")</f>
        <v/>
      </c>
      <c r="AM114" s="458" t="str">
        <f>IF(AND($G114='Povolené hodnoty'!$B$13,$H114=AM$4),SUM($I114,$L114,$O114,$R114),"")</f>
        <v/>
      </c>
      <c r="AN114" s="458" t="str">
        <f>IF(AND($G114='Povolené hodnoty'!$B$13,$H114=AN$4),SUM($I114,$L114,$O114,$R114),"")</f>
        <v/>
      </c>
      <c r="AO114" s="458" t="str">
        <f>IF(AND($G114='Povolené hodnoty'!$B$13,$H114=AO$4),SUM($I114,$L114,$O114,$R114),"")</f>
        <v/>
      </c>
      <c r="AP114" s="458" t="str">
        <f>IF(AND($G114='Povolené hodnoty'!$B$13,$H114=AP$4),SUM($I114,$L114,$O114,$R114),"")</f>
        <v/>
      </c>
      <c r="AQ114" s="40" t="str">
        <f>IF(AND($G114='Povolené hodnoty'!$B$13,OR($H114=AQ$4,$H114='Povolené hodnoty'!$E$36)),SUM($I114,-$J114,$L114,-$M114,$O114,-$P114,$R114,-$S114),"")</f>
        <v/>
      </c>
      <c r="AR114" s="40" t="str">
        <f>IF(AND($G114='Povolené hodnoty'!$B$13,$H114=AR$4),SUM($I114,$L114,$O114,$R114),"")</f>
        <v/>
      </c>
      <c r="AS114" s="41" t="str">
        <f>IF(AND($G114='Povolené hodnoty'!$B$13,$H114=AS$4),SUM($I114,$L114,$O114,$R114),"")</f>
        <v/>
      </c>
      <c r="AT114" s="39" t="str">
        <f>IF(AND($G114='Povolené hodnoty'!$B$14,$H114=AT$4),SUM($I114,$L114,$O114,$R114),"")</f>
        <v/>
      </c>
      <c r="AU114" s="458" t="str">
        <f>IF(AND($G114='Povolené hodnoty'!$B$14,$H114=AU$4),SUM($I114,$L114,$O114,$R114),"")</f>
        <v/>
      </c>
      <c r="AV114" s="41" t="str">
        <f>IF(AND($G114='Povolené hodnoty'!$B$14,$H114=AV$4),SUM($I114,$L114,$O114,$R114),"")</f>
        <v/>
      </c>
      <c r="AW114" s="39" t="str">
        <f>IF(AND($G114='Povolené hodnoty'!$B$13,$H114=AW$4),SUM($J114,$M114,$P114,$S114),"")</f>
        <v/>
      </c>
      <c r="AX114" s="458" t="str">
        <f>IF(AND($G114='Povolené hodnoty'!$B$13,$H114=AX$4),SUM($J114,$M114,$P114,$S114),"")</f>
        <v/>
      </c>
      <c r="AY114" s="458" t="str">
        <f>IF(AND($G114='Povolené hodnoty'!$B$13,$H114=AY$4),SUM($J114,$M114,$P114,$S114),"")</f>
        <v/>
      </c>
      <c r="AZ114" s="458" t="str">
        <f>IF(AND($G114='Povolené hodnoty'!$B$13,$H114=AZ$4),SUM($J114,$M114,$P114,$S114),"")</f>
        <v/>
      </c>
      <c r="BA114" s="458" t="str">
        <f>IF(AND($G114='Povolené hodnoty'!$B$13,$H114=BA$4),SUM($J114,$M114,$P114,$S114),"")</f>
        <v/>
      </c>
      <c r="BB114" s="40" t="str">
        <f>IF(AND($G114='Povolené hodnoty'!$B$13,$H114=BB$4),SUM($J114,$M114,$P114,$S114),"")</f>
        <v/>
      </c>
      <c r="BC114" s="40" t="str">
        <f>IF(AND($G114='Povolené hodnoty'!$B$13,$H114=BC$4),SUM($J114,$M114,$P114,$S114),"")</f>
        <v/>
      </c>
      <c r="BD114" s="40" t="str">
        <f>IF(AND($G114='Povolené hodnoty'!$B$13,$H114=BD$4),SUM($J114,$M114,$P114,$S114),"")</f>
        <v/>
      </c>
      <c r="BE114" s="41" t="str">
        <f>IF(AND($G114='Povolené hodnoty'!$B$13,$H114=BE$4),SUM($J114,$M114,$P114,$S114),"")</f>
        <v/>
      </c>
      <c r="BF114" s="39" t="str">
        <f>IF(AND($G114='Povolené hodnoty'!$B$14,$H114=BF$4),SUM($J114,$M114,$P114,$S114),"")</f>
        <v/>
      </c>
      <c r="BG114" s="458" t="str">
        <f>IF(AND($G114='Povolené hodnoty'!$B$14,$H114=BG$4),SUM($J114,$M114,$P114,$S114),"")</f>
        <v/>
      </c>
      <c r="BH114" s="458" t="str">
        <f>IF(AND($G114='Povolené hodnoty'!$B$14,$H114=BH$4),SUM($J114,$M114,$P114,$S114),"")</f>
        <v/>
      </c>
      <c r="BI114" s="458" t="str">
        <f>IF(AND($G114='Povolené hodnoty'!$B$14,$H114=BI$4),SUM($J114,$M114,$P114,$S114),"")</f>
        <v/>
      </c>
      <c r="BJ114" s="458" t="str">
        <f>IF(AND($G114='Povolené hodnoty'!$B$14,$H114=BJ$4),SUM($J114,$M114,$P114,$S114),"")</f>
        <v/>
      </c>
      <c r="BK114" s="40" t="str">
        <f>IF(AND($G114='Povolené hodnoty'!$B$14,$H114=BK$4),SUM($J114,$M114,$P114,$S114),"")</f>
        <v/>
      </c>
      <c r="BL114" s="40" t="str">
        <f>IF(AND($G114='Povolené hodnoty'!$B$14,$H114=BL$4),SUM($J114,$M114,$P114,$S114),"")</f>
        <v/>
      </c>
      <c r="BM114" s="41" t="str">
        <f>IF(AND($G114='Povolené hodnoty'!$B$14,$H114=BM$4),SUM($J114,$M114,$P114,$S114),"")</f>
        <v/>
      </c>
      <c r="BO114" s="18" t="b">
        <f t="shared" si="71"/>
        <v>0</v>
      </c>
      <c r="BP114" s="18" t="b">
        <f t="shared" si="42"/>
        <v>0</v>
      </c>
      <c r="BQ114" s="18" t="b">
        <f>AND(E114&lt;&gt;'Povolené hodnoty'!$B$6,F114&lt;&gt;'Povolené hodnoty'!$D$7,F114&lt;&gt;'Povolené hodnoty'!$D$8,OR(SUM(I114,L114,O114,R114)&lt;&gt;SUM(W114:X114,AA114:AG114),SUM(J114,M114,P114,S114)&lt;&gt;SUM(Y114:Z114,AH114:AK114),COUNT(I114:J114,L114:M114,O114:P114,R114:S114)&lt;&gt;COUNT(W114:AK114)))</f>
        <v>0</v>
      </c>
      <c r="BR114" s="18" t="b">
        <f>OR(AND(E114='Povolené hodnoty'!$B$6,$BR$5),AND(E114='Povolené hodnoty'!$B$6,H114&lt;&gt;'Povolené hodnoty'!$E$26,H114&lt;&gt;'Povolené hodnoty'!$E$35),AND(E114&lt;&gt;'Povolené hodnoty'!$B$6,OR(H114='Povolené hodnoty'!$E$26,H114='Povolené hodnoty'!$E$35)))</f>
        <v>0</v>
      </c>
      <c r="BS114" s="18" t="b">
        <f>OR(AND(G114&lt;&gt;'Povolené hodnoty'!$B$13,OR(H114='Povolené hodnoty'!$E$21,H114='Povolené hodnoty'!$E$22,H114='Povolené hodnoty'!$E$23,H114='Povolené hodnoty'!$E$24,H114='Povolené hodnoty'!$E$26,H114='Povolené hodnoty'!$E$36)),COUNT(I114:J114,L114:M114,O114:P114,R114:S114)&lt;&gt;COUNT(AL114:BM114))</f>
        <v>0</v>
      </c>
      <c r="BT114" s="18" t="b">
        <f t="shared" si="43"/>
        <v>0</v>
      </c>
      <c r="BV114" s="39" t="str">
        <f t="shared" si="44"/>
        <v/>
      </c>
      <c r="BW114" s="458" t="str">
        <f t="shared" si="45"/>
        <v/>
      </c>
      <c r="BX114" s="458" t="str">
        <f t="shared" si="46"/>
        <v/>
      </c>
      <c r="BY114" s="458" t="str">
        <f t="shared" si="47"/>
        <v/>
      </c>
      <c r="BZ114" s="458" t="str">
        <f t="shared" si="48"/>
        <v/>
      </c>
      <c r="CA114" s="40" t="str">
        <f t="shared" si="49"/>
        <v/>
      </c>
      <c r="CB114" s="40" t="str">
        <f t="shared" si="50"/>
        <v/>
      </c>
      <c r="CC114" s="39" t="str">
        <f t="shared" si="51"/>
        <v/>
      </c>
      <c r="CD114" s="458" t="str">
        <f t="shared" si="52"/>
        <v/>
      </c>
      <c r="CE114" s="41" t="str">
        <f t="shared" si="53"/>
        <v/>
      </c>
      <c r="CF114" s="39" t="str">
        <f t="shared" si="54"/>
        <v/>
      </c>
      <c r="CG114" s="458" t="str">
        <f t="shared" si="55"/>
        <v/>
      </c>
      <c r="CH114" s="458" t="str">
        <f t="shared" si="56"/>
        <v/>
      </c>
      <c r="CI114" s="458" t="str">
        <f t="shared" si="57"/>
        <v/>
      </c>
      <c r="CJ114" s="458" t="str">
        <f t="shared" si="58"/>
        <v/>
      </c>
      <c r="CK114" s="40" t="str">
        <f t="shared" si="59"/>
        <v/>
      </c>
      <c r="CL114" s="40" t="str">
        <f t="shared" si="60"/>
        <v/>
      </c>
      <c r="CM114" s="40" t="str">
        <f t="shared" si="61"/>
        <v/>
      </c>
      <c r="CN114" s="39" t="str">
        <f t="shared" si="62"/>
        <v/>
      </c>
      <c r="CO114" s="458" t="str">
        <f t="shared" si="63"/>
        <v/>
      </c>
      <c r="CP114" s="458" t="str">
        <f t="shared" si="64"/>
        <v/>
      </c>
      <c r="CQ114" s="458" t="str">
        <f t="shared" si="65"/>
        <v/>
      </c>
      <c r="CR114" s="458" t="str">
        <f t="shared" si="66"/>
        <v/>
      </c>
      <c r="CS114" s="40" t="str">
        <f t="shared" si="67"/>
        <v/>
      </c>
      <c r="CT114" s="40" t="str">
        <f t="shared" si="68"/>
        <v/>
      </c>
      <c r="CU114" s="41" t="str">
        <f t="shared" si="69"/>
        <v/>
      </c>
    </row>
    <row r="115" spans="1:99" x14ac:dyDescent="0.2">
      <c r="A115" s="77">
        <f t="shared" si="70"/>
        <v>110</v>
      </c>
      <c r="B115" s="81"/>
      <c r="C115" s="82"/>
      <c r="D115" s="71"/>
      <c r="E115" s="72"/>
      <c r="F115" s="73"/>
      <c r="G115" s="443"/>
      <c r="H115" s="443"/>
      <c r="I115" s="74"/>
      <c r="J115" s="75"/>
      <c r="K115" s="41">
        <f t="shared" si="74"/>
        <v>3625</v>
      </c>
      <c r="L115" s="104"/>
      <c r="M115" s="105"/>
      <c r="N115" s="106">
        <f t="shared" si="75"/>
        <v>537.05999999999995</v>
      </c>
      <c r="O115" s="104"/>
      <c r="P115" s="105"/>
      <c r="Q115" s="106">
        <f t="shared" si="72"/>
        <v>10045.83</v>
      </c>
      <c r="R115" s="104"/>
      <c r="S115" s="105"/>
      <c r="T115" s="106">
        <f t="shared" si="73"/>
        <v>0</v>
      </c>
      <c r="U115" s="439"/>
      <c r="V115" s="42">
        <f t="shared" si="41"/>
        <v>110</v>
      </c>
      <c r="W115" s="39" t="str">
        <f>IF(AND(E115='Povolené hodnoty'!$B$4,F115=2),I115+L115+O115+R115,"")</f>
        <v/>
      </c>
      <c r="X115" s="41" t="str">
        <f>IF(AND(E115='Povolené hodnoty'!$B$4,F115=1),I115+L115+O115+R115,"")</f>
        <v/>
      </c>
      <c r="Y115" s="39" t="str">
        <f>IF(AND(E115='Povolené hodnoty'!$B$4,F115=10),J115+M115+P115+S115,"")</f>
        <v/>
      </c>
      <c r="Z115" s="41" t="str">
        <f>IF(AND(E115='Povolené hodnoty'!$B$4,F115=9),J115+M115+P115+S115,"")</f>
        <v/>
      </c>
      <c r="AA115" s="39" t="str">
        <f>IF(AND(E115&lt;&gt;'Povolené hodnoty'!$B$4,F115=2),I115+L115+O115+R115,"")</f>
        <v/>
      </c>
      <c r="AB115" s="40" t="str">
        <f>IF(AND(E115&lt;&gt;'Povolené hodnoty'!$B$4,F115=3),I115+L115+O115+R115,"")</f>
        <v/>
      </c>
      <c r="AC115" s="40" t="str">
        <f>IF(AND(E115&lt;&gt;'Povolené hodnoty'!$B$4,F115=4),I115+L115+O115+R115,"")</f>
        <v/>
      </c>
      <c r="AD115" s="40" t="str">
        <f>IF(AND(E115&lt;&gt;'Povolené hodnoty'!$B$4,F115="5a"),I115-J115+L115-M115+O115-P115+R115-S115,"")</f>
        <v/>
      </c>
      <c r="AE115" s="40" t="str">
        <f>IF(AND(E115&lt;&gt;'Povolené hodnoty'!$B$4,F115="5b"),I115-J115+L115-M115+O115-P115+R115-S115,"")</f>
        <v/>
      </c>
      <c r="AF115" s="40" t="str">
        <f>IF(AND(E115&lt;&gt;'Povolené hodnoty'!$B$4,F115=6),I115+L115+O115+R115,"")</f>
        <v/>
      </c>
      <c r="AG115" s="41" t="str">
        <f>IF(AND(E115&lt;&gt;'Povolené hodnoty'!$B$4,F115=7),I115+L115+O115+R115,"")</f>
        <v/>
      </c>
      <c r="AH115" s="39" t="str">
        <f>IF(AND(E115&lt;&gt;'Povolené hodnoty'!$B$4,F115=10),J115+M115+P115+S115,"")</f>
        <v/>
      </c>
      <c r="AI115" s="40" t="str">
        <f>IF(AND(E115&lt;&gt;'Povolené hodnoty'!$B$4,F115=11),J115+M115+P115+S115,"")</f>
        <v/>
      </c>
      <c r="AJ115" s="40" t="str">
        <f>IF(AND(E115&lt;&gt;'Povolené hodnoty'!$B$4,F115=12),J115+M115+P115+S115,"")</f>
        <v/>
      </c>
      <c r="AK115" s="41" t="str">
        <f>IF(AND(E115&lt;&gt;'Povolené hodnoty'!$B$4,F115=13),J115+M115+P115+S115,"")</f>
        <v/>
      </c>
      <c r="AL115" s="39" t="str">
        <f>IF(AND($G115='Povolené hodnoty'!$B$13,$H115=AL$4),SUM($I115,$L115,$O115,$R115),"")</f>
        <v/>
      </c>
      <c r="AM115" s="458" t="str">
        <f>IF(AND($G115='Povolené hodnoty'!$B$13,$H115=AM$4),SUM($I115,$L115,$O115,$R115),"")</f>
        <v/>
      </c>
      <c r="AN115" s="458" t="str">
        <f>IF(AND($G115='Povolené hodnoty'!$B$13,$H115=AN$4),SUM($I115,$L115,$O115,$R115),"")</f>
        <v/>
      </c>
      <c r="AO115" s="458" t="str">
        <f>IF(AND($G115='Povolené hodnoty'!$B$13,$H115=AO$4),SUM($I115,$L115,$O115,$R115),"")</f>
        <v/>
      </c>
      <c r="AP115" s="458" t="str">
        <f>IF(AND($G115='Povolené hodnoty'!$B$13,$H115=AP$4),SUM($I115,$L115,$O115,$R115),"")</f>
        <v/>
      </c>
      <c r="AQ115" s="40" t="str">
        <f>IF(AND($G115='Povolené hodnoty'!$B$13,OR($H115=AQ$4,$H115='Povolené hodnoty'!$E$36)),SUM($I115,-$J115,$L115,-$M115,$O115,-$P115,$R115,-$S115),"")</f>
        <v/>
      </c>
      <c r="AR115" s="40" t="str">
        <f>IF(AND($G115='Povolené hodnoty'!$B$13,$H115=AR$4),SUM($I115,$L115,$O115,$R115),"")</f>
        <v/>
      </c>
      <c r="AS115" s="41" t="str">
        <f>IF(AND($G115='Povolené hodnoty'!$B$13,$H115=AS$4),SUM($I115,$L115,$O115,$R115),"")</f>
        <v/>
      </c>
      <c r="AT115" s="39" t="str">
        <f>IF(AND($G115='Povolené hodnoty'!$B$14,$H115=AT$4),SUM($I115,$L115,$O115,$R115),"")</f>
        <v/>
      </c>
      <c r="AU115" s="458" t="str">
        <f>IF(AND($G115='Povolené hodnoty'!$B$14,$H115=AU$4),SUM($I115,$L115,$O115,$R115),"")</f>
        <v/>
      </c>
      <c r="AV115" s="41" t="str">
        <f>IF(AND($G115='Povolené hodnoty'!$B$14,$H115=AV$4),SUM($I115,$L115,$O115,$R115),"")</f>
        <v/>
      </c>
      <c r="AW115" s="39" t="str">
        <f>IF(AND($G115='Povolené hodnoty'!$B$13,$H115=AW$4),SUM($J115,$M115,$P115,$S115),"")</f>
        <v/>
      </c>
      <c r="AX115" s="458" t="str">
        <f>IF(AND($G115='Povolené hodnoty'!$B$13,$H115=AX$4),SUM($J115,$M115,$P115,$S115),"")</f>
        <v/>
      </c>
      <c r="AY115" s="458" t="str">
        <f>IF(AND($G115='Povolené hodnoty'!$B$13,$H115=AY$4),SUM($J115,$M115,$P115,$S115),"")</f>
        <v/>
      </c>
      <c r="AZ115" s="458" t="str">
        <f>IF(AND($G115='Povolené hodnoty'!$B$13,$H115=AZ$4),SUM($J115,$M115,$P115,$S115),"")</f>
        <v/>
      </c>
      <c r="BA115" s="458" t="str">
        <f>IF(AND($G115='Povolené hodnoty'!$B$13,$H115=BA$4),SUM($J115,$M115,$P115,$S115),"")</f>
        <v/>
      </c>
      <c r="BB115" s="40" t="str">
        <f>IF(AND($G115='Povolené hodnoty'!$B$13,$H115=BB$4),SUM($J115,$M115,$P115,$S115),"")</f>
        <v/>
      </c>
      <c r="BC115" s="40" t="str">
        <f>IF(AND($G115='Povolené hodnoty'!$B$13,$H115=BC$4),SUM($J115,$M115,$P115,$S115),"")</f>
        <v/>
      </c>
      <c r="BD115" s="40" t="str">
        <f>IF(AND($G115='Povolené hodnoty'!$B$13,$H115=BD$4),SUM($J115,$M115,$P115,$S115),"")</f>
        <v/>
      </c>
      <c r="BE115" s="41" t="str">
        <f>IF(AND($G115='Povolené hodnoty'!$B$13,$H115=BE$4),SUM($J115,$M115,$P115,$S115),"")</f>
        <v/>
      </c>
      <c r="BF115" s="39" t="str">
        <f>IF(AND($G115='Povolené hodnoty'!$B$14,$H115=BF$4),SUM($J115,$M115,$P115,$S115),"")</f>
        <v/>
      </c>
      <c r="BG115" s="458" t="str">
        <f>IF(AND($G115='Povolené hodnoty'!$B$14,$H115=BG$4),SUM($J115,$M115,$P115,$S115),"")</f>
        <v/>
      </c>
      <c r="BH115" s="458" t="str">
        <f>IF(AND($G115='Povolené hodnoty'!$B$14,$H115=BH$4),SUM($J115,$M115,$P115,$S115),"")</f>
        <v/>
      </c>
      <c r="BI115" s="458" t="str">
        <f>IF(AND($G115='Povolené hodnoty'!$B$14,$H115=BI$4),SUM($J115,$M115,$P115,$S115),"")</f>
        <v/>
      </c>
      <c r="BJ115" s="458" t="str">
        <f>IF(AND($G115='Povolené hodnoty'!$B$14,$H115=BJ$4),SUM($J115,$M115,$P115,$S115),"")</f>
        <v/>
      </c>
      <c r="BK115" s="40" t="str">
        <f>IF(AND($G115='Povolené hodnoty'!$B$14,$H115=BK$4),SUM($J115,$M115,$P115,$S115),"")</f>
        <v/>
      </c>
      <c r="BL115" s="40" t="str">
        <f>IF(AND($G115='Povolené hodnoty'!$B$14,$H115=BL$4),SUM($J115,$M115,$P115,$S115),"")</f>
        <v/>
      </c>
      <c r="BM115" s="41" t="str">
        <f>IF(AND($G115='Povolené hodnoty'!$B$14,$H115=BM$4),SUM($J115,$M115,$P115,$S115),"")</f>
        <v/>
      </c>
      <c r="BO115" s="18" t="b">
        <f t="shared" si="71"/>
        <v>0</v>
      </c>
      <c r="BP115" s="18" t="b">
        <f t="shared" si="42"/>
        <v>0</v>
      </c>
      <c r="BQ115" s="18" t="b">
        <f>AND(E115&lt;&gt;'Povolené hodnoty'!$B$6,F115&lt;&gt;'Povolené hodnoty'!$D$7,F115&lt;&gt;'Povolené hodnoty'!$D$8,OR(SUM(I115,L115,O115,R115)&lt;&gt;SUM(W115:X115,AA115:AG115),SUM(J115,M115,P115,S115)&lt;&gt;SUM(Y115:Z115,AH115:AK115),COUNT(I115:J115,L115:M115,O115:P115,R115:S115)&lt;&gt;COUNT(W115:AK115)))</f>
        <v>0</v>
      </c>
      <c r="BR115" s="18" t="b">
        <f>OR(AND(E115='Povolené hodnoty'!$B$6,$BR$5),AND(E115='Povolené hodnoty'!$B$6,H115&lt;&gt;'Povolené hodnoty'!$E$26,H115&lt;&gt;'Povolené hodnoty'!$E$35),AND(E115&lt;&gt;'Povolené hodnoty'!$B$6,OR(H115='Povolené hodnoty'!$E$26,H115='Povolené hodnoty'!$E$35)))</f>
        <v>0</v>
      </c>
      <c r="BS115" s="18" t="b">
        <f>OR(AND(G115&lt;&gt;'Povolené hodnoty'!$B$13,OR(H115='Povolené hodnoty'!$E$21,H115='Povolené hodnoty'!$E$22,H115='Povolené hodnoty'!$E$23,H115='Povolené hodnoty'!$E$24,H115='Povolené hodnoty'!$E$26,H115='Povolené hodnoty'!$E$36)),COUNT(I115:J115,L115:M115,O115:P115,R115:S115)&lt;&gt;COUNT(AL115:BM115))</f>
        <v>0</v>
      </c>
      <c r="BT115" s="18" t="b">
        <f t="shared" si="43"/>
        <v>0</v>
      </c>
      <c r="BV115" s="39" t="str">
        <f t="shared" si="44"/>
        <v/>
      </c>
      <c r="BW115" s="458" t="str">
        <f t="shared" si="45"/>
        <v/>
      </c>
      <c r="BX115" s="458" t="str">
        <f t="shared" si="46"/>
        <v/>
      </c>
      <c r="BY115" s="458" t="str">
        <f t="shared" si="47"/>
        <v/>
      </c>
      <c r="BZ115" s="458" t="str">
        <f t="shared" si="48"/>
        <v/>
      </c>
      <c r="CA115" s="40" t="str">
        <f t="shared" si="49"/>
        <v/>
      </c>
      <c r="CB115" s="40" t="str">
        <f t="shared" si="50"/>
        <v/>
      </c>
      <c r="CC115" s="39" t="str">
        <f t="shared" si="51"/>
        <v/>
      </c>
      <c r="CD115" s="458" t="str">
        <f t="shared" si="52"/>
        <v/>
      </c>
      <c r="CE115" s="41" t="str">
        <f t="shared" si="53"/>
        <v/>
      </c>
      <c r="CF115" s="39" t="str">
        <f t="shared" si="54"/>
        <v/>
      </c>
      <c r="CG115" s="458" t="str">
        <f t="shared" si="55"/>
        <v/>
      </c>
      <c r="CH115" s="458" t="str">
        <f t="shared" si="56"/>
        <v/>
      </c>
      <c r="CI115" s="458" t="str">
        <f t="shared" si="57"/>
        <v/>
      </c>
      <c r="CJ115" s="458" t="str">
        <f t="shared" si="58"/>
        <v/>
      </c>
      <c r="CK115" s="40" t="str">
        <f t="shared" si="59"/>
        <v/>
      </c>
      <c r="CL115" s="40" t="str">
        <f t="shared" si="60"/>
        <v/>
      </c>
      <c r="CM115" s="40" t="str">
        <f t="shared" si="61"/>
        <v/>
      </c>
      <c r="CN115" s="39" t="str">
        <f t="shared" si="62"/>
        <v/>
      </c>
      <c r="CO115" s="458" t="str">
        <f t="shared" si="63"/>
        <v/>
      </c>
      <c r="CP115" s="458" t="str">
        <f t="shared" si="64"/>
        <v/>
      </c>
      <c r="CQ115" s="458" t="str">
        <f t="shared" si="65"/>
        <v/>
      </c>
      <c r="CR115" s="458" t="str">
        <f t="shared" si="66"/>
        <v/>
      </c>
      <c r="CS115" s="40" t="str">
        <f t="shared" si="67"/>
        <v/>
      </c>
      <c r="CT115" s="40" t="str">
        <f t="shared" si="68"/>
        <v/>
      </c>
      <c r="CU115" s="41" t="str">
        <f t="shared" si="69"/>
        <v/>
      </c>
    </row>
    <row r="116" spans="1:99" x14ac:dyDescent="0.2">
      <c r="A116" s="77">
        <f t="shared" si="70"/>
        <v>111</v>
      </c>
      <c r="B116" s="81"/>
      <c r="C116" s="82"/>
      <c r="D116" s="71"/>
      <c r="E116" s="72"/>
      <c r="F116" s="73"/>
      <c r="G116" s="443"/>
      <c r="H116" s="443"/>
      <c r="I116" s="74"/>
      <c r="J116" s="75"/>
      <c r="K116" s="41">
        <f t="shared" si="74"/>
        <v>3625</v>
      </c>
      <c r="L116" s="104"/>
      <c r="M116" s="105"/>
      <c r="N116" s="106">
        <f t="shared" si="75"/>
        <v>537.05999999999995</v>
      </c>
      <c r="O116" s="104"/>
      <c r="P116" s="105"/>
      <c r="Q116" s="106">
        <f t="shared" si="72"/>
        <v>10045.83</v>
      </c>
      <c r="R116" s="104"/>
      <c r="S116" s="105"/>
      <c r="T116" s="106">
        <f t="shared" si="73"/>
        <v>0</v>
      </c>
      <c r="U116" s="439"/>
      <c r="V116" s="42">
        <f t="shared" si="41"/>
        <v>111</v>
      </c>
      <c r="W116" s="39" t="str">
        <f>IF(AND(E116='Povolené hodnoty'!$B$4,F116=2),I116+L116+O116+R116,"")</f>
        <v/>
      </c>
      <c r="X116" s="41" t="str">
        <f>IF(AND(E116='Povolené hodnoty'!$B$4,F116=1),I116+L116+O116+R116,"")</f>
        <v/>
      </c>
      <c r="Y116" s="39" t="str">
        <f>IF(AND(E116='Povolené hodnoty'!$B$4,F116=10),J116+M116+P116+S116,"")</f>
        <v/>
      </c>
      <c r="Z116" s="41" t="str">
        <f>IF(AND(E116='Povolené hodnoty'!$B$4,F116=9),J116+M116+P116+S116,"")</f>
        <v/>
      </c>
      <c r="AA116" s="39" t="str">
        <f>IF(AND(E116&lt;&gt;'Povolené hodnoty'!$B$4,F116=2),I116+L116+O116+R116,"")</f>
        <v/>
      </c>
      <c r="AB116" s="40" t="str">
        <f>IF(AND(E116&lt;&gt;'Povolené hodnoty'!$B$4,F116=3),I116+L116+O116+R116,"")</f>
        <v/>
      </c>
      <c r="AC116" s="40" t="str">
        <f>IF(AND(E116&lt;&gt;'Povolené hodnoty'!$B$4,F116=4),I116+L116+O116+R116,"")</f>
        <v/>
      </c>
      <c r="AD116" s="40" t="str">
        <f>IF(AND(E116&lt;&gt;'Povolené hodnoty'!$B$4,F116="5a"),I116-J116+L116-M116+O116-P116+R116-S116,"")</f>
        <v/>
      </c>
      <c r="AE116" s="40" t="str">
        <f>IF(AND(E116&lt;&gt;'Povolené hodnoty'!$B$4,F116="5b"),I116-J116+L116-M116+O116-P116+R116-S116,"")</f>
        <v/>
      </c>
      <c r="AF116" s="40" t="str">
        <f>IF(AND(E116&lt;&gt;'Povolené hodnoty'!$B$4,F116=6),I116+L116+O116+R116,"")</f>
        <v/>
      </c>
      <c r="AG116" s="41" t="str">
        <f>IF(AND(E116&lt;&gt;'Povolené hodnoty'!$B$4,F116=7),I116+L116+O116+R116,"")</f>
        <v/>
      </c>
      <c r="AH116" s="39" t="str">
        <f>IF(AND(E116&lt;&gt;'Povolené hodnoty'!$B$4,F116=10),J116+M116+P116+S116,"")</f>
        <v/>
      </c>
      <c r="AI116" s="40" t="str">
        <f>IF(AND(E116&lt;&gt;'Povolené hodnoty'!$B$4,F116=11),J116+M116+P116+S116,"")</f>
        <v/>
      </c>
      <c r="AJ116" s="40" t="str">
        <f>IF(AND(E116&lt;&gt;'Povolené hodnoty'!$B$4,F116=12),J116+M116+P116+S116,"")</f>
        <v/>
      </c>
      <c r="AK116" s="41" t="str">
        <f>IF(AND(E116&lt;&gt;'Povolené hodnoty'!$B$4,F116=13),J116+M116+P116+S116,"")</f>
        <v/>
      </c>
      <c r="AL116" s="39" t="str">
        <f>IF(AND($G116='Povolené hodnoty'!$B$13,$H116=AL$4),SUM($I116,$L116,$O116,$R116),"")</f>
        <v/>
      </c>
      <c r="AM116" s="458" t="str">
        <f>IF(AND($G116='Povolené hodnoty'!$B$13,$H116=AM$4),SUM($I116,$L116,$O116,$R116),"")</f>
        <v/>
      </c>
      <c r="AN116" s="458" t="str">
        <f>IF(AND($G116='Povolené hodnoty'!$B$13,$H116=AN$4),SUM($I116,$L116,$O116,$R116),"")</f>
        <v/>
      </c>
      <c r="AO116" s="458" t="str">
        <f>IF(AND($G116='Povolené hodnoty'!$B$13,$H116=AO$4),SUM($I116,$L116,$O116,$R116),"")</f>
        <v/>
      </c>
      <c r="AP116" s="458" t="str">
        <f>IF(AND($G116='Povolené hodnoty'!$B$13,$H116=AP$4),SUM($I116,$L116,$O116,$R116),"")</f>
        <v/>
      </c>
      <c r="AQ116" s="40" t="str">
        <f>IF(AND($G116='Povolené hodnoty'!$B$13,OR($H116=AQ$4,$H116='Povolené hodnoty'!$E$36)),SUM($I116,-$J116,$L116,-$M116,$O116,-$P116,$R116,-$S116),"")</f>
        <v/>
      </c>
      <c r="AR116" s="40" t="str">
        <f>IF(AND($G116='Povolené hodnoty'!$B$13,$H116=AR$4),SUM($I116,$L116,$O116,$R116),"")</f>
        <v/>
      </c>
      <c r="AS116" s="41" t="str">
        <f>IF(AND($G116='Povolené hodnoty'!$B$13,$H116=AS$4),SUM($I116,$L116,$O116,$R116),"")</f>
        <v/>
      </c>
      <c r="AT116" s="39" t="str">
        <f>IF(AND($G116='Povolené hodnoty'!$B$14,$H116=AT$4),SUM($I116,$L116,$O116,$R116),"")</f>
        <v/>
      </c>
      <c r="AU116" s="458" t="str">
        <f>IF(AND($G116='Povolené hodnoty'!$B$14,$H116=AU$4),SUM($I116,$L116,$O116,$R116),"")</f>
        <v/>
      </c>
      <c r="AV116" s="41" t="str">
        <f>IF(AND($G116='Povolené hodnoty'!$B$14,$H116=AV$4),SUM($I116,$L116,$O116,$R116),"")</f>
        <v/>
      </c>
      <c r="AW116" s="39" t="str">
        <f>IF(AND($G116='Povolené hodnoty'!$B$13,$H116=AW$4),SUM($J116,$M116,$P116,$S116),"")</f>
        <v/>
      </c>
      <c r="AX116" s="458" t="str">
        <f>IF(AND($G116='Povolené hodnoty'!$B$13,$H116=AX$4),SUM($J116,$M116,$P116,$S116),"")</f>
        <v/>
      </c>
      <c r="AY116" s="458" t="str">
        <f>IF(AND($G116='Povolené hodnoty'!$B$13,$H116=AY$4),SUM($J116,$M116,$P116,$S116),"")</f>
        <v/>
      </c>
      <c r="AZ116" s="458" t="str">
        <f>IF(AND($G116='Povolené hodnoty'!$B$13,$H116=AZ$4),SUM($J116,$M116,$P116,$S116),"")</f>
        <v/>
      </c>
      <c r="BA116" s="458" t="str">
        <f>IF(AND($G116='Povolené hodnoty'!$B$13,$H116=BA$4),SUM($J116,$M116,$P116,$S116),"")</f>
        <v/>
      </c>
      <c r="BB116" s="40" t="str">
        <f>IF(AND($G116='Povolené hodnoty'!$B$13,$H116=BB$4),SUM($J116,$M116,$P116,$S116),"")</f>
        <v/>
      </c>
      <c r="BC116" s="40" t="str">
        <f>IF(AND($G116='Povolené hodnoty'!$B$13,$H116=BC$4),SUM($J116,$M116,$P116,$S116),"")</f>
        <v/>
      </c>
      <c r="BD116" s="40" t="str">
        <f>IF(AND($G116='Povolené hodnoty'!$B$13,$H116=BD$4),SUM($J116,$M116,$P116,$S116),"")</f>
        <v/>
      </c>
      <c r="BE116" s="41" t="str">
        <f>IF(AND($G116='Povolené hodnoty'!$B$13,$H116=BE$4),SUM($J116,$M116,$P116,$S116),"")</f>
        <v/>
      </c>
      <c r="BF116" s="39" t="str">
        <f>IF(AND($G116='Povolené hodnoty'!$B$14,$H116=BF$4),SUM($J116,$M116,$P116,$S116),"")</f>
        <v/>
      </c>
      <c r="BG116" s="458" t="str">
        <f>IF(AND($G116='Povolené hodnoty'!$B$14,$H116=BG$4),SUM($J116,$M116,$P116,$S116),"")</f>
        <v/>
      </c>
      <c r="BH116" s="458" t="str">
        <f>IF(AND($G116='Povolené hodnoty'!$B$14,$H116=BH$4),SUM($J116,$M116,$P116,$S116),"")</f>
        <v/>
      </c>
      <c r="BI116" s="458" t="str">
        <f>IF(AND($G116='Povolené hodnoty'!$B$14,$H116=BI$4),SUM($J116,$M116,$P116,$S116),"")</f>
        <v/>
      </c>
      <c r="BJ116" s="458" t="str">
        <f>IF(AND($G116='Povolené hodnoty'!$B$14,$H116=BJ$4),SUM($J116,$M116,$P116,$S116),"")</f>
        <v/>
      </c>
      <c r="BK116" s="40" t="str">
        <f>IF(AND($G116='Povolené hodnoty'!$B$14,$H116=BK$4),SUM($J116,$M116,$P116,$S116),"")</f>
        <v/>
      </c>
      <c r="BL116" s="40" t="str">
        <f>IF(AND($G116='Povolené hodnoty'!$B$14,$H116=BL$4),SUM($J116,$M116,$P116,$S116),"")</f>
        <v/>
      </c>
      <c r="BM116" s="41" t="str">
        <f>IF(AND($G116='Povolené hodnoty'!$B$14,$H116=BM$4),SUM($J116,$M116,$P116,$S116),"")</f>
        <v/>
      </c>
      <c r="BO116" s="18" t="b">
        <f t="shared" si="71"/>
        <v>0</v>
      </c>
      <c r="BP116" s="18" t="b">
        <f t="shared" si="42"/>
        <v>0</v>
      </c>
      <c r="BQ116" s="18" t="b">
        <f>AND(E116&lt;&gt;'Povolené hodnoty'!$B$6,F116&lt;&gt;'Povolené hodnoty'!$D$7,F116&lt;&gt;'Povolené hodnoty'!$D$8,OR(SUM(I116,L116,O116,R116)&lt;&gt;SUM(W116:X116,AA116:AG116),SUM(J116,M116,P116,S116)&lt;&gt;SUM(Y116:Z116,AH116:AK116),COUNT(I116:J116,L116:M116,O116:P116,R116:S116)&lt;&gt;COUNT(W116:AK116)))</f>
        <v>0</v>
      </c>
      <c r="BR116" s="18" t="b">
        <f>OR(AND(E116='Povolené hodnoty'!$B$6,$BR$5),AND(E116='Povolené hodnoty'!$B$6,H116&lt;&gt;'Povolené hodnoty'!$E$26,H116&lt;&gt;'Povolené hodnoty'!$E$35),AND(E116&lt;&gt;'Povolené hodnoty'!$B$6,OR(H116='Povolené hodnoty'!$E$26,H116='Povolené hodnoty'!$E$35)))</f>
        <v>0</v>
      </c>
      <c r="BS116" s="18" t="b">
        <f>OR(AND(G116&lt;&gt;'Povolené hodnoty'!$B$13,OR(H116='Povolené hodnoty'!$E$21,H116='Povolené hodnoty'!$E$22,H116='Povolené hodnoty'!$E$23,H116='Povolené hodnoty'!$E$24,H116='Povolené hodnoty'!$E$26,H116='Povolené hodnoty'!$E$36)),COUNT(I116:J116,L116:M116,O116:P116,R116:S116)&lt;&gt;COUNT(AL116:BM116))</f>
        <v>0</v>
      </c>
      <c r="BT116" s="18" t="b">
        <f t="shared" si="43"/>
        <v>0</v>
      </c>
      <c r="BV116" s="39" t="str">
        <f t="shared" si="44"/>
        <v/>
      </c>
      <c r="BW116" s="458" t="str">
        <f t="shared" si="45"/>
        <v/>
      </c>
      <c r="BX116" s="458" t="str">
        <f t="shared" si="46"/>
        <v/>
      </c>
      <c r="BY116" s="458" t="str">
        <f t="shared" si="47"/>
        <v/>
      </c>
      <c r="BZ116" s="458" t="str">
        <f t="shared" si="48"/>
        <v/>
      </c>
      <c r="CA116" s="40" t="str">
        <f t="shared" si="49"/>
        <v/>
      </c>
      <c r="CB116" s="40" t="str">
        <f t="shared" si="50"/>
        <v/>
      </c>
      <c r="CC116" s="39" t="str">
        <f t="shared" si="51"/>
        <v/>
      </c>
      <c r="CD116" s="458" t="str">
        <f t="shared" si="52"/>
        <v/>
      </c>
      <c r="CE116" s="41" t="str">
        <f t="shared" si="53"/>
        <v/>
      </c>
      <c r="CF116" s="39" t="str">
        <f t="shared" si="54"/>
        <v/>
      </c>
      <c r="CG116" s="458" t="str">
        <f t="shared" si="55"/>
        <v/>
      </c>
      <c r="CH116" s="458" t="str">
        <f t="shared" si="56"/>
        <v/>
      </c>
      <c r="CI116" s="458" t="str">
        <f t="shared" si="57"/>
        <v/>
      </c>
      <c r="CJ116" s="458" t="str">
        <f t="shared" si="58"/>
        <v/>
      </c>
      <c r="CK116" s="40" t="str">
        <f t="shared" si="59"/>
        <v/>
      </c>
      <c r="CL116" s="40" t="str">
        <f t="shared" si="60"/>
        <v/>
      </c>
      <c r="CM116" s="40" t="str">
        <f t="shared" si="61"/>
        <v/>
      </c>
      <c r="CN116" s="39" t="str">
        <f t="shared" si="62"/>
        <v/>
      </c>
      <c r="CO116" s="458" t="str">
        <f t="shared" si="63"/>
        <v/>
      </c>
      <c r="CP116" s="458" t="str">
        <f t="shared" si="64"/>
        <v/>
      </c>
      <c r="CQ116" s="458" t="str">
        <f t="shared" si="65"/>
        <v/>
      </c>
      <c r="CR116" s="458" t="str">
        <f t="shared" si="66"/>
        <v/>
      </c>
      <c r="CS116" s="40" t="str">
        <f t="shared" si="67"/>
        <v/>
      </c>
      <c r="CT116" s="40" t="str">
        <f t="shared" si="68"/>
        <v/>
      </c>
      <c r="CU116" s="41" t="str">
        <f t="shared" si="69"/>
        <v/>
      </c>
    </row>
    <row r="117" spans="1:99" x14ac:dyDescent="0.2">
      <c r="A117" s="77">
        <f t="shared" si="70"/>
        <v>112</v>
      </c>
      <c r="B117" s="81"/>
      <c r="C117" s="82"/>
      <c r="D117" s="71"/>
      <c r="E117" s="72"/>
      <c r="F117" s="73"/>
      <c r="G117" s="443"/>
      <c r="H117" s="443"/>
      <c r="I117" s="74"/>
      <c r="J117" s="75"/>
      <c r="K117" s="41">
        <f t="shared" si="74"/>
        <v>3625</v>
      </c>
      <c r="L117" s="104"/>
      <c r="M117" s="105"/>
      <c r="N117" s="106">
        <f t="shared" si="75"/>
        <v>537.05999999999995</v>
      </c>
      <c r="O117" s="104"/>
      <c r="P117" s="105"/>
      <c r="Q117" s="106">
        <f t="shared" si="72"/>
        <v>10045.83</v>
      </c>
      <c r="R117" s="104"/>
      <c r="S117" s="105"/>
      <c r="T117" s="106">
        <f t="shared" si="73"/>
        <v>0</v>
      </c>
      <c r="U117" s="439"/>
      <c r="V117" s="42">
        <f t="shared" si="41"/>
        <v>112</v>
      </c>
      <c r="W117" s="39" t="str">
        <f>IF(AND(E117='Povolené hodnoty'!$B$4,F117=2),I117+L117+O117+R117,"")</f>
        <v/>
      </c>
      <c r="X117" s="41" t="str">
        <f>IF(AND(E117='Povolené hodnoty'!$B$4,F117=1),I117+L117+O117+R117,"")</f>
        <v/>
      </c>
      <c r="Y117" s="39" t="str">
        <f>IF(AND(E117='Povolené hodnoty'!$B$4,F117=10),J117+M117+P117+S117,"")</f>
        <v/>
      </c>
      <c r="Z117" s="41" t="str">
        <f>IF(AND(E117='Povolené hodnoty'!$B$4,F117=9),J117+M117+P117+S117,"")</f>
        <v/>
      </c>
      <c r="AA117" s="39" t="str">
        <f>IF(AND(E117&lt;&gt;'Povolené hodnoty'!$B$4,F117=2),I117+L117+O117+R117,"")</f>
        <v/>
      </c>
      <c r="AB117" s="40" t="str">
        <f>IF(AND(E117&lt;&gt;'Povolené hodnoty'!$B$4,F117=3),I117+L117+O117+R117,"")</f>
        <v/>
      </c>
      <c r="AC117" s="40" t="str">
        <f>IF(AND(E117&lt;&gt;'Povolené hodnoty'!$B$4,F117=4),I117+L117+O117+R117,"")</f>
        <v/>
      </c>
      <c r="AD117" s="40" t="str">
        <f>IF(AND(E117&lt;&gt;'Povolené hodnoty'!$B$4,F117="5a"),I117-J117+L117-M117+O117-P117+R117-S117,"")</f>
        <v/>
      </c>
      <c r="AE117" s="40" t="str">
        <f>IF(AND(E117&lt;&gt;'Povolené hodnoty'!$B$4,F117="5b"),I117-J117+L117-M117+O117-P117+R117-S117,"")</f>
        <v/>
      </c>
      <c r="AF117" s="40" t="str">
        <f>IF(AND(E117&lt;&gt;'Povolené hodnoty'!$B$4,F117=6),I117+L117+O117+R117,"")</f>
        <v/>
      </c>
      <c r="AG117" s="41" t="str">
        <f>IF(AND(E117&lt;&gt;'Povolené hodnoty'!$B$4,F117=7),I117+L117+O117+R117,"")</f>
        <v/>
      </c>
      <c r="AH117" s="39" t="str">
        <f>IF(AND(E117&lt;&gt;'Povolené hodnoty'!$B$4,F117=10),J117+M117+P117+S117,"")</f>
        <v/>
      </c>
      <c r="AI117" s="40" t="str">
        <f>IF(AND(E117&lt;&gt;'Povolené hodnoty'!$B$4,F117=11),J117+M117+P117+S117,"")</f>
        <v/>
      </c>
      <c r="AJ117" s="40" t="str">
        <f>IF(AND(E117&lt;&gt;'Povolené hodnoty'!$B$4,F117=12),J117+M117+P117+S117,"")</f>
        <v/>
      </c>
      <c r="AK117" s="41" t="str">
        <f>IF(AND(E117&lt;&gt;'Povolené hodnoty'!$B$4,F117=13),J117+M117+P117+S117,"")</f>
        <v/>
      </c>
      <c r="AL117" s="39" t="str">
        <f>IF(AND($G117='Povolené hodnoty'!$B$13,$H117=AL$4),SUM($I117,$L117,$O117,$R117),"")</f>
        <v/>
      </c>
      <c r="AM117" s="458" t="str">
        <f>IF(AND($G117='Povolené hodnoty'!$B$13,$H117=AM$4),SUM($I117,$L117,$O117,$R117),"")</f>
        <v/>
      </c>
      <c r="AN117" s="458" t="str">
        <f>IF(AND($G117='Povolené hodnoty'!$B$13,$H117=AN$4),SUM($I117,$L117,$O117,$R117),"")</f>
        <v/>
      </c>
      <c r="AO117" s="458" t="str">
        <f>IF(AND($G117='Povolené hodnoty'!$B$13,$H117=AO$4),SUM($I117,$L117,$O117,$R117),"")</f>
        <v/>
      </c>
      <c r="AP117" s="458" t="str">
        <f>IF(AND($G117='Povolené hodnoty'!$B$13,$H117=AP$4),SUM($I117,$L117,$O117,$R117),"")</f>
        <v/>
      </c>
      <c r="AQ117" s="40" t="str">
        <f>IF(AND($G117='Povolené hodnoty'!$B$13,OR($H117=AQ$4,$H117='Povolené hodnoty'!$E$36)),SUM($I117,-$J117,$L117,-$M117,$O117,-$P117,$R117,-$S117),"")</f>
        <v/>
      </c>
      <c r="AR117" s="40" t="str">
        <f>IF(AND($G117='Povolené hodnoty'!$B$13,$H117=AR$4),SUM($I117,$L117,$O117,$R117),"")</f>
        <v/>
      </c>
      <c r="AS117" s="41" t="str">
        <f>IF(AND($G117='Povolené hodnoty'!$B$13,$H117=AS$4),SUM($I117,$L117,$O117,$R117),"")</f>
        <v/>
      </c>
      <c r="AT117" s="39" t="str">
        <f>IF(AND($G117='Povolené hodnoty'!$B$14,$H117=AT$4),SUM($I117,$L117,$O117,$R117),"")</f>
        <v/>
      </c>
      <c r="AU117" s="458" t="str">
        <f>IF(AND($G117='Povolené hodnoty'!$B$14,$H117=AU$4),SUM($I117,$L117,$O117,$R117),"")</f>
        <v/>
      </c>
      <c r="AV117" s="41" t="str">
        <f>IF(AND($G117='Povolené hodnoty'!$B$14,$H117=AV$4),SUM($I117,$L117,$O117,$R117),"")</f>
        <v/>
      </c>
      <c r="AW117" s="39" t="str">
        <f>IF(AND($G117='Povolené hodnoty'!$B$13,$H117=AW$4),SUM($J117,$M117,$P117,$S117),"")</f>
        <v/>
      </c>
      <c r="AX117" s="458" t="str">
        <f>IF(AND($G117='Povolené hodnoty'!$B$13,$H117=AX$4),SUM($J117,$M117,$P117,$S117),"")</f>
        <v/>
      </c>
      <c r="AY117" s="458" t="str">
        <f>IF(AND($G117='Povolené hodnoty'!$B$13,$H117=AY$4),SUM($J117,$M117,$P117,$S117),"")</f>
        <v/>
      </c>
      <c r="AZ117" s="458" t="str">
        <f>IF(AND($G117='Povolené hodnoty'!$B$13,$H117=AZ$4),SUM($J117,$M117,$P117,$S117),"")</f>
        <v/>
      </c>
      <c r="BA117" s="458" t="str">
        <f>IF(AND($G117='Povolené hodnoty'!$B$13,$H117=BA$4),SUM($J117,$M117,$P117,$S117),"")</f>
        <v/>
      </c>
      <c r="BB117" s="40" t="str">
        <f>IF(AND($G117='Povolené hodnoty'!$B$13,$H117=BB$4),SUM($J117,$M117,$P117,$S117),"")</f>
        <v/>
      </c>
      <c r="BC117" s="40" t="str">
        <f>IF(AND($G117='Povolené hodnoty'!$B$13,$H117=BC$4),SUM($J117,$M117,$P117,$S117),"")</f>
        <v/>
      </c>
      <c r="BD117" s="40" t="str">
        <f>IF(AND($G117='Povolené hodnoty'!$B$13,$H117=BD$4),SUM($J117,$M117,$P117,$S117),"")</f>
        <v/>
      </c>
      <c r="BE117" s="41" t="str">
        <f>IF(AND($G117='Povolené hodnoty'!$B$13,$H117=BE$4),SUM($J117,$M117,$P117,$S117),"")</f>
        <v/>
      </c>
      <c r="BF117" s="39" t="str">
        <f>IF(AND($G117='Povolené hodnoty'!$B$14,$H117=BF$4),SUM($J117,$M117,$P117,$S117),"")</f>
        <v/>
      </c>
      <c r="BG117" s="458" t="str">
        <f>IF(AND($G117='Povolené hodnoty'!$B$14,$H117=BG$4),SUM($J117,$M117,$P117,$S117),"")</f>
        <v/>
      </c>
      <c r="BH117" s="458" t="str">
        <f>IF(AND($G117='Povolené hodnoty'!$B$14,$H117=BH$4),SUM($J117,$M117,$P117,$S117),"")</f>
        <v/>
      </c>
      <c r="BI117" s="458" t="str">
        <f>IF(AND($G117='Povolené hodnoty'!$B$14,$H117=BI$4),SUM($J117,$M117,$P117,$S117),"")</f>
        <v/>
      </c>
      <c r="BJ117" s="458" t="str">
        <f>IF(AND($G117='Povolené hodnoty'!$B$14,$H117=BJ$4),SUM($J117,$M117,$P117,$S117),"")</f>
        <v/>
      </c>
      <c r="BK117" s="40" t="str">
        <f>IF(AND($G117='Povolené hodnoty'!$B$14,$H117=BK$4),SUM($J117,$M117,$P117,$S117),"")</f>
        <v/>
      </c>
      <c r="BL117" s="40" t="str">
        <f>IF(AND($G117='Povolené hodnoty'!$B$14,$H117=BL$4),SUM($J117,$M117,$P117,$S117),"")</f>
        <v/>
      </c>
      <c r="BM117" s="41" t="str">
        <f>IF(AND($G117='Povolené hodnoty'!$B$14,$H117=BM$4),SUM($J117,$M117,$P117,$S117),"")</f>
        <v/>
      </c>
      <c r="BO117" s="18" t="b">
        <f t="shared" si="71"/>
        <v>0</v>
      </c>
      <c r="BP117" s="18" t="b">
        <f t="shared" si="42"/>
        <v>0</v>
      </c>
      <c r="BQ117" s="18" t="b">
        <f>AND(E117&lt;&gt;'Povolené hodnoty'!$B$6,F117&lt;&gt;'Povolené hodnoty'!$D$7,F117&lt;&gt;'Povolené hodnoty'!$D$8,OR(SUM(I117,L117,O117,R117)&lt;&gt;SUM(W117:X117,AA117:AG117),SUM(J117,M117,P117,S117)&lt;&gt;SUM(Y117:Z117,AH117:AK117),COUNT(I117:J117,L117:M117,O117:P117,R117:S117)&lt;&gt;COUNT(W117:AK117)))</f>
        <v>0</v>
      </c>
      <c r="BR117" s="18" t="b">
        <f>OR(AND(E117='Povolené hodnoty'!$B$6,$BR$5),AND(E117='Povolené hodnoty'!$B$6,H117&lt;&gt;'Povolené hodnoty'!$E$26,H117&lt;&gt;'Povolené hodnoty'!$E$35),AND(E117&lt;&gt;'Povolené hodnoty'!$B$6,OR(H117='Povolené hodnoty'!$E$26,H117='Povolené hodnoty'!$E$35)))</f>
        <v>0</v>
      </c>
      <c r="BS117" s="18" t="b">
        <f>OR(AND(G117&lt;&gt;'Povolené hodnoty'!$B$13,OR(H117='Povolené hodnoty'!$E$21,H117='Povolené hodnoty'!$E$22,H117='Povolené hodnoty'!$E$23,H117='Povolené hodnoty'!$E$24,H117='Povolené hodnoty'!$E$26,H117='Povolené hodnoty'!$E$36)),COUNT(I117:J117,L117:M117,O117:P117,R117:S117)&lt;&gt;COUNT(AL117:BM117))</f>
        <v>0</v>
      </c>
      <c r="BT117" s="18" t="b">
        <f t="shared" si="43"/>
        <v>0</v>
      </c>
      <c r="BV117" s="39" t="str">
        <f t="shared" si="44"/>
        <v/>
      </c>
      <c r="BW117" s="458" t="str">
        <f t="shared" si="45"/>
        <v/>
      </c>
      <c r="BX117" s="458" t="str">
        <f t="shared" si="46"/>
        <v/>
      </c>
      <c r="BY117" s="458" t="str">
        <f t="shared" si="47"/>
        <v/>
      </c>
      <c r="BZ117" s="458" t="str">
        <f t="shared" si="48"/>
        <v/>
      </c>
      <c r="CA117" s="40" t="str">
        <f t="shared" si="49"/>
        <v/>
      </c>
      <c r="CB117" s="40" t="str">
        <f t="shared" si="50"/>
        <v/>
      </c>
      <c r="CC117" s="39" t="str">
        <f t="shared" si="51"/>
        <v/>
      </c>
      <c r="CD117" s="458" t="str">
        <f t="shared" si="52"/>
        <v/>
      </c>
      <c r="CE117" s="41" t="str">
        <f t="shared" si="53"/>
        <v/>
      </c>
      <c r="CF117" s="39" t="str">
        <f t="shared" si="54"/>
        <v/>
      </c>
      <c r="CG117" s="458" t="str">
        <f t="shared" si="55"/>
        <v/>
      </c>
      <c r="CH117" s="458" t="str">
        <f t="shared" si="56"/>
        <v/>
      </c>
      <c r="CI117" s="458" t="str">
        <f t="shared" si="57"/>
        <v/>
      </c>
      <c r="CJ117" s="458" t="str">
        <f t="shared" si="58"/>
        <v/>
      </c>
      <c r="CK117" s="40" t="str">
        <f t="shared" si="59"/>
        <v/>
      </c>
      <c r="CL117" s="40" t="str">
        <f t="shared" si="60"/>
        <v/>
      </c>
      <c r="CM117" s="40" t="str">
        <f t="shared" si="61"/>
        <v/>
      </c>
      <c r="CN117" s="39" t="str">
        <f t="shared" si="62"/>
        <v/>
      </c>
      <c r="CO117" s="458" t="str">
        <f t="shared" si="63"/>
        <v/>
      </c>
      <c r="CP117" s="458" t="str">
        <f t="shared" si="64"/>
        <v/>
      </c>
      <c r="CQ117" s="458" t="str">
        <f t="shared" si="65"/>
        <v/>
      </c>
      <c r="CR117" s="458" t="str">
        <f t="shared" si="66"/>
        <v/>
      </c>
      <c r="CS117" s="40" t="str">
        <f t="shared" si="67"/>
        <v/>
      </c>
      <c r="CT117" s="40" t="str">
        <f t="shared" si="68"/>
        <v/>
      </c>
      <c r="CU117" s="41" t="str">
        <f t="shared" si="69"/>
        <v/>
      </c>
    </row>
    <row r="118" spans="1:99" x14ac:dyDescent="0.2">
      <c r="A118" s="77">
        <f t="shared" si="70"/>
        <v>113</v>
      </c>
      <c r="B118" s="81"/>
      <c r="C118" s="82"/>
      <c r="D118" s="71"/>
      <c r="E118" s="72"/>
      <c r="F118" s="73"/>
      <c r="G118" s="443"/>
      <c r="H118" s="443"/>
      <c r="I118" s="74"/>
      <c r="J118" s="75"/>
      <c r="K118" s="41">
        <f t="shared" si="74"/>
        <v>3625</v>
      </c>
      <c r="L118" s="104"/>
      <c r="M118" s="105"/>
      <c r="N118" s="106">
        <f t="shared" si="75"/>
        <v>537.05999999999995</v>
      </c>
      <c r="O118" s="104"/>
      <c r="P118" s="105"/>
      <c r="Q118" s="106">
        <f t="shared" si="72"/>
        <v>10045.83</v>
      </c>
      <c r="R118" s="104"/>
      <c r="S118" s="105"/>
      <c r="T118" s="106">
        <f t="shared" si="73"/>
        <v>0</v>
      </c>
      <c r="U118" s="439"/>
      <c r="V118" s="42">
        <f t="shared" si="41"/>
        <v>113</v>
      </c>
      <c r="W118" s="39" t="str">
        <f>IF(AND(E118='Povolené hodnoty'!$B$4,F118=2),I118+L118+O118+R118,"")</f>
        <v/>
      </c>
      <c r="X118" s="41" t="str">
        <f>IF(AND(E118='Povolené hodnoty'!$B$4,F118=1),I118+L118+O118+R118,"")</f>
        <v/>
      </c>
      <c r="Y118" s="39" t="str">
        <f>IF(AND(E118='Povolené hodnoty'!$B$4,F118=10),J118+M118+P118+S118,"")</f>
        <v/>
      </c>
      <c r="Z118" s="41" t="str">
        <f>IF(AND(E118='Povolené hodnoty'!$B$4,F118=9),J118+M118+P118+S118,"")</f>
        <v/>
      </c>
      <c r="AA118" s="39" t="str">
        <f>IF(AND(E118&lt;&gt;'Povolené hodnoty'!$B$4,F118=2),I118+L118+O118+R118,"")</f>
        <v/>
      </c>
      <c r="AB118" s="40" t="str">
        <f>IF(AND(E118&lt;&gt;'Povolené hodnoty'!$B$4,F118=3),I118+L118+O118+R118,"")</f>
        <v/>
      </c>
      <c r="AC118" s="40" t="str">
        <f>IF(AND(E118&lt;&gt;'Povolené hodnoty'!$B$4,F118=4),I118+L118+O118+R118,"")</f>
        <v/>
      </c>
      <c r="AD118" s="40" t="str">
        <f>IF(AND(E118&lt;&gt;'Povolené hodnoty'!$B$4,F118="5a"),I118-J118+L118-M118+O118-P118+R118-S118,"")</f>
        <v/>
      </c>
      <c r="AE118" s="40" t="str">
        <f>IF(AND(E118&lt;&gt;'Povolené hodnoty'!$B$4,F118="5b"),I118-J118+L118-M118+O118-P118+R118-S118,"")</f>
        <v/>
      </c>
      <c r="AF118" s="40" t="str">
        <f>IF(AND(E118&lt;&gt;'Povolené hodnoty'!$B$4,F118=6),I118+L118+O118+R118,"")</f>
        <v/>
      </c>
      <c r="AG118" s="41" t="str">
        <f>IF(AND(E118&lt;&gt;'Povolené hodnoty'!$B$4,F118=7),I118+L118+O118+R118,"")</f>
        <v/>
      </c>
      <c r="AH118" s="39" t="str">
        <f>IF(AND(E118&lt;&gt;'Povolené hodnoty'!$B$4,F118=10),J118+M118+P118+S118,"")</f>
        <v/>
      </c>
      <c r="AI118" s="40" t="str">
        <f>IF(AND(E118&lt;&gt;'Povolené hodnoty'!$B$4,F118=11),J118+M118+P118+S118,"")</f>
        <v/>
      </c>
      <c r="AJ118" s="40" t="str">
        <f>IF(AND(E118&lt;&gt;'Povolené hodnoty'!$B$4,F118=12),J118+M118+P118+S118,"")</f>
        <v/>
      </c>
      <c r="AK118" s="41" t="str">
        <f>IF(AND(E118&lt;&gt;'Povolené hodnoty'!$B$4,F118=13),J118+M118+P118+S118,"")</f>
        <v/>
      </c>
      <c r="AL118" s="39" t="str">
        <f>IF(AND($G118='Povolené hodnoty'!$B$13,$H118=AL$4),SUM($I118,$L118,$O118,$R118),"")</f>
        <v/>
      </c>
      <c r="AM118" s="458" t="str">
        <f>IF(AND($G118='Povolené hodnoty'!$B$13,$H118=AM$4),SUM($I118,$L118,$O118,$R118),"")</f>
        <v/>
      </c>
      <c r="AN118" s="458" t="str">
        <f>IF(AND($G118='Povolené hodnoty'!$B$13,$H118=AN$4),SUM($I118,$L118,$O118,$R118),"")</f>
        <v/>
      </c>
      <c r="AO118" s="458" t="str">
        <f>IF(AND($G118='Povolené hodnoty'!$B$13,$H118=AO$4),SUM($I118,$L118,$O118,$R118),"")</f>
        <v/>
      </c>
      <c r="AP118" s="458" t="str">
        <f>IF(AND($G118='Povolené hodnoty'!$B$13,$H118=AP$4),SUM($I118,$L118,$O118,$R118),"")</f>
        <v/>
      </c>
      <c r="AQ118" s="40" t="str">
        <f>IF(AND($G118='Povolené hodnoty'!$B$13,OR($H118=AQ$4,$H118='Povolené hodnoty'!$E$36)),SUM($I118,-$J118,$L118,-$M118,$O118,-$P118,$R118,-$S118),"")</f>
        <v/>
      </c>
      <c r="AR118" s="40" t="str">
        <f>IF(AND($G118='Povolené hodnoty'!$B$13,$H118=AR$4),SUM($I118,$L118,$O118,$R118),"")</f>
        <v/>
      </c>
      <c r="AS118" s="41" t="str">
        <f>IF(AND($G118='Povolené hodnoty'!$B$13,$H118=AS$4),SUM($I118,$L118,$O118,$R118),"")</f>
        <v/>
      </c>
      <c r="AT118" s="39" t="str">
        <f>IF(AND($G118='Povolené hodnoty'!$B$14,$H118=AT$4),SUM($I118,$L118,$O118,$R118),"")</f>
        <v/>
      </c>
      <c r="AU118" s="458" t="str">
        <f>IF(AND($G118='Povolené hodnoty'!$B$14,$H118=AU$4),SUM($I118,$L118,$O118,$R118),"")</f>
        <v/>
      </c>
      <c r="AV118" s="41" t="str">
        <f>IF(AND($G118='Povolené hodnoty'!$B$14,$H118=AV$4),SUM($I118,$L118,$O118,$R118),"")</f>
        <v/>
      </c>
      <c r="AW118" s="39" t="str">
        <f>IF(AND($G118='Povolené hodnoty'!$B$13,$H118=AW$4),SUM($J118,$M118,$P118,$S118),"")</f>
        <v/>
      </c>
      <c r="AX118" s="458" t="str">
        <f>IF(AND($G118='Povolené hodnoty'!$B$13,$H118=AX$4),SUM($J118,$M118,$P118,$S118),"")</f>
        <v/>
      </c>
      <c r="AY118" s="458" t="str">
        <f>IF(AND($G118='Povolené hodnoty'!$B$13,$H118=AY$4),SUM($J118,$M118,$P118,$S118),"")</f>
        <v/>
      </c>
      <c r="AZ118" s="458" t="str">
        <f>IF(AND($G118='Povolené hodnoty'!$B$13,$H118=AZ$4),SUM($J118,$M118,$P118,$S118),"")</f>
        <v/>
      </c>
      <c r="BA118" s="458" t="str">
        <f>IF(AND($G118='Povolené hodnoty'!$B$13,$H118=BA$4),SUM($J118,$M118,$P118,$S118),"")</f>
        <v/>
      </c>
      <c r="BB118" s="40" t="str">
        <f>IF(AND($G118='Povolené hodnoty'!$B$13,$H118=BB$4),SUM($J118,$M118,$P118,$S118),"")</f>
        <v/>
      </c>
      <c r="BC118" s="40" t="str">
        <f>IF(AND($G118='Povolené hodnoty'!$B$13,$H118=BC$4),SUM($J118,$M118,$P118,$S118),"")</f>
        <v/>
      </c>
      <c r="BD118" s="40" t="str">
        <f>IF(AND($G118='Povolené hodnoty'!$B$13,$H118=BD$4),SUM($J118,$M118,$P118,$S118),"")</f>
        <v/>
      </c>
      <c r="BE118" s="41" t="str">
        <f>IF(AND($G118='Povolené hodnoty'!$B$13,$H118=BE$4),SUM($J118,$M118,$P118,$S118),"")</f>
        <v/>
      </c>
      <c r="BF118" s="39" t="str">
        <f>IF(AND($G118='Povolené hodnoty'!$B$14,$H118=BF$4),SUM($J118,$M118,$P118,$S118),"")</f>
        <v/>
      </c>
      <c r="BG118" s="458" t="str">
        <f>IF(AND($G118='Povolené hodnoty'!$B$14,$H118=BG$4),SUM($J118,$M118,$P118,$S118),"")</f>
        <v/>
      </c>
      <c r="BH118" s="458" t="str">
        <f>IF(AND($G118='Povolené hodnoty'!$B$14,$H118=BH$4),SUM($J118,$M118,$P118,$S118),"")</f>
        <v/>
      </c>
      <c r="BI118" s="458" t="str">
        <f>IF(AND($G118='Povolené hodnoty'!$B$14,$H118=BI$4),SUM($J118,$M118,$P118,$S118),"")</f>
        <v/>
      </c>
      <c r="BJ118" s="458" t="str">
        <f>IF(AND($G118='Povolené hodnoty'!$B$14,$H118=BJ$4),SUM($J118,$M118,$P118,$S118),"")</f>
        <v/>
      </c>
      <c r="BK118" s="40" t="str">
        <f>IF(AND($G118='Povolené hodnoty'!$B$14,$H118=BK$4),SUM($J118,$M118,$P118,$S118),"")</f>
        <v/>
      </c>
      <c r="BL118" s="40" t="str">
        <f>IF(AND($G118='Povolené hodnoty'!$B$14,$H118=BL$4),SUM($J118,$M118,$P118,$S118),"")</f>
        <v/>
      </c>
      <c r="BM118" s="41" t="str">
        <f>IF(AND($G118='Povolené hodnoty'!$B$14,$H118=BM$4),SUM($J118,$M118,$P118,$S118),"")</f>
        <v/>
      </c>
      <c r="BO118" s="18" t="b">
        <f t="shared" si="71"/>
        <v>0</v>
      </c>
      <c r="BP118" s="18" t="b">
        <f t="shared" si="42"/>
        <v>0</v>
      </c>
      <c r="BQ118" s="18" t="b">
        <f>AND(E118&lt;&gt;'Povolené hodnoty'!$B$6,F118&lt;&gt;'Povolené hodnoty'!$D$7,F118&lt;&gt;'Povolené hodnoty'!$D$8,OR(SUM(I118,L118,O118,R118)&lt;&gt;SUM(W118:X118,AA118:AG118),SUM(J118,M118,P118,S118)&lt;&gt;SUM(Y118:Z118,AH118:AK118),COUNT(I118:J118,L118:M118,O118:P118,R118:S118)&lt;&gt;COUNT(W118:AK118)))</f>
        <v>0</v>
      </c>
      <c r="BR118" s="18" t="b">
        <f>OR(AND(E118='Povolené hodnoty'!$B$6,$BR$5),AND(E118='Povolené hodnoty'!$B$6,H118&lt;&gt;'Povolené hodnoty'!$E$26,H118&lt;&gt;'Povolené hodnoty'!$E$35),AND(E118&lt;&gt;'Povolené hodnoty'!$B$6,OR(H118='Povolené hodnoty'!$E$26,H118='Povolené hodnoty'!$E$35)))</f>
        <v>0</v>
      </c>
      <c r="BS118" s="18" t="b">
        <f>OR(AND(G118&lt;&gt;'Povolené hodnoty'!$B$13,OR(H118='Povolené hodnoty'!$E$21,H118='Povolené hodnoty'!$E$22,H118='Povolené hodnoty'!$E$23,H118='Povolené hodnoty'!$E$24,H118='Povolené hodnoty'!$E$26,H118='Povolené hodnoty'!$E$36)),COUNT(I118:J118,L118:M118,O118:P118,R118:S118)&lt;&gt;COUNT(AL118:BM118))</f>
        <v>0</v>
      </c>
      <c r="BT118" s="18" t="b">
        <f t="shared" si="43"/>
        <v>0</v>
      </c>
      <c r="BV118" s="39" t="str">
        <f t="shared" si="44"/>
        <v/>
      </c>
      <c r="BW118" s="458" t="str">
        <f t="shared" si="45"/>
        <v/>
      </c>
      <c r="BX118" s="458" t="str">
        <f t="shared" si="46"/>
        <v/>
      </c>
      <c r="BY118" s="458" t="str">
        <f t="shared" si="47"/>
        <v/>
      </c>
      <c r="BZ118" s="458" t="str">
        <f t="shared" si="48"/>
        <v/>
      </c>
      <c r="CA118" s="40" t="str">
        <f t="shared" si="49"/>
        <v/>
      </c>
      <c r="CB118" s="40" t="str">
        <f t="shared" si="50"/>
        <v/>
      </c>
      <c r="CC118" s="39" t="str">
        <f t="shared" si="51"/>
        <v/>
      </c>
      <c r="CD118" s="458" t="str">
        <f t="shared" si="52"/>
        <v/>
      </c>
      <c r="CE118" s="41" t="str">
        <f t="shared" si="53"/>
        <v/>
      </c>
      <c r="CF118" s="39" t="str">
        <f t="shared" si="54"/>
        <v/>
      </c>
      <c r="CG118" s="458" t="str">
        <f t="shared" si="55"/>
        <v/>
      </c>
      <c r="CH118" s="458" t="str">
        <f t="shared" si="56"/>
        <v/>
      </c>
      <c r="CI118" s="458" t="str">
        <f t="shared" si="57"/>
        <v/>
      </c>
      <c r="CJ118" s="458" t="str">
        <f t="shared" si="58"/>
        <v/>
      </c>
      <c r="CK118" s="40" t="str">
        <f t="shared" si="59"/>
        <v/>
      </c>
      <c r="CL118" s="40" t="str">
        <f t="shared" si="60"/>
        <v/>
      </c>
      <c r="CM118" s="40" t="str">
        <f t="shared" si="61"/>
        <v/>
      </c>
      <c r="CN118" s="39" t="str">
        <f t="shared" si="62"/>
        <v/>
      </c>
      <c r="CO118" s="458" t="str">
        <f t="shared" si="63"/>
        <v/>
      </c>
      <c r="CP118" s="458" t="str">
        <f t="shared" si="64"/>
        <v/>
      </c>
      <c r="CQ118" s="458" t="str">
        <f t="shared" si="65"/>
        <v/>
      </c>
      <c r="CR118" s="458" t="str">
        <f t="shared" si="66"/>
        <v/>
      </c>
      <c r="CS118" s="40" t="str">
        <f t="shared" si="67"/>
        <v/>
      </c>
      <c r="CT118" s="40" t="str">
        <f t="shared" si="68"/>
        <v/>
      </c>
      <c r="CU118" s="41" t="str">
        <f t="shared" si="69"/>
        <v/>
      </c>
    </row>
    <row r="119" spans="1:99" x14ac:dyDescent="0.2">
      <c r="A119" s="77">
        <f t="shared" si="70"/>
        <v>114</v>
      </c>
      <c r="B119" s="81"/>
      <c r="C119" s="82"/>
      <c r="D119" s="71"/>
      <c r="E119" s="72"/>
      <c r="F119" s="73"/>
      <c r="G119" s="443"/>
      <c r="H119" s="443"/>
      <c r="I119" s="74"/>
      <c r="J119" s="75"/>
      <c r="K119" s="41">
        <f t="shared" si="74"/>
        <v>3625</v>
      </c>
      <c r="L119" s="104"/>
      <c r="M119" s="105"/>
      <c r="N119" s="106">
        <f t="shared" si="75"/>
        <v>537.05999999999995</v>
      </c>
      <c r="O119" s="104"/>
      <c r="P119" s="105"/>
      <c r="Q119" s="106">
        <f t="shared" si="72"/>
        <v>10045.83</v>
      </c>
      <c r="R119" s="104"/>
      <c r="S119" s="105"/>
      <c r="T119" s="106">
        <f t="shared" si="73"/>
        <v>0</v>
      </c>
      <c r="U119" s="439"/>
      <c r="V119" s="42">
        <f t="shared" si="41"/>
        <v>114</v>
      </c>
      <c r="W119" s="39" t="str">
        <f>IF(AND(E119='Povolené hodnoty'!$B$4,F119=2),I119+L119+O119+R119,"")</f>
        <v/>
      </c>
      <c r="X119" s="41" t="str">
        <f>IF(AND(E119='Povolené hodnoty'!$B$4,F119=1),I119+L119+O119+R119,"")</f>
        <v/>
      </c>
      <c r="Y119" s="39" t="str">
        <f>IF(AND(E119='Povolené hodnoty'!$B$4,F119=10),J119+M119+P119+S119,"")</f>
        <v/>
      </c>
      <c r="Z119" s="41" t="str">
        <f>IF(AND(E119='Povolené hodnoty'!$B$4,F119=9),J119+M119+P119+S119,"")</f>
        <v/>
      </c>
      <c r="AA119" s="39" t="str">
        <f>IF(AND(E119&lt;&gt;'Povolené hodnoty'!$B$4,F119=2),I119+L119+O119+R119,"")</f>
        <v/>
      </c>
      <c r="AB119" s="40" t="str">
        <f>IF(AND(E119&lt;&gt;'Povolené hodnoty'!$B$4,F119=3),I119+L119+O119+R119,"")</f>
        <v/>
      </c>
      <c r="AC119" s="40" t="str">
        <f>IF(AND(E119&lt;&gt;'Povolené hodnoty'!$B$4,F119=4),I119+L119+O119+R119,"")</f>
        <v/>
      </c>
      <c r="AD119" s="40" t="str">
        <f>IF(AND(E119&lt;&gt;'Povolené hodnoty'!$B$4,F119="5a"),I119-J119+L119-M119+O119-P119+R119-S119,"")</f>
        <v/>
      </c>
      <c r="AE119" s="40" t="str">
        <f>IF(AND(E119&lt;&gt;'Povolené hodnoty'!$B$4,F119="5b"),I119-J119+L119-M119+O119-P119+R119-S119,"")</f>
        <v/>
      </c>
      <c r="AF119" s="40" t="str">
        <f>IF(AND(E119&lt;&gt;'Povolené hodnoty'!$B$4,F119=6),I119+L119+O119+R119,"")</f>
        <v/>
      </c>
      <c r="AG119" s="41" t="str">
        <f>IF(AND(E119&lt;&gt;'Povolené hodnoty'!$B$4,F119=7),I119+L119+O119+R119,"")</f>
        <v/>
      </c>
      <c r="AH119" s="39" t="str">
        <f>IF(AND(E119&lt;&gt;'Povolené hodnoty'!$B$4,F119=10),J119+M119+P119+S119,"")</f>
        <v/>
      </c>
      <c r="AI119" s="40" t="str">
        <f>IF(AND(E119&lt;&gt;'Povolené hodnoty'!$B$4,F119=11),J119+M119+P119+S119,"")</f>
        <v/>
      </c>
      <c r="AJ119" s="40" t="str">
        <f>IF(AND(E119&lt;&gt;'Povolené hodnoty'!$B$4,F119=12),J119+M119+P119+S119,"")</f>
        <v/>
      </c>
      <c r="AK119" s="41" t="str">
        <f>IF(AND(E119&lt;&gt;'Povolené hodnoty'!$B$4,F119=13),J119+M119+P119+S119,"")</f>
        <v/>
      </c>
      <c r="AL119" s="39" t="str">
        <f>IF(AND($G119='Povolené hodnoty'!$B$13,$H119=AL$4),SUM($I119,$L119,$O119,$R119),"")</f>
        <v/>
      </c>
      <c r="AM119" s="458" t="str">
        <f>IF(AND($G119='Povolené hodnoty'!$B$13,$H119=AM$4),SUM($I119,$L119,$O119,$R119),"")</f>
        <v/>
      </c>
      <c r="AN119" s="458" t="str">
        <f>IF(AND($G119='Povolené hodnoty'!$B$13,$H119=AN$4),SUM($I119,$L119,$O119,$R119),"")</f>
        <v/>
      </c>
      <c r="AO119" s="458" t="str">
        <f>IF(AND($G119='Povolené hodnoty'!$B$13,$H119=AO$4),SUM($I119,$L119,$O119,$R119),"")</f>
        <v/>
      </c>
      <c r="AP119" s="458" t="str">
        <f>IF(AND($G119='Povolené hodnoty'!$B$13,$H119=AP$4),SUM($I119,$L119,$O119,$R119),"")</f>
        <v/>
      </c>
      <c r="AQ119" s="40" t="str">
        <f>IF(AND($G119='Povolené hodnoty'!$B$13,OR($H119=AQ$4,$H119='Povolené hodnoty'!$E$36)),SUM($I119,-$J119,$L119,-$M119,$O119,-$P119,$R119,-$S119),"")</f>
        <v/>
      </c>
      <c r="AR119" s="40" t="str">
        <f>IF(AND($G119='Povolené hodnoty'!$B$13,$H119=AR$4),SUM($I119,$L119,$O119,$R119),"")</f>
        <v/>
      </c>
      <c r="AS119" s="41" t="str">
        <f>IF(AND($G119='Povolené hodnoty'!$B$13,$H119=AS$4),SUM($I119,$L119,$O119,$R119),"")</f>
        <v/>
      </c>
      <c r="AT119" s="39" t="str">
        <f>IF(AND($G119='Povolené hodnoty'!$B$14,$H119=AT$4),SUM($I119,$L119,$O119,$R119),"")</f>
        <v/>
      </c>
      <c r="AU119" s="458" t="str">
        <f>IF(AND($G119='Povolené hodnoty'!$B$14,$H119=AU$4),SUM($I119,$L119,$O119,$R119),"")</f>
        <v/>
      </c>
      <c r="AV119" s="41" t="str">
        <f>IF(AND($G119='Povolené hodnoty'!$B$14,$H119=AV$4),SUM($I119,$L119,$O119,$R119),"")</f>
        <v/>
      </c>
      <c r="AW119" s="39" t="str">
        <f>IF(AND($G119='Povolené hodnoty'!$B$13,$H119=AW$4),SUM($J119,$M119,$P119,$S119),"")</f>
        <v/>
      </c>
      <c r="AX119" s="458" t="str">
        <f>IF(AND($G119='Povolené hodnoty'!$B$13,$H119=AX$4),SUM($J119,$M119,$P119,$S119),"")</f>
        <v/>
      </c>
      <c r="AY119" s="458" t="str">
        <f>IF(AND($G119='Povolené hodnoty'!$B$13,$H119=AY$4),SUM($J119,$M119,$P119,$S119),"")</f>
        <v/>
      </c>
      <c r="AZ119" s="458" t="str">
        <f>IF(AND($G119='Povolené hodnoty'!$B$13,$H119=AZ$4),SUM($J119,$M119,$P119,$S119),"")</f>
        <v/>
      </c>
      <c r="BA119" s="458" t="str">
        <f>IF(AND($G119='Povolené hodnoty'!$B$13,$H119=BA$4),SUM($J119,$M119,$P119,$S119),"")</f>
        <v/>
      </c>
      <c r="BB119" s="40" t="str">
        <f>IF(AND($G119='Povolené hodnoty'!$B$13,$H119=BB$4),SUM($J119,$M119,$P119,$S119),"")</f>
        <v/>
      </c>
      <c r="BC119" s="40" t="str">
        <f>IF(AND($G119='Povolené hodnoty'!$B$13,$H119=BC$4),SUM($J119,$M119,$P119,$S119),"")</f>
        <v/>
      </c>
      <c r="BD119" s="40" t="str">
        <f>IF(AND($G119='Povolené hodnoty'!$B$13,$H119=BD$4),SUM($J119,$M119,$P119,$S119),"")</f>
        <v/>
      </c>
      <c r="BE119" s="41" t="str">
        <f>IF(AND($G119='Povolené hodnoty'!$B$13,$H119=BE$4),SUM($J119,$M119,$P119,$S119),"")</f>
        <v/>
      </c>
      <c r="BF119" s="39" t="str">
        <f>IF(AND($G119='Povolené hodnoty'!$B$14,$H119=BF$4),SUM($J119,$M119,$P119,$S119),"")</f>
        <v/>
      </c>
      <c r="BG119" s="458" t="str">
        <f>IF(AND($G119='Povolené hodnoty'!$B$14,$H119=BG$4),SUM($J119,$M119,$P119,$S119),"")</f>
        <v/>
      </c>
      <c r="BH119" s="458" t="str">
        <f>IF(AND($G119='Povolené hodnoty'!$B$14,$H119=BH$4),SUM($J119,$M119,$P119,$S119),"")</f>
        <v/>
      </c>
      <c r="BI119" s="458" t="str">
        <f>IF(AND($G119='Povolené hodnoty'!$B$14,$H119=BI$4),SUM($J119,$M119,$P119,$S119),"")</f>
        <v/>
      </c>
      <c r="BJ119" s="458" t="str">
        <f>IF(AND($G119='Povolené hodnoty'!$B$14,$H119=BJ$4),SUM($J119,$M119,$P119,$S119),"")</f>
        <v/>
      </c>
      <c r="BK119" s="40" t="str">
        <f>IF(AND($G119='Povolené hodnoty'!$B$14,$H119=BK$4),SUM($J119,$M119,$P119,$S119),"")</f>
        <v/>
      </c>
      <c r="BL119" s="40" t="str">
        <f>IF(AND($G119='Povolené hodnoty'!$B$14,$H119=BL$4),SUM($J119,$M119,$P119,$S119),"")</f>
        <v/>
      </c>
      <c r="BM119" s="41" t="str">
        <f>IF(AND($G119='Povolené hodnoty'!$B$14,$H119=BM$4),SUM($J119,$M119,$P119,$S119),"")</f>
        <v/>
      </c>
      <c r="BO119" s="18" t="b">
        <f t="shared" si="71"/>
        <v>0</v>
      </c>
      <c r="BP119" s="18" t="b">
        <f t="shared" si="42"/>
        <v>0</v>
      </c>
      <c r="BQ119" s="18" t="b">
        <f>AND(E119&lt;&gt;'Povolené hodnoty'!$B$6,F119&lt;&gt;'Povolené hodnoty'!$D$7,F119&lt;&gt;'Povolené hodnoty'!$D$8,OR(SUM(I119,L119,O119,R119)&lt;&gt;SUM(W119:X119,AA119:AG119),SUM(J119,M119,P119,S119)&lt;&gt;SUM(Y119:Z119,AH119:AK119),COUNT(I119:J119,L119:M119,O119:P119,R119:S119)&lt;&gt;COUNT(W119:AK119)))</f>
        <v>0</v>
      </c>
      <c r="BR119" s="18" t="b">
        <f>OR(AND(E119='Povolené hodnoty'!$B$6,$BR$5),AND(E119='Povolené hodnoty'!$B$6,H119&lt;&gt;'Povolené hodnoty'!$E$26,H119&lt;&gt;'Povolené hodnoty'!$E$35),AND(E119&lt;&gt;'Povolené hodnoty'!$B$6,OR(H119='Povolené hodnoty'!$E$26,H119='Povolené hodnoty'!$E$35)))</f>
        <v>0</v>
      </c>
      <c r="BS119" s="18" t="b">
        <f>OR(AND(G119&lt;&gt;'Povolené hodnoty'!$B$13,OR(H119='Povolené hodnoty'!$E$21,H119='Povolené hodnoty'!$E$22,H119='Povolené hodnoty'!$E$23,H119='Povolené hodnoty'!$E$24,H119='Povolené hodnoty'!$E$26,H119='Povolené hodnoty'!$E$36)),COUNT(I119:J119,L119:M119,O119:P119,R119:S119)&lt;&gt;COUNT(AL119:BM119))</f>
        <v>0</v>
      </c>
      <c r="BT119" s="18" t="b">
        <f t="shared" si="43"/>
        <v>0</v>
      </c>
      <c r="BV119" s="39" t="str">
        <f t="shared" si="44"/>
        <v/>
      </c>
      <c r="BW119" s="458" t="str">
        <f t="shared" si="45"/>
        <v/>
      </c>
      <c r="BX119" s="458" t="str">
        <f t="shared" si="46"/>
        <v/>
      </c>
      <c r="BY119" s="458" t="str">
        <f t="shared" si="47"/>
        <v/>
      </c>
      <c r="BZ119" s="458" t="str">
        <f t="shared" si="48"/>
        <v/>
      </c>
      <c r="CA119" s="40" t="str">
        <f t="shared" si="49"/>
        <v/>
      </c>
      <c r="CB119" s="40" t="str">
        <f t="shared" si="50"/>
        <v/>
      </c>
      <c r="CC119" s="39" t="str">
        <f t="shared" si="51"/>
        <v/>
      </c>
      <c r="CD119" s="458" t="str">
        <f t="shared" si="52"/>
        <v/>
      </c>
      <c r="CE119" s="41" t="str">
        <f t="shared" si="53"/>
        <v/>
      </c>
      <c r="CF119" s="39" t="str">
        <f t="shared" si="54"/>
        <v/>
      </c>
      <c r="CG119" s="458" t="str">
        <f t="shared" si="55"/>
        <v/>
      </c>
      <c r="CH119" s="458" t="str">
        <f t="shared" si="56"/>
        <v/>
      </c>
      <c r="CI119" s="458" t="str">
        <f t="shared" si="57"/>
        <v/>
      </c>
      <c r="CJ119" s="458" t="str">
        <f t="shared" si="58"/>
        <v/>
      </c>
      <c r="CK119" s="40" t="str">
        <f t="shared" si="59"/>
        <v/>
      </c>
      <c r="CL119" s="40" t="str">
        <f t="shared" si="60"/>
        <v/>
      </c>
      <c r="CM119" s="40" t="str">
        <f t="shared" si="61"/>
        <v/>
      </c>
      <c r="CN119" s="39" t="str">
        <f t="shared" si="62"/>
        <v/>
      </c>
      <c r="CO119" s="458" t="str">
        <f t="shared" si="63"/>
        <v/>
      </c>
      <c r="CP119" s="458" t="str">
        <f t="shared" si="64"/>
        <v/>
      </c>
      <c r="CQ119" s="458" t="str">
        <f t="shared" si="65"/>
        <v/>
      </c>
      <c r="CR119" s="458" t="str">
        <f t="shared" si="66"/>
        <v/>
      </c>
      <c r="CS119" s="40" t="str">
        <f t="shared" si="67"/>
        <v/>
      </c>
      <c r="CT119" s="40" t="str">
        <f t="shared" si="68"/>
        <v/>
      </c>
      <c r="CU119" s="41" t="str">
        <f t="shared" si="69"/>
        <v/>
      </c>
    </row>
    <row r="120" spans="1:99" x14ac:dyDescent="0.2">
      <c r="A120" s="77">
        <f t="shared" si="70"/>
        <v>115</v>
      </c>
      <c r="B120" s="81"/>
      <c r="C120" s="82"/>
      <c r="D120" s="71"/>
      <c r="E120" s="72"/>
      <c r="F120" s="73"/>
      <c r="G120" s="443"/>
      <c r="H120" s="443"/>
      <c r="I120" s="74"/>
      <c r="J120" s="75"/>
      <c r="K120" s="41">
        <f t="shared" si="74"/>
        <v>3625</v>
      </c>
      <c r="L120" s="104"/>
      <c r="M120" s="105"/>
      <c r="N120" s="106">
        <f t="shared" si="75"/>
        <v>537.05999999999995</v>
      </c>
      <c r="O120" s="104"/>
      <c r="P120" s="105"/>
      <c r="Q120" s="106">
        <f t="shared" si="72"/>
        <v>10045.83</v>
      </c>
      <c r="R120" s="104"/>
      <c r="S120" s="105"/>
      <c r="T120" s="106">
        <f t="shared" si="73"/>
        <v>0</v>
      </c>
      <c r="U120" s="439"/>
      <c r="V120" s="42">
        <f t="shared" si="41"/>
        <v>115</v>
      </c>
      <c r="W120" s="39" t="str">
        <f>IF(AND(E120='Povolené hodnoty'!$B$4,F120=2),I120+L120+O120+R120,"")</f>
        <v/>
      </c>
      <c r="X120" s="41" t="str">
        <f>IF(AND(E120='Povolené hodnoty'!$B$4,F120=1),I120+L120+O120+R120,"")</f>
        <v/>
      </c>
      <c r="Y120" s="39" t="str">
        <f>IF(AND(E120='Povolené hodnoty'!$B$4,F120=10),J120+M120+P120+S120,"")</f>
        <v/>
      </c>
      <c r="Z120" s="41" t="str">
        <f>IF(AND(E120='Povolené hodnoty'!$B$4,F120=9),J120+M120+P120+S120,"")</f>
        <v/>
      </c>
      <c r="AA120" s="39" t="str">
        <f>IF(AND(E120&lt;&gt;'Povolené hodnoty'!$B$4,F120=2),I120+L120+O120+R120,"")</f>
        <v/>
      </c>
      <c r="AB120" s="40" t="str">
        <f>IF(AND(E120&lt;&gt;'Povolené hodnoty'!$B$4,F120=3),I120+L120+O120+R120,"")</f>
        <v/>
      </c>
      <c r="AC120" s="40" t="str">
        <f>IF(AND(E120&lt;&gt;'Povolené hodnoty'!$B$4,F120=4),I120+L120+O120+R120,"")</f>
        <v/>
      </c>
      <c r="AD120" s="40" t="str">
        <f>IF(AND(E120&lt;&gt;'Povolené hodnoty'!$B$4,F120="5a"),I120-J120+L120-M120+O120-P120+R120-S120,"")</f>
        <v/>
      </c>
      <c r="AE120" s="40" t="str">
        <f>IF(AND(E120&lt;&gt;'Povolené hodnoty'!$B$4,F120="5b"),I120-J120+L120-M120+O120-P120+R120-S120,"")</f>
        <v/>
      </c>
      <c r="AF120" s="40" t="str">
        <f>IF(AND(E120&lt;&gt;'Povolené hodnoty'!$B$4,F120=6),I120+L120+O120+R120,"")</f>
        <v/>
      </c>
      <c r="AG120" s="41" t="str">
        <f>IF(AND(E120&lt;&gt;'Povolené hodnoty'!$B$4,F120=7),I120+L120+O120+R120,"")</f>
        <v/>
      </c>
      <c r="AH120" s="39" t="str">
        <f>IF(AND(E120&lt;&gt;'Povolené hodnoty'!$B$4,F120=10),J120+M120+P120+S120,"")</f>
        <v/>
      </c>
      <c r="AI120" s="40" t="str">
        <f>IF(AND(E120&lt;&gt;'Povolené hodnoty'!$B$4,F120=11),J120+M120+P120+S120,"")</f>
        <v/>
      </c>
      <c r="AJ120" s="40" t="str">
        <f>IF(AND(E120&lt;&gt;'Povolené hodnoty'!$B$4,F120=12),J120+M120+P120+S120,"")</f>
        <v/>
      </c>
      <c r="AK120" s="41" t="str">
        <f>IF(AND(E120&lt;&gt;'Povolené hodnoty'!$B$4,F120=13),J120+M120+P120+S120,"")</f>
        <v/>
      </c>
      <c r="AL120" s="39" t="str">
        <f>IF(AND($G120='Povolené hodnoty'!$B$13,$H120=AL$4),SUM($I120,$L120,$O120,$R120),"")</f>
        <v/>
      </c>
      <c r="AM120" s="458" t="str">
        <f>IF(AND($G120='Povolené hodnoty'!$B$13,$H120=AM$4),SUM($I120,$L120,$O120,$R120),"")</f>
        <v/>
      </c>
      <c r="AN120" s="458" t="str">
        <f>IF(AND($G120='Povolené hodnoty'!$B$13,$H120=AN$4),SUM($I120,$L120,$O120,$R120),"")</f>
        <v/>
      </c>
      <c r="AO120" s="458" t="str">
        <f>IF(AND($G120='Povolené hodnoty'!$B$13,$H120=AO$4),SUM($I120,$L120,$O120,$R120),"")</f>
        <v/>
      </c>
      <c r="AP120" s="458" t="str">
        <f>IF(AND($G120='Povolené hodnoty'!$B$13,$H120=AP$4),SUM($I120,$L120,$O120,$R120),"")</f>
        <v/>
      </c>
      <c r="AQ120" s="40" t="str">
        <f>IF(AND($G120='Povolené hodnoty'!$B$13,OR($H120=AQ$4,$H120='Povolené hodnoty'!$E$36)),SUM($I120,-$J120,$L120,-$M120,$O120,-$P120,$R120,-$S120),"")</f>
        <v/>
      </c>
      <c r="AR120" s="40" t="str">
        <f>IF(AND($G120='Povolené hodnoty'!$B$13,$H120=AR$4),SUM($I120,$L120,$O120,$R120),"")</f>
        <v/>
      </c>
      <c r="AS120" s="41" t="str">
        <f>IF(AND($G120='Povolené hodnoty'!$B$13,$H120=AS$4),SUM($I120,$L120,$O120,$R120),"")</f>
        <v/>
      </c>
      <c r="AT120" s="39" t="str">
        <f>IF(AND($G120='Povolené hodnoty'!$B$14,$H120=AT$4),SUM($I120,$L120,$O120,$R120),"")</f>
        <v/>
      </c>
      <c r="AU120" s="458" t="str">
        <f>IF(AND($G120='Povolené hodnoty'!$B$14,$H120=AU$4),SUM($I120,$L120,$O120,$R120),"")</f>
        <v/>
      </c>
      <c r="AV120" s="41" t="str">
        <f>IF(AND($G120='Povolené hodnoty'!$B$14,$H120=AV$4),SUM($I120,$L120,$O120,$R120),"")</f>
        <v/>
      </c>
      <c r="AW120" s="39" t="str">
        <f>IF(AND($G120='Povolené hodnoty'!$B$13,$H120=AW$4),SUM($J120,$M120,$P120,$S120),"")</f>
        <v/>
      </c>
      <c r="AX120" s="458" t="str">
        <f>IF(AND($G120='Povolené hodnoty'!$B$13,$H120=AX$4),SUM($J120,$M120,$P120,$S120),"")</f>
        <v/>
      </c>
      <c r="AY120" s="458" t="str">
        <f>IF(AND($G120='Povolené hodnoty'!$B$13,$H120=AY$4),SUM($J120,$M120,$P120,$S120),"")</f>
        <v/>
      </c>
      <c r="AZ120" s="458" t="str">
        <f>IF(AND($G120='Povolené hodnoty'!$B$13,$H120=AZ$4),SUM($J120,$M120,$P120,$S120),"")</f>
        <v/>
      </c>
      <c r="BA120" s="458" t="str">
        <f>IF(AND($G120='Povolené hodnoty'!$B$13,$H120=BA$4),SUM($J120,$M120,$P120,$S120),"")</f>
        <v/>
      </c>
      <c r="BB120" s="40" t="str">
        <f>IF(AND($G120='Povolené hodnoty'!$B$13,$H120=BB$4),SUM($J120,$M120,$P120,$S120),"")</f>
        <v/>
      </c>
      <c r="BC120" s="40" t="str">
        <f>IF(AND($G120='Povolené hodnoty'!$B$13,$H120=BC$4),SUM($J120,$M120,$P120,$S120),"")</f>
        <v/>
      </c>
      <c r="BD120" s="40" t="str">
        <f>IF(AND($G120='Povolené hodnoty'!$B$13,$H120=BD$4),SUM($J120,$M120,$P120,$S120),"")</f>
        <v/>
      </c>
      <c r="BE120" s="41" t="str">
        <f>IF(AND($G120='Povolené hodnoty'!$B$13,$H120=BE$4),SUM($J120,$M120,$P120,$S120),"")</f>
        <v/>
      </c>
      <c r="BF120" s="39" t="str">
        <f>IF(AND($G120='Povolené hodnoty'!$B$14,$H120=BF$4),SUM($J120,$M120,$P120,$S120),"")</f>
        <v/>
      </c>
      <c r="BG120" s="458" t="str">
        <f>IF(AND($G120='Povolené hodnoty'!$B$14,$H120=BG$4),SUM($J120,$M120,$P120,$S120),"")</f>
        <v/>
      </c>
      <c r="BH120" s="458" t="str">
        <f>IF(AND($G120='Povolené hodnoty'!$B$14,$H120=BH$4),SUM($J120,$M120,$P120,$S120),"")</f>
        <v/>
      </c>
      <c r="BI120" s="458" t="str">
        <f>IF(AND($G120='Povolené hodnoty'!$B$14,$H120=BI$4),SUM($J120,$M120,$P120,$S120),"")</f>
        <v/>
      </c>
      <c r="BJ120" s="458" t="str">
        <f>IF(AND($G120='Povolené hodnoty'!$B$14,$H120=BJ$4),SUM($J120,$M120,$P120,$S120),"")</f>
        <v/>
      </c>
      <c r="BK120" s="40" t="str">
        <f>IF(AND($G120='Povolené hodnoty'!$B$14,$H120=BK$4),SUM($J120,$M120,$P120,$S120),"")</f>
        <v/>
      </c>
      <c r="BL120" s="40" t="str">
        <f>IF(AND($G120='Povolené hodnoty'!$B$14,$H120=BL$4),SUM($J120,$M120,$P120,$S120),"")</f>
        <v/>
      </c>
      <c r="BM120" s="41" t="str">
        <f>IF(AND($G120='Povolené hodnoty'!$B$14,$H120=BM$4),SUM($J120,$M120,$P120,$S120),"")</f>
        <v/>
      </c>
      <c r="BO120" s="18" t="b">
        <f t="shared" si="71"/>
        <v>0</v>
      </c>
      <c r="BP120" s="18" t="b">
        <f t="shared" si="42"/>
        <v>0</v>
      </c>
      <c r="BQ120" s="18" t="b">
        <f>AND(E120&lt;&gt;'Povolené hodnoty'!$B$6,F120&lt;&gt;'Povolené hodnoty'!$D$7,F120&lt;&gt;'Povolené hodnoty'!$D$8,OR(SUM(I120,L120,O120,R120)&lt;&gt;SUM(W120:X120,AA120:AG120),SUM(J120,M120,P120,S120)&lt;&gt;SUM(Y120:Z120,AH120:AK120),COUNT(I120:J120,L120:M120,O120:P120,R120:S120)&lt;&gt;COUNT(W120:AK120)))</f>
        <v>0</v>
      </c>
      <c r="BR120" s="18" t="b">
        <f>OR(AND(E120='Povolené hodnoty'!$B$6,$BR$5),AND(E120='Povolené hodnoty'!$B$6,H120&lt;&gt;'Povolené hodnoty'!$E$26,H120&lt;&gt;'Povolené hodnoty'!$E$35),AND(E120&lt;&gt;'Povolené hodnoty'!$B$6,OR(H120='Povolené hodnoty'!$E$26,H120='Povolené hodnoty'!$E$35)))</f>
        <v>0</v>
      </c>
      <c r="BS120" s="18" t="b">
        <f>OR(AND(G120&lt;&gt;'Povolené hodnoty'!$B$13,OR(H120='Povolené hodnoty'!$E$21,H120='Povolené hodnoty'!$E$22,H120='Povolené hodnoty'!$E$23,H120='Povolené hodnoty'!$E$24,H120='Povolené hodnoty'!$E$26,H120='Povolené hodnoty'!$E$36)),COUNT(I120:J120,L120:M120,O120:P120,R120:S120)&lt;&gt;COUNT(AL120:BM120))</f>
        <v>0</v>
      </c>
      <c r="BT120" s="18" t="b">
        <f t="shared" si="43"/>
        <v>0</v>
      </c>
      <c r="BV120" s="39" t="str">
        <f t="shared" si="44"/>
        <v/>
      </c>
      <c r="BW120" s="458" t="str">
        <f t="shared" si="45"/>
        <v/>
      </c>
      <c r="BX120" s="458" t="str">
        <f t="shared" si="46"/>
        <v/>
      </c>
      <c r="BY120" s="458" t="str">
        <f t="shared" si="47"/>
        <v/>
      </c>
      <c r="BZ120" s="458" t="str">
        <f t="shared" si="48"/>
        <v/>
      </c>
      <c r="CA120" s="40" t="str">
        <f t="shared" si="49"/>
        <v/>
      </c>
      <c r="CB120" s="40" t="str">
        <f t="shared" si="50"/>
        <v/>
      </c>
      <c r="CC120" s="39" t="str">
        <f t="shared" si="51"/>
        <v/>
      </c>
      <c r="CD120" s="458" t="str">
        <f t="shared" si="52"/>
        <v/>
      </c>
      <c r="CE120" s="41" t="str">
        <f t="shared" si="53"/>
        <v/>
      </c>
      <c r="CF120" s="39" t="str">
        <f t="shared" si="54"/>
        <v/>
      </c>
      <c r="CG120" s="458" t="str">
        <f t="shared" si="55"/>
        <v/>
      </c>
      <c r="CH120" s="458" t="str">
        <f t="shared" si="56"/>
        <v/>
      </c>
      <c r="CI120" s="458" t="str">
        <f t="shared" si="57"/>
        <v/>
      </c>
      <c r="CJ120" s="458" t="str">
        <f t="shared" si="58"/>
        <v/>
      </c>
      <c r="CK120" s="40" t="str">
        <f t="shared" si="59"/>
        <v/>
      </c>
      <c r="CL120" s="40" t="str">
        <f t="shared" si="60"/>
        <v/>
      </c>
      <c r="CM120" s="40" t="str">
        <f t="shared" si="61"/>
        <v/>
      </c>
      <c r="CN120" s="39" t="str">
        <f t="shared" si="62"/>
        <v/>
      </c>
      <c r="CO120" s="458" t="str">
        <f t="shared" si="63"/>
        <v/>
      </c>
      <c r="CP120" s="458" t="str">
        <f t="shared" si="64"/>
        <v/>
      </c>
      <c r="CQ120" s="458" t="str">
        <f t="shared" si="65"/>
        <v/>
      </c>
      <c r="CR120" s="458" t="str">
        <f t="shared" si="66"/>
        <v/>
      </c>
      <c r="CS120" s="40" t="str">
        <f t="shared" si="67"/>
        <v/>
      </c>
      <c r="CT120" s="40" t="str">
        <f t="shared" si="68"/>
        <v/>
      </c>
      <c r="CU120" s="41" t="str">
        <f t="shared" si="69"/>
        <v/>
      </c>
    </row>
    <row r="121" spans="1:99" x14ac:dyDescent="0.2">
      <c r="A121" s="77">
        <f t="shared" si="70"/>
        <v>116</v>
      </c>
      <c r="B121" s="81"/>
      <c r="C121" s="82"/>
      <c r="D121" s="71"/>
      <c r="E121" s="72"/>
      <c r="F121" s="73"/>
      <c r="G121" s="443"/>
      <c r="H121" s="443"/>
      <c r="I121" s="74"/>
      <c r="J121" s="75"/>
      <c r="K121" s="41">
        <f t="shared" si="74"/>
        <v>3625</v>
      </c>
      <c r="L121" s="104"/>
      <c r="M121" s="105"/>
      <c r="N121" s="106">
        <f t="shared" si="75"/>
        <v>537.05999999999995</v>
      </c>
      <c r="O121" s="104"/>
      <c r="P121" s="105"/>
      <c r="Q121" s="106">
        <f t="shared" si="72"/>
        <v>10045.83</v>
      </c>
      <c r="R121" s="104"/>
      <c r="S121" s="105"/>
      <c r="T121" s="106">
        <f t="shared" si="73"/>
        <v>0</v>
      </c>
      <c r="U121" s="439"/>
      <c r="V121" s="42">
        <f t="shared" si="41"/>
        <v>116</v>
      </c>
      <c r="W121" s="39" t="str">
        <f>IF(AND(E121='Povolené hodnoty'!$B$4,F121=2),I121+L121+O121+R121,"")</f>
        <v/>
      </c>
      <c r="X121" s="41" t="str">
        <f>IF(AND(E121='Povolené hodnoty'!$B$4,F121=1),I121+L121+O121+R121,"")</f>
        <v/>
      </c>
      <c r="Y121" s="39" t="str">
        <f>IF(AND(E121='Povolené hodnoty'!$B$4,F121=10),J121+M121+P121+S121,"")</f>
        <v/>
      </c>
      <c r="Z121" s="41" t="str">
        <f>IF(AND(E121='Povolené hodnoty'!$B$4,F121=9),J121+M121+P121+S121,"")</f>
        <v/>
      </c>
      <c r="AA121" s="39" t="str">
        <f>IF(AND(E121&lt;&gt;'Povolené hodnoty'!$B$4,F121=2),I121+L121+O121+R121,"")</f>
        <v/>
      </c>
      <c r="AB121" s="40" t="str">
        <f>IF(AND(E121&lt;&gt;'Povolené hodnoty'!$B$4,F121=3),I121+L121+O121+R121,"")</f>
        <v/>
      </c>
      <c r="AC121" s="40" t="str">
        <f>IF(AND(E121&lt;&gt;'Povolené hodnoty'!$B$4,F121=4),I121+L121+O121+R121,"")</f>
        <v/>
      </c>
      <c r="AD121" s="40" t="str">
        <f>IF(AND(E121&lt;&gt;'Povolené hodnoty'!$B$4,F121="5a"),I121-J121+L121-M121+O121-P121+R121-S121,"")</f>
        <v/>
      </c>
      <c r="AE121" s="40" t="str">
        <f>IF(AND(E121&lt;&gt;'Povolené hodnoty'!$B$4,F121="5b"),I121-J121+L121-M121+O121-P121+R121-S121,"")</f>
        <v/>
      </c>
      <c r="AF121" s="40" t="str">
        <f>IF(AND(E121&lt;&gt;'Povolené hodnoty'!$B$4,F121=6),I121+L121+O121+R121,"")</f>
        <v/>
      </c>
      <c r="AG121" s="41" t="str">
        <f>IF(AND(E121&lt;&gt;'Povolené hodnoty'!$B$4,F121=7),I121+L121+O121+R121,"")</f>
        <v/>
      </c>
      <c r="AH121" s="39" t="str">
        <f>IF(AND(E121&lt;&gt;'Povolené hodnoty'!$B$4,F121=10),J121+M121+P121+S121,"")</f>
        <v/>
      </c>
      <c r="AI121" s="40" t="str">
        <f>IF(AND(E121&lt;&gt;'Povolené hodnoty'!$B$4,F121=11),J121+M121+P121+S121,"")</f>
        <v/>
      </c>
      <c r="AJ121" s="40" t="str">
        <f>IF(AND(E121&lt;&gt;'Povolené hodnoty'!$B$4,F121=12),J121+M121+P121+S121,"")</f>
        <v/>
      </c>
      <c r="AK121" s="41" t="str">
        <f>IF(AND(E121&lt;&gt;'Povolené hodnoty'!$B$4,F121=13),J121+M121+P121+S121,"")</f>
        <v/>
      </c>
      <c r="AL121" s="39" t="str">
        <f>IF(AND($G121='Povolené hodnoty'!$B$13,$H121=AL$4),SUM($I121,$L121,$O121,$R121),"")</f>
        <v/>
      </c>
      <c r="AM121" s="458" t="str">
        <f>IF(AND($G121='Povolené hodnoty'!$B$13,$H121=AM$4),SUM($I121,$L121,$O121,$R121),"")</f>
        <v/>
      </c>
      <c r="AN121" s="458" t="str">
        <f>IF(AND($G121='Povolené hodnoty'!$B$13,$H121=AN$4),SUM($I121,$L121,$O121,$R121),"")</f>
        <v/>
      </c>
      <c r="AO121" s="458" t="str">
        <f>IF(AND($G121='Povolené hodnoty'!$B$13,$H121=AO$4),SUM($I121,$L121,$O121,$R121),"")</f>
        <v/>
      </c>
      <c r="AP121" s="458" t="str">
        <f>IF(AND($G121='Povolené hodnoty'!$B$13,$H121=AP$4),SUM($I121,$L121,$O121,$R121),"")</f>
        <v/>
      </c>
      <c r="AQ121" s="40" t="str">
        <f>IF(AND($G121='Povolené hodnoty'!$B$13,OR($H121=AQ$4,$H121='Povolené hodnoty'!$E$36)),SUM($I121,-$J121,$L121,-$M121,$O121,-$P121,$R121,-$S121),"")</f>
        <v/>
      </c>
      <c r="AR121" s="40" t="str">
        <f>IF(AND($G121='Povolené hodnoty'!$B$13,$H121=AR$4),SUM($I121,$L121,$O121,$R121),"")</f>
        <v/>
      </c>
      <c r="AS121" s="41" t="str">
        <f>IF(AND($G121='Povolené hodnoty'!$B$13,$H121=AS$4),SUM($I121,$L121,$O121,$R121),"")</f>
        <v/>
      </c>
      <c r="AT121" s="39" t="str">
        <f>IF(AND($G121='Povolené hodnoty'!$B$14,$H121=AT$4),SUM($I121,$L121,$O121,$R121),"")</f>
        <v/>
      </c>
      <c r="AU121" s="458" t="str">
        <f>IF(AND($G121='Povolené hodnoty'!$B$14,$H121=AU$4),SUM($I121,$L121,$O121,$R121),"")</f>
        <v/>
      </c>
      <c r="AV121" s="41" t="str">
        <f>IF(AND($G121='Povolené hodnoty'!$B$14,$H121=AV$4),SUM($I121,$L121,$O121,$R121),"")</f>
        <v/>
      </c>
      <c r="AW121" s="39" t="str">
        <f>IF(AND($G121='Povolené hodnoty'!$B$13,$H121=AW$4),SUM($J121,$M121,$P121,$S121),"")</f>
        <v/>
      </c>
      <c r="AX121" s="458" t="str">
        <f>IF(AND($G121='Povolené hodnoty'!$B$13,$H121=AX$4),SUM($J121,$M121,$P121,$S121),"")</f>
        <v/>
      </c>
      <c r="AY121" s="458" t="str">
        <f>IF(AND($G121='Povolené hodnoty'!$B$13,$H121=AY$4),SUM($J121,$M121,$P121,$S121),"")</f>
        <v/>
      </c>
      <c r="AZ121" s="458" t="str">
        <f>IF(AND($G121='Povolené hodnoty'!$B$13,$H121=AZ$4),SUM($J121,$M121,$P121,$S121),"")</f>
        <v/>
      </c>
      <c r="BA121" s="458" t="str">
        <f>IF(AND($G121='Povolené hodnoty'!$B$13,$H121=BA$4),SUM($J121,$M121,$P121,$S121),"")</f>
        <v/>
      </c>
      <c r="BB121" s="40" t="str">
        <f>IF(AND($G121='Povolené hodnoty'!$B$13,$H121=BB$4),SUM($J121,$M121,$P121,$S121),"")</f>
        <v/>
      </c>
      <c r="BC121" s="40" t="str">
        <f>IF(AND($G121='Povolené hodnoty'!$B$13,$H121=BC$4),SUM($J121,$M121,$P121,$S121),"")</f>
        <v/>
      </c>
      <c r="BD121" s="40" t="str">
        <f>IF(AND($G121='Povolené hodnoty'!$B$13,$H121=BD$4),SUM($J121,$M121,$P121,$S121),"")</f>
        <v/>
      </c>
      <c r="BE121" s="41" t="str">
        <f>IF(AND($G121='Povolené hodnoty'!$B$13,$H121=BE$4),SUM($J121,$M121,$P121,$S121),"")</f>
        <v/>
      </c>
      <c r="BF121" s="39" t="str">
        <f>IF(AND($G121='Povolené hodnoty'!$B$14,$H121=BF$4),SUM($J121,$M121,$P121,$S121),"")</f>
        <v/>
      </c>
      <c r="BG121" s="458" t="str">
        <f>IF(AND($G121='Povolené hodnoty'!$B$14,$H121=BG$4),SUM($J121,$M121,$P121,$S121),"")</f>
        <v/>
      </c>
      <c r="BH121" s="458" t="str">
        <f>IF(AND($G121='Povolené hodnoty'!$B$14,$H121=BH$4),SUM($J121,$M121,$P121,$S121),"")</f>
        <v/>
      </c>
      <c r="BI121" s="458" t="str">
        <f>IF(AND($G121='Povolené hodnoty'!$B$14,$H121=BI$4),SUM($J121,$M121,$P121,$S121),"")</f>
        <v/>
      </c>
      <c r="BJ121" s="458" t="str">
        <f>IF(AND($G121='Povolené hodnoty'!$B$14,$H121=BJ$4),SUM($J121,$M121,$P121,$S121),"")</f>
        <v/>
      </c>
      <c r="BK121" s="40" t="str">
        <f>IF(AND($G121='Povolené hodnoty'!$B$14,$H121=BK$4),SUM($J121,$M121,$P121,$S121),"")</f>
        <v/>
      </c>
      <c r="BL121" s="40" t="str">
        <f>IF(AND($G121='Povolené hodnoty'!$B$14,$H121=BL$4),SUM($J121,$M121,$P121,$S121),"")</f>
        <v/>
      </c>
      <c r="BM121" s="41" t="str">
        <f>IF(AND($G121='Povolené hodnoty'!$B$14,$H121=BM$4),SUM($J121,$M121,$P121,$S121),"")</f>
        <v/>
      </c>
      <c r="BO121" s="18" t="b">
        <f t="shared" si="71"/>
        <v>0</v>
      </c>
      <c r="BP121" s="18" t="b">
        <f t="shared" si="42"/>
        <v>0</v>
      </c>
      <c r="BQ121" s="18" t="b">
        <f>AND(E121&lt;&gt;'Povolené hodnoty'!$B$6,F121&lt;&gt;'Povolené hodnoty'!$D$7,F121&lt;&gt;'Povolené hodnoty'!$D$8,OR(SUM(I121,L121,O121,R121)&lt;&gt;SUM(W121:X121,AA121:AG121),SUM(J121,M121,P121,S121)&lt;&gt;SUM(Y121:Z121,AH121:AK121),COUNT(I121:J121,L121:M121,O121:P121,R121:S121)&lt;&gt;COUNT(W121:AK121)))</f>
        <v>0</v>
      </c>
      <c r="BR121" s="18" t="b">
        <f>OR(AND(E121='Povolené hodnoty'!$B$6,$BR$5),AND(E121='Povolené hodnoty'!$B$6,H121&lt;&gt;'Povolené hodnoty'!$E$26,H121&lt;&gt;'Povolené hodnoty'!$E$35),AND(E121&lt;&gt;'Povolené hodnoty'!$B$6,OR(H121='Povolené hodnoty'!$E$26,H121='Povolené hodnoty'!$E$35)))</f>
        <v>0</v>
      </c>
      <c r="BS121" s="18" t="b">
        <f>OR(AND(G121&lt;&gt;'Povolené hodnoty'!$B$13,OR(H121='Povolené hodnoty'!$E$21,H121='Povolené hodnoty'!$E$22,H121='Povolené hodnoty'!$E$23,H121='Povolené hodnoty'!$E$24,H121='Povolené hodnoty'!$E$26,H121='Povolené hodnoty'!$E$36)),COUNT(I121:J121,L121:M121,O121:P121,R121:S121)&lt;&gt;COUNT(AL121:BM121))</f>
        <v>0</v>
      </c>
      <c r="BT121" s="18" t="b">
        <f t="shared" si="43"/>
        <v>0</v>
      </c>
      <c r="BV121" s="39" t="str">
        <f t="shared" si="44"/>
        <v/>
      </c>
      <c r="BW121" s="458" t="str">
        <f t="shared" si="45"/>
        <v/>
      </c>
      <c r="BX121" s="458" t="str">
        <f t="shared" si="46"/>
        <v/>
      </c>
      <c r="BY121" s="458" t="str">
        <f t="shared" si="47"/>
        <v/>
      </c>
      <c r="BZ121" s="458" t="str">
        <f t="shared" si="48"/>
        <v/>
      </c>
      <c r="CA121" s="40" t="str">
        <f t="shared" si="49"/>
        <v/>
      </c>
      <c r="CB121" s="40" t="str">
        <f t="shared" si="50"/>
        <v/>
      </c>
      <c r="CC121" s="39" t="str">
        <f t="shared" si="51"/>
        <v/>
      </c>
      <c r="CD121" s="458" t="str">
        <f t="shared" si="52"/>
        <v/>
      </c>
      <c r="CE121" s="41" t="str">
        <f t="shared" si="53"/>
        <v/>
      </c>
      <c r="CF121" s="39" t="str">
        <f t="shared" si="54"/>
        <v/>
      </c>
      <c r="CG121" s="458" t="str">
        <f t="shared" si="55"/>
        <v/>
      </c>
      <c r="CH121" s="458" t="str">
        <f t="shared" si="56"/>
        <v/>
      </c>
      <c r="CI121" s="458" t="str">
        <f t="shared" si="57"/>
        <v/>
      </c>
      <c r="CJ121" s="458" t="str">
        <f t="shared" si="58"/>
        <v/>
      </c>
      <c r="CK121" s="40" t="str">
        <f t="shared" si="59"/>
        <v/>
      </c>
      <c r="CL121" s="40" t="str">
        <f t="shared" si="60"/>
        <v/>
      </c>
      <c r="CM121" s="40" t="str">
        <f t="shared" si="61"/>
        <v/>
      </c>
      <c r="CN121" s="39" t="str">
        <f t="shared" si="62"/>
        <v/>
      </c>
      <c r="CO121" s="458" t="str">
        <f t="shared" si="63"/>
        <v/>
      </c>
      <c r="CP121" s="458" t="str">
        <f t="shared" si="64"/>
        <v/>
      </c>
      <c r="CQ121" s="458" t="str">
        <f t="shared" si="65"/>
        <v/>
      </c>
      <c r="CR121" s="458" t="str">
        <f t="shared" si="66"/>
        <v/>
      </c>
      <c r="CS121" s="40" t="str">
        <f t="shared" si="67"/>
        <v/>
      </c>
      <c r="CT121" s="40" t="str">
        <f t="shared" si="68"/>
        <v/>
      </c>
      <c r="CU121" s="41" t="str">
        <f t="shared" si="69"/>
        <v/>
      </c>
    </row>
    <row r="122" spans="1:99" x14ac:dyDescent="0.2">
      <c r="A122" s="77">
        <f t="shared" si="70"/>
        <v>117</v>
      </c>
      <c r="B122" s="81"/>
      <c r="C122" s="82"/>
      <c r="D122" s="71"/>
      <c r="E122" s="72"/>
      <c r="F122" s="73"/>
      <c r="G122" s="443"/>
      <c r="H122" s="443"/>
      <c r="I122" s="74"/>
      <c r="J122" s="75"/>
      <c r="K122" s="41">
        <f t="shared" si="74"/>
        <v>3625</v>
      </c>
      <c r="L122" s="104"/>
      <c r="M122" s="105"/>
      <c r="N122" s="106">
        <f t="shared" si="75"/>
        <v>537.05999999999995</v>
      </c>
      <c r="O122" s="104"/>
      <c r="P122" s="105"/>
      <c r="Q122" s="106">
        <f t="shared" si="72"/>
        <v>10045.83</v>
      </c>
      <c r="R122" s="104"/>
      <c r="S122" s="105"/>
      <c r="T122" s="106">
        <f t="shared" si="73"/>
        <v>0</v>
      </c>
      <c r="U122" s="439"/>
      <c r="V122" s="42">
        <f t="shared" si="41"/>
        <v>117</v>
      </c>
      <c r="W122" s="39" t="str">
        <f>IF(AND(E122='Povolené hodnoty'!$B$4,F122=2),I122+L122+O122+R122,"")</f>
        <v/>
      </c>
      <c r="X122" s="41" t="str">
        <f>IF(AND(E122='Povolené hodnoty'!$B$4,F122=1),I122+L122+O122+R122,"")</f>
        <v/>
      </c>
      <c r="Y122" s="39" t="str">
        <f>IF(AND(E122='Povolené hodnoty'!$B$4,F122=10),J122+M122+P122+S122,"")</f>
        <v/>
      </c>
      <c r="Z122" s="41" t="str">
        <f>IF(AND(E122='Povolené hodnoty'!$B$4,F122=9),J122+M122+P122+S122,"")</f>
        <v/>
      </c>
      <c r="AA122" s="39" t="str">
        <f>IF(AND(E122&lt;&gt;'Povolené hodnoty'!$B$4,F122=2),I122+L122+O122+R122,"")</f>
        <v/>
      </c>
      <c r="AB122" s="40" t="str">
        <f>IF(AND(E122&lt;&gt;'Povolené hodnoty'!$B$4,F122=3),I122+L122+O122+R122,"")</f>
        <v/>
      </c>
      <c r="AC122" s="40" t="str">
        <f>IF(AND(E122&lt;&gt;'Povolené hodnoty'!$B$4,F122=4),I122+L122+O122+R122,"")</f>
        <v/>
      </c>
      <c r="AD122" s="40" t="str">
        <f>IF(AND(E122&lt;&gt;'Povolené hodnoty'!$B$4,F122="5a"),I122-J122+L122-M122+O122-P122+R122-S122,"")</f>
        <v/>
      </c>
      <c r="AE122" s="40" t="str">
        <f>IF(AND(E122&lt;&gt;'Povolené hodnoty'!$B$4,F122="5b"),I122-J122+L122-M122+O122-P122+R122-S122,"")</f>
        <v/>
      </c>
      <c r="AF122" s="40" t="str">
        <f>IF(AND(E122&lt;&gt;'Povolené hodnoty'!$B$4,F122=6),I122+L122+O122+R122,"")</f>
        <v/>
      </c>
      <c r="AG122" s="41" t="str">
        <f>IF(AND(E122&lt;&gt;'Povolené hodnoty'!$B$4,F122=7),I122+L122+O122+R122,"")</f>
        <v/>
      </c>
      <c r="AH122" s="39" t="str">
        <f>IF(AND(E122&lt;&gt;'Povolené hodnoty'!$B$4,F122=10),J122+M122+P122+S122,"")</f>
        <v/>
      </c>
      <c r="AI122" s="40" t="str">
        <f>IF(AND(E122&lt;&gt;'Povolené hodnoty'!$B$4,F122=11),J122+M122+P122+S122,"")</f>
        <v/>
      </c>
      <c r="AJ122" s="40" t="str">
        <f>IF(AND(E122&lt;&gt;'Povolené hodnoty'!$B$4,F122=12),J122+M122+P122+S122,"")</f>
        <v/>
      </c>
      <c r="AK122" s="41" t="str">
        <f>IF(AND(E122&lt;&gt;'Povolené hodnoty'!$B$4,F122=13),J122+M122+P122+S122,"")</f>
        <v/>
      </c>
      <c r="AL122" s="39" t="str">
        <f>IF(AND($G122='Povolené hodnoty'!$B$13,$H122=AL$4),SUM($I122,$L122,$O122,$R122),"")</f>
        <v/>
      </c>
      <c r="AM122" s="458" t="str">
        <f>IF(AND($G122='Povolené hodnoty'!$B$13,$H122=AM$4),SUM($I122,$L122,$O122,$R122),"")</f>
        <v/>
      </c>
      <c r="AN122" s="458" t="str">
        <f>IF(AND($G122='Povolené hodnoty'!$B$13,$H122=AN$4),SUM($I122,$L122,$O122,$R122),"")</f>
        <v/>
      </c>
      <c r="AO122" s="458" t="str">
        <f>IF(AND($G122='Povolené hodnoty'!$B$13,$H122=AO$4),SUM($I122,$L122,$O122,$R122),"")</f>
        <v/>
      </c>
      <c r="AP122" s="458" t="str">
        <f>IF(AND($G122='Povolené hodnoty'!$B$13,$H122=AP$4),SUM($I122,$L122,$O122,$R122),"")</f>
        <v/>
      </c>
      <c r="AQ122" s="40" t="str">
        <f>IF(AND($G122='Povolené hodnoty'!$B$13,OR($H122=AQ$4,$H122='Povolené hodnoty'!$E$36)),SUM($I122,-$J122,$L122,-$M122,$O122,-$P122,$R122,-$S122),"")</f>
        <v/>
      </c>
      <c r="AR122" s="40" t="str">
        <f>IF(AND($G122='Povolené hodnoty'!$B$13,$H122=AR$4),SUM($I122,$L122,$O122,$R122),"")</f>
        <v/>
      </c>
      <c r="AS122" s="41" t="str">
        <f>IF(AND($G122='Povolené hodnoty'!$B$13,$H122=AS$4),SUM($I122,$L122,$O122,$R122),"")</f>
        <v/>
      </c>
      <c r="AT122" s="39" t="str">
        <f>IF(AND($G122='Povolené hodnoty'!$B$14,$H122=AT$4),SUM($I122,$L122,$O122,$R122),"")</f>
        <v/>
      </c>
      <c r="AU122" s="458" t="str">
        <f>IF(AND($G122='Povolené hodnoty'!$B$14,$H122=AU$4),SUM($I122,$L122,$O122,$R122),"")</f>
        <v/>
      </c>
      <c r="AV122" s="41" t="str">
        <f>IF(AND($G122='Povolené hodnoty'!$B$14,$H122=AV$4),SUM($I122,$L122,$O122,$R122),"")</f>
        <v/>
      </c>
      <c r="AW122" s="39" t="str">
        <f>IF(AND($G122='Povolené hodnoty'!$B$13,$H122=AW$4),SUM($J122,$M122,$P122,$S122),"")</f>
        <v/>
      </c>
      <c r="AX122" s="458" t="str">
        <f>IF(AND($G122='Povolené hodnoty'!$B$13,$H122=AX$4),SUM($J122,$M122,$P122,$S122),"")</f>
        <v/>
      </c>
      <c r="AY122" s="458" t="str">
        <f>IF(AND($G122='Povolené hodnoty'!$B$13,$H122=AY$4),SUM($J122,$M122,$P122,$S122),"")</f>
        <v/>
      </c>
      <c r="AZ122" s="458" t="str">
        <f>IF(AND($G122='Povolené hodnoty'!$B$13,$H122=AZ$4),SUM($J122,$M122,$P122,$S122),"")</f>
        <v/>
      </c>
      <c r="BA122" s="458" t="str">
        <f>IF(AND($G122='Povolené hodnoty'!$B$13,$H122=BA$4),SUM($J122,$M122,$P122,$S122),"")</f>
        <v/>
      </c>
      <c r="BB122" s="40" t="str">
        <f>IF(AND($G122='Povolené hodnoty'!$B$13,$H122=BB$4),SUM($J122,$M122,$P122,$S122),"")</f>
        <v/>
      </c>
      <c r="BC122" s="40" t="str">
        <f>IF(AND($G122='Povolené hodnoty'!$B$13,$H122=BC$4),SUM($J122,$M122,$P122,$S122),"")</f>
        <v/>
      </c>
      <c r="BD122" s="40" t="str">
        <f>IF(AND($G122='Povolené hodnoty'!$B$13,$H122=BD$4),SUM($J122,$M122,$P122,$S122),"")</f>
        <v/>
      </c>
      <c r="BE122" s="41" t="str">
        <f>IF(AND($G122='Povolené hodnoty'!$B$13,$H122=BE$4),SUM($J122,$M122,$P122,$S122),"")</f>
        <v/>
      </c>
      <c r="BF122" s="39" t="str">
        <f>IF(AND($G122='Povolené hodnoty'!$B$14,$H122=BF$4),SUM($J122,$M122,$P122,$S122),"")</f>
        <v/>
      </c>
      <c r="BG122" s="458" t="str">
        <f>IF(AND($G122='Povolené hodnoty'!$B$14,$H122=BG$4),SUM($J122,$M122,$P122,$S122),"")</f>
        <v/>
      </c>
      <c r="BH122" s="458" t="str">
        <f>IF(AND($G122='Povolené hodnoty'!$B$14,$H122=BH$4),SUM($J122,$M122,$P122,$S122),"")</f>
        <v/>
      </c>
      <c r="BI122" s="458" t="str">
        <f>IF(AND($G122='Povolené hodnoty'!$B$14,$H122=BI$4),SUM($J122,$M122,$P122,$S122),"")</f>
        <v/>
      </c>
      <c r="BJ122" s="458" t="str">
        <f>IF(AND($G122='Povolené hodnoty'!$B$14,$H122=BJ$4),SUM($J122,$M122,$P122,$S122),"")</f>
        <v/>
      </c>
      <c r="BK122" s="40" t="str">
        <f>IF(AND($G122='Povolené hodnoty'!$B$14,$H122=BK$4),SUM($J122,$M122,$P122,$S122),"")</f>
        <v/>
      </c>
      <c r="BL122" s="40" t="str">
        <f>IF(AND($G122='Povolené hodnoty'!$B$14,$H122=BL$4),SUM($J122,$M122,$P122,$S122),"")</f>
        <v/>
      </c>
      <c r="BM122" s="41" t="str">
        <f>IF(AND($G122='Povolené hodnoty'!$B$14,$H122=BM$4),SUM($J122,$M122,$P122,$S122),"")</f>
        <v/>
      </c>
      <c r="BO122" s="18" t="b">
        <f t="shared" si="71"/>
        <v>0</v>
      </c>
      <c r="BP122" s="18" t="b">
        <f t="shared" si="42"/>
        <v>0</v>
      </c>
      <c r="BQ122" s="18" t="b">
        <f>AND(E122&lt;&gt;'Povolené hodnoty'!$B$6,F122&lt;&gt;'Povolené hodnoty'!$D$7,F122&lt;&gt;'Povolené hodnoty'!$D$8,OR(SUM(I122,L122,O122,R122)&lt;&gt;SUM(W122:X122,AA122:AG122),SUM(J122,M122,P122,S122)&lt;&gt;SUM(Y122:Z122,AH122:AK122),COUNT(I122:J122,L122:M122,O122:P122,R122:S122)&lt;&gt;COUNT(W122:AK122)))</f>
        <v>0</v>
      </c>
      <c r="BR122" s="18" t="b">
        <f>OR(AND(E122='Povolené hodnoty'!$B$6,$BR$5),AND(E122='Povolené hodnoty'!$B$6,H122&lt;&gt;'Povolené hodnoty'!$E$26,H122&lt;&gt;'Povolené hodnoty'!$E$35),AND(E122&lt;&gt;'Povolené hodnoty'!$B$6,OR(H122='Povolené hodnoty'!$E$26,H122='Povolené hodnoty'!$E$35)))</f>
        <v>0</v>
      </c>
      <c r="BS122" s="18" t="b">
        <f>OR(AND(G122&lt;&gt;'Povolené hodnoty'!$B$13,OR(H122='Povolené hodnoty'!$E$21,H122='Povolené hodnoty'!$E$22,H122='Povolené hodnoty'!$E$23,H122='Povolené hodnoty'!$E$24,H122='Povolené hodnoty'!$E$26,H122='Povolené hodnoty'!$E$36)),COUNT(I122:J122,L122:M122,O122:P122,R122:S122)&lt;&gt;COUNT(AL122:BM122))</f>
        <v>0</v>
      </c>
      <c r="BT122" s="18" t="b">
        <f t="shared" si="43"/>
        <v>0</v>
      </c>
      <c r="BV122" s="39" t="str">
        <f t="shared" si="44"/>
        <v/>
      </c>
      <c r="BW122" s="458" t="str">
        <f t="shared" si="45"/>
        <v/>
      </c>
      <c r="BX122" s="458" t="str">
        <f t="shared" si="46"/>
        <v/>
      </c>
      <c r="BY122" s="458" t="str">
        <f t="shared" si="47"/>
        <v/>
      </c>
      <c r="BZ122" s="458" t="str">
        <f t="shared" si="48"/>
        <v/>
      </c>
      <c r="CA122" s="40" t="str">
        <f t="shared" si="49"/>
        <v/>
      </c>
      <c r="CB122" s="40" t="str">
        <f t="shared" si="50"/>
        <v/>
      </c>
      <c r="CC122" s="39" t="str">
        <f t="shared" si="51"/>
        <v/>
      </c>
      <c r="CD122" s="458" t="str">
        <f t="shared" si="52"/>
        <v/>
      </c>
      <c r="CE122" s="41" t="str">
        <f t="shared" si="53"/>
        <v/>
      </c>
      <c r="CF122" s="39" t="str">
        <f t="shared" si="54"/>
        <v/>
      </c>
      <c r="CG122" s="458" t="str">
        <f t="shared" si="55"/>
        <v/>
      </c>
      <c r="CH122" s="458" t="str">
        <f t="shared" si="56"/>
        <v/>
      </c>
      <c r="CI122" s="458" t="str">
        <f t="shared" si="57"/>
        <v/>
      </c>
      <c r="CJ122" s="458" t="str">
        <f t="shared" si="58"/>
        <v/>
      </c>
      <c r="CK122" s="40" t="str">
        <f t="shared" si="59"/>
        <v/>
      </c>
      <c r="CL122" s="40" t="str">
        <f t="shared" si="60"/>
        <v/>
      </c>
      <c r="CM122" s="40" t="str">
        <f t="shared" si="61"/>
        <v/>
      </c>
      <c r="CN122" s="39" t="str">
        <f t="shared" si="62"/>
        <v/>
      </c>
      <c r="CO122" s="458" t="str">
        <f t="shared" si="63"/>
        <v/>
      </c>
      <c r="CP122" s="458" t="str">
        <f t="shared" si="64"/>
        <v/>
      </c>
      <c r="CQ122" s="458" t="str">
        <f t="shared" si="65"/>
        <v/>
      </c>
      <c r="CR122" s="458" t="str">
        <f t="shared" si="66"/>
        <v/>
      </c>
      <c r="CS122" s="40" t="str">
        <f t="shared" si="67"/>
        <v/>
      </c>
      <c r="CT122" s="40" t="str">
        <f t="shared" si="68"/>
        <v/>
      </c>
      <c r="CU122" s="41" t="str">
        <f t="shared" si="69"/>
        <v/>
      </c>
    </row>
    <row r="123" spans="1:99" x14ac:dyDescent="0.2">
      <c r="A123" s="77">
        <f t="shared" si="70"/>
        <v>118</v>
      </c>
      <c r="B123" s="81"/>
      <c r="C123" s="82"/>
      <c r="D123" s="71"/>
      <c r="E123" s="72"/>
      <c r="F123" s="73"/>
      <c r="G123" s="443"/>
      <c r="H123" s="443"/>
      <c r="I123" s="74"/>
      <c r="J123" s="75"/>
      <c r="K123" s="41">
        <f t="shared" si="74"/>
        <v>3625</v>
      </c>
      <c r="L123" s="104"/>
      <c r="M123" s="105"/>
      <c r="N123" s="106">
        <f t="shared" si="75"/>
        <v>537.05999999999995</v>
      </c>
      <c r="O123" s="104"/>
      <c r="P123" s="105"/>
      <c r="Q123" s="106">
        <f t="shared" si="72"/>
        <v>10045.83</v>
      </c>
      <c r="R123" s="104"/>
      <c r="S123" s="105"/>
      <c r="T123" s="106">
        <f t="shared" si="73"/>
        <v>0</v>
      </c>
      <c r="U123" s="439"/>
      <c r="V123" s="42">
        <f t="shared" si="41"/>
        <v>118</v>
      </c>
      <c r="W123" s="39" t="str">
        <f>IF(AND(E123='Povolené hodnoty'!$B$4,F123=2),I123+L123+O123+R123,"")</f>
        <v/>
      </c>
      <c r="X123" s="41" t="str">
        <f>IF(AND(E123='Povolené hodnoty'!$B$4,F123=1),I123+L123+O123+R123,"")</f>
        <v/>
      </c>
      <c r="Y123" s="39" t="str">
        <f>IF(AND(E123='Povolené hodnoty'!$B$4,F123=10),J123+M123+P123+S123,"")</f>
        <v/>
      </c>
      <c r="Z123" s="41" t="str">
        <f>IF(AND(E123='Povolené hodnoty'!$B$4,F123=9),J123+M123+P123+S123,"")</f>
        <v/>
      </c>
      <c r="AA123" s="39" t="str">
        <f>IF(AND(E123&lt;&gt;'Povolené hodnoty'!$B$4,F123=2),I123+L123+O123+R123,"")</f>
        <v/>
      </c>
      <c r="AB123" s="40" t="str">
        <f>IF(AND(E123&lt;&gt;'Povolené hodnoty'!$B$4,F123=3),I123+L123+O123+R123,"")</f>
        <v/>
      </c>
      <c r="AC123" s="40" t="str">
        <f>IF(AND(E123&lt;&gt;'Povolené hodnoty'!$B$4,F123=4),I123+L123+O123+R123,"")</f>
        <v/>
      </c>
      <c r="AD123" s="40" t="str">
        <f>IF(AND(E123&lt;&gt;'Povolené hodnoty'!$B$4,F123="5a"),I123-J123+L123-M123+O123-P123+R123-S123,"")</f>
        <v/>
      </c>
      <c r="AE123" s="40" t="str">
        <f>IF(AND(E123&lt;&gt;'Povolené hodnoty'!$B$4,F123="5b"),I123-J123+L123-M123+O123-P123+R123-S123,"")</f>
        <v/>
      </c>
      <c r="AF123" s="40" t="str">
        <f>IF(AND(E123&lt;&gt;'Povolené hodnoty'!$B$4,F123=6),I123+L123+O123+R123,"")</f>
        <v/>
      </c>
      <c r="AG123" s="41" t="str">
        <f>IF(AND(E123&lt;&gt;'Povolené hodnoty'!$B$4,F123=7),I123+L123+O123+R123,"")</f>
        <v/>
      </c>
      <c r="AH123" s="39" t="str">
        <f>IF(AND(E123&lt;&gt;'Povolené hodnoty'!$B$4,F123=10),J123+M123+P123+S123,"")</f>
        <v/>
      </c>
      <c r="AI123" s="40" t="str">
        <f>IF(AND(E123&lt;&gt;'Povolené hodnoty'!$B$4,F123=11),J123+M123+P123+S123,"")</f>
        <v/>
      </c>
      <c r="AJ123" s="40" t="str">
        <f>IF(AND(E123&lt;&gt;'Povolené hodnoty'!$B$4,F123=12),J123+M123+P123+S123,"")</f>
        <v/>
      </c>
      <c r="AK123" s="41" t="str">
        <f>IF(AND(E123&lt;&gt;'Povolené hodnoty'!$B$4,F123=13),J123+M123+P123+S123,"")</f>
        <v/>
      </c>
      <c r="AL123" s="39" t="str">
        <f>IF(AND($G123='Povolené hodnoty'!$B$13,$H123=AL$4),SUM($I123,$L123,$O123,$R123),"")</f>
        <v/>
      </c>
      <c r="AM123" s="458" t="str">
        <f>IF(AND($G123='Povolené hodnoty'!$B$13,$H123=AM$4),SUM($I123,$L123,$O123,$R123),"")</f>
        <v/>
      </c>
      <c r="AN123" s="458" t="str">
        <f>IF(AND($G123='Povolené hodnoty'!$B$13,$H123=AN$4),SUM($I123,$L123,$O123,$R123),"")</f>
        <v/>
      </c>
      <c r="AO123" s="458" t="str">
        <f>IF(AND($G123='Povolené hodnoty'!$B$13,$H123=AO$4),SUM($I123,$L123,$O123,$R123),"")</f>
        <v/>
      </c>
      <c r="AP123" s="458" t="str">
        <f>IF(AND($G123='Povolené hodnoty'!$B$13,$H123=AP$4),SUM($I123,$L123,$O123,$R123),"")</f>
        <v/>
      </c>
      <c r="AQ123" s="40" t="str">
        <f>IF(AND($G123='Povolené hodnoty'!$B$13,OR($H123=AQ$4,$H123='Povolené hodnoty'!$E$36)),SUM($I123,-$J123,$L123,-$M123,$O123,-$P123,$R123,-$S123),"")</f>
        <v/>
      </c>
      <c r="AR123" s="40" t="str">
        <f>IF(AND($G123='Povolené hodnoty'!$B$13,$H123=AR$4),SUM($I123,$L123,$O123,$R123),"")</f>
        <v/>
      </c>
      <c r="AS123" s="41" t="str">
        <f>IF(AND($G123='Povolené hodnoty'!$B$13,$H123=AS$4),SUM($I123,$L123,$O123,$R123),"")</f>
        <v/>
      </c>
      <c r="AT123" s="39" t="str">
        <f>IF(AND($G123='Povolené hodnoty'!$B$14,$H123=AT$4),SUM($I123,$L123,$O123,$R123),"")</f>
        <v/>
      </c>
      <c r="AU123" s="458" t="str">
        <f>IF(AND($G123='Povolené hodnoty'!$B$14,$H123=AU$4),SUM($I123,$L123,$O123,$R123),"")</f>
        <v/>
      </c>
      <c r="AV123" s="41" t="str">
        <f>IF(AND($G123='Povolené hodnoty'!$B$14,$H123=AV$4),SUM($I123,$L123,$O123,$R123),"")</f>
        <v/>
      </c>
      <c r="AW123" s="39" t="str">
        <f>IF(AND($G123='Povolené hodnoty'!$B$13,$H123=AW$4),SUM($J123,$M123,$P123,$S123),"")</f>
        <v/>
      </c>
      <c r="AX123" s="458" t="str">
        <f>IF(AND($G123='Povolené hodnoty'!$B$13,$H123=AX$4),SUM($J123,$M123,$P123,$S123),"")</f>
        <v/>
      </c>
      <c r="AY123" s="458" t="str">
        <f>IF(AND($G123='Povolené hodnoty'!$B$13,$H123=AY$4),SUM($J123,$M123,$P123,$S123),"")</f>
        <v/>
      </c>
      <c r="AZ123" s="458" t="str">
        <f>IF(AND($G123='Povolené hodnoty'!$B$13,$H123=AZ$4),SUM($J123,$M123,$P123,$S123),"")</f>
        <v/>
      </c>
      <c r="BA123" s="458" t="str">
        <f>IF(AND($G123='Povolené hodnoty'!$B$13,$H123=BA$4),SUM($J123,$M123,$P123,$S123),"")</f>
        <v/>
      </c>
      <c r="BB123" s="40" t="str">
        <f>IF(AND($G123='Povolené hodnoty'!$B$13,$H123=BB$4),SUM($J123,$M123,$P123,$S123),"")</f>
        <v/>
      </c>
      <c r="BC123" s="40" t="str">
        <f>IF(AND($G123='Povolené hodnoty'!$B$13,$H123=BC$4),SUM($J123,$M123,$P123,$S123),"")</f>
        <v/>
      </c>
      <c r="BD123" s="40" t="str">
        <f>IF(AND($G123='Povolené hodnoty'!$B$13,$H123=BD$4),SUM($J123,$M123,$P123,$S123),"")</f>
        <v/>
      </c>
      <c r="BE123" s="41" t="str">
        <f>IF(AND($G123='Povolené hodnoty'!$B$13,$H123=BE$4),SUM($J123,$M123,$P123,$S123),"")</f>
        <v/>
      </c>
      <c r="BF123" s="39" t="str">
        <f>IF(AND($G123='Povolené hodnoty'!$B$14,$H123=BF$4),SUM($J123,$M123,$P123,$S123),"")</f>
        <v/>
      </c>
      <c r="BG123" s="458" t="str">
        <f>IF(AND($G123='Povolené hodnoty'!$B$14,$H123=BG$4),SUM($J123,$M123,$P123,$S123),"")</f>
        <v/>
      </c>
      <c r="BH123" s="458" t="str">
        <f>IF(AND($G123='Povolené hodnoty'!$B$14,$H123=BH$4),SUM($J123,$M123,$P123,$S123),"")</f>
        <v/>
      </c>
      <c r="BI123" s="458" t="str">
        <f>IF(AND($G123='Povolené hodnoty'!$B$14,$H123=BI$4),SUM($J123,$M123,$P123,$S123),"")</f>
        <v/>
      </c>
      <c r="BJ123" s="458" t="str">
        <f>IF(AND($G123='Povolené hodnoty'!$B$14,$H123=BJ$4),SUM($J123,$M123,$P123,$S123),"")</f>
        <v/>
      </c>
      <c r="BK123" s="40" t="str">
        <f>IF(AND($G123='Povolené hodnoty'!$B$14,$H123=BK$4),SUM($J123,$M123,$P123,$S123),"")</f>
        <v/>
      </c>
      <c r="BL123" s="40" t="str">
        <f>IF(AND($G123='Povolené hodnoty'!$B$14,$H123=BL$4),SUM($J123,$M123,$P123,$S123),"")</f>
        <v/>
      </c>
      <c r="BM123" s="41" t="str">
        <f>IF(AND($G123='Povolené hodnoty'!$B$14,$H123=BM$4),SUM($J123,$M123,$P123,$S123),"")</f>
        <v/>
      </c>
      <c r="BO123" s="18" t="b">
        <f t="shared" si="71"/>
        <v>0</v>
      </c>
      <c r="BP123" s="18" t="b">
        <f t="shared" si="42"/>
        <v>0</v>
      </c>
      <c r="BQ123" s="18" t="b">
        <f>AND(E123&lt;&gt;'Povolené hodnoty'!$B$6,F123&lt;&gt;'Povolené hodnoty'!$D$7,F123&lt;&gt;'Povolené hodnoty'!$D$8,OR(SUM(I123,L123,O123,R123)&lt;&gt;SUM(W123:X123,AA123:AG123),SUM(J123,M123,P123,S123)&lt;&gt;SUM(Y123:Z123,AH123:AK123),COUNT(I123:J123,L123:M123,O123:P123,R123:S123)&lt;&gt;COUNT(W123:AK123)))</f>
        <v>0</v>
      </c>
      <c r="BR123" s="18" t="b">
        <f>OR(AND(E123='Povolené hodnoty'!$B$6,$BR$5),AND(E123='Povolené hodnoty'!$B$6,H123&lt;&gt;'Povolené hodnoty'!$E$26,H123&lt;&gt;'Povolené hodnoty'!$E$35),AND(E123&lt;&gt;'Povolené hodnoty'!$B$6,OR(H123='Povolené hodnoty'!$E$26,H123='Povolené hodnoty'!$E$35)))</f>
        <v>0</v>
      </c>
      <c r="BS123" s="18" t="b">
        <f>OR(AND(G123&lt;&gt;'Povolené hodnoty'!$B$13,OR(H123='Povolené hodnoty'!$E$21,H123='Povolené hodnoty'!$E$22,H123='Povolené hodnoty'!$E$23,H123='Povolené hodnoty'!$E$24,H123='Povolené hodnoty'!$E$26,H123='Povolené hodnoty'!$E$36)),COUNT(I123:J123,L123:M123,O123:P123,R123:S123)&lt;&gt;COUNT(AL123:BM123))</f>
        <v>0</v>
      </c>
      <c r="BT123" s="18" t="b">
        <f t="shared" si="43"/>
        <v>0</v>
      </c>
      <c r="BV123" s="39" t="str">
        <f t="shared" si="44"/>
        <v/>
      </c>
      <c r="BW123" s="458" t="str">
        <f t="shared" si="45"/>
        <v/>
      </c>
      <c r="BX123" s="458" t="str">
        <f t="shared" si="46"/>
        <v/>
      </c>
      <c r="BY123" s="458" t="str">
        <f t="shared" si="47"/>
        <v/>
      </c>
      <c r="BZ123" s="458" t="str">
        <f t="shared" si="48"/>
        <v/>
      </c>
      <c r="CA123" s="40" t="str">
        <f t="shared" si="49"/>
        <v/>
      </c>
      <c r="CB123" s="40" t="str">
        <f t="shared" si="50"/>
        <v/>
      </c>
      <c r="CC123" s="39" t="str">
        <f t="shared" si="51"/>
        <v/>
      </c>
      <c r="CD123" s="458" t="str">
        <f t="shared" si="52"/>
        <v/>
      </c>
      <c r="CE123" s="41" t="str">
        <f t="shared" si="53"/>
        <v/>
      </c>
      <c r="CF123" s="39" t="str">
        <f t="shared" si="54"/>
        <v/>
      </c>
      <c r="CG123" s="458" t="str">
        <f t="shared" si="55"/>
        <v/>
      </c>
      <c r="CH123" s="458" t="str">
        <f t="shared" si="56"/>
        <v/>
      </c>
      <c r="CI123" s="458" t="str">
        <f t="shared" si="57"/>
        <v/>
      </c>
      <c r="CJ123" s="458" t="str">
        <f t="shared" si="58"/>
        <v/>
      </c>
      <c r="CK123" s="40" t="str">
        <f t="shared" si="59"/>
        <v/>
      </c>
      <c r="CL123" s="40" t="str">
        <f t="shared" si="60"/>
        <v/>
      </c>
      <c r="CM123" s="40" t="str">
        <f t="shared" si="61"/>
        <v/>
      </c>
      <c r="CN123" s="39" t="str">
        <f t="shared" si="62"/>
        <v/>
      </c>
      <c r="CO123" s="458" t="str">
        <f t="shared" si="63"/>
        <v/>
      </c>
      <c r="CP123" s="458" t="str">
        <f t="shared" si="64"/>
        <v/>
      </c>
      <c r="CQ123" s="458" t="str">
        <f t="shared" si="65"/>
        <v/>
      </c>
      <c r="CR123" s="458" t="str">
        <f t="shared" si="66"/>
        <v/>
      </c>
      <c r="CS123" s="40" t="str">
        <f t="shared" si="67"/>
        <v/>
      </c>
      <c r="CT123" s="40" t="str">
        <f t="shared" si="68"/>
        <v/>
      </c>
      <c r="CU123" s="41" t="str">
        <f t="shared" si="69"/>
        <v/>
      </c>
    </row>
    <row r="124" spans="1:99" x14ac:dyDescent="0.2">
      <c r="A124" s="77">
        <f t="shared" si="70"/>
        <v>119</v>
      </c>
      <c r="B124" s="81"/>
      <c r="C124" s="82"/>
      <c r="D124" s="71"/>
      <c r="E124" s="72"/>
      <c r="F124" s="73"/>
      <c r="G124" s="443"/>
      <c r="H124" s="443"/>
      <c r="I124" s="74"/>
      <c r="J124" s="75"/>
      <c r="K124" s="41">
        <f t="shared" si="74"/>
        <v>3625</v>
      </c>
      <c r="L124" s="104"/>
      <c r="M124" s="105"/>
      <c r="N124" s="106">
        <f t="shared" si="75"/>
        <v>537.05999999999995</v>
      </c>
      <c r="O124" s="104"/>
      <c r="P124" s="105"/>
      <c r="Q124" s="106">
        <f t="shared" si="72"/>
        <v>10045.83</v>
      </c>
      <c r="R124" s="104"/>
      <c r="S124" s="105"/>
      <c r="T124" s="106">
        <f t="shared" si="73"/>
        <v>0</v>
      </c>
      <c r="U124" s="439"/>
      <c r="V124" s="42">
        <f t="shared" si="41"/>
        <v>119</v>
      </c>
      <c r="W124" s="39" t="str">
        <f>IF(AND(E124='Povolené hodnoty'!$B$4,F124=2),I124+L124+O124+R124,"")</f>
        <v/>
      </c>
      <c r="X124" s="41" t="str">
        <f>IF(AND(E124='Povolené hodnoty'!$B$4,F124=1),I124+L124+O124+R124,"")</f>
        <v/>
      </c>
      <c r="Y124" s="39" t="str">
        <f>IF(AND(E124='Povolené hodnoty'!$B$4,F124=10),J124+M124+P124+S124,"")</f>
        <v/>
      </c>
      <c r="Z124" s="41" t="str">
        <f>IF(AND(E124='Povolené hodnoty'!$B$4,F124=9),J124+M124+P124+S124,"")</f>
        <v/>
      </c>
      <c r="AA124" s="39" t="str">
        <f>IF(AND(E124&lt;&gt;'Povolené hodnoty'!$B$4,F124=2),I124+L124+O124+R124,"")</f>
        <v/>
      </c>
      <c r="AB124" s="40" t="str">
        <f>IF(AND(E124&lt;&gt;'Povolené hodnoty'!$B$4,F124=3),I124+L124+O124+R124,"")</f>
        <v/>
      </c>
      <c r="AC124" s="40" t="str">
        <f>IF(AND(E124&lt;&gt;'Povolené hodnoty'!$B$4,F124=4),I124+L124+O124+R124,"")</f>
        <v/>
      </c>
      <c r="AD124" s="40" t="str">
        <f>IF(AND(E124&lt;&gt;'Povolené hodnoty'!$B$4,F124="5a"),I124-J124+L124-M124+O124-P124+R124-S124,"")</f>
        <v/>
      </c>
      <c r="AE124" s="40" t="str">
        <f>IF(AND(E124&lt;&gt;'Povolené hodnoty'!$B$4,F124="5b"),I124-J124+L124-M124+O124-P124+R124-S124,"")</f>
        <v/>
      </c>
      <c r="AF124" s="40" t="str">
        <f>IF(AND(E124&lt;&gt;'Povolené hodnoty'!$B$4,F124=6),I124+L124+O124+R124,"")</f>
        <v/>
      </c>
      <c r="AG124" s="41" t="str">
        <f>IF(AND(E124&lt;&gt;'Povolené hodnoty'!$B$4,F124=7),I124+L124+O124+R124,"")</f>
        <v/>
      </c>
      <c r="AH124" s="39" t="str">
        <f>IF(AND(E124&lt;&gt;'Povolené hodnoty'!$B$4,F124=10),J124+M124+P124+S124,"")</f>
        <v/>
      </c>
      <c r="AI124" s="40" t="str">
        <f>IF(AND(E124&lt;&gt;'Povolené hodnoty'!$B$4,F124=11),J124+M124+P124+S124,"")</f>
        <v/>
      </c>
      <c r="AJ124" s="40" t="str">
        <f>IF(AND(E124&lt;&gt;'Povolené hodnoty'!$B$4,F124=12),J124+M124+P124+S124,"")</f>
        <v/>
      </c>
      <c r="AK124" s="41" t="str">
        <f>IF(AND(E124&lt;&gt;'Povolené hodnoty'!$B$4,F124=13),J124+M124+P124+S124,"")</f>
        <v/>
      </c>
      <c r="AL124" s="39" t="str">
        <f>IF(AND($G124='Povolené hodnoty'!$B$13,$H124=AL$4),SUM($I124,$L124,$O124,$R124),"")</f>
        <v/>
      </c>
      <c r="AM124" s="458" t="str">
        <f>IF(AND($G124='Povolené hodnoty'!$B$13,$H124=AM$4),SUM($I124,$L124,$O124,$R124),"")</f>
        <v/>
      </c>
      <c r="AN124" s="458" t="str">
        <f>IF(AND($G124='Povolené hodnoty'!$B$13,$H124=AN$4),SUM($I124,$L124,$O124,$R124),"")</f>
        <v/>
      </c>
      <c r="AO124" s="458" t="str">
        <f>IF(AND($G124='Povolené hodnoty'!$B$13,$H124=AO$4),SUM($I124,$L124,$O124,$R124),"")</f>
        <v/>
      </c>
      <c r="AP124" s="458" t="str">
        <f>IF(AND($G124='Povolené hodnoty'!$B$13,$H124=AP$4),SUM($I124,$L124,$O124,$R124),"")</f>
        <v/>
      </c>
      <c r="AQ124" s="40" t="str">
        <f>IF(AND($G124='Povolené hodnoty'!$B$13,OR($H124=AQ$4,$H124='Povolené hodnoty'!$E$36)),SUM($I124,-$J124,$L124,-$M124,$O124,-$P124,$R124,-$S124),"")</f>
        <v/>
      </c>
      <c r="AR124" s="40" t="str">
        <f>IF(AND($G124='Povolené hodnoty'!$B$13,$H124=AR$4),SUM($I124,$L124,$O124,$R124),"")</f>
        <v/>
      </c>
      <c r="AS124" s="41" t="str">
        <f>IF(AND($G124='Povolené hodnoty'!$B$13,$H124=AS$4),SUM($I124,$L124,$O124,$R124),"")</f>
        <v/>
      </c>
      <c r="AT124" s="39" t="str">
        <f>IF(AND($G124='Povolené hodnoty'!$B$14,$H124=AT$4),SUM($I124,$L124,$O124,$R124),"")</f>
        <v/>
      </c>
      <c r="AU124" s="458" t="str">
        <f>IF(AND($G124='Povolené hodnoty'!$B$14,$H124=AU$4),SUM($I124,$L124,$O124,$R124),"")</f>
        <v/>
      </c>
      <c r="AV124" s="41" t="str">
        <f>IF(AND($G124='Povolené hodnoty'!$B$14,$H124=AV$4),SUM($I124,$L124,$O124,$R124),"")</f>
        <v/>
      </c>
      <c r="AW124" s="39" t="str">
        <f>IF(AND($G124='Povolené hodnoty'!$B$13,$H124=AW$4),SUM($J124,$M124,$P124,$S124),"")</f>
        <v/>
      </c>
      <c r="AX124" s="458" t="str">
        <f>IF(AND($G124='Povolené hodnoty'!$B$13,$H124=AX$4),SUM($J124,$M124,$P124,$S124),"")</f>
        <v/>
      </c>
      <c r="AY124" s="458" t="str">
        <f>IF(AND($G124='Povolené hodnoty'!$B$13,$H124=AY$4),SUM($J124,$M124,$P124,$S124),"")</f>
        <v/>
      </c>
      <c r="AZ124" s="458" t="str">
        <f>IF(AND($G124='Povolené hodnoty'!$B$13,$H124=AZ$4),SUM($J124,$M124,$P124,$S124),"")</f>
        <v/>
      </c>
      <c r="BA124" s="458" t="str">
        <f>IF(AND($G124='Povolené hodnoty'!$B$13,$H124=BA$4),SUM($J124,$M124,$P124,$S124),"")</f>
        <v/>
      </c>
      <c r="BB124" s="40" t="str">
        <f>IF(AND($G124='Povolené hodnoty'!$B$13,$H124=BB$4),SUM($J124,$M124,$P124,$S124),"")</f>
        <v/>
      </c>
      <c r="BC124" s="40" t="str">
        <f>IF(AND($G124='Povolené hodnoty'!$B$13,$H124=BC$4),SUM($J124,$M124,$P124,$S124),"")</f>
        <v/>
      </c>
      <c r="BD124" s="40" t="str">
        <f>IF(AND($G124='Povolené hodnoty'!$B$13,$H124=BD$4),SUM($J124,$M124,$P124,$S124),"")</f>
        <v/>
      </c>
      <c r="BE124" s="41" t="str">
        <f>IF(AND($G124='Povolené hodnoty'!$B$13,$H124=BE$4),SUM($J124,$M124,$P124,$S124),"")</f>
        <v/>
      </c>
      <c r="BF124" s="39" t="str">
        <f>IF(AND($G124='Povolené hodnoty'!$B$14,$H124=BF$4),SUM($J124,$M124,$P124,$S124),"")</f>
        <v/>
      </c>
      <c r="BG124" s="458" t="str">
        <f>IF(AND($G124='Povolené hodnoty'!$B$14,$H124=BG$4),SUM($J124,$M124,$P124,$S124),"")</f>
        <v/>
      </c>
      <c r="BH124" s="458" t="str">
        <f>IF(AND($G124='Povolené hodnoty'!$B$14,$H124=BH$4),SUM($J124,$M124,$P124,$S124),"")</f>
        <v/>
      </c>
      <c r="BI124" s="458" t="str">
        <f>IF(AND($G124='Povolené hodnoty'!$B$14,$H124=BI$4),SUM($J124,$M124,$P124,$S124),"")</f>
        <v/>
      </c>
      <c r="BJ124" s="458" t="str">
        <f>IF(AND($G124='Povolené hodnoty'!$B$14,$H124=BJ$4),SUM($J124,$M124,$P124,$S124),"")</f>
        <v/>
      </c>
      <c r="BK124" s="40" t="str">
        <f>IF(AND($G124='Povolené hodnoty'!$B$14,$H124=BK$4),SUM($J124,$M124,$P124,$S124),"")</f>
        <v/>
      </c>
      <c r="BL124" s="40" t="str">
        <f>IF(AND($G124='Povolené hodnoty'!$B$14,$H124=BL$4),SUM($J124,$M124,$P124,$S124),"")</f>
        <v/>
      </c>
      <c r="BM124" s="41" t="str">
        <f>IF(AND($G124='Povolené hodnoty'!$B$14,$H124=BM$4),SUM($J124,$M124,$P124,$S124),"")</f>
        <v/>
      </c>
      <c r="BO124" s="18" t="b">
        <f t="shared" si="71"/>
        <v>0</v>
      </c>
      <c r="BP124" s="18" t="b">
        <f t="shared" si="42"/>
        <v>0</v>
      </c>
      <c r="BQ124" s="18" t="b">
        <f>AND(E124&lt;&gt;'Povolené hodnoty'!$B$6,F124&lt;&gt;'Povolené hodnoty'!$D$7,F124&lt;&gt;'Povolené hodnoty'!$D$8,OR(SUM(I124,L124,O124,R124)&lt;&gt;SUM(W124:X124,AA124:AG124),SUM(J124,M124,P124,S124)&lt;&gt;SUM(Y124:Z124,AH124:AK124),COUNT(I124:J124,L124:M124,O124:P124,R124:S124)&lt;&gt;COUNT(W124:AK124)))</f>
        <v>0</v>
      </c>
      <c r="BR124" s="18" t="b">
        <f>OR(AND(E124='Povolené hodnoty'!$B$6,$BR$5),AND(E124='Povolené hodnoty'!$B$6,H124&lt;&gt;'Povolené hodnoty'!$E$26,H124&lt;&gt;'Povolené hodnoty'!$E$35),AND(E124&lt;&gt;'Povolené hodnoty'!$B$6,OR(H124='Povolené hodnoty'!$E$26,H124='Povolené hodnoty'!$E$35)))</f>
        <v>0</v>
      </c>
      <c r="BS124" s="18" t="b">
        <f>OR(AND(G124&lt;&gt;'Povolené hodnoty'!$B$13,OR(H124='Povolené hodnoty'!$E$21,H124='Povolené hodnoty'!$E$22,H124='Povolené hodnoty'!$E$23,H124='Povolené hodnoty'!$E$24,H124='Povolené hodnoty'!$E$26,H124='Povolené hodnoty'!$E$36)),COUNT(I124:J124,L124:M124,O124:P124,R124:S124)&lt;&gt;COUNT(AL124:BM124))</f>
        <v>0</v>
      </c>
      <c r="BT124" s="18" t="b">
        <f t="shared" si="43"/>
        <v>0</v>
      </c>
      <c r="BV124" s="39" t="str">
        <f t="shared" si="44"/>
        <v/>
      </c>
      <c r="BW124" s="458" t="str">
        <f t="shared" si="45"/>
        <v/>
      </c>
      <c r="BX124" s="458" t="str">
        <f t="shared" si="46"/>
        <v/>
      </c>
      <c r="BY124" s="458" t="str">
        <f t="shared" si="47"/>
        <v/>
      </c>
      <c r="BZ124" s="458" t="str">
        <f t="shared" si="48"/>
        <v/>
      </c>
      <c r="CA124" s="40" t="str">
        <f t="shared" si="49"/>
        <v/>
      </c>
      <c r="CB124" s="40" t="str">
        <f t="shared" si="50"/>
        <v/>
      </c>
      <c r="CC124" s="39" t="str">
        <f t="shared" si="51"/>
        <v/>
      </c>
      <c r="CD124" s="458" t="str">
        <f t="shared" si="52"/>
        <v/>
      </c>
      <c r="CE124" s="41" t="str">
        <f t="shared" si="53"/>
        <v/>
      </c>
      <c r="CF124" s="39" t="str">
        <f t="shared" si="54"/>
        <v/>
      </c>
      <c r="CG124" s="458" t="str">
        <f t="shared" si="55"/>
        <v/>
      </c>
      <c r="CH124" s="458" t="str">
        <f t="shared" si="56"/>
        <v/>
      </c>
      <c r="CI124" s="458" t="str">
        <f t="shared" si="57"/>
        <v/>
      </c>
      <c r="CJ124" s="458" t="str">
        <f t="shared" si="58"/>
        <v/>
      </c>
      <c r="CK124" s="40" t="str">
        <f t="shared" si="59"/>
        <v/>
      </c>
      <c r="CL124" s="40" t="str">
        <f t="shared" si="60"/>
        <v/>
      </c>
      <c r="CM124" s="40" t="str">
        <f t="shared" si="61"/>
        <v/>
      </c>
      <c r="CN124" s="39" t="str">
        <f t="shared" si="62"/>
        <v/>
      </c>
      <c r="CO124" s="458" t="str">
        <f t="shared" si="63"/>
        <v/>
      </c>
      <c r="CP124" s="458" t="str">
        <f t="shared" si="64"/>
        <v/>
      </c>
      <c r="CQ124" s="458" t="str">
        <f t="shared" si="65"/>
        <v/>
      </c>
      <c r="CR124" s="458" t="str">
        <f t="shared" si="66"/>
        <v/>
      </c>
      <c r="CS124" s="40" t="str">
        <f t="shared" si="67"/>
        <v/>
      </c>
      <c r="CT124" s="40" t="str">
        <f t="shared" si="68"/>
        <v/>
      </c>
      <c r="CU124" s="41" t="str">
        <f t="shared" si="69"/>
        <v/>
      </c>
    </row>
    <row r="125" spans="1:99" x14ac:dyDescent="0.2">
      <c r="A125" s="77">
        <f t="shared" si="70"/>
        <v>120</v>
      </c>
      <c r="B125" s="81"/>
      <c r="C125" s="82"/>
      <c r="D125" s="71"/>
      <c r="E125" s="72"/>
      <c r="F125" s="73"/>
      <c r="G125" s="443"/>
      <c r="H125" s="443"/>
      <c r="I125" s="74"/>
      <c r="J125" s="75"/>
      <c r="K125" s="41">
        <f t="shared" si="74"/>
        <v>3625</v>
      </c>
      <c r="L125" s="104"/>
      <c r="M125" s="105"/>
      <c r="N125" s="106">
        <f t="shared" si="75"/>
        <v>537.05999999999995</v>
      </c>
      <c r="O125" s="104"/>
      <c r="P125" s="105"/>
      <c r="Q125" s="106">
        <f t="shared" si="72"/>
        <v>10045.83</v>
      </c>
      <c r="R125" s="104"/>
      <c r="S125" s="105"/>
      <c r="T125" s="106">
        <f t="shared" si="73"/>
        <v>0</v>
      </c>
      <c r="U125" s="439"/>
      <c r="V125" s="42">
        <f t="shared" si="41"/>
        <v>120</v>
      </c>
      <c r="W125" s="39" t="str">
        <f>IF(AND(E125='Povolené hodnoty'!$B$4,F125=2),I125+L125+O125+R125,"")</f>
        <v/>
      </c>
      <c r="X125" s="41" t="str">
        <f>IF(AND(E125='Povolené hodnoty'!$B$4,F125=1),I125+L125+O125+R125,"")</f>
        <v/>
      </c>
      <c r="Y125" s="39" t="str">
        <f>IF(AND(E125='Povolené hodnoty'!$B$4,F125=10),J125+M125+P125+S125,"")</f>
        <v/>
      </c>
      <c r="Z125" s="41" t="str">
        <f>IF(AND(E125='Povolené hodnoty'!$B$4,F125=9),J125+M125+P125+S125,"")</f>
        <v/>
      </c>
      <c r="AA125" s="39" t="str">
        <f>IF(AND(E125&lt;&gt;'Povolené hodnoty'!$B$4,F125=2),I125+L125+O125+R125,"")</f>
        <v/>
      </c>
      <c r="AB125" s="40" t="str">
        <f>IF(AND(E125&lt;&gt;'Povolené hodnoty'!$B$4,F125=3),I125+L125+O125+R125,"")</f>
        <v/>
      </c>
      <c r="AC125" s="40" t="str">
        <f>IF(AND(E125&lt;&gt;'Povolené hodnoty'!$B$4,F125=4),I125+L125+O125+R125,"")</f>
        <v/>
      </c>
      <c r="AD125" s="40" t="str">
        <f>IF(AND(E125&lt;&gt;'Povolené hodnoty'!$B$4,F125="5a"),I125-J125+L125-M125+O125-P125+R125-S125,"")</f>
        <v/>
      </c>
      <c r="AE125" s="40" t="str">
        <f>IF(AND(E125&lt;&gt;'Povolené hodnoty'!$B$4,F125="5b"),I125-J125+L125-M125+O125-P125+R125-S125,"")</f>
        <v/>
      </c>
      <c r="AF125" s="40" t="str">
        <f>IF(AND(E125&lt;&gt;'Povolené hodnoty'!$B$4,F125=6),I125+L125+O125+R125,"")</f>
        <v/>
      </c>
      <c r="AG125" s="41" t="str">
        <f>IF(AND(E125&lt;&gt;'Povolené hodnoty'!$B$4,F125=7),I125+L125+O125+R125,"")</f>
        <v/>
      </c>
      <c r="AH125" s="39" t="str">
        <f>IF(AND(E125&lt;&gt;'Povolené hodnoty'!$B$4,F125=10),J125+M125+P125+S125,"")</f>
        <v/>
      </c>
      <c r="AI125" s="40" t="str">
        <f>IF(AND(E125&lt;&gt;'Povolené hodnoty'!$B$4,F125=11),J125+M125+P125+S125,"")</f>
        <v/>
      </c>
      <c r="AJ125" s="40" t="str">
        <f>IF(AND(E125&lt;&gt;'Povolené hodnoty'!$B$4,F125=12),J125+M125+P125+S125,"")</f>
        <v/>
      </c>
      <c r="AK125" s="41" t="str">
        <f>IF(AND(E125&lt;&gt;'Povolené hodnoty'!$B$4,F125=13),J125+M125+P125+S125,"")</f>
        <v/>
      </c>
      <c r="AL125" s="39" t="str">
        <f>IF(AND($G125='Povolené hodnoty'!$B$13,$H125=AL$4),SUM($I125,$L125,$O125,$R125),"")</f>
        <v/>
      </c>
      <c r="AM125" s="458" t="str">
        <f>IF(AND($G125='Povolené hodnoty'!$B$13,$H125=AM$4),SUM($I125,$L125,$O125,$R125),"")</f>
        <v/>
      </c>
      <c r="AN125" s="458" t="str">
        <f>IF(AND($G125='Povolené hodnoty'!$B$13,$H125=AN$4),SUM($I125,$L125,$O125,$R125),"")</f>
        <v/>
      </c>
      <c r="AO125" s="458" t="str">
        <f>IF(AND($G125='Povolené hodnoty'!$B$13,$H125=AO$4),SUM($I125,$L125,$O125,$R125),"")</f>
        <v/>
      </c>
      <c r="AP125" s="458" t="str">
        <f>IF(AND($G125='Povolené hodnoty'!$B$13,$H125=AP$4),SUM($I125,$L125,$O125,$R125),"")</f>
        <v/>
      </c>
      <c r="AQ125" s="40" t="str">
        <f>IF(AND($G125='Povolené hodnoty'!$B$13,OR($H125=AQ$4,$H125='Povolené hodnoty'!$E$36)),SUM($I125,-$J125,$L125,-$M125,$O125,-$P125,$R125,-$S125),"")</f>
        <v/>
      </c>
      <c r="AR125" s="40" t="str">
        <f>IF(AND($G125='Povolené hodnoty'!$B$13,$H125=AR$4),SUM($I125,$L125,$O125,$R125),"")</f>
        <v/>
      </c>
      <c r="AS125" s="41" t="str">
        <f>IF(AND($G125='Povolené hodnoty'!$B$13,$H125=AS$4),SUM($I125,$L125,$O125,$R125),"")</f>
        <v/>
      </c>
      <c r="AT125" s="39" t="str">
        <f>IF(AND($G125='Povolené hodnoty'!$B$14,$H125=AT$4),SUM($I125,$L125,$O125,$R125),"")</f>
        <v/>
      </c>
      <c r="AU125" s="458" t="str">
        <f>IF(AND($G125='Povolené hodnoty'!$B$14,$H125=AU$4),SUM($I125,$L125,$O125,$R125),"")</f>
        <v/>
      </c>
      <c r="AV125" s="41" t="str">
        <f>IF(AND($G125='Povolené hodnoty'!$B$14,$H125=AV$4),SUM($I125,$L125,$O125,$R125),"")</f>
        <v/>
      </c>
      <c r="AW125" s="39" t="str">
        <f>IF(AND($G125='Povolené hodnoty'!$B$13,$H125=AW$4),SUM($J125,$M125,$P125,$S125),"")</f>
        <v/>
      </c>
      <c r="AX125" s="458" t="str">
        <f>IF(AND($G125='Povolené hodnoty'!$B$13,$H125=AX$4),SUM($J125,$M125,$P125,$S125),"")</f>
        <v/>
      </c>
      <c r="AY125" s="458" t="str">
        <f>IF(AND($G125='Povolené hodnoty'!$B$13,$H125=AY$4),SUM($J125,$M125,$P125,$S125),"")</f>
        <v/>
      </c>
      <c r="AZ125" s="458" t="str">
        <f>IF(AND($G125='Povolené hodnoty'!$B$13,$H125=AZ$4),SUM($J125,$M125,$P125,$S125),"")</f>
        <v/>
      </c>
      <c r="BA125" s="458" t="str">
        <f>IF(AND($G125='Povolené hodnoty'!$B$13,$H125=BA$4),SUM($J125,$M125,$P125,$S125),"")</f>
        <v/>
      </c>
      <c r="BB125" s="40" t="str">
        <f>IF(AND($G125='Povolené hodnoty'!$B$13,$H125=BB$4),SUM($J125,$M125,$P125,$S125),"")</f>
        <v/>
      </c>
      <c r="BC125" s="40" t="str">
        <f>IF(AND($G125='Povolené hodnoty'!$B$13,$H125=BC$4),SUM($J125,$M125,$P125,$S125),"")</f>
        <v/>
      </c>
      <c r="BD125" s="40" t="str">
        <f>IF(AND($G125='Povolené hodnoty'!$B$13,$H125=BD$4),SUM($J125,$M125,$P125,$S125),"")</f>
        <v/>
      </c>
      <c r="BE125" s="41" t="str">
        <f>IF(AND($G125='Povolené hodnoty'!$B$13,$H125=BE$4),SUM($J125,$M125,$P125,$S125),"")</f>
        <v/>
      </c>
      <c r="BF125" s="39" t="str">
        <f>IF(AND($G125='Povolené hodnoty'!$B$14,$H125=BF$4),SUM($J125,$M125,$P125,$S125),"")</f>
        <v/>
      </c>
      <c r="BG125" s="458" t="str">
        <f>IF(AND($G125='Povolené hodnoty'!$B$14,$H125=BG$4),SUM($J125,$M125,$P125,$S125),"")</f>
        <v/>
      </c>
      <c r="BH125" s="458" t="str">
        <f>IF(AND($G125='Povolené hodnoty'!$B$14,$H125=BH$4),SUM($J125,$M125,$P125,$S125),"")</f>
        <v/>
      </c>
      <c r="BI125" s="458" t="str">
        <f>IF(AND($G125='Povolené hodnoty'!$B$14,$H125=BI$4),SUM($J125,$M125,$P125,$S125),"")</f>
        <v/>
      </c>
      <c r="BJ125" s="458" t="str">
        <f>IF(AND($G125='Povolené hodnoty'!$B$14,$H125=BJ$4),SUM($J125,$M125,$P125,$S125),"")</f>
        <v/>
      </c>
      <c r="BK125" s="40" t="str">
        <f>IF(AND($G125='Povolené hodnoty'!$B$14,$H125=BK$4),SUM($J125,$M125,$P125,$S125),"")</f>
        <v/>
      </c>
      <c r="BL125" s="40" t="str">
        <f>IF(AND($G125='Povolené hodnoty'!$B$14,$H125=BL$4),SUM($J125,$M125,$P125,$S125),"")</f>
        <v/>
      </c>
      <c r="BM125" s="41" t="str">
        <f>IF(AND($G125='Povolené hodnoty'!$B$14,$H125=BM$4),SUM($J125,$M125,$P125,$S125),"")</f>
        <v/>
      </c>
      <c r="BO125" s="18" t="b">
        <f t="shared" si="71"/>
        <v>0</v>
      </c>
      <c r="BP125" s="18" t="b">
        <f t="shared" si="42"/>
        <v>0</v>
      </c>
      <c r="BQ125" s="18" t="b">
        <f>AND(E125&lt;&gt;'Povolené hodnoty'!$B$6,F125&lt;&gt;'Povolené hodnoty'!$D$7,F125&lt;&gt;'Povolené hodnoty'!$D$8,OR(SUM(I125,L125,O125,R125)&lt;&gt;SUM(W125:X125,AA125:AG125),SUM(J125,M125,P125,S125)&lt;&gt;SUM(Y125:Z125,AH125:AK125),COUNT(I125:J125,L125:M125,O125:P125,R125:S125)&lt;&gt;COUNT(W125:AK125)))</f>
        <v>0</v>
      </c>
      <c r="BR125" s="18" t="b">
        <f>OR(AND(E125='Povolené hodnoty'!$B$6,$BR$5),AND(E125='Povolené hodnoty'!$B$6,H125&lt;&gt;'Povolené hodnoty'!$E$26,H125&lt;&gt;'Povolené hodnoty'!$E$35),AND(E125&lt;&gt;'Povolené hodnoty'!$B$6,OR(H125='Povolené hodnoty'!$E$26,H125='Povolené hodnoty'!$E$35)))</f>
        <v>0</v>
      </c>
      <c r="BS125" s="18" t="b">
        <f>OR(AND(G125&lt;&gt;'Povolené hodnoty'!$B$13,OR(H125='Povolené hodnoty'!$E$21,H125='Povolené hodnoty'!$E$22,H125='Povolené hodnoty'!$E$23,H125='Povolené hodnoty'!$E$24,H125='Povolené hodnoty'!$E$26,H125='Povolené hodnoty'!$E$36)),COUNT(I125:J125,L125:M125,O125:P125,R125:S125)&lt;&gt;COUNT(AL125:BM125))</f>
        <v>0</v>
      </c>
      <c r="BT125" s="18" t="b">
        <f t="shared" si="43"/>
        <v>0</v>
      </c>
      <c r="BV125" s="39" t="str">
        <f t="shared" si="44"/>
        <v/>
      </c>
      <c r="BW125" s="458" t="str">
        <f t="shared" si="45"/>
        <v/>
      </c>
      <c r="BX125" s="458" t="str">
        <f t="shared" si="46"/>
        <v/>
      </c>
      <c r="BY125" s="458" t="str">
        <f t="shared" si="47"/>
        <v/>
      </c>
      <c r="BZ125" s="458" t="str">
        <f t="shared" si="48"/>
        <v/>
      </c>
      <c r="CA125" s="40" t="str">
        <f t="shared" si="49"/>
        <v/>
      </c>
      <c r="CB125" s="40" t="str">
        <f t="shared" si="50"/>
        <v/>
      </c>
      <c r="CC125" s="39" t="str">
        <f t="shared" si="51"/>
        <v/>
      </c>
      <c r="CD125" s="458" t="str">
        <f t="shared" si="52"/>
        <v/>
      </c>
      <c r="CE125" s="41" t="str">
        <f t="shared" si="53"/>
        <v/>
      </c>
      <c r="CF125" s="39" t="str">
        <f t="shared" si="54"/>
        <v/>
      </c>
      <c r="CG125" s="458" t="str">
        <f t="shared" si="55"/>
        <v/>
      </c>
      <c r="CH125" s="458" t="str">
        <f t="shared" si="56"/>
        <v/>
      </c>
      <c r="CI125" s="458" t="str">
        <f t="shared" si="57"/>
        <v/>
      </c>
      <c r="CJ125" s="458" t="str">
        <f t="shared" si="58"/>
        <v/>
      </c>
      <c r="CK125" s="40" t="str">
        <f t="shared" si="59"/>
        <v/>
      </c>
      <c r="CL125" s="40" t="str">
        <f t="shared" si="60"/>
        <v/>
      </c>
      <c r="CM125" s="40" t="str">
        <f t="shared" si="61"/>
        <v/>
      </c>
      <c r="CN125" s="39" t="str">
        <f t="shared" si="62"/>
        <v/>
      </c>
      <c r="CO125" s="458" t="str">
        <f t="shared" si="63"/>
        <v/>
      </c>
      <c r="CP125" s="458" t="str">
        <f t="shared" si="64"/>
        <v/>
      </c>
      <c r="CQ125" s="458" t="str">
        <f t="shared" si="65"/>
        <v/>
      </c>
      <c r="CR125" s="458" t="str">
        <f t="shared" si="66"/>
        <v/>
      </c>
      <c r="CS125" s="40" t="str">
        <f t="shared" si="67"/>
        <v/>
      </c>
      <c r="CT125" s="40" t="str">
        <f t="shared" si="68"/>
        <v/>
      </c>
      <c r="CU125" s="41" t="str">
        <f t="shared" si="69"/>
        <v/>
      </c>
    </row>
    <row r="126" spans="1:99" x14ac:dyDescent="0.2">
      <c r="A126" s="77">
        <f t="shared" si="70"/>
        <v>121</v>
      </c>
      <c r="B126" s="81"/>
      <c r="C126" s="82"/>
      <c r="D126" s="71"/>
      <c r="E126" s="72"/>
      <c r="F126" s="73"/>
      <c r="G126" s="443"/>
      <c r="H126" s="443"/>
      <c r="I126" s="74"/>
      <c r="J126" s="75"/>
      <c r="K126" s="41">
        <f t="shared" si="74"/>
        <v>3625</v>
      </c>
      <c r="L126" s="104"/>
      <c r="M126" s="105"/>
      <c r="N126" s="106">
        <f t="shared" si="75"/>
        <v>537.05999999999995</v>
      </c>
      <c r="O126" s="104"/>
      <c r="P126" s="105"/>
      <c r="Q126" s="106">
        <f t="shared" si="72"/>
        <v>10045.83</v>
      </c>
      <c r="R126" s="104"/>
      <c r="S126" s="105"/>
      <c r="T126" s="106">
        <f t="shared" si="73"/>
        <v>0</v>
      </c>
      <c r="U126" s="439"/>
      <c r="V126" s="42">
        <f t="shared" si="41"/>
        <v>121</v>
      </c>
      <c r="W126" s="39" t="str">
        <f>IF(AND(E126='Povolené hodnoty'!$B$4,F126=2),I126+L126+O126+R126,"")</f>
        <v/>
      </c>
      <c r="X126" s="41" t="str">
        <f>IF(AND(E126='Povolené hodnoty'!$B$4,F126=1),I126+L126+O126+R126,"")</f>
        <v/>
      </c>
      <c r="Y126" s="39" t="str">
        <f>IF(AND(E126='Povolené hodnoty'!$B$4,F126=10),J126+M126+P126+S126,"")</f>
        <v/>
      </c>
      <c r="Z126" s="41" t="str">
        <f>IF(AND(E126='Povolené hodnoty'!$B$4,F126=9),J126+M126+P126+S126,"")</f>
        <v/>
      </c>
      <c r="AA126" s="39" t="str">
        <f>IF(AND(E126&lt;&gt;'Povolené hodnoty'!$B$4,F126=2),I126+L126+O126+R126,"")</f>
        <v/>
      </c>
      <c r="AB126" s="40" t="str">
        <f>IF(AND(E126&lt;&gt;'Povolené hodnoty'!$B$4,F126=3),I126+L126+O126+R126,"")</f>
        <v/>
      </c>
      <c r="AC126" s="40" t="str">
        <f>IF(AND(E126&lt;&gt;'Povolené hodnoty'!$B$4,F126=4),I126+L126+O126+R126,"")</f>
        <v/>
      </c>
      <c r="AD126" s="40" t="str">
        <f>IF(AND(E126&lt;&gt;'Povolené hodnoty'!$B$4,F126="5a"),I126-J126+L126-M126+O126-P126+R126-S126,"")</f>
        <v/>
      </c>
      <c r="AE126" s="40" t="str">
        <f>IF(AND(E126&lt;&gt;'Povolené hodnoty'!$B$4,F126="5b"),I126-J126+L126-M126+O126-P126+R126-S126,"")</f>
        <v/>
      </c>
      <c r="AF126" s="40" t="str">
        <f>IF(AND(E126&lt;&gt;'Povolené hodnoty'!$B$4,F126=6),I126+L126+O126+R126,"")</f>
        <v/>
      </c>
      <c r="AG126" s="41" t="str">
        <f>IF(AND(E126&lt;&gt;'Povolené hodnoty'!$B$4,F126=7),I126+L126+O126+R126,"")</f>
        <v/>
      </c>
      <c r="AH126" s="39" t="str">
        <f>IF(AND(E126&lt;&gt;'Povolené hodnoty'!$B$4,F126=10),J126+M126+P126+S126,"")</f>
        <v/>
      </c>
      <c r="AI126" s="40" t="str">
        <f>IF(AND(E126&lt;&gt;'Povolené hodnoty'!$B$4,F126=11),J126+M126+P126+S126,"")</f>
        <v/>
      </c>
      <c r="AJ126" s="40" t="str">
        <f>IF(AND(E126&lt;&gt;'Povolené hodnoty'!$B$4,F126=12),J126+M126+P126+S126,"")</f>
        <v/>
      </c>
      <c r="AK126" s="41" t="str">
        <f>IF(AND(E126&lt;&gt;'Povolené hodnoty'!$B$4,F126=13),J126+M126+P126+S126,"")</f>
        <v/>
      </c>
      <c r="AL126" s="39" t="str">
        <f>IF(AND($G126='Povolené hodnoty'!$B$13,$H126=AL$4),SUM($I126,$L126,$O126,$R126),"")</f>
        <v/>
      </c>
      <c r="AM126" s="458" t="str">
        <f>IF(AND($G126='Povolené hodnoty'!$B$13,$H126=AM$4),SUM($I126,$L126,$O126,$R126),"")</f>
        <v/>
      </c>
      <c r="AN126" s="458" t="str">
        <f>IF(AND($G126='Povolené hodnoty'!$B$13,$H126=AN$4),SUM($I126,$L126,$O126,$R126),"")</f>
        <v/>
      </c>
      <c r="AO126" s="458" t="str">
        <f>IF(AND($G126='Povolené hodnoty'!$B$13,$H126=AO$4),SUM($I126,$L126,$O126,$R126),"")</f>
        <v/>
      </c>
      <c r="AP126" s="458" t="str">
        <f>IF(AND($G126='Povolené hodnoty'!$B$13,$H126=AP$4),SUM($I126,$L126,$O126,$R126),"")</f>
        <v/>
      </c>
      <c r="AQ126" s="40" t="str">
        <f>IF(AND($G126='Povolené hodnoty'!$B$13,OR($H126=AQ$4,$H126='Povolené hodnoty'!$E$36)),SUM($I126,-$J126,$L126,-$M126,$O126,-$P126,$R126,-$S126),"")</f>
        <v/>
      </c>
      <c r="AR126" s="40" t="str">
        <f>IF(AND($G126='Povolené hodnoty'!$B$13,$H126=AR$4),SUM($I126,$L126,$O126,$R126),"")</f>
        <v/>
      </c>
      <c r="AS126" s="41" t="str">
        <f>IF(AND($G126='Povolené hodnoty'!$B$13,$H126=AS$4),SUM($I126,$L126,$O126,$R126),"")</f>
        <v/>
      </c>
      <c r="AT126" s="39" t="str">
        <f>IF(AND($G126='Povolené hodnoty'!$B$14,$H126=AT$4),SUM($I126,$L126,$O126,$R126),"")</f>
        <v/>
      </c>
      <c r="AU126" s="458" t="str">
        <f>IF(AND($G126='Povolené hodnoty'!$B$14,$H126=AU$4),SUM($I126,$L126,$O126,$R126),"")</f>
        <v/>
      </c>
      <c r="AV126" s="41" t="str">
        <f>IF(AND($G126='Povolené hodnoty'!$B$14,$H126=AV$4),SUM($I126,$L126,$O126,$R126),"")</f>
        <v/>
      </c>
      <c r="AW126" s="39" t="str">
        <f>IF(AND($G126='Povolené hodnoty'!$B$13,$H126=AW$4),SUM($J126,$M126,$P126,$S126),"")</f>
        <v/>
      </c>
      <c r="AX126" s="458" t="str">
        <f>IF(AND($G126='Povolené hodnoty'!$B$13,$H126=AX$4),SUM($J126,$M126,$P126,$S126),"")</f>
        <v/>
      </c>
      <c r="AY126" s="458" t="str">
        <f>IF(AND($G126='Povolené hodnoty'!$B$13,$H126=AY$4),SUM($J126,$M126,$P126,$S126),"")</f>
        <v/>
      </c>
      <c r="AZ126" s="458" t="str">
        <f>IF(AND($G126='Povolené hodnoty'!$B$13,$H126=AZ$4),SUM($J126,$M126,$P126,$S126),"")</f>
        <v/>
      </c>
      <c r="BA126" s="458" t="str">
        <f>IF(AND($G126='Povolené hodnoty'!$B$13,$H126=BA$4),SUM($J126,$M126,$P126,$S126),"")</f>
        <v/>
      </c>
      <c r="BB126" s="40" t="str">
        <f>IF(AND($G126='Povolené hodnoty'!$B$13,$H126=BB$4),SUM($J126,$M126,$P126,$S126),"")</f>
        <v/>
      </c>
      <c r="BC126" s="40" t="str">
        <f>IF(AND($G126='Povolené hodnoty'!$B$13,$H126=BC$4),SUM($J126,$M126,$P126,$S126),"")</f>
        <v/>
      </c>
      <c r="BD126" s="40" t="str">
        <f>IF(AND($G126='Povolené hodnoty'!$B$13,$H126=BD$4),SUM($J126,$M126,$P126,$S126),"")</f>
        <v/>
      </c>
      <c r="BE126" s="41" t="str">
        <f>IF(AND($G126='Povolené hodnoty'!$B$13,$H126=BE$4),SUM($J126,$M126,$P126,$S126),"")</f>
        <v/>
      </c>
      <c r="BF126" s="39" t="str">
        <f>IF(AND($G126='Povolené hodnoty'!$B$14,$H126=BF$4),SUM($J126,$M126,$P126,$S126),"")</f>
        <v/>
      </c>
      <c r="BG126" s="458" t="str">
        <f>IF(AND($G126='Povolené hodnoty'!$B$14,$H126=BG$4),SUM($J126,$M126,$P126,$S126),"")</f>
        <v/>
      </c>
      <c r="BH126" s="458" t="str">
        <f>IF(AND($G126='Povolené hodnoty'!$B$14,$H126=BH$4),SUM($J126,$M126,$P126,$S126),"")</f>
        <v/>
      </c>
      <c r="BI126" s="458" t="str">
        <f>IF(AND($G126='Povolené hodnoty'!$B$14,$H126=BI$4),SUM($J126,$M126,$P126,$S126),"")</f>
        <v/>
      </c>
      <c r="BJ126" s="458" t="str">
        <f>IF(AND($G126='Povolené hodnoty'!$B$14,$H126=BJ$4),SUM($J126,$M126,$P126,$S126),"")</f>
        <v/>
      </c>
      <c r="BK126" s="40" t="str">
        <f>IF(AND($G126='Povolené hodnoty'!$B$14,$H126=BK$4),SUM($J126,$M126,$P126,$S126),"")</f>
        <v/>
      </c>
      <c r="BL126" s="40" t="str">
        <f>IF(AND($G126='Povolené hodnoty'!$B$14,$H126=BL$4),SUM($J126,$M126,$P126,$S126),"")</f>
        <v/>
      </c>
      <c r="BM126" s="41" t="str">
        <f>IF(AND($G126='Povolené hodnoty'!$B$14,$H126=BM$4),SUM($J126,$M126,$P126,$S126),"")</f>
        <v/>
      </c>
      <c r="BO126" s="18" t="b">
        <f t="shared" si="71"/>
        <v>0</v>
      </c>
      <c r="BP126" s="18" t="b">
        <f t="shared" si="42"/>
        <v>0</v>
      </c>
      <c r="BQ126" s="18" t="b">
        <f>AND(E126&lt;&gt;'Povolené hodnoty'!$B$6,F126&lt;&gt;'Povolené hodnoty'!$D$7,F126&lt;&gt;'Povolené hodnoty'!$D$8,OR(SUM(I126,L126,O126,R126)&lt;&gt;SUM(W126:X126,AA126:AG126),SUM(J126,M126,P126,S126)&lt;&gt;SUM(Y126:Z126,AH126:AK126),COUNT(I126:J126,L126:M126,O126:P126,R126:S126)&lt;&gt;COUNT(W126:AK126)))</f>
        <v>0</v>
      </c>
      <c r="BR126" s="18" t="b">
        <f>OR(AND(E126='Povolené hodnoty'!$B$6,$BR$5),AND(E126='Povolené hodnoty'!$B$6,H126&lt;&gt;'Povolené hodnoty'!$E$26,H126&lt;&gt;'Povolené hodnoty'!$E$35),AND(E126&lt;&gt;'Povolené hodnoty'!$B$6,OR(H126='Povolené hodnoty'!$E$26,H126='Povolené hodnoty'!$E$35)))</f>
        <v>0</v>
      </c>
      <c r="BS126" s="18" t="b">
        <f>OR(AND(G126&lt;&gt;'Povolené hodnoty'!$B$13,OR(H126='Povolené hodnoty'!$E$21,H126='Povolené hodnoty'!$E$22,H126='Povolené hodnoty'!$E$23,H126='Povolené hodnoty'!$E$24,H126='Povolené hodnoty'!$E$26,H126='Povolené hodnoty'!$E$36)),COUNT(I126:J126,L126:M126,O126:P126,R126:S126)&lt;&gt;COUNT(AL126:BM126))</f>
        <v>0</v>
      </c>
      <c r="BT126" s="18" t="b">
        <f t="shared" si="43"/>
        <v>0</v>
      </c>
      <c r="BV126" s="39" t="str">
        <f t="shared" si="44"/>
        <v/>
      </c>
      <c r="BW126" s="458" t="str">
        <f t="shared" si="45"/>
        <v/>
      </c>
      <c r="BX126" s="458" t="str">
        <f t="shared" si="46"/>
        <v/>
      </c>
      <c r="BY126" s="458" t="str">
        <f t="shared" si="47"/>
        <v/>
      </c>
      <c r="BZ126" s="458" t="str">
        <f t="shared" si="48"/>
        <v/>
      </c>
      <c r="CA126" s="40" t="str">
        <f t="shared" si="49"/>
        <v/>
      </c>
      <c r="CB126" s="40" t="str">
        <f t="shared" si="50"/>
        <v/>
      </c>
      <c r="CC126" s="39" t="str">
        <f t="shared" si="51"/>
        <v/>
      </c>
      <c r="CD126" s="458" t="str">
        <f t="shared" si="52"/>
        <v/>
      </c>
      <c r="CE126" s="41" t="str">
        <f t="shared" si="53"/>
        <v/>
      </c>
      <c r="CF126" s="39" t="str">
        <f t="shared" si="54"/>
        <v/>
      </c>
      <c r="CG126" s="458" t="str">
        <f t="shared" si="55"/>
        <v/>
      </c>
      <c r="CH126" s="458" t="str">
        <f t="shared" si="56"/>
        <v/>
      </c>
      <c r="CI126" s="458" t="str">
        <f t="shared" si="57"/>
        <v/>
      </c>
      <c r="CJ126" s="458" t="str">
        <f t="shared" si="58"/>
        <v/>
      </c>
      <c r="CK126" s="40" t="str">
        <f t="shared" si="59"/>
        <v/>
      </c>
      <c r="CL126" s="40" t="str">
        <f t="shared" si="60"/>
        <v/>
      </c>
      <c r="CM126" s="40" t="str">
        <f t="shared" si="61"/>
        <v/>
      </c>
      <c r="CN126" s="39" t="str">
        <f t="shared" si="62"/>
        <v/>
      </c>
      <c r="CO126" s="458" t="str">
        <f t="shared" si="63"/>
        <v/>
      </c>
      <c r="CP126" s="458" t="str">
        <f t="shared" si="64"/>
        <v/>
      </c>
      <c r="CQ126" s="458" t="str">
        <f t="shared" si="65"/>
        <v/>
      </c>
      <c r="CR126" s="458" t="str">
        <f t="shared" si="66"/>
        <v/>
      </c>
      <c r="CS126" s="40" t="str">
        <f t="shared" si="67"/>
        <v/>
      </c>
      <c r="CT126" s="40" t="str">
        <f t="shared" si="68"/>
        <v/>
      </c>
      <c r="CU126" s="41" t="str">
        <f t="shared" si="69"/>
        <v/>
      </c>
    </row>
    <row r="127" spans="1:99" x14ac:dyDescent="0.2">
      <c r="A127" s="77">
        <f t="shared" si="70"/>
        <v>122</v>
      </c>
      <c r="B127" s="81"/>
      <c r="C127" s="82"/>
      <c r="D127" s="71"/>
      <c r="E127" s="72"/>
      <c r="F127" s="73"/>
      <c r="G127" s="443"/>
      <c r="H127" s="443"/>
      <c r="I127" s="74"/>
      <c r="J127" s="75"/>
      <c r="K127" s="41">
        <f t="shared" si="74"/>
        <v>3625</v>
      </c>
      <c r="L127" s="104"/>
      <c r="M127" s="105"/>
      <c r="N127" s="106">
        <f t="shared" si="75"/>
        <v>537.05999999999995</v>
      </c>
      <c r="O127" s="104"/>
      <c r="P127" s="105"/>
      <c r="Q127" s="106">
        <f t="shared" si="72"/>
        <v>10045.83</v>
      </c>
      <c r="R127" s="104"/>
      <c r="S127" s="105"/>
      <c r="T127" s="106">
        <f t="shared" si="73"/>
        <v>0</v>
      </c>
      <c r="U127" s="439"/>
      <c r="V127" s="42">
        <f t="shared" si="41"/>
        <v>122</v>
      </c>
      <c r="W127" s="39" t="str">
        <f>IF(AND(E127='Povolené hodnoty'!$B$4,F127=2),I127+L127+O127+R127,"")</f>
        <v/>
      </c>
      <c r="X127" s="41" t="str">
        <f>IF(AND(E127='Povolené hodnoty'!$B$4,F127=1),I127+L127+O127+R127,"")</f>
        <v/>
      </c>
      <c r="Y127" s="39" t="str">
        <f>IF(AND(E127='Povolené hodnoty'!$B$4,F127=10),J127+M127+P127+S127,"")</f>
        <v/>
      </c>
      <c r="Z127" s="41" t="str">
        <f>IF(AND(E127='Povolené hodnoty'!$B$4,F127=9),J127+M127+P127+S127,"")</f>
        <v/>
      </c>
      <c r="AA127" s="39" t="str">
        <f>IF(AND(E127&lt;&gt;'Povolené hodnoty'!$B$4,F127=2),I127+L127+O127+R127,"")</f>
        <v/>
      </c>
      <c r="AB127" s="40" t="str">
        <f>IF(AND(E127&lt;&gt;'Povolené hodnoty'!$B$4,F127=3),I127+L127+O127+R127,"")</f>
        <v/>
      </c>
      <c r="AC127" s="40" t="str">
        <f>IF(AND(E127&lt;&gt;'Povolené hodnoty'!$B$4,F127=4),I127+L127+O127+R127,"")</f>
        <v/>
      </c>
      <c r="AD127" s="40" t="str">
        <f>IF(AND(E127&lt;&gt;'Povolené hodnoty'!$B$4,F127="5a"),I127-J127+L127-M127+O127-P127+R127-S127,"")</f>
        <v/>
      </c>
      <c r="AE127" s="40" t="str">
        <f>IF(AND(E127&lt;&gt;'Povolené hodnoty'!$B$4,F127="5b"),I127-J127+L127-M127+O127-P127+R127-S127,"")</f>
        <v/>
      </c>
      <c r="AF127" s="40" t="str">
        <f>IF(AND(E127&lt;&gt;'Povolené hodnoty'!$B$4,F127=6),I127+L127+O127+R127,"")</f>
        <v/>
      </c>
      <c r="AG127" s="41" t="str">
        <f>IF(AND(E127&lt;&gt;'Povolené hodnoty'!$B$4,F127=7),I127+L127+O127+R127,"")</f>
        <v/>
      </c>
      <c r="AH127" s="39" t="str">
        <f>IF(AND(E127&lt;&gt;'Povolené hodnoty'!$B$4,F127=10),J127+M127+P127+S127,"")</f>
        <v/>
      </c>
      <c r="AI127" s="40" t="str">
        <f>IF(AND(E127&lt;&gt;'Povolené hodnoty'!$B$4,F127=11),J127+M127+P127+S127,"")</f>
        <v/>
      </c>
      <c r="AJ127" s="40" t="str">
        <f>IF(AND(E127&lt;&gt;'Povolené hodnoty'!$B$4,F127=12),J127+M127+P127+S127,"")</f>
        <v/>
      </c>
      <c r="AK127" s="41" t="str">
        <f>IF(AND(E127&lt;&gt;'Povolené hodnoty'!$B$4,F127=13),J127+M127+P127+S127,"")</f>
        <v/>
      </c>
      <c r="AL127" s="39" t="str">
        <f>IF(AND($G127='Povolené hodnoty'!$B$13,$H127=AL$4),SUM($I127,$L127,$O127,$R127),"")</f>
        <v/>
      </c>
      <c r="AM127" s="458" t="str">
        <f>IF(AND($G127='Povolené hodnoty'!$B$13,$H127=AM$4),SUM($I127,$L127,$O127,$R127),"")</f>
        <v/>
      </c>
      <c r="AN127" s="458" t="str">
        <f>IF(AND($G127='Povolené hodnoty'!$B$13,$H127=AN$4),SUM($I127,$L127,$O127,$R127),"")</f>
        <v/>
      </c>
      <c r="AO127" s="458" t="str">
        <f>IF(AND($G127='Povolené hodnoty'!$B$13,$H127=AO$4),SUM($I127,$L127,$O127,$R127),"")</f>
        <v/>
      </c>
      <c r="AP127" s="458" t="str">
        <f>IF(AND($G127='Povolené hodnoty'!$B$13,$H127=AP$4),SUM($I127,$L127,$O127,$R127),"")</f>
        <v/>
      </c>
      <c r="AQ127" s="40" t="str">
        <f>IF(AND($G127='Povolené hodnoty'!$B$13,OR($H127=AQ$4,$H127='Povolené hodnoty'!$E$36)),SUM($I127,-$J127,$L127,-$M127,$O127,-$P127,$R127,-$S127),"")</f>
        <v/>
      </c>
      <c r="AR127" s="40" t="str">
        <f>IF(AND($G127='Povolené hodnoty'!$B$13,$H127=AR$4),SUM($I127,$L127,$O127,$R127),"")</f>
        <v/>
      </c>
      <c r="AS127" s="41" t="str">
        <f>IF(AND($G127='Povolené hodnoty'!$B$13,$H127=AS$4),SUM($I127,$L127,$O127,$R127),"")</f>
        <v/>
      </c>
      <c r="AT127" s="39" t="str">
        <f>IF(AND($G127='Povolené hodnoty'!$B$14,$H127=AT$4),SUM($I127,$L127,$O127,$R127),"")</f>
        <v/>
      </c>
      <c r="AU127" s="458" t="str">
        <f>IF(AND($G127='Povolené hodnoty'!$B$14,$H127=AU$4),SUM($I127,$L127,$O127,$R127),"")</f>
        <v/>
      </c>
      <c r="AV127" s="41" t="str">
        <f>IF(AND($G127='Povolené hodnoty'!$B$14,$H127=AV$4),SUM($I127,$L127,$O127,$R127),"")</f>
        <v/>
      </c>
      <c r="AW127" s="39" t="str">
        <f>IF(AND($G127='Povolené hodnoty'!$B$13,$H127=AW$4),SUM($J127,$M127,$P127,$S127),"")</f>
        <v/>
      </c>
      <c r="AX127" s="458" t="str">
        <f>IF(AND($G127='Povolené hodnoty'!$B$13,$H127=AX$4),SUM($J127,$M127,$P127,$S127),"")</f>
        <v/>
      </c>
      <c r="AY127" s="458" t="str">
        <f>IF(AND($G127='Povolené hodnoty'!$B$13,$H127=AY$4),SUM($J127,$M127,$P127,$S127),"")</f>
        <v/>
      </c>
      <c r="AZ127" s="458" t="str">
        <f>IF(AND($G127='Povolené hodnoty'!$B$13,$H127=AZ$4),SUM($J127,$M127,$P127,$S127),"")</f>
        <v/>
      </c>
      <c r="BA127" s="458" t="str">
        <f>IF(AND($G127='Povolené hodnoty'!$B$13,$H127=BA$4),SUM($J127,$M127,$P127,$S127),"")</f>
        <v/>
      </c>
      <c r="BB127" s="40" t="str">
        <f>IF(AND($G127='Povolené hodnoty'!$B$13,$H127=BB$4),SUM($J127,$M127,$P127,$S127),"")</f>
        <v/>
      </c>
      <c r="BC127" s="40" t="str">
        <f>IF(AND($G127='Povolené hodnoty'!$B$13,$H127=BC$4),SUM($J127,$M127,$P127,$S127),"")</f>
        <v/>
      </c>
      <c r="BD127" s="40" t="str">
        <f>IF(AND($G127='Povolené hodnoty'!$B$13,$H127=BD$4),SUM($J127,$M127,$P127,$S127),"")</f>
        <v/>
      </c>
      <c r="BE127" s="41" t="str">
        <f>IF(AND($G127='Povolené hodnoty'!$B$13,$H127=BE$4),SUM($J127,$M127,$P127,$S127),"")</f>
        <v/>
      </c>
      <c r="BF127" s="39" t="str">
        <f>IF(AND($G127='Povolené hodnoty'!$B$14,$H127=BF$4),SUM($J127,$M127,$P127,$S127),"")</f>
        <v/>
      </c>
      <c r="BG127" s="458" t="str">
        <f>IF(AND($G127='Povolené hodnoty'!$B$14,$H127=BG$4),SUM($J127,$M127,$P127,$S127),"")</f>
        <v/>
      </c>
      <c r="BH127" s="458" t="str">
        <f>IF(AND($G127='Povolené hodnoty'!$B$14,$H127=BH$4),SUM($J127,$M127,$P127,$S127),"")</f>
        <v/>
      </c>
      <c r="BI127" s="458" t="str">
        <f>IF(AND($G127='Povolené hodnoty'!$B$14,$H127=BI$4),SUM($J127,$M127,$P127,$S127),"")</f>
        <v/>
      </c>
      <c r="BJ127" s="458" t="str">
        <f>IF(AND($G127='Povolené hodnoty'!$B$14,$H127=BJ$4),SUM($J127,$M127,$P127,$S127),"")</f>
        <v/>
      </c>
      <c r="BK127" s="40" t="str">
        <f>IF(AND($G127='Povolené hodnoty'!$B$14,$H127=BK$4),SUM($J127,$M127,$P127,$S127),"")</f>
        <v/>
      </c>
      <c r="BL127" s="40" t="str">
        <f>IF(AND($G127='Povolené hodnoty'!$B$14,$H127=BL$4),SUM($J127,$M127,$P127,$S127),"")</f>
        <v/>
      </c>
      <c r="BM127" s="41" t="str">
        <f>IF(AND($G127='Povolené hodnoty'!$B$14,$H127=BM$4),SUM($J127,$M127,$P127,$S127),"")</f>
        <v/>
      </c>
      <c r="BO127" s="18" t="b">
        <f t="shared" si="71"/>
        <v>0</v>
      </c>
      <c r="BP127" s="18" t="b">
        <f t="shared" si="42"/>
        <v>0</v>
      </c>
      <c r="BQ127" s="18" t="b">
        <f>AND(E127&lt;&gt;'Povolené hodnoty'!$B$6,F127&lt;&gt;'Povolené hodnoty'!$D$7,F127&lt;&gt;'Povolené hodnoty'!$D$8,OR(SUM(I127,L127,O127,R127)&lt;&gt;SUM(W127:X127,AA127:AG127),SUM(J127,M127,P127,S127)&lt;&gt;SUM(Y127:Z127,AH127:AK127),COUNT(I127:J127,L127:M127,O127:P127,R127:S127)&lt;&gt;COUNT(W127:AK127)))</f>
        <v>0</v>
      </c>
      <c r="BR127" s="18" t="b">
        <f>OR(AND(E127='Povolené hodnoty'!$B$6,$BR$5),AND(E127='Povolené hodnoty'!$B$6,H127&lt;&gt;'Povolené hodnoty'!$E$26,H127&lt;&gt;'Povolené hodnoty'!$E$35),AND(E127&lt;&gt;'Povolené hodnoty'!$B$6,OR(H127='Povolené hodnoty'!$E$26,H127='Povolené hodnoty'!$E$35)))</f>
        <v>0</v>
      </c>
      <c r="BS127" s="18" t="b">
        <f>OR(AND(G127&lt;&gt;'Povolené hodnoty'!$B$13,OR(H127='Povolené hodnoty'!$E$21,H127='Povolené hodnoty'!$E$22,H127='Povolené hodnoty'!$E$23,H127='Povolené hodnoty'!$E$24,H127='Povolené hodnoty'!$E$26,H127='Povolené hodnoty'!$E$36)),COUNT(I127:J127,L127:M127,O127:P127,R127:S127)&lt;&gt;COUNT(AL127:BM127))</f>
        <v>0</v>
      </c>
      <c r="BT127" s="18" t="b">
        <f t="shared" si="43"/>
        <v>0</v>
      </c>
      <c r="BV127" s="39" t="str">
        <f t="shared" si="44"/>
        <v/>
      </c>
      <c r="BW127" s="458" t="str">
        <f t="shared" si="45"/>
        <v/>
      </c>
      <c r="BX127" s="458" t="str">
        <f t="shared" si="46"/>
        <v/>
      </c>
      <c r="BY127" s="458" t="str">
        <f t="shared" si="47"/>
        <v/>
      </c>
      <c r="BZ127" s="458" t="str">
        <f t="shared" si="48"/>
        <v/>
      </c>
      <c r="CA127" s="40" t="str">
        <f t="shared" si="49"/>
        <v/>
      </c>
      <c r="CB127" s="40" t="str">
        <f t="shared" si="50"/>
        <v/>
      </c>
      <c r="CC127" s="39" t="str">
        <f t="shared" si="51"/>
        <v/>
      </c>
      <c r="CD127" s="458" t="str">
        <f t="shared" si="52"/>
        <v/>
      </c>
      <c r="CE127" s="41" t="str">
        <f t="shared" si="53"/>
        <v/>
      </c>
      <c r="CF127" s="39" t="str">
        <f t="shared" si="54"/>
        <v/>
      </c>
      <c r="CG127" s="458" t="str">
        <f t="shared" si="55"/>
        <v/>
      </c>
      <c r="CH127" s="458" t="str">
        <f t="shared" si="56"/>
        <v/>
      </c>
      <c r="CI127" s="458" t="str">
        <f t="shared" si="57"/>
        <v/>
      </c>
      <c r="CJ127" s="458" t="str">
        <f t="shared" si="58"/>
        <v/>
      </c>
      <c r="CK127" s="40" t="str">
        <f t="shared" si="59"/>
        <v/>
      </c>
      <c r="CL127" s="40" t="str">
        <f t="shared" si="60"/>
        <v/>
      </c>
      <c r="CM127" s="40" t="str">
        <f t="shared" si="61"/>
        <v/>
      </c>
      <c r="CN127" s="39" t="str">
        <f t="shared" si="62"/>
        <v/>
      </c>
      <c r="CO127" s="458" t="str">
        <f t="shared" si="63"/>
        <v/>
      </c>
      <c r="CP127" s="458" t="str">
        <f t="shared" si="64"/>
        <v/>
      </c>
      <c r="CQ127" s="458" t="str">
        <f t="shared" si="65"/>
        <v/>
      </c>
      <c r="CR127" s="458" t="str">
        <f t="shared" si="66"/>
        <v/>
      </c>
      <c r="CS127" s="40" t="str">
        <f t="shared" si="67"/>
        <v/>
      </c>
      <c r="CT127" s="40" t="str">
        <f t="shared" si="68"/>
        <v/>
      </c>
      <c r="CU127" s="41" t="str">
        <f t="shared" si="69"/>
        <v/>
      </c>
    </row>
    <row r="128" spans="1:99" x14ac:dyDescent="0.2">
      <c r="A128" s="77">
        <f t="shared" si="70"/>
        <v>123</v>
      </c>
      <c r="B128" s="81"/>
      <c r="C128" s="82"/>
      <c r="D128" s="71"/>
      <c r="E128" s="72"/>
      <c r="F128" s="73"/>
      <c r="G128" s="443"/>
      <c r="H128" s="443"/>
      <c r="I128" s="74"/>
      <c r="J128" s="75"/>
      <c r="K128" s="41">
        <f t="shared" si="74"/>
        <v>3625</v>
      </c>
      <c r="L128" s="104"/>
      <c r="M128" s="105"/>
      <c r="N128" s="106">
        <f t="shared" si="75"/>
        <v>537.05999999999995</v>
      </c>
      <c r="O128" s="104"/>
      <c r="P128" s="105"/>
      <c r="Q128" s="106">
        <f t="shared" si="72"/>
        <v>10045.83</v>
      </c>
      <c r="R128" s="104"/>
      <c r="S128" s="105"/>
      <c r="T128" s="106">
        <f t="shared" si="73"/>
        <v>0</v>
      </c>
      <c r="U128" s="439"/>
      <c r="V128" s="42">
        <f t="shared" si="41"/>
        <v>123</v>
      </c>
      <c r="W128" s="39" t="str">
        <f>IF(AND(E128='Povolené hodnoty'!$B$4,F128=2),I128+L128+O128+R128,"")</f>
        <v/>
      </c>
      <c r="X128" s="41" t="str">
        <f>IF(AND(E128='Povolené hodnoty'!$B$4,F128=1),I128+L128+O128+R128,"")</f>
        <v/>
      </c>
      <c r="Y128" s="39" t="str">
        <f>IF(AND(E128='Povolené hodnoty'!$B$4,F128=10),J128+M128+P128+S128,"")</f>
        <v/>
      </c>
      <c r="Z128" s="41" t="str">
        <f>IF(AND(E128='Povolené hodnoty'!$B$4,F128=9),J128+M128+P128+S128,"")</f>
        <v/>
      </c>
      <c r="AA128" s="39" t="str">
        <f>IF(AND(E128&lt;&gt;'Povolené hodnoty'!$B$4,F128=2),I128+L128+O128+R128,"")</f>
        <v/>
      </c>
      <c r="AB128" s="40" t="str">
        <f>IF(AND(E128&lt;&gt;'Povolené hodnoty'!$B$4,F128=3),I128+L128+O128+R128,"")</f>
        <v/>
      </c>
      <c r="AC128" s="40" t="str">
        <f>IF(AND(E128&lt;&gt;'Povolené hodnoty'!$B$4,F128=4),I128+L128+O128+R128,"")</f>
        <v/>
      </c>
      <c r="AD128" s="40" t="str">
        <f>IF(AND(E128&lt;&gt;'Povolené hodnoty'!$B$4,F128="5a"),I128-J128+L128-M128+O128-P128+R128-S128,"")</f>
        <v/>
      </c>
      <c r="AE128" s="40" t="str">
        <f>IF(AND(E128&lt;&gt;'Povolené hodnoty'!$B$4,F128="5b"),I128-J128+L128-M128+O128-P128+R128-S128,"")</f>
        <v/>
      </c>
      <c r="AF128" s="40" t="str">
        <f>IF(AND(E128&lt;&gt;'Povolené hodnoty'!$B$4,F128=6),I128+L128+O128+R128,"")</f>
        <v/>
      </c>
      <c r="AG128" s="41" t="str">
        <f>IF(AND(E128&lt;&gt;'Povolené hodnoty'!$B$4,F128=7),I128+L128+O128+R128,"")</f>
        <v/>
      </c>
      <c r="AH128" s="39" t="str">
        <f>IF(AND(E128&lt;&gt;'Povolené hodnoty'!$B$4,F128=10),J128+M128+P128+S128,"")</f>
        <v/>
      </c>
      <c r="AI128" s="40" t="str">
        <f>IF(AND(E128&lt;&gt;'Povolené hodnoty'!$B$4,F128=11),J128+M128+P128+S128,"")</f>
        <v/>
      </c>
      <c r="AJ128" s="40" t="str">
        <f>IF(AND(E128&lt;&gt;'Povolené hodnoty'!$B$4,F128=12),J128+M128+P128+S128,"")</f>
        <v/>
      </c>
      <c r="AK128" s="41" t="str">
        <f>IF(AND(E128&lt;&gt;'Povolené hodnoty'!$B$4,F128=13),J128+M128+P128+S128,"")</f>
        <v/>
      </c>
      <c r="AL128" s="39" t="str">
        <f>IF(AND($G128='Povolené hodnoty'!$B$13,$H128=AL$4),SUM($I128,$L128,$O128,$R128),"")</f>
        <v/>
      </c>
      <c r="AM128" s="458" t="str">
        <f>IF(AND($G128='Povolené hodnoty'!$B$13,$H128=AM$4),SUM($I128,$L128,$O128,$R128),"")</f>
        <v/>
      </c>
      <c r="AN128" s="458" t="str">
        <f>IF(AND($G128='Povolené hodnoty'!$B$13,$H128=AN$4),SUM($I128,$L128,$O128,$R128),"")</f>
        <v/>
      </c>
      <c r="AO128" s="458" t="str">
        <f>IF(AND($G128='Povolené hodnoty'!$B$13,$H128=AO$4),SUM($I128,$L128,$O128,$R128),"")</f>
        <v/>
      </c>
      <c r="AP128" s="458" t="str">
        <f>IF(AND($G128='Povolené hodnoty'!$B$13,$H128=AP$4),SUM($I128,$L128,$O128,$R128),"")</f>
        <v/>
      </c>
      <c r="AQ128" s="40" t="str">
        <f>IF(AND($G128='Povolené hodnoty'!$B$13,OR($H128=AQ$4,$H128='Povolené hodnoty'!$E$36)),SUM($I128,-$J128,$L128,-$M128,$O128,-$P128,$R128,-$S128),"")</f>
        <v/>
      </c>
      <c r="AR128" s="40" t="str">
        <f>IF(AND($G128='Povolené hodnoty'!$B$13,$H128=AR$4),SUM($I128,$L128,$O128,$R128),"")</f>
        <v/>
      </c>
      <c r="AS128" s="41" t="str">
        <f>IF(AND($G128='Povolené hodnoty'!$B$13,$H128=AS$4),SUM($I128,$L128,$O128,$R128),"")</f>
        <v/>
      </c>
      <c r="AT128" s="39" t="str">
        <f>IF(AND($G128='Povolené hodnoty'!$B$14,$H128=AT$4),SUM($I128,$L128,$O128,$R128),"")</f>
        <v/>
      </c>
      <c r="AU128" s="458" t="str">
        <f>IF(AND($G128='Povolené hodnoty'!$B$14,$H128=AU$4),SUM($I128,$L128,$O128,$R128),"")</f>
        <v/>
      </c>
      <c r="AV128" s="41" t="str">
        <f>IF(AND($G128='Povolené hodnoty'!$B$14,$H128=AV$4),SUM($I128,$L128,$O128,$R128),"")</f>
        <v/>
      </c>
      <c r="AW128" s="39" t="str">
        <f>IF(AND($G128='Povolené hodnoty'!$B$13,$H128=AW$4),SUM($J128,$M128,$P128,$S128),"")</f>
        <v/>
      </c>
      <c r="AX128" s="458" t="str">
        <f>IF(AND($G128='Povolené hodnoty'!$B$13,$H128=AX$4),SUM($J128,$M128,$P128,$S128),"")</f>
        <v/>
      </c>
      <c r="AY128" s="458" t="str">
        <f>IF(AND($G128='Povolené hodnoty'!$B$13,$H128=AY$4),SUM($J128,$M128,$P128,$S128),"")</f>
        <v/>
      </c>
      <c r="AZ128" s="458" t="str">
        <f>IF(AND($G128='Povolené hodnoty'!$B$13,$H128=AZ$4),SUM($J128,$M128,$P128,$S128),"")</f>
        <v/>
      </c>
      <c r="BA128" s="458" t="str">
        <f>IF(AND($G128='Povolené hodnoty'!$B$13,$H128=BA$4),SUM($J128,$M128,$P128,$S128),"")</f>
        <v/>
      </c>
      <c r="BB128" s="40" t="str">
        <f>IF(AND($G128='Povolené hodnoty'!$B$13,$H128=BB$4),SUM($J128,$M128,$P128,$S128),"")</f>
        <v/>
      </c>
      <c r="BC128" s="40" t="str">
        <f>IF(AND($G128='Povolené hodnoty'!$B$13,$H128=BC$4),SUM($J128,$M128,$P128,$S128),"")</f>
        <v/>
      </c>
      <c r="BD128" s="40" t="str">
        <f>IF(AND($G128='Povolené hodnoty'!$B$13,$H128=BD$4),SUM($J128,$M128,$P128,$S128),"")</f>
        <v/>
      </c>
      <c r="BE128" s="41" t="str">
        <f>IF(AND($G128='Povolené hodnoty'!$B$13,$H128=BE$4),SUM($J128,$M128,$P128,$S128),"")</f>
        <v/>
      </c>
      <c r="BF128" s="39" t="str">
        <f>IF(AND($G128='Povolené hodnoty'!$B$14,$H128=BF$4),SUM($J128,$M128,$P128,$S128),"")</f>
        <v/>
      </c>
      <c r="BG128" s="458" t="str">
        <f>IF(AND($G128='Povolené hodnoty'!$B$14,$H128=BG$4),SUM($J128,$M128,$P128,$S128),"")</f>
        <v/>
      </c>
      <c r="BH128" s="458" t="str">
        <f>IF(AND($G128='Povolené hodnoty'!$B$14,$H128=BH$4),SUM($J128,$M128,$P128,$S128),"")</f>
        <v/>
      </c>
      <c r="BI128" s="458" t="str">
        <f>IF(AND($G128='Povolené hodnoty'!$B$14,$H128=BI$4),SUM($J128,$M128,$P128,$S128),"")</f>
        <v/>
      </c>
      <c r="BJ128" s="458" t="str">
        <f>IF(AND($G128='Povolené hodnoty'!$B$14,$H128=BJ$4),SUM($J128,$M128,$P128,$S128),"")</f>
        <v/>
      </c>
      <c r="BK128" s="40" t="str">
        <f>IF(AND($G128='Povolené hodnoty'!$B$14,$H128=BK$4),SUM($J128,$M128,$P128,$S128),"")</f>
        <v/>
      </c>
      <c r="BL128" s="40" t="str">
        <f>IF(AND($G128='Povolené hodnoty'!$B$14,$H128=BL$4),SUM($J128,$M128,$P128,$S128),"")</f>
        <v/>
      </c>
      <c r="BM128" s="41" t="str">
        <f>IF(AND($G128='Povolené hodnoty'!$B$14,$H128=BM$4),SUM($J128,$M128,$P128,$S128),"")</f>
        <v/>
      </c>
      <c r="BO128" s="18" t="b">
        <f t="shared" si="71"/>
        <v>0</v>
      </c>
      <c r="BP128" s="18" t="b">
        <f t="shared" si="42"/>
        <v>0</v>
      </c>
      <c r="BQ128" s="18" t="b">
        <f>AND(E128&lt;&gt;'Povolené hodnoty'!$B$6,F128&lt;&gt;'Povolené hodnoty'!$D$7,F128&lt;&gt;'Povolené hodnoty'!$D$8,OR(SUM(I128,L128,O128,R128)&lt;&gt;SUM(W128:X128,AA128:AG128),SUM(J128,M128,P128,S128)&lt;&gt;SUM(Y128:Z128,AH128:AK128),COUNT(I128:J128,L128:M128,O128:P128,R128:S128)&lt;&gt;COUNT(W128:AK128)))</f>
        <v>0</v>
      </c>
      <c r="BR128" s="18" t="b">
        <f>OR(AND(E128='Povolené hodnoty'!$B$6,$BR$5),AND(E128='Povolené hodnoty'!$B$6,H128&lt;&gt;'Povolené hodnoty'!$E$26,H128&lt;&gt;'Povolené hodnoty'!$E$35),AND(E128&lt;&gt;'Povolené hodnoty'!$B$6,OR(H128='Povolené hodnoty'!$E$26,H128='Povolené hodnoty'!$E$35)))</f>
        <v>0</v>
      </c>
      <c r="BS128" s="18" t="b">
        <f>OR(AND(G128&lt;&gt;'Povolené hodnoty'!$B$13,OR(H128='Povolené hodnoty'!$E$21,H128='Povolené hodnoty'!$E$22,H128='Povolené hodnoty'!$E$23,H128='Povolené hodnoty'!$E$24,H128='Povolené hodnoty'!$E$26,H128='Povolené hodnoty'!$E$36)),COUNT(I128:J128,L128:M128,O128:P128,R128:S128)&lt;&gt;COUNT(AL128:BM128))</f>
        <v>0</v>
      </c>
      <c r="BT128" s="18" t="b">
        <f t="shared" si="43"/>
        <v>0</v>
      </c>
      <c r="BV128" s="39" t="str">
        <f t="shared" si="44"/>
        <v/>
      </c>
      <c r="BW128" s="458" t="str">
        <f t="shared" si="45"/>
        <v/>
      </c>
      <c r="BX128" s="458" t="str">
        <f t="shared" si="46"/>
        <v/>
      </c>
      <c r="BY128" s="458" t="str">
        <f t="shared" si="47"/>
        <v/>
      </c>
      <c r="BZ128" s="458" t="str">
        <f t="shared" si="48"/>
        <v/>
      </c>
      <c r="CA128" s="40" t="str">
        <f t="shared" si="49"/>
        <v/>
      </c>
      <c r="CB128" s="40" t="str">
        <f t="shared" si="50"/>
        <v/>
      </c>
      <c r="CC128" s="39" t="str">
        <f t="shared" si="51"/>
        <v/>
      </c>
      <c r="CD128" s="458" t="str">
        <f t="shared" si="52"/>
        <v/>
      </c>
      <c r="CE128" s="41" t="str">
        <f t="shared" si="53"/>
        <v/>
      </c>
      <c r="CF128" s="39" t="str">
        <f t="shared" si="54"/>
        <v/>
      </c>
      <c r="CG128" s="458" t="str">
        <f t="shared" si="55"/>
        <v/>
      </c>
      <c r="CH128" s="458" t="str">
        <f t="shared" si="56"/>
        <v/>
      </c>
      <c r="CI128" s="458" t="str">
        <f t="shared" si="57"/>
        <v/>
      </c>
      <c r="CJ128" s="458" t="str">
        <f t="shared" si="58"/>
        <v/>
      </c>
      <c r="CK128" s="40" t="str">
        <f t="shared" si="59"/>
        <v/>
      </c>
      <c r="CL128" s="40" t="str">
        <f t="shared" si="60"/>
        <v/>
      </c>
      <c r="CM128" s="40" t="str">
        <f t="shared" si="61"/>
        <v/>
      </c>
      <c r="CN128" s="39" t="str">
        <f t="shared" si="62"/>
        <v/>
      </c>
      <c r="CO128" s="458" t="str">
        <f t="shared" si="63"/>
        <v/>
      </c>
      <c r="CP128" s="458" t="str">
        <f t="shared" si="64"/>
        <v/>
      </c>
      <c r="CQ128" s="458" t="str">
        <f t="shared" si="65"/>
        <v/>
      </c>
      <c r="CR128" s="458" t="str">
        <f t="shared" si="66"/>
        <v/>
      </c>
      <c r="CS128" s="40" t="str">
        <f t="shared" si="67"/>
        <v/>
      </c>
      <c r="CT128" s="40" t="str">
        <f t="shared" si="68"/>
        <v/>
      </c>
      <c r="CU128" s="41" t="str">
        <f t="shared" si="69"/>
        <v/>
      </c>
    </row>
    <row r="129" spans="1:99" x14ac:dyDescent="0.2">
      <c r="A129" s="77">
        <f t="shared" si="70"/>
        <v>124</v>
      </c>
      <c r="B129" s="81"/>
      <c r="C129" s="82"/>
      <c r="D129" s="71"/>
      <c r="E129" s="72"/>
      <c r="F129" s="73"/>
      <c r="G129" s="443"/>
      <c r="H129" s="443"/>
      <c r="I129" s="74"/>
      <c r="J129" s="75"/>
      <c r="K129" s="41">
        <f t="shared" si="74"/>
        <v>3625</v>
      </c>
      <c r="L129" s="104"/>
      <c r="M129" s="105"/>
      <c r="N129" s="106">
        <f t="shared" si="75"/>
        <v>537.05999999999995</v>
      </c>
      <c r="O129" s="104"/>
      <c r="P129" s="105"/>
      <c r="Q129" s="106">
        <f t="shared" si="72"/>
        <v>10045.83</v>
      </c>
      <c r="R129" s="104"/>
      <c r="S129" s="105"/>
      <c r="T129" s="106">
        <f t="shared" si="73"/>
        <v>0</v>
      </c>
      <c r="U129" s="439"/>
      <c r="V129" s="42">
        <f t="shared" si="41"/>
        <v>124</v>
      </c>
      <c r="W129" s="39" t="str">
        <f>IF(AND(E129='Povolené hodnoty'!$B$4,F129=2),I129+L129+O129+R129,"")</f>
        <v/>
      </c>
      <c r="X129" s="41" t="str">
        <f>IF(AND(E129='Povolené hodnoty'!$B$4,F129=1),I129+L129+O129+R129,"")</f>
        <v/>
      </c>
      <c r="Y129" s="39" t="str">
        <f>IF(AND(E129='Povolené hodnoty'!$B$4,F129=10),J129+M129+P129+S129,"")</f>
        <v/>
      </c>
      <c r="Z129" s="41" t="str">
        <f>IF(AND(E129='Povolené hodnoty'!$B$4,F129=9),J129+M129+P129+S129,"")</f>
        <v/>
      </c>
      <c r="AA129" s="39" t="str">
        <f>IF(AND(E129&lt;&gt;'Povolené hodnoty'!$B$4,F129=2),I129+L129+O129+R129,"")</f>
        <v/>
      </c>
      <c r="AB129" s="40" t="str">
        <f>IF(AND(E129&lt;&gt;'Povolené hodnoty'!$B$4,F129=3),I129+L129+O129+R129,"")</f>
        <v/>
      </c>
      <c r="AC129" s="40" t="str">
        <f>IF(AND(E129&lt;&gt;'Povolené hodnoty'!$B$4,F129=4),I129+L129+O129+R129,"")</f>
        <v/>
      </c>
      <c r="AD129" s="40" t="str">
        <f>IF(AND(E129&lt;&gt;'Povolené hodnoty'!$B$4,F129="5a"),I129-J129+L129-M129+O129-P129+R129-S129,"")</f>
        <v/>
      </c>
      <c r="AE129" s="40" t="str">
        <f>IF(AND(E129&lt;&gt;'Povolené hodnoty'!$B$4,F129="5b"),I129-J129+L129-M129+O129-P129+R129-S129,"")</f>
        <v/>
      </c>
      <c r="AF129" s="40" t="str">
        <f>IF(AND(E129&lt;&gt;'Povolené hodnoty'!$B$4,F129=6),I129+L129+O129+R129,"")</f>
        <v/>
      </c>
      <c r="AG129" s="41" t="str">
        <f>IF(AND(E129&lt;&gt;'Povolené hodnoty'!$B$4,F129=7),I129+L129+O129+R129,"")</f>
        <v/>
      </c>
      <c r="AH129" s="39" t="str">
        <f>IF(AND(E129&lt;&gt;'Povolené hodnoty'!$B$4,F129=10),J129+M129+P129+S129,"")</f>
        <v/>
      </c>
      <c r="AI129" s="40" t="str">
        <f>IF(AND(E129&lt;&gt;'Povolené hodnoty'!$B$4,F129=11),J129+M129+P129+S129,"")</f>
        <v/>
      </c>
      <c r="AJ129" s="40" t="str">
        <f>IF(AND(E129&lt;&gt;'Povolené hodnoty'!$B$4,F129=12),J129+M129+P129+S129,"")</f>
        <v/>
      </c>
      <c r="AK129" s="41" t="str">
        <f>IF(AND(E129&lt;&gt;'Povolené hodnoty'!$B$4,F129=13),J129+M129+P129+S129,"")</f>
        <v/>
      </c>
      <c r="AL129" s="39" t="str">
        <f>IF(AND($G129='Povolené hodnoty'!$B$13,$H129=AL$4),SUM($I129,$L129,$O129,$R129),"")</f>
        <v/>
      </c>
      <c r="AM129" s="458" t="str">
        <f>IF(AND($G129='Povolené hodnoty'!$B$13,$H129=AM$4),SUM($I129,$L129,$O129,$R129),"")</f>
        <v/>
      </c>
      <c r="AN129" s="458" t="str">
        <f>IF(AND($G129='Povolené hodnoty'!$B$13,$H129=AN$4),SUM($I129,$L129,$O129,$R129),"")</f>
        <v/>
      </c>
      <c r="AO129" s="458" t="str">
        <f>IF(AND($G129='Povolené hodnoty'!$B$13,$H129=AO$4),SUM($I129,$L129,$O129,$R129),"")</f>
        <v/>
      </c>
      <c r="AP129" s="458" t="str">
        <f>IF(AND($G129='Povolené hodnoty'!$B$13,$H129=AP$4),SUM($I129,$L129,$O129,$R129),"")</f>
        <v/>
      </c>
      <c r="AQ129" s="40" t="str">
        <f>IF(AND($G129='Povolené hodnoty'!$B$13,OR($H129=AQ$4,$H129='Povolené hodnoty'!$E$36)),SUM($I129,-$J129,$L129,-$M129,$O129,-$P129,$R129,-$S129),"")</f>
        <v/>
      </c>
      <c r="AR129" s="40" t="str">
        <f>IF(AND($G129='Povolené hodnoty'!$B$13,$H129=AR$4),SUM($I129,$L129,$O129,$R129),"")</f>
        <v/>
      </c>
      <c r="AS129" s="41" t="str">
        <f>IF(AND($G129='Povolené hodnoty'!$B$13,$H129=AS$4),SUM($I129,$L129,$O129,$R129),"")</f>
        <v/>
      </c>
      <c r="AT129" s="39" t="str">
        <f>IF(AND($G129='Povolené hodnoty'!$B$14,$H129=AT$4),SUM($I129,$L129,$O129,$R129),"")</f>
        <v/>
      </c>
      <c r="AU129" s="458" t="str">
        <f>IF(AND($G129='Povolené hodnoty'!$B$14,$H129=AU$4),SUM($I129,$L129,$O129,$R129),"")</f>
        <v/>
      </c>
      <c r="AV129" s="41" t="str">
        <f>IF(AND($G129='Povolené hodnoty'!$B$14,$H129=AV$4),SUM($I129,$L129,$O129,$R129),"")</f>
        <v/>
      </c>
      <c r="AW129" s="39" t="str">
        <f>IF(AND($G129='Povolené hodnoty'!$B$13,$H129=AW$4),SUM($J129,$M129,$P129,$S129),"")</f>
        <v/>
      </c>
      <c r="AX129" s="458" t="str">
        <f>IF(AND($G129='Povolené hodnoty'!$B$13,$H129=AX$4),SUM($J129,$M129,$P129,$S129),"")</f>
        <v/>
      </c>
      <c r="AY129" s="458" t="str">
        <f>IF(AND($G129='Povolené hodnoty'!$B$13,$H129=AY$4),SUM($J129,$M129,$P129,$S129),"")</f>
        <v/>
      </c>
      <c r="AZ129" s="458" t="str">
        <f>IF(AND($G129='Povolené hodnoty'!$B$13,$H129=AZ$4),SUM($J129,$M129,$P129,$S129),"")</f>
        <v/>
      </c>
      <c r="BA129" s="458" t="str">
        <f>IF(AND($G129='Povolené hodnoty'!$B$13,$H129=BA$4),SUM($J129,$M129,$P129,$S129),"")</f>
        <v/>
      </c>
      <c r="BB129" s="40" t="str">
        <f>IF(AND($G129='Povolené hodnoty'!$B$13,$H129=BB$4),SUM($J129,$M129,$P129,$S129),"")</f>
        <v/>
      </c>
      <c r="BC129" s="40" t="str">
        <f>IF(AND($G129='Povolené hodnoty'!$B$13,$H129=BC$4),SUM($J129,$M129,$P129,$S129),"")</f>
        <v/>
      </c>
      <c r="BD129" s="40" t="str">
        <f>IF(AND($G129='Povolené hodnoty'!$B$13,$H129=BD$4),SUM($J129,$M129,$P129,$S129),"")</f>
        <v/>
      </c>
      <c r="BE129" s="41" t="str">
        <f>IF(AND($G129='Povolené hodnoty'!$B$13,$H129=BE$4),SUM($J129,$M129,$P129,$S129),"")</f>
        <v/>
      </c>
      <c r="BF129" s="39" t="str">
        <f>IF(AND($G129='Povolené hodnoty'!$B$14,$H129=BF$4),SUM($J129,$M129,$P129,$S129),"")</f>
        <v/>
      </c>
      <c r="BG129" s="458" t="str">
        <f>IF(AND($G129='Povolené hodnoty'!$B$14,$H129=BG$4),SUM($J129,$M129,$P129,$S129),"")</f>
        <v/>
      </c>
      <c r="BH129" s="458" t="str">
        <f>IF(AND($G129='Povolené hodnoty'!$B$14,$H129=BH$4),SUM($J129,$M129,$P129,$S129),"")</f>
        <v/>
      </c>
      <c r="BI129" s="458" t="str">
        <f>IF(AND($G129='Povolené hodnoty'!$B$14,$H129=BI$4),SUM($J129,$M129,$P129,$S129),"")</f>
        <v/>
      </c>
      <c r="BJ129" s="458" t="str">
        <f>IF(AND($G129='Povolené hodnoty'!$B$14,$H129=BJ$4),SUM($J129,$M129,$P129,$S129),"")</f>
        <v/>
      </c>
      <c r="BK129" s="40" t="str">
        <f>IF(AND($G129='Povolené hodnoty'!$B$14,$H129=BK$4),SUM($J129,$M129,$P129,$S129),"")</f>
        <v/>
      </c>
      <c r="BL129" s="40" t="str">
        <f>IF(AND($G129='Povolené hodnoty'!$B$14,$H129=BL$4),SUM($J129,$M129,$P129,$S129),"")</f>
        <v/>
      </c>
      <c r="BM129" s="41" t="str">
        <f>IF(AND($G129='Povolené hodnoty'!$B$14,$H129=BM$4),SUM($J129,$M129,$P129,$S129),"")</f>
        <v/>
      </c>
      <c r="BO129" s="18" t="b">
        <f t="shared" si="71"/>
        <v>0</v>
      </c>
      <c r="BP129" s="18" t="b">
        <f t="shared" si="42"/>
        <v>0</v>
      </c>
      <c r="BQ129" s="18" t="b">
        <f>AND(E129&lt;&gt;'Povolené hodnoty'!$B$6,F129&lt;&gt;'Povolené hodnoty'!$D$7,F129&lt;&gt;'Povolené hodnoty'!$D$8,OR(SUM(I129,L129,O129,R129)&lt;&gt;SUM(W129:X129,AA129:AG129),SUM(J129,M129,P129,S129)&lt;&gt;SUM(Y129:Z129,AH129:AK129),COUNT(I129:J129,L129:M129,O129:P129,R129:S129)&lt;&gt;COUNT(W129:AK129)))</f>
        <v>0</v>
      </c>
      <c r="BR129" s="18" t="b">
        <f>OR(AND(E129='Povolené hodnoty'!$B$6,$BR$5),AND(E129='Povolené hodnoty'!$B$6,H129&lt;&gt;'Povolené hodnoty'!$E$26,H129&lt;&gt;'Povolené hodnoty'!$E$35),AND(E129&lt;&gt;'Povolené hodnoty'!$B$6,OR(H129='Povolené hodnoty'!$E$26,H129='Povolené hodnoty'!$E$35)))</f>
        <v>0</v>
      </c>
      <c r="BS129" s="18" t="b">
        <f>OR(AND(G129&lt;&gt;'Povolené hodnoty'!$B$13,OR(H129='Povolené hodnoty'!$E$21,H129='Povolené hodnoty'!$E$22,H129='Povolené hodnoty'!$E$23,H129='Povolené hodnoty'!$E$24,H129='Povolené hodnoty'!$E$26,H129='Povolené hodnoty'!$E$36)),COUNT(I129:J129,L129:M129,O129:P129,R129:S129)&lt;&gt;COUNT(AL129:BM129))</f>
        <v>0</v>
      </c>
      <c r="BT129" s="18" t="b">
        <f t="shared" si="43"/>
        <v>0</v>
      </c>
      <c r="BV129" s="39" t="str">
        <f t="shared" si="44"/>
        <v/>
      </c>
      <c r="BW129" s="458" t="str">
        <f t="shared" si="45"/>
        <v/>
      </c>
      <c r="BX129" s="458" t="str">
        <f t="shared" si="46"/>
        <v/>
      </c>
      <c r="BY129" s="458" t="str">
        <f t="shared" si="47"/>
        <v/>
      </c>
      <c r="BZ129" s="458" t="str">
        <f t="shared" si="48"/>
        <v/>
      </c>
      <c r="CA129" s="40" t="str">
        <f t="shared" si="49"/>
        <v/>
      </c>
      <c r="CB129" s="40" t="str">
        <f t="shared" si="50"/>
        <v/>
      </c>
      <c r="CC129" s="39" t="str">
        <f t="shared" si="51"/>
        <v/>
      </c>
      <c r="CD129" s="458" t="str">
        <f t="shared" si="52"/>
        <v/>
      </c>
      <c r="CE129" s="41" t="str">
        <f t="shared" si="53"/>
        <v/>
      </c>
      <c r="CF129" s="39" t="str">
        <f t="shared" si="54"/>
        <v/>
      </c>
      <c r="CG129" s="458" t="str">
        <f t="shared" si="55"/>
        <v/>
      </c>
      <c r="CH129" s="458" t="str">
        <f t="shared" si="56"/>
        <v/>
      </c>
      <c r="CI129" s="458" t="str">
        <f t="shared" si="57"/>
        <v/>
      </c>
      <c r="CJ129" s="458" t="str">
        <f t="shared" si="58"/>
        <v/>
      </c>
      <c r="CK129" s="40" t="str">
        <f t="shared" si="59"/>
        <v/>
      </c>
      <c r="CL129" s="40" t="str">
        <f t="shared" si="60"/>
        <v/>
      </c>
      <c r="CM129" s="40" t="str">
        <f t="shared" si="61"/>
        <v/>
      </c>
      <c r="CN129" s="39" t="str">
        <f t="shared" si="62"/>
        <v/>
      </c>
      <c r="CO129" s="458" t="str">
        <f t="shared" si="63"/>
        <v/>
      </c>
      <c r="CP129" s="458" t="str">
        <f t="shared" si="64"/>
        <v/>
      </c>
      <c r="CQ129" s="458" t="str">
        <f t="shared" si="65"/>
        <v/>
      </c>
      <c r="CR129" s="458" t="str">
        <f t="shared" si="66"/>
        <v/>
      </c>
      <c r="CS129" s="40" t="str">
        <f t="shared" si="67"/>
        <v/>
      </c>
      <c r="CT129" s="40" t="str">
        <f t="shared" si="68"/>
        <v/>
      </c>
      <c r="CU129" s="41" t="str">
        <f t="shared" si="69"/>
        <v/>
      </c>
    </row>
    <row r="130" spans="1:99" x14ac:dyDescent="0.2">
      <c r="A130" s="77">
        <f t="shared" si="70"/>
        <v>125</v>
      </c>
      <c r="B130" s="81"/>
      <c r="C130" s="82"/>
      <c r="D130" s="71"/>
      <c r="E130" s="72"/>
      <c r="F130" s="73"/>
      <c r="G130" s="443"/>
      <c r="H130" s="443"/>
      <c r="I130" s="74"/>
      <c r="J130" s="75"/>
      <c r="K130" s="41">
        <f t="shared" si="74"/>
        <v>3625</v>
      </c>
      <c r="L130" s="104"/>
      <c r="M130" s="105"/>
      <c r="N130" s="106">
        <f t="shared" si="75"/>
        <v>537.05999999999995</v>
      </c>
      <c r="O130" s="104"/>
      <c r="P130" s="105"/>
      <c r="Q130" s="106">
        <f t="shared" si="72"/>
        <v>10045.83</v>
      </c>
      <c r="R130" s="104"/>
      <c r="S130" s="105"/>
      <c r="T130" s="106">
        <f t="shared" si="73"/>
        <v>0</v>
      </c>
      <c r="U130" s="439"/>
      <c r="V130" s="42">
        <f t="shared" si="41"/>
        <v>125</v>
      </c>
      <c r="W130" s="39" t="str">
        <f>IF(AND(E130='Povolené hodnoty'!$B$4,F130=2),I130+L130+O130+R130,"")</f>
        <v/>
      </c>
      <c r="X130" s="41" t="str">
        <f>IF(AND(E130='Povolené hodnoty'!$B$4,F130=1),I130+L130+O130+R130,"")</f>
        <v/>
      </c>
      <c r="Y130" s="39" t="str">
        <f>IF(AND(E130='Povolené hodnoty'!$B$4,F130=10),J130+M130+P130+S130,"")</f>
        <v/>
      </c>
      <c r="Z130" s="41" t="str">
        <f>IF(AND(E130='Povolené hodnoty'!$B$4,F130=9),J130+M130+P130+S130,"")</f>
        <v/>
      </c>
      <c r="AA130" s="39" t="str">
        <f>IF(AND(E130&lt;&gt;'Povolené hodnoty'!$B$4,F130=2),I130+L130+O130+R130,"")</f>
        <v/>
      </c>
      <c r="AB130" s="40" t="str">
        <f>IF(AND(E130&lt;&gt;'Povolené hodnoty'!$B$4,F130=3),I130+L130+O130+R130,"")</f>
        <v/>
      </c>
      <c r="AC130" s="40" t="str">
        <f>IF(AND(E130&lt;&gt;'Povolené hodnoty'!$B$4,F130=4),I130+L130+O130+R130,"")</f>
        <v/>
      </c>
      <c r="AD130" s="40" t="str">
        <f>IF(AND(E130&lt;&gt;'Povolené hodnoty'!$B$4,F130="5a"),I130-J130+L130-M130+O130-P130+R130-S130,"")</f>
        <v/>
      </c>
      <c r="AE130" s="40" t="str">
        <f>IF(AND(E130&lt;&gt;'Povolené hodnoty'!$B$4,F130="5b"),I130-J130+L130-M130+O130-P130+R130-S130,"")</f>
        <v/>
      </c>
      <c r="AF130" s="40" t="str">
        <f>IF(AND(E130&lt;&gt;'Povolené hodnoty'!$B$4,F130=6),I130+L130+O130+R130,"")</f>
        <v/>
      </c>
      <c r="AG130" s="41" t="str">
        <f>IF(AND(E130&lt;&gt;'Povolené hodnoty'!$B$4,F130=7),I130+L130+O130+R130,"")</f>
        <v/>
      </c>
      <c r="AH130" s="39" t="str">
        <f>IF(AND(E130&lt;&gt;'Povolené hodnoty'!$B$4,F130=10),J130+M130+P130+S130,"")</f>
        <v/>
      </c>
      <c r="AI130" s="40" t="str">
        <f>IF(AND(E130&lt;&gt;'Povolené hodnoty'!$B$4,F130=11),J130+M130+P130+S130,"")</f>
        <v/>
      </c>
      <c r="AJ130" s="40" t="str">
        <f>IF(AND(E130&lt;&gt;'Povolené hodnoty'!$B$4,F130=12),J130+M130+P130+S130,"")</f>
        <v/>
      </c>
      <c r="AK130" s="41" t="str">
        <f>IF(AND(E130&lt;&gt;'Povolené hodnoty'!$B$4,F130=13),J130+M130+P130+S130,"")</f>
        <v/>
      </c>
      <c r="AL130" s="39" t="str">
        <f>IF(AND($G130='Povolené hodnoty'!$B$13,$H130=AL$4),SUM($I130,$L130,$O130,$R130),"")</f>
        <v/>
      </c>
      <c r="AM130" s="458" t="str">
        <f>IF(AND($G130='Povolené hodnoty'!$B$13,$H130=AM$4),SUM($I130,$L130,$O130,$R130),"")</f>
        <v/>
      </c>
      <c r="AN130" s="458" t="str">
        <f>IF(AND($G130='Povolené hodnoty'!$B$13,$H130=AN$4),SUM($I130,$L130,$O130,$R130),"")</f>
        <v/>
      </c>
      <c r="AO130" s="458" t="str">
        <f>IF(AND($G130='Povolené hodnoty'!$B$13,$H130=AO$4),SUM($I130,$L130,$O130,$R130),"")</f>
        <v/>
      </c>
      <c r="AP130" s="458" t="str">
        <f>IF(AND($G130='Povolené hodnoty'!$B$13,$H130=AP$4),SUM($I130,$L130,$O130,$R130),"")</f>
        <v/>
      </c>
      <c r="AQ130" s="40" t="str">
        <f>IF(AND($G130='Povolené hodnoty'!$B$13,OR($H130=AQ$4,$H130='Povolené hodnoty'!$E$36)),SUM($I130,-$J130,$L130,-$M130,$O130,-$P130,$R130,-$S130),"")</f>
        <v/>
      </c>
      <c r="AR130" s="40" t="str">
        <f>IF(AND($G130='Povolené hodnoty'!$B$13,$H130=AR$4),SUM($I130,$L130,$O130,$R130),"")</f>
        <v/>
      </c>
      <c r="AS130" s="41" t="str">
        <f>IF(AND($G130='Povolené hodnoty'!$B$13,$H130=AS$4),SUM($I130,$L130,$O130,$R130),"")</f>
        <v/>
      </c>
      <c r="AT130" s="39" t="str">
        <f>IF(AND($G130='Povolené hodnoty'!$B$14,$H130=AT$4),SUM($I130,$L130,$O130,$R130),"")</f>
        <v/>
      </c>
      <c r="AU130" s="458" t="str">
        <f>IF(AND($G130='Povolené hodnoty'!$B$14,$H130=AU$4),SUM($I130,$L130,$O130,$R130),"")</f>
        <v/>
      </c>
      <c r="AV130" s="41" t="str">
        <f>IF(AND($G130='Povolené hodnoty'!$B$14,$H130=AV$4),SUM($I130,$L130,$O130,$R130),"")</f>
        <v/>
      </c>
      <c r="AW130" s="39" t="str">
        <f>IF(AND($G130='Povolené hodnoty'!$B$13,$H130=AW$4),SUM($J130,$M130,$P130,$S130),"")</f>
        <v/>
      </c>
      <c r="AX130" s="458" t="str">
        <f>IF(AND($G130='Povolené hodnoty'!$B$13,$H130=AX$4),SUM($J130,$M130,$P130,$S130),"")</f>
        <v/>
      </c>
      <c r="AY130" s="458" t="str">
        <f>IF(AND($G130='Povolené hodnoty'!$B$13,$H130=AY$4),SUM($J130,$M130,$P130,$S130),"")</f>
        <v/>
      </c>
      <c r="AZ130" s="458" t="str">
        <f>IF(AND($G130='Povolené hodnoty'!$B$13,$H130=AZ$4),SUM($J130,$M130,$P130,$S130),"")</f>
        <v/>
      </c>
      <c r="BA130" s="458" t="str">
        <f>IF(AND($G130='Povolené hodnoty'!$B$13,$H130=BA$4),SUM($J130,$M130,$P130,$S130),"")</f>
        <v/>
      </c>
      <c r="BB130" s="40" t="str">
        <f>IF(AND($G130='Povolené hodnoty'!$B$13,$H130=BB$4),SUM($J130,$M130,$P130,$S130),"")</f>
        <v/>
      </c>
      <c r="BC130" s="40" t="str">
        <f>IF(AND($G130='Povolené hodnoty'!$B$13,$H130=BC$4),SUM($J130,$M130,$P130,$S130),"")</f>
        <v/>
      </c>
      <c r="BD130" s="40" t="str">
        <f>IF(AND($G130='Povolené hodnoty'!$B$13,$H130=BD$4),SUM($J130,$M130,$P130,$S130),"")</f>
        <v/>
      </c>
      <c r="BE130" s="41" t="str">
        <f>IF(AND($G130='Povolené hodnoty'!$B$13,$H130=BE$4),SUM($J130,$M130,$P130,$S130),"")</f>
        <v/>
      </c>
      <c r="BF130" s="39" t="str">
        <f>IF(AND($G130='Povolené hodnoty'!$B$14,$H130=BF$4),SUM($J130,$M130,$P130,$S130),"")</f>
        <v/>
      </c>
      <c r="BG130" s="458" t="str">
        <f>IF(AND($G130='Povolené hodnoty'!$B$14,$H130=BG$4),SUM($J130,$M130,$P130,$S130),"")</f>
        <v/>
      </c>
      <c r="BH130" s="458" t="str">
        <f>IF(AND($G130='Povolené hodnoty'!$B$14,$H130=BH$4),SUM($J130,$M130,$P130,$S130),"")</f>
        <v/>
      </c>
      <c r="BI130" s="458" t="str">
        <f>IF(AND($G130='Povolené hodnoty'!$B$14,$H130=BI$4),SUM($J130,$M130,$P130,$S130),"")</f>
        <v/>
      </c>
      <c r="BJ130" s="458" t="str">
        <f>IF(AND($G130='Povolené hodnoty'!$B$14,$H130=BJ$4),SUM($J130,$M130,$P130,$S130),"")</f>
        <v/>
      </c>
      <c r="BK130" s="40" t="str">
        <f>IF(AND($G130='Povolené hodnoty'!$B$14,$H130=BK$4),SUM($J130,$M130,$P130,$S130),"")</f>
        <v/>
      </c>
      <c r="BL130" s="40" t="str">
        <f>IF(AND($G130='Povolené hodnoty'!$B$14,$H130=BL$4),SUM($J130,$M130,$P130,$S130),"")</f>
        <v/>
      </c>
      <c r="BM130" s="41" t="str">
        <f>IF(AND($G130='Povolené hodnoty'!$B$14,$H130=BM$4),SUM($J130,$M130,$P130,$S130),"")</f>
        <v/>
      </c>
      <c r="BO130" s="18" t="b">
        <f t="shared" si="71"/>
        <v>0</v>
      </c>
      <c r="BP130" s="18" t="b">
        <f t="shared" si="42"/>
        <v>0</v>
      </c>
      <c r="BQ130" s="18" t="b">
        <f>AND(E130&lt;&gt;'Povolené hodnoty'!$B$6,F130&lt;&gt;'Povolené hodnoty'!$D$7,F130&lt;&gt;'Povolené hodnoty'!$D$8,OR(SUM(I130,L130,O130,R130)&lt;&gt;SUM(W130:X130,AA130:AG130),SUM(J130,M130,P130,S130)&lt;&gt;SUM(Y130:Z130,AH130:AK130),COUNT(I130:J130,L130:M130,O130:P130,R130:S130)&lt;&gt;COUNT(W130:AK130)))</f>
        <v>0</v>
      </c>
      <c r="BR130" s="18" t="b">
        <f>OR(AND(E130='Povolené hodnoty'!$B$6,$BR$5),AND(E130='Povolené hodnoty'!$B$6,H130&lt;&gt;'Povolené hodnoty'!$E$26,H130&lt;&gt;'Povolené hodnoty'!$E$35),AND(E130&lt;&gt;'Povolené hodnoty'!$B$6,OR(H130='Povolené hodnoty'!$E$26,H130='Povolené hodnoty'!$E$35)))</f>
        <v>0</v>
      </c>
      <c r="BS130" s="18" t="b">
        <f>OR(AND(G130&lt;&gt;'Povolené hodnoty'!$B$13,OR(H130='Povolené hodnoty'!$E$21,H130='Povolené hodnoty'!$E$22,H130='Povolené hodnoty'!$E$23,H130='Povolené hodnoty'!$E$24,H130='Povolené hodnoty'!$E$26,H130='Povolené hodnoty'!$E$36)),COUNT(I130:J130,L130:M130,O130:P130,R130:S130)&lt;&gt;COUNT(AL130:BM130))</f>
        <v>0</v>
      </c>
      <c r="BT130" s="18" t="b">
        <f t="shared" si="43"/>
        <v>0</v>
      </c>
      <c r="BV130" s="39" t="str">
        <f t="shared" si="44"/>
        <v/>
      </c>
      <c r="BW130" s="458" t="str">
        <f t="shared" si="45"/>
        <v/>
      </c>
      <c r="BX130" s="458" t="str">
        <f t="shared" si="46"/>
        <v/>
      </c>
      <c r="BY130" s="458" t="str">
        <f t="shared" si="47"/>
        <v/>
      </c>
      <c r="BZ130" s="458" t="str">
        <f t="shared" si="48"/>
        <v/>
      </c>
      <c r="CA130" s="40" t="str">
        <f t="shared" si="49"/>
        <v/>
      </c>
      <c r="CB130" s="40" t="str">
        <f t="shared" si="50"/>
        <v/>
      </c>
      <c r="CC130" s="39" t="str">
        <f t="shared" si="51"/>
        <v/>
      </c>
      <c r="CD130" s="458" t="str">
        <f t="shared" si="52"/>
        <v/>
      </c>
      <c r="CE130" s="41" t="str">
        <f t="shared" si="53"/>
        <v/>
      </c>
      <c r="CF130" s="39" t="str">
        <f t="shared" si="54"/>
        <v/>
      </c>
      <c r="CG130" s="458" t="str">
        <f t="shared" si="55"/>
        <v/>
      </c>
      <c r="CH130" s="458" t="str">
        <f t="shared" si="56"/>
        <v/>
      </c>
      <c r="CI130" s="458" t="str">
        <f t="shared" si="57"/>
        <v/>
      </c>
      <c r="CJ130" s="458" t="str">
        <f t="shared" si="58"/>
        <v/>
      </c>
      <c r="CK130" s="40" t="str">
        <f t="shared" si="59"/>
        <v/>
      </c>
      <c r="CL130" s="40" t="str">
        <f t="shared" si="60"/>
        <v/>
      </c>
      <c r="CM130" s="40" t="str">
        <f t="shared" si="61"/>
        <v/>
      </c>
      <c r="CN130" s="39" t="str">
        <f t="shared" si="62"/>
        <v/>
      </c>
      <c r="CO130" s="458" t="str">
        <f t="shared" si="63"/>
        <v/>
      </c>
      <c r="CP130" s="458" t="str">
        <f t="shared" si="64"/>
        <v/>
      </c>
      <c r="CQ130" s="458" t="str">
        <f t="shared" si="65"/>
        <v/>
      </c>
      <c r="CR130" s="458" t="str">
        <f t="shared" si="66"/>
        <v/>
      </c>
      <c r="CS130" s="40" t="str">
        <f t="shared" si="67"/>
        <v/>
      </c>
      <c r="CT130" s="40" t="str">
        <f t="shared" si="68"/>
        <v/>
      </c>
      <c r="CU130" s="41" t="str">
        <f t="shared" si="69"/>
        <v/>
      </c>
    </row>
    <row r="131" spans="1:99" x14ac:dyDescent="0.2">
      <c r="A131" s="77">
        <f t="shared" si="70"/>
        <v>126</v>
      </c>
      <c r="B131" s="81"/>
      <c r="C131" s="82"/>
      <c r="D131" s="71"/>
      <c r="E131" s="72"/>
      <c r="F131" s="73"/>
      <c r="G131" s="443"/>
      <c r="H131" s="443"/>
      <c r="I131" s="74"/>
      <c r="J131" s="75"/>
      <c r="K131" s="41">
        <f t="shared" si="74"/>
        <v>3625</v>
      </c>
      <c r="L131" s="104"/>
      <c r="M131" s="105"/>
      <c r="N131" s="106">
        <f t="shared" si="75"/>
        <v>537.05999999999995</v>
      </c>
      <c r="O131" s="104"/>
      <c r="P131" s="105"/>
      <c r="Q131" s="106">
        <f t="shared" si="72"/>
        <v>10045.83</v>
      </c>
      <c r="R131" s="104"/>
      <c r="S131" s="105"/>
      <c r="T131" s="106">
        <f t="shared" si="73"/>
        <v>0</v>
      </c>
      <c r="U131" s="439"/>
      <c r="V131" s="42">
        <f t="shared" si="41"/>
        <v>126</v>
      </c>
      <c r="W131" s="39" t="str">
        <f>IF(AND(E131='Povolené hodnoty'!$B$4,F131=2),I131+L131+O131+R131,"")</f>
        <v/>
      </c>
      <c r="X131" s="41" t="str">
        <f>IF(AND(E131='Povolené hodnoty'!$B$4,F131=1),I131+L131+O131+R131,"")</f>
        <v/>
      </c>
      <c r="Y131" s="39" t="str">
        <f>IF(AND(E131='Povolené hodnoty'!$B$4,F131=10),J131+M131+P131+S131,"")</f>
        <v/>
      </c>
      <c r="Z131" s="41" t="str">
        <f>IF(AND(E131='Povolené hodnoty'!$B$4,F131=9),J131+M131+P131+S131,"")</f>
        <v/>
      </c>
      <c r="AA131" s="39" t="str">
        <f>IF(AND(E131&lt;&gt;'Povolené hodnoty'!$B$4,F131=2),I131+L131+O131+R131,"")</f>
        <v/>
      </c>
      <c r="AB131" s="40" t="str">
        <f>IF(AND(E131&lt;&gt;'Povolené hodnoty'!$B$4,F131=3),I131+L131+O131+R131,"")</f>
        <v/>
      </c>
      <c r="AC131" s="40" t="str">
        <f>IF(AND(E131&lt;&gt;'Povolené hodnoty'!$B$4,F131=4),I131+L131+O131+R131,"")</f>
        <v/>
      </c>
      <c r="AD131" s="40" t="str">
        <f>IF(AND(E131&lt;&gt;'Povolené hodnoty'!$B$4,F131="5a"),I131-J131+L131-M131+O131-P131+R131-S131,"")</f>
        <v/>
      </c>
      <c r="AE131" s="40" t="str">
        <f>IF(AND(E131&lt;&gt;'Povolené hodnoty'!$B$4,F131="5b"),I131-J131+L131-M131+O131-P131+R131-S131,"")</f>
        <v/>
      </c>
      <c r="AF131" s="40" t="str">
        <f>IF(AND(E131&lt;&gt;'Povolené hodnoty'!$B$4,F131=6),I131+L131+O131+R131,"")</f>
        <v/>
      </c>
      <c r="AG131" s="41" t="str">
        <f>IF(AND(E131&lt;&gt;'Povolené hodnoty'!$B$4,F131=7),I131+L131+O131+R131,"")</f>
        <v/>
      </c>
      <c r="AH131" s="39" t="str">
        <f>IF(AND(E131&lt;&gt;'Povolené hodnoty'!$B$4,F131=10),J131+M131+P131+S131,"")</f>
        <v/>
      </c>
      <c r="AI131" s="40" t="str">
        <f>IF(AND(E131&lt;&gt;'Povolené hodnoty'!$B$4,F131=11),J131+M131+P131+S131,"")</f>
        <v/>
      </c>
      <c r="AJ131" s="40" t="str">
        <f>IF(AND(E131&lt;&gt;'Povolené hodnoty'!$B$4,F131=12),J131+M131+P131+S131,"")</f>
        <v/>
      </c>
      <c r="AK131" s="41" t="str">
        <f>IF(AND(E131&lt;&gt;'Povolené hodnoty'!$B$4,F131=13),J131+M131+P131+S131,"")</f>
        <v/>
      </c>
      <c r="AL131" s="39" t="str">
        <f>IF(AND($G131='Povolené hodnoty'!$B$13,$H131=AL$4),SUM($I131,$L131,$O131,$R131),"")</f>
        <v/>
      </c>
      <c r="AM131" s="458" t="str">
        <f>IF(AND($G131='Povolené hodnoty'!$B$13,$H131=AM$4),SUM($I131,$L131,$O131,$R131),"")</f>
        <v/>
      </c>
      <c r="AN131" s="458" t="str">
        <f>IF(AND($G131='Povolené hodnoty'!$B$13,$H131=AN$4),SUM($I131,$L131,$O131,$R131),"")</f>
        <v/>
      </c>
      <c r="AO131" s="458" t="str">
        <f>IF(AND($G131='Povolené hodnoty'!$B$13,$H131=AO$4),SUM($I131,$L131,$O131,$R131),"")</f>
        <v/>
      </c>
      <c r="AP131" s="458" t="str">
        <f>IF(AND($G131='Povolené hodnoty'!$B$13,$H131=AP$4),SUM($I131,$L131,$O131,$R131),"")</f>
        <v/>
      </c>
      <c r="AQ131" s="40" t="str">
        <f>IF(AND($G131='Povolené hodnoty'!$B$13,OR($H131=AQ$4,$H131='Povolené hodnoty'!$E$36)),SUM($I131,-$J131,$L131,-$M131,$O131,-$P131,$R131,-$S131),"")</f>
        <v/>
      </c>
      <c r="AR131" s="40" t="str">
        <f>IF(AND($G131='Povolené hodnoty'!$B$13,$H131=AR$4),SUM($I131,$L131,$O131,$R131),"")</f>
        <v/>
      </c>
      <c r="AS131" s="41" t="str">
        <f>IF(AND($G131='Povolené hodnoty'!$B$13,$H131=AS$4),SUM($I131,$L131,$O131,$R131),"")</f>
        <v/>
      </c>
      <c r="AT131" s="39" t="str">
        <f>IF(AND($G131='Povolené hodnoty'!$B$14,$H131=AT$4),SUM($I131,$L131,$O131,$R131),"")</f>
        <v/>
      </c>
      <c r="AU131" s="458" t="str">
        <f>IF(AND($G131='Povolené hodnoty'!$B$14,$H131=AU$4),SUM($I131,$L131,$O131,$R131),"")</f>
        <v/>
      </c>
      <c r="AV131" s="41" t="str">
        <f>IF(AND($G131='Povolené hodnoty'!$B$14,$H131=AV$4),SUM($I131,$L131,$O131,$R131),"")</f>
        <v/>
      </c>
      <c r="AW131" s="39" t="str">
        <f>IF(AND($G131='Povolené hodnoty'!$B$13,$H131=AW$4),SUM($J131,$M131,$P131,$S131),"")</f>
        <v/>
      </c>
      <c r="AX131" s="458" t="str">
        <f>IF(AND($G131='Povolené hodnoty'!$B$13,$H131=AX$4),SUM($J131,$M131,$P131,$S131),"")</f>
        <v/>
      </c>
      <c r="AY131" s="458" t="str">
        <f>IF(AND($G131='Povolené hodnoty'!$B$13,$H131=AY$4),SUM($J131,$M131,$P131,$S131),"")</f>
        <v/>
      </c>
      <c r="AZ131" s="458" t="str">
        <f>IF(AND($G131='Povolené hodnoty'!$B$13,$H131=AZ$4),SUM($J131,$M131,$P131,$S131),"")</f>
        <v/>
      </c>
      <c r="BA131" s="458" t="str">
        <f>IF(AND($G131='Povolené hodnoty'!$B$13,$H131=BA$4),SUM($J131,$M131,$P131,$S131),"")</f>
        <v/>
      </c>
      <c r="BB131" s="40" t="str">
        <f>IF(AND($G131='Povolené hodnoty'!$B$13,$H131=BB$4),SUM($J131,$M131,$P131,$S131),"")</f>
        <v/>
      </c>
      <c r="BC131" s="40" t="str">
        <f>IF(AND($G131='Povolené hodnoty'!$B$13,$H131=BC$4),SUM($J131,$M131,$P131,$S131),"")</f>
        <v/>
      </c>
      <c r="BD131" s="40" t="str">
        <f>IF(AND($G131='Povolené hodnoty'!$B$13,$H131=BD$4),SUM($J131,$M131,$P131,$S131),"")</f>
        <v/>
      </c>
      <c r="BE131" s="41" t="str">
        <f>IF(AND($G131='Povolené hodnoty'!$B$13,$H131=BE$4),SUM($J131,$M131,$P131,$S131),"")</f>
        <v/>
      </c>
      <c r="BF131" s="39" t="str">
        <f>IF(AND($G131='Povolené hodnoty'!$B$14,$H131=BF$4),SUM($J131,$M131,$P131,$S131),"")</f>
        <v/>
      </c>
      <c r="BG131" s="458" t="str">
        <f>IF(AND($G131='Povolené hodnoty'!$B$14,$H131=BG$4),SUM($J131,$M131,$P131,$S131),"")</f>
        <v/>
      </c>
      <c r="BH131" s="458" t="str">
        <f>IF(AND($G131='Povolené hodnoty'!$B$14,$H131=BH$4),SUM($J131,$M131,$P131,$S131),"")</f>
        <v/>
      </c>
      <c r="BI131" s="458" t="str">
        <f>IF(AND($G131='Povolené hodnoty'!$B$14,$H131=BI$4),SUM($J131,$M131,$P131,$S131),"")</f>
        <v/>
      </c>
      <c r="BJ131" s="458" t="str">
        <f>IF(AND($G131='Povolené hodnoty'!$B$14,$H131=BJ$4),SUM($J131,$M131,$P131,$S131),"")</f>
        <v/>
      </c>
      <c r="BK131" s="40" t="str">
        <f>IF(AND($G131='Povolené hodnoty'!$B$14,$H131=BK$4),SUM($J131,$M131,$P131,$S131),"")</f>
        <v/>
      </c>
      <c r="BL131" s="40" t="str">
        <f>IF(AND($G131='Povolené hodnoty'!$B$14,$H131=BL$4),SUM($J131,$M131,$P131,$S131),"")</f>
        <v/>
      </c>
      <c r="BM131" s="41" t="str">
        <f>IF(AND($G131='Povolené hodnoty'!$B$14,$H131=BM$4),SUM($J131,$M131,$P131,$S131),"")</f>
        <v/>
      </c>
      <c r="BO131" s="18" t="b">
        <f t="shared" si="71"/>
        <v>0</v>
      </c>
      <c r="BP131" s="18" t="b">
        <f t="shared" si="42"/>
        <v>0</v>
      </c>
      <c r="BQ131" s="18" t="b">
        <f>AND(E131&lt;&gt;'Povolené hodnoty'!$B$6,F131&lt;&gt;'Povolené hodnoty'!$D$7,F131&lt;&gt;'Povolené hodnoty'!$D$8,OR(SUM(I131,L131,O131,R131)&lt;&gt;SUM(W131:X131,AA131:AG131),SUM(J131,M131,P131,S131)&lt;&gt;SUM(Y131:Z131,AH131:AK131),COUNT(I131:J131,L131:M131,O131:P131,R131:S131)&lt;&gt;COUNT(W131:AK131)))</f>
        <v>0</v>
      </c>
      <c r="BR131" s="18" t="b">
        <f>OR(AND(E131='Povolené hodnoty'!$B$6,$BR$5),AND(E131='Povolené hodnoty'!$B$6,H131&lt;&gt;'Povolené hodnoty'!$E$26,H131&lt;&gt;'Povolené hodnoty'!$E$35),AND(E131&lt;&gt;'Povolené hodnoty'!$B$6,OR(H131='Povolené hodnoty'!$E$26,H131='Povolené hodnoty'!$E$35)))</f>
        <v>0</v>
      </c>
      <c r="BS131" s="18" t="b">
        <f>OR(AND(G131&lt;&gt;'Povolené hodnoty'!$B$13,OR(H131='Povolené hodnoty'!$E$21,H131='Povolené hodnoty'!$E$22,H131='Povolené hodnoty'!$E$23,H131='Povolené hodnoty'!$E$24,H131='Povolené hodnoty'!$E$26,H131='Povolené hodnoty'!$E$36)),COUNT(I131:J131,L131:M131,O131:P131,R131:S131)&lt;&gt;COUNT(AL131:BM131))</f>
        <v>0</v>
      </c>
      <c r="BT131" s="18" t="b">
        <f t="shared" si="43"/>
        <v>0</v>
      </c>
      <c r="BV131" s="39" t="str">
        <f t="shared" si="44"/>
        <v/>
      </c>
      <c r="BW131" s="458" t="str">
        <f t="shared" si="45"/>
        <v/>
      </c>
      <c r="BX131" s="458" t="str">
        <f t="shared" si="46"/>
        <v/>
      </c>
      <c r="BY131" s="458" t="str">
        <f t="shared" si="47"/>
        <v/>
      </c>
      <c r="BZ131" s="458" t="str">
        <f t="shared" si="48"/>
        <v/>
      </c>
      <c r="CA131" s="40" t="str">
        <f t="shared" si="49"/>
        <v/>
      </c>
      <c r="CB131" s="40" t="str">
        <f t="shared" si="50"/>
        <v/>
      </c>
      <c r="CC131" s="39" t="str">
        <f t="shared" si="51"/>
        <v/>
      </c>
      <c r="CD131" s="458" t="str">
        <f t="shared" si="52"/>
        <v/>
      </c>
      <c r="CE131" s="41" t="str">
        <f t="shared" si="53"/>
        <v/>
      </c>
      <c r="CF131" s="39" t="str">
        <f t="shared" si="54"/>
        <v/>
      </c>
      <c r="CG131" s="458" t="str">
        <f t="shared" si="55"/>
        <v/>
      </c>
      <c r="CH131" s="458" t="str">
        <f t="shared" si="56"/>
        <v/>
      </c>
      <c r="CI131" s="458" t="str">
        <f t="shared" si="57"/>
        <v/>
      </c>
      <c r="CJ131" s="458" t="str">
        <f t="shared" si="58"/>
        <v/>
      </c>
      <c r="CK131" s="40" t="str">
        <f t="shared" si="59"/>
        <v/>
      </c>
      <c r="CL131" s="40" t="str">
        <f t="shared" si="60"/>
        <v/>
      </c>
      <c r="CM131" s="40" t="str">
        <f t="shared" si="61"/>
        <v/>
      </c>
      <c r="CN131" s="39" t="str">
        <f t="shared" si="62"/>
        <v/>
      </c>
      <c r="CO131" s="458" t="str">
        <f t="shared" si="63"/>
        <v/>
      </c>
      <c r="CP131" s="458" t="str">
        <f t="shared" si="64"/>
        <v/>
      </c>
      <c r="CQ131" s="458" t="str">
        <f t="shared" si="65"/>
        <v/>
      </c>
      <c r="CR131" s="458" t="str">
        <f t="shared" si="66"/>
        <v/>
      </c>
      <c r="CS131" s="40" t="str">
        <f t="shared" si="67"/>
        <v/>
      </c>
      <c r="CT131" s="40" t="str">
        <f t="shared" si="68"/>
        <v/>
      </c>
      <c r="CU131" s="41" t="str">
        <f t="shared" si="69"/>
        <v/>
      </c>
    </row>
    <row r="132" spans="1:99" x14ac:dyDescent="0.2">
      <c r="A132" s="77">
        <f t="shared" si="70"/>
        <v>127</v>
      </c>
      <c r="B132" s="81"/>
      <c r="C132" s="82"/>
      <c r="D132" s="71"/>
      <c r="E132" s="72"/>
      <c r="F132" s="73"/>
      <c r="G132" s="443"/>
      <c r="H132" s="443"/>
      <c r="I132" s="74"/>
      <c r="J132" s="75"/>
      <c r="K132" s="41">
        <f t="shared" si="74"/>
        <v>3625</v>
      </c>
      <c r="L132" s="104"/>
      <c r="M132" s="105"/>
      <c r="N132" s="106">
        <f t="shared" si="75"/>
        <v>537.05999999999995</v>
      </c>
      <c r="O132" s="104"/>
      <c r="P132" s="105"/>
      <c r="Q132" s="106">
        <f t="shared" si="72"/>
        <v>10045.83</v>
      </c>
      <c r="R132" s="104"/>
      <c r="S132" s="105"/>
      <c r="T132" s="106">
        <f t="shared" si="73"/>
        <v>0</v>
      </c>
      <c r="U132" s="439"/>
      <c r="V132" s="42">
        <f t="shared" si="41"/>
        <v>127</v>
      </c>
      <c r="W132" s="39" t="str">
        <f>IF(AND(E132='Povolené hodnoty'!$B$4,F132=2),I132+L132+O132+R132,"")</f>
        <v/>
      </c>
      <c r="X132" s="41" t="str">
        <f>IF(AND(E132='Povolené hodnoty'!$B$4,F132=1),I132+L132+O132+R132,"")</f>
        <v/>
      </c>
      <c r="Y132" s="39" t="str">
        <f>IF(AND(E132='Povolené hodnoty'!$B$4,F132=10),J132+M132+P132+S132,"")</f>
        <v/>
      </c>
      <c r="Z132" s="41" t="str">
        <f>IF(AND(E132='Povolené hodnoty'!$B$4,F132=9),J132+M132+P132+S132,"")</f>
        <v/>
      </c>
      <c r="AA132" s="39" t="str">
        <f>IF(AND(E132&lt;&gt;'Povolené hodnoty'!$B$4,F132=2),I132+L132+O132+R132,"")</f>
        <v/>
      </c>
      <c r="AB132" s="40" t="str">
        <f>IF(AND(E132&lt;&gt;'Povolené hodnoty'!$B$4,F132=3),I132+L132+O132+R132,"")</f>
        <v/>
      </c>
      <c r="AC132" s="40" t="str">
        <f>IF(AND(E132&lt;&gt;'Povolené hodnoty'!$B$4,F132=4),I132+L132+O132+R132,"")</f>
        <v/>
      </c>
      <c r="AD132" s="40" t="str">
        <f>IF(AND(E132&lt;&gt;'Povolené hodnoty'!$B$4,F132="5a"),I132-J132+L132-M132+O132-P132+R132-S132,"")</f>
        <v/>
      </c>
      <c r="AE132" s="40" t="str">
        <f>IF(AND(E132&lt;&gt;'Povolené hodnoty'!$B$4,F132="5b"),I132-J132+L132-M132+O132-P132+R132-S132,"")</f>
        <v/>
      </c>
      <c r="AF132" s="40" t="str">
        <f>IF(AND(E132&lt;&gt;'Povolené hodnoty'!$B$4,F132=6),I132+L132+O132+R132,"")</f>
        <v/>
      </c>
      <c r="AG132" s="41" t="str">
        <f>IF(AND(E132&lt;&gt;'Povolené hodnoty'!$B$4,F132=7),I132+L132+O132+R132,"")</f>
        <v/>
      </c>
      <c r="AH132" s="39" t="str">
        <f>IF(AND(E132&lt;&gt;'Povolené hodnoty'!$B$4,F132=10),J132+M132+P132+S132,"")</f>
        <v/>
      </c>
      <c r="AI132" s="40" t="str">
        <f>IF(AND(E132&lt;&gt;'Povolené hodnoty'!$B$4,F132=11),J132+M132+P132+S132,"")</f>
        <v/>
      </c>
      <c r="AJ132" s="40" t="str">
        <f>IF(AND(E132&lt;&gt;'Povolené hodnoty'!$B$4,F132=12),J132+M132+P132+S132,"")</f>
        <v/>
      </c>
      <c r="AK132" s="41" t="str">
        <f>IF(AND(E132&lt;&gt;'Povolené hodnoty'!$B$4,F132=13),J132+M132+P132+S132,"")</f>
        <v/>
      </c>
      <c r="AL132" s="39" t="str">
        <f>IF(AND($G132='Povolené hodnoty'!$B$13,$H132=AL$4),SUM($I132,$L132,$O132,$R132),"")</f>
        <v/>
      </c>
      <c r="AM132" s="458" t="str">
        <f>IF(AND($G132='Povolené hodnoty'!$B$13,$H132=AM$4),SUM($I132,$L132,$O132,$R132),"")</f>
        <v/>
      </c>
      <c r="AN132" s="458" t="str">
        <f>IF(AND($G132='Povolené hodnoty'!$B$13,$H132=AN$4),SUM($I132,$L132,$O132,$R132),"")</f>
        <v/>
      </c>
      <c r="AO132" s="458" t="str">
        <f>IF(AND($G132='Povolené hodnoty'!$B$13,$H132=AO$4),SUM($I132,$L132,$O132,$R132),"")</f>
        <v/>
      </c>
      <c r="AP132" s="458" t="str">
        <f>IF(AND($G132='Povolené hodnoty'!$B$13,$H132=AP$4),SUM($I132,$L132,$O132,$R132),"")</f>
        <v/>
      </c>
      <c r="AQ132" s="40" t="str">
        <f>IF(AND($G132='Povolené hodnoty'!$B$13,OR($H132=AQ$4,$H132='Povolené hodnoty'!$E$36)),SUM($I132,-$J132,$L132,-$M132,$O132,-$P132,$R132,-$S132),"")</f>
        <v/>
      </c>
      <c r="AR132" s="40" t="str">
        <f>IF(AND($G132='Povolené hodnoty'!$B$13,$H132=AR$4),SUM($I132,$L132,$O132,$R132),"")</f>
        <v/>
      </c>
      <c r="AS132" s="41" t="str">
        <f>IF(AND($G132='Povolené hodnoty'!$B$13,$H132=AS$4),SUM($I132,$L132,$O132,$R132),"")</f>
        <v/>
      </c>
      <c r="AT132" s="39" t="str">
        <f>IF(AND($G132='Povolené hodnoty'!$B$14,$H132=AT$4),SUM($I132,$L132,$O132,$R132),"")</f>
        <v/>
      </c>
      <c r="AU132" s="458" t="str">
        <f>IF(AND($G132='Povolené hodnoty'!$B$14,$H132=AU$4),SUM($I132,$L132,$O132,$R132),"")</f>
        <v/>
      </c>
      <c r="AV132" s="41" t="str">
        <f>IF(AND($G132='Povolené hodnoty'!$B$14,$H132=AV$4),SUM($I132,$L132,$O132,$R132),"")</f>
        <v/>
      </c>
      <c r="AW132" s="39" t="str">
        <f>IF(AND($G132='Povolené hodnoty'!$B$13,$H132=AW$4),SUM($J132,$M132,$P132,$S132),"")</f>
        <v/>
      </c>
      <c r="AX132" s="458" t="str">
        <f>IF(AND($G132='Povolené hodnoty'!$B$13,$H132=AX$4),SUM($J132,$M132,$P132,$S132),"")</f>
        <v/>
      </c>
      <c r="AY132" s="458" t="str">
        <f>IF(AND($G132='Povolené hodnoty'!$B$13,$H132=AY$4),SUM($J132,$M132,$P132,$S132),"")</f>
        <v/>
      </c>
      <c r="AZ132" s="458" t="str">
        <f>IF(AND($G132='Povolené hodnoty'!$B$13,$H132=AZ$4),SUM($J132,$M132,$P132,$S132),"")</f>
        <v/>
      </c>
      <c r="BA132" s="458" t="str">
        <f>IF(AND($G132='Povolené hodnoty'!$B$13,$H132=BA$4),SUM($J132,$M132,$P132,$S132),"")</f>
        <v/>
      </c>
      <c r="BB132" s="40" t="str">
        <f>IF(AND($G132='Povolené hodnoty'!$B$13,$H132=BB$4),SUM($J132,$M132,$P132,$S132),"")</f>
        <v/>
      </c>
      <c r="BC132" s="40" t="str">
        <f>IF(AND($G132='Povolené hodnoty'!$B$13,$H132=BC$4),SUM($J132,$M132,$P132,$S132),"")</f>
        <v/>
      </c>
      <c r="BD132" s="40" t="str">
        <f>IF(AND($G132='Povolené hodnoty'!$B$13,$H132=BD$4),SUM($J132,$M132,$P132,$S132),"")</f>
        <v/>
      </c>
      <c r="BE132" s="41" t="str">
        <f>IF(AND($G132='Povolené hodnoty'!$B$13,$H132=BE$4),SUM($J132,$M132,$P132,$S132),"")</f>
        <v/>
      </c>
      <c r="BF132" s="39" t="str">
        <f>IF(AND($G132='Povolené hodnoty'!$B$14,$H132=BF$4),SUM($J132,$M132,$P132,$S132),"")</f>
        <v/>
      </c>
      <c r="BG132" s="458" t="str">
        <f>IF(AND($G132='Povolené hodnoty'!$B$14,$H132=BG$4),SUM($J132,$M132,$P132,$S132),"")</f>
        <v/>
      </c>
      <c r="BH132" s="458" t="str">
        <f>IF(AND($G132='Povolené hodnoty'!$B$14,$H132=BH$4),SUM($J132,$M132,$P132,$S132),"")</f>
        <v/>
      </c>
      <c r="BI132" s="458" t="str">
        <f>IF(AND($G132='Povolené hodnoty'!$B$14,$H132=BI$4),SUM($J132,$M132,$P132,$S132),"")</f>
        <v/>
      </c>
      <c r="BJ132" s="458" t="str">
        <f>IF(AND($G132='Povolené hodnoty'!$B$14,$H132=BJ$4),SUM($J132,$M132,$P132,$S132),"")</f>
        <v/>
      </c>
      <c r="BK132" s="40" t="str">
        <f>IF(AND($G132='Povolené hodnoty'!$B$14,$H132=BK$4),SUM($J132,$M132,$P132,$S132),"")</f>
        <v/>
      </c>
      <c r="BL132" s="40" t="str">
        <f>IF(AND($G132='Povolené hodnoty'!$B$14,$H132=BL$4),SUM($J132,$M132,$P132,$S132),"")</f>
        <v/>
      </c>
      <c r="BM132" s="41" t="str">
        <f>IF(AND($G132='Povolené hodnoty'!$B$14,$H132=BM$4),SUM($J132,$M132,$P132,$S132),"")</f>
        <v/>
      </c>
      <c r="BO132" s="18" t="b">
        <f t="shared" si="71"/>
        <v>0</v>
      </c>
      <c r="BP132" s="18" t="b">
        <f t="shared" si="42"/>
        <v>0</v>
      </c>
      <c r="BQ132" s="18" t="b">
        <f>AND(E132&lt;&gt;'Povolené hodnoty'!$B$6,F132&lt;&gt;'Povolené hodnoty'!$D$7,F132&lt;&gt;'Povolené hodnoty'!$D$8,OR(SUM(I132,L132,O132,R132)&lt;&gt;SUM(W132:X132,AA132:AG132),SUM(J132,M132,P132,S132)&lt;&gt;SUM(Y132:Z132,AH132:AK132),COUNT(I132:J132,L132:M132,O132:P132,R132:S132)&lt;&gt;COUNT(W132:AK132)))</f>
        <v>0</v>
      </c>
      <c r="BR132" s="18" t="b">
        <f>OR(AND(E132='Povolené hodnoty'!$B$6,$BR$5),AND(E132='Povolené hodnoty'!$B$6,H132&lt;&gt;'Povolené hodnoty'!$E$26,H132&lt;&gt;'Povolené hodnoty'!$E$35),AND(E132&lt;&gt;'Povolené hodnoty'!$B$6,OR(H132='Povolené hodnoty'!$E$26,H132='Povolené hodnoty'!$E$35)))</f>
        <v>0</v>
      </c>
      <c r="BS132" s="18" t="b">
        <f>OR(AND(G132&lt;&gt;'Povolené hodnoty'!$B$13,OR(H132='Povolené hodnoty'!$E$21,H132='Povolené hodnoty'!$E$22,H132='Povolené hodnoty'!$E$23,H132='Povolené hodnoty'!$E$24,H132='Povolené hodnoty'!$E$26,H132='Povolené hodnoty'!$E$36)),COUNT(I132:J132,L132:M132,O132:P132,R132:S132)&lt;&gt;COUNT(AL132:BM132))</f>
        <v>0</v>
      </c>
      <c r="BT132" s="18" t="b">
        <f t="shared" si="43"/>
        <v>0</v>
      </c>
      <c r="BV132" s="39" t="str">
        <f t="shared" si="44"/>
        <v/>
      </c>
      <c r="BW132" s="458" t="str">
        <f t="shared" si="45"/>
        <v/>
      </c>
      <c r="BX132" s="458" t="str">
        <f t="shared" si="46"/>
        <v/>
      </c>
      <c r="BY132" s="458" t="str">
        <f t="shared" si="47"/>
        <v/>
      </c>
      <c r="BZ132" s="458" t="str">
        <f t="shared" si="48"/>
        <v/>
      </c>
      <c r="CA132" s="40" t="str">
        <f t="shared" si="49"/>
        <v/>
      </c>
      <c r="CB132" s="40" t="str">
        <f t="shared" si="50"/>
        <v/>
      </c>
      <c r="CC132" s="39" t="str">
        <f t="shared" si="51"/>
        <v/>
      </c>
      <c r="CD132" s="458" t="str">
        <f t="shared" si="52"/>
        <v/>
      </c>
      <c r="CE132" s="41" t="str">
        <f t="shared" si="53"/>
        <v/>
      </c>
      <c r="CF132" s="39" t="str">
        <f t="shared" si="54"/>
        <v/>
      </c>
      <c r="CG132" s="458" t="str">
        <f t="shared" si="55"/>
        <v/>
      </c>
      <c r="CH132" s="458" t="str">
        <f t="shared" si="56"/>
        <v/>
      </c>
      <c r="CI132" s="458" t="str">
        <f t="shared" si="57"/>
        <v/>
      </c>
      <c r="CJ132" s="458" t="str">
        <f t="shared" si="58"/>
        <v/>
      </c>
      <c r="CK132" s="40" t="str">
        <f t="shared" si="59"/>
        <v/>
      </c>
      <c r="CL132" s="40" t="str">
        <f t="shared" si="60"/>
        <v/>
      </c>
      <c r="CM132" s="40" t="str">
        <f t="shared" si="61"/>
        <v/>
      </c>
      <c r="CN132" s="39" t="str">
        <f t="shared" si="62"/>
        <v/>
      </c>
      <c r="CO132" s="458" t="str">
        <f t="shared" si="63"/>
        <v/>
      </c>
      <c r="CP132" s="458" t="str">
        <f t="shared" si="64"/>
        <v/>
      </c>
      <c r="CQ132" s="458" t="str">
        <f t="shared" si="65"/>
        <v/>
      </c>
      <c r="CR132" s="458" t="str">
        <f t="shared" si="66"/>
        <v/>
      </c>
      <c r="CS132" s="40" t="str">
        <f t="shared" si="67"/>
        <v/>
      </c>
      <c r="CT132" s="40" t="str">
        <f t="shared" si="68"/>
        <v/>
      </c>
      <c r="CU132" s="41" t="str">
        <f t="shared" si="69"/>
        <v/>
      </c>
    </row>
    <row r="133" spans="1:99" x14ac:dyDescent="0.2">
      <c r="A133" s="77">
        <f t="shared" si="70"/>
        <v>128</v>
      </c>
      <c r="B133" s="81"/>
      <c r="C133" s="82"/>
      <c r="D133" s="71"/>
      <c r="E133" s="72"/>
      <c r="F133" s="73"/>
      <c r="G133" s="443"/>
      <c r="H133" s="443"/>
      <c r="I133" s="74"/>
      <c r="J133" s="75"/>
      <c r="K133" s="41">
        <f t="shared" si="74"/>
        <v>3625</v>
      </c>
      <c r="L133" s="104"/>
      <c r="M133" s="105"/>
      <c r="N133" s="106">
        <f t="shared" si="75"/>
        <v>537.05999999999995</v>
      </c>
      <c r="O133" s="104"/>
      <c r="P133" s="105"/>
      <c r="Q133" s="106">
        <f t="shared" si="72"/>
        <v>10045.83</v>
      </c>
      <c r="R133" s="104"/>
      <c r="S133" s="105"/>
      <c r="T133" s="106">
        <f t="shared" si="73"/>
        <v>0</v>
      </c>
      <c r="U133" s="439"/>
      <c r="V133" s="42">
        <f t="shared" ref="V133:V196" si="76">A133</f>
        <v>128</v>
      </c>
      <c r="W133" s="39" t="str">
        <f>IF(AND(E133='Povolené hodnoty'!$B$4,F133=2),I133+L133+O133+R133,"")</f>
        <v/>
      </c>
      <c r="X133" s="41" t="str">
        <f>IF(AND(E133='Povolené hodnoty'!$B$4,F133=1),I133+L133+O133+R133,"")</f>
        <v/>
      </c>
      <c r="Y133" s="39" t="str">
        <f>IF(AND(E133='Povolené hodnoty'!$B$4,F133=10),J133+M133+P133+S133,"")</f>
        <v/>
      </c>
      <c r="Z133" s="41" t="str">
        <f>IF(AND(E133='Povolené hodnoty'!$B$4,F133=9),J133+M133+P133+S133,"")</f>
        <v/>
      </c>
      <c r="AA133" s="39" t="str">
        <f>IF(AND(E133&lt;&gt;'Povolené hodnoty'!$B$4,F133=2),I133+L133+O133+R133,"")</f>
        <v/>
      </c>
      <c r="AB133" s="40" t="str">
        <f>IF(AND(E133&lt;&gt;'Povolené hodnoty'!$B$4,F133=3),I133+L133+O133+R133,"")</f>
        <v/>
      </c>
      <c r="AC133" s="40" t="str">
        <f>IF(AND(E133&lt;&gt;'Povolené hodnoty'!$B$4,F133=4),I133+L133+O133+R133,"")</f>
        <v/>
      </c>
      <c r="AD133" s="40" t="str">
        <f>IF(AND(E133&lt;&gt;'Povolené hodnoty'!$B$4,F133="5a"),I133-J133+L133-M133+O133-P133+R133-S133,"")</f>
        <v/>
      </c>
      <c r="AE133" s="40" t="str">
        <f>IF(AND(E133&lt;&gt;'Povolené hodnoty'!$B$4,F133="5b"),I133-J133+L133-M133+O133-P133+R133-S133,"")</f>
        <v/>
      </c>
      <c r="AF133" s="40" t="str">
        <f>IF(AND(E133&lt;&gt;'Povolené hodnoty'!$B$4,F133=6),I133+L133+O133+R133,"")</f>
        <v/>
      </c>
      <c r="AG133" s="41" t="str">
        <f>IF(AND(E133&lt;&gt;'Povolené hodnoty'!$B$4,F133=7),I133+L133+O133+R133,"")</f>
        <v/>
      </c>
      <c r="AH133" s="39" t="str">
        <f>IF(AND(E133&lt;&gt;'Povolené hodnoty'!$B$4,F133=10),J133+M133+P133+S133,"")</f>
        <v/>
      </c>
      <c r="AI133" s="40" t="str">
        <f>IF(AND(E133&lt;&gt;'Povolené hodnoty'!$B$4,F133=11),J133+M133+P133+S133,"")</f>
        <v/>
      </c>
      <c r="AJ133" s="40" t="str">
        <f>IF(AND(E133&lt;&gt;'Povolené hodnoty'!$B$4,F133=12),J133+M133+P133+S133,"")</f>
        <v/>
      </c>
      <c r="AK133" s="41" t="str">
        <f>IF(AND(E133&lt;&gt;'Povolené hodnoty'!$B$4,F133=13),J133+M133+P133+S133,"")</f>
        <v/>
      </c>
      <c r="AL133" s="39" t="str">
        <f>IF(AND($G133='Povolené hodnoty'!$B$13,$H133=AL$4),SUM($I133,$L133,$O133,$R133),"")</f>
        <v/>
      </c>
      <c r="AM133" s="458" t="str">
        <f>IF(AND($G133='Povolené hodnoty'!$B$13,$H133=AM$4),SUM($I133,$L133,$O133,$R133),"")</f>
        <v/>
      </c>
      <c r="AN133" s="458" t="str">
        <f>IF(AND($G133='Povolené hodnoty'!$B$13,$H133=AN$4),SUM($I133,$L133,$O133,$R133),"")</f>
        <v/>
      </c>
      <c r="AO133" s="458" t="str">
        <f>IF(AND($G133='Povolené hodnoty'!$B$13,$H133=AO$4),SUM($I133,$L133,$O133,$R133),"")</f>
        <v/>
      </c>
      <c r="AP133" s="458" t="str">
        <f>IF(AND($G133='Povolené hodnoty'!$B$13,$H133=AP$4),SUM($I133,$L133,$O133,$R133),"")</f>
        <v/>
      </c>
      <c r="AQ133" s="40" t="str">
        <f>IF(AND($G133='Povolené hodnoty'!$B$13,OR($H133=AQ$4,$H133='Povolené hodnoty'!$E$36)),SUM($I133,-$J133,$L133,-$M133,$O133,-$P133,$R133,-$S133),"")</f>
        <v/>
      </c>
      <c r="AR133" s="40" t="str">
        <f>IF(AND($G133='Povolené hodnoty'!$B$13,$H133=AR$4),SUM($I133,$L133,$O133,$R133),"")</f>
        <v/>
      </c>
      <c r="AS133" s="41" t="str">
        <f>IF(AND($G133='Povolené hodnoty'!$B$13,$H133=AS$4),SUM($I133,$L133,$O133,$R133),"")</f>
        <v/>
      </c>
      <c r="AT133" s="39" t="str">
        <f>IF(AND($G133='Povolené hodnoty'!$B$14,$H133=AT$4),SUM($I133,$L133,$O133,$R133),"")</f>
        <v/>
      </c>
      <c r="AU133" s="458" t="str">
        <f>IF(AND($G133='Povolené hodnoty'!$B$14,$H133=AU$4),SUM($I133,$L133,$O133,$R133),"")</f>
        <v/>
      </c>
      <c r="AV133" s="41" t="str">
        <f>IF(AND($G133='Povolené hodnoty'!$B$14,$H133=AV$4),SUM($I133,$L133,$O133,$R133),"")</f>
        <v/>
      </c>
      <c r="AW133" s="39" t="str">
        <f>IF(AND($G133='Povolené hodnoty'!$B$13,$H133=AW$4),SUM($J133,$M133,$P133,$S133),"")</f>
        <v/>
      </c>
      <c r="AX133" s="458" t="str">
        <f>IF(AND($G133='Povolené hodnoty'!$B$13,$H133=AX$4),SUM($J133,$M133,$P133,$S133),"")</f>
        <v/>
      </c>
      <c r="AY133" s="458" t="str">
        <f>IF(AND($G133='Povolené hodnoty'!$B$13,$H133=AY$4),SUM($J133,$M133,$P133,$S133),"")</f>
        <v/>
      </c>
      <c r="AZ133" s="458" t="str">
        <f>IF(AND($G133='Povolené hodnoty'!$B$13,$H133=AZ$4),SUM($J133,$M133,$P133,$S133),"")</f>
        <v/>
      </c>
      <c r="BA133" s="458" t="str">
        <f>IF(AND($G133='Povolené hodnoty'!$B$13,$H133=BA$4),SUM($J133,$M133,$P133,$S133),"")</f>
        <v/>
      </c>
      <c r="BB133" s="40" t="str">
        <f>IF(AND($G133='Povolené hodnoty'!$B$13,$H133=BB$4),SUM($J133,$M133,$P133,$S133),"")</f>
        <v/>
      </c>
      <c r="BC133" s="40" t="str">
        <f>IF(AND($G133='Povolené hodnoty'!$B$13,$H133=BC$4),SUM($J133,$M133,$P133,$S133),"")</f>
        <v/>
      </c>
      <c r="BD133" s="40" t="str">
        <f>IF(AND($G133='Povolené hodnoty'!$B$13,$H133=BD$4),SUM($J133,$M133,$P133,$S133),"")</f>
        <v/>
      </c>
      <c r="BE133" s="41" t="str">
        <f>IF(AND($G133='Povolené hodnoty'!$B$13,$H133=BE$4),SUM($J133,$M133,$P133,$S133),"")</f>
        <v/>
      </c>
      <c r="BF133" s="39" t="str">
        <f>IF(AND($G133='Povolené hodnoty'!$B$14,$H133=BF$4),SUM($J133,$M133,$P133,$S133),"")</f>
        <v/>
      </c>
      <c r="BG133" s="458" t="str">
        <f>IF(AND($G133='Povolené hodnoty'!$B$14,$H133=BG$4),SUM($J133,$M133,$P133,$S133),"")</f>
        <v/>
      </c>
      <c r="BH133" s="458" t="str">
        <f>IF(AND($G133='Povolené hodnoty'!$B$14,$H133=BH$4),SUM($J133,$M133,$P133,$S133),"")</f>
        <v/>
      </c>
      <c r="BI133" s="458" t="str">
        <f>IF(AND($G133='Povolené hodnoty'!$B$14,$H133=BI$4),SUM($J133,$M133,$P133,$S133),"")</f>
        <v/>
      </c>
      <c r="BJ133" s="458" t="str">
        <f>IF(AND($G133='Povolené hodnoty'!$B$14,$H133=BJ$4),SUM($J133,$M133,$P133,$S133),"")</f>
        <v/>
      </c>
      <c r="BK133" s="40" t="str">
        <f>IF(AND($G133='Povolené hodnoty'!$B$14,$H133=BK$4),SUM($J133,$M133,$P133,$S133),"")</f>
        <v/>
      </c>
      <c r="BL133" s="40" t="str">
        <f>IF(AND($G133='Povolené hodnoty'!$B$14,$H133=BL$4),SUM($J133,$M133,$P133,$S133),"")</f>
        <v/>
      </c>
      <c r="BM133" s="41" t="str">
        <f>IF(AND($G133='Povolené hodnoty'!$B$14,$H133=BM$4),SUM($J133,$M133,$P133,$S133),"")</f>
        <v/>
      </c>
      <c r="BO133" s="18" t="b">
        <f t="shared" si="71"/>
        <v>0</v>
      </c>
      <c r="BP133" s="18" t="b">
        <f t="shared" si="42"/>
        <v>0</v>
      </c>
      <c r="BQ133" s="18" t="b">
        <f>AND(E133&lt;&gt;'Povolené hodnoty'!$B$6,F133&lt;&gt;'Povolené hodnoty'!$D$7,F133&lt;&gt;'Povolené hodnoty'!$D$8,OR(SUM(I133,L133,O133,R133)&lt;&gt;SUM(W133:X133,AA133:AG133),SUM(J133,M133,P133,S133)&lt;&gt;SUM(Y133:Z133,AH133:AK133),COUNT(I133:J133,L133:M133,O133:P133,R133:S133)&lt;&gt;COUNT(W133:AK133)))</f>
        <v>0</v>
      </c>
      <c r="BR133" s="18" t="b">
        <f>OR(AND(E133='Povolené hodnoty'!$B$6,$BR$5),AND(E133='Povolené hodnoty'!$B$6,H133&lt;&gt;'Povolené hodnoty'!$E$26,H133&lt;&gt;'Povolené hodnoty'!$E$35),AND(E133&lt;&gt;'Povolené hodnoty'!$B$6,OR(H133='Povolené hodnoty'!$E$26,H133='Povolené hodnoty'!$E$35)))</f>
        <v>0</v>
      </c>
      <c r="BS133" s="18" t="b">
        <f>OR(AND(G133&lt;&gt;'Povolené hodnoty'!$B$13,OR(H133='Povolené hodnoty'!$E$21,H133='Povolené hodnoty'!$E$22,H133='Povolené hodnoty'!$E$23,H133='Povolené hodnoty'!$E$24,H133='Povolené hodnoty'!$E$26,H133='Povolené hodnoty'!$E$36)),COUNT(I133:J133,L133:M133,O133:P133,R133:S133)&lt;&gt;COUNT(AL133:BM133))</f>
        <v>0</v>
      </c>
      <c r="BT133" s="18" t="b">
        <f t="shared" si="43"/>
        <v>0</v>
      </c>
      <c r="BV133" s="39" t="str">
        <f t="shared" si="44"/>
        <v/>
      </c>
      <c r="BW133" s="458" t="str">
        <f t="shared" si="45"/>
        <v/>
      </c>
      <c r="BX133" s="458" t="str">
        <f t="shared" si="46"/>
        <v/>
      </c>
      <c r="BY133" s="458" t="str">
        <f t="shared" si="47"/>
        <v/>
      </c>
      <c r="BZ133" s="458" t="str">
        <f t="shared" si="48"/>
        <v/>
      </c>
      <c r="CA133" s="40" t="str">
        <f t="shared" si="49"/>
        <v/>
      </c>
      <c r="CB133" s="40" t="str">
        <f t="shared" si="50"/>
        <v/>
      </c>
      <c r="CC133" s="39" t="str">
        <f t="shared" si="51"/>
        <v/>
      </c>
      <c r="CD133" s="458" t="str">
        <f t="shared" si="52"/>
        <v/>
      </c>
      <c r="CE133" s="41" t="str">
        <f t="shared" si="53"/>
        <v/>
      </c>
      <c r="CF133" s="39" t="str">
        <f t="shared" si="54"/>
        <v/>
      </c>
      <c r="CG133" s="458" t="str">
        <f t="shared" si="55"/>
        <v/>
      </c>
      <c r="CH133" s="458" t="str">
        <f t="shared" si="56"/>
        <v/>
      </c>
      <c r="CI133" s="458" t="str">
        <f t="shared" si="57"/>
        <v/>
      </c>
      <c r="CJ133" s="458" t="str">
        <f t="shared" si="58"/>
        <v/>
      </c>
      <c r="CK133" s="40" t="str">
        <f t="shared" si="59"/>
        <v/>
      </c>
      <c r="CL133" s="40" t="str">
        <f t="shared" si="60"/>
        <v/>
      </c>
      <c r="CM133" s="40" t="str">
        <f t="shared" si="61"/>
        <v/>
      </c>
      <c r="CN133" s="39" t="str">
        <f t="shared" si="62"/>
        <v/>
      </c>
      <c r="CO133" s="458" t="str">
        <f t="shared" si="63"/>
        <v/>
      </c>
      <c r="CP133" s="458" t="str">
        <f t="shared" si="64"/>
        <v/>
      </c>
      <c r="CQ133" s="458" t="str">
        <f t="shared" si="65"/>
        <v/>
      </c>
      <c r="CR133" s="458" t="str">
        <f t="shared" si="66"/>
        <v/>
      </c>
      <c r="CS133" s="40" t="str">
        <f t="shared" si="67"/>
        <v/>
      </c>
      <c r="CT133" s="40" t="str">
        <f t="shared" si="68"/>
        <v/>
      </c>
      <c r="CU133" s="41" t="str">
        <f t="shared" si="69"/>
        <v/>
      </c>
    </row>
    <row r="134" spans="1:99" x14ac:dyDescent="0.2">
      <c r="A134" s="77">
        <f t="shared" si="70"/>
        <v>129</v>
      </c>
      <c r="B134" s="81"/>
      <c r="C134" s="82"/>
      <c r="D134" s="71"/>
      <c r="E134" s="72"/>
      <c r="F134" s="73"/>
      <c r="G134" s="443"/>
      <c r="H134" s="443"/>
      <c r="I134" s="74"/>
      <c r="J134" s="75"/>
      <c r="K134" s="41">
        <f t="shared" si="74"/>
        <v>3625</v>
      </c>
      <c r="L134" s="104"/>
      <c r="M134" s="105"/>
      <c r="N134" s="106">
        <f t="shared" si="75"/>
        <v>537.05999999999995</v>
      </c>
      <c r="O134" s="104"/>
      <c r="P134" s="105"/>
      <c r="Q134" s="106">
        <f t="shared" si="72"/>
        <v>10045.83</v>
      </c>
      <c r="R134" s="104"/>
      <c r="S134" s="105"/>
      <c r="T134" s="106">
        <f t="shared" si="73"/>
        <v>0</v>
      </c>
      <c r="U134" s="439"/>
      <c r="V134" s="42">
        <f t="shared" si="76"/>
        <v>129</v>
      </c>
      <c r="W134" s="39" t="str">
        <f>IF(AND(E134='Povolené hodnoty'!$B$4,F134=2),I134+L134+O134+R134,"")</f>
        <v/>
      </c>
      <c r="X134" s="41" t="str">
        <f>IF(AND(E134='Povolené hodnoty'!$B$4,F134=1),I134+L134+O134+R134,"")</f>
        <v/>
      </c>
      <c r="Y134" s="39" t="str">
        <f>IF(AND(E134='Povolené hodnoty'!$B$4,F134=10),J134+M134+P134+S134,"")</f>
        <v/>
      </c>
      <c r="Z134" s="41" t="str">
        <f>IF(AND(E134='Povolené hodnoty'!$B$4,F134=9),J134+M134+P134+S134,"")</f>
        <v/>
      </c>
      <c r="AA134" s="39" t="str">
        <f>IF(AND(E134&lt;&gt;'Povolené hodnoty'!$B$4,F134=2),I134+L134+O134+R134,"")</f>
        <v/>
      </c>
      <c r="AB134" s="40" t="str">
        <f>IF(AND(E134&lt;&gt;'Povolené hodnoty'!$B$4,F134=3),I134+L134+O134+R134,"")</f>
        <v/>
      </c>
      <c r="AC134" s="40" t="str">
        <f>IF(AND(E134&lt;&gt;'Povolené hodnoty'!$B$4,F134=4),I134+L134+O134+R134,"")</f>
        <v/>
      </c>
      <c r="AD134" s="40" t="str">
        <f>IF(AND(E134&lt;&gt;'Povolené hodnoty'!$B$4,F134="5a"),I134-J134+L134-M134+O134-P134+R134-S134,"")</f>
        <v/>
      </c>
      <c r="AE134" s="40" t="str">
        <f>IF(AND(E134&lt;&gt;'Povolené hodnoty'!$B$4,F134="5b"),I134-J134+L134-M134+O134-P134+R134-S134,"")</f>
        <v/>
      </c>
      <c r="AF134" s="40" t="str">
        <f>IF(AND(E134&lt;&gt;'Povolené hodnoty'!$B$4,F134=6),I134+L134+O134+R134,"")</f>
        <v/>
      </c>
      <c r="AG134" s="41" t="str">
        <f>IF(AND(E134&lt;&gt;'Povolené hodnoty'!$B$4,F134=7),I134+L134+O134+R134,"")</f>
        <v/>
      </c>
      <c r="AH134" s="39" t="str">
        <f>IF(AND(E134&lt;&gt;'Povolené hodnoty'!$B$4,F134=10),J134+M134+P134+S134,"")</f>
        <v/>
      </c>
      <c r="AI134" s="40" t="str">
        <f>IF(AND(E134&lt;&gt;'Povolené hodnoty'!$B$4,F134=11),J134+M134+P134+S134,"")</f>
        <v/>
      </c>
      <c r="AJ134" s="40" t="str">
        <f>IF(AND(E134&lt;&gt;'Povolené hodnoty'!$B$4,F134=12),J134+M134+P134+S134,"")</f>
        <v/>
      </c>
      <c r="AK134" s="41" t="str">
        <f>IF(AND(E134&lt;&gt;'Povolené hodnoty'!$B$4,F134=13),J134+M134+P134+S134,"")</f>
        <v/>
      </c>
      <c r="AL134" s="39" t="str">
        <f>IF(AND($G134='Povolené hodnoty'!$B$13,$H134=AL$4),SUM($I134,$L134,$O134,$R134),"")</f>
        <v/>
      </c>
      <c r="AM134" s="458" t="str">
        <f>IF(AND($G134='Povolené hodnoty'!$B$13,$H134=AM$4),SUM($I134,$L134,$O134,$R134),"")</f>
        <v/>
      </c>
      <c r="AN134" s="458" t="str">
        <f>IF(AND($G134='Povolené hodnoty'!$B$13,$H134=AN$4),SUM($I134,$L134,$O134,$R134),"")</f>
        <v/>
      </c>
      <c r="AO134" s="458" t="str">
        <f>IF(AND($G134='Povolené hodnoty'!$B$13,$H134=AO$4),SUM($I134,$L134,$O134,$R134),"")</f>
        <v/>
      </c>
      <c r="AP134" s="458" t="str">
        <f>IF(AND($G134='Povolené hodnoty'!$B$13,$H134=AP$4),SUM($I134,$L134,$O134,$R134),"")</f>
        <v/>
      </c>
      <c r="AQ134" s="40" t="str">
        <f>IF(AND($G134='Povolené hodnoty'!$B$13,OR($H134=AQ$4,$H134='Povolené hodnoty'!$E$36)),SUM($I134,-$J134,$L134,-$M134,$O134,-$P134,$R134,-$S134),"")</f>
        <v/>
      </c>
      <c r="AR134" s="40" t="str">
        <f>IF(AND($G134='Povolené hodnoty'!$B$13,$H134=AR$4),SUM($I134,$L134,$O134,$R134),"")</f>
        <v/>
      </c>
      <c r="AS134" s="41" t="str">
        <f>IF(AND($G134='Povolené hodnoty'!$B$13,$H134=AS$4),SUM($I134,$L134,$O134,$R134),"")</f>
        <v/>
      </c>
      <c r="AT134" s="39" t="str">
        <f>IF(AND($G134='Povolené hodnoty'!$B$14,$H134=AT$4),SUM($I134,$L134,$O134,$R134),"")</f>
        <v/>
      </c>
      <c r="AU134" s="458" t="str">
        <f>IF(AND($G134='Povolené hodnoty'!$B$14,$H134=AU$4),SUM($I134,$L134,$O134,$R134),"")</f>
        <v/>
      </c>
      <c r="AV134" s="41" t="str">
        <f>IF(AND($G134='Povolené hodnoty'!$B$14,$H134=AV$4),SUM($I134,$L134,$O134,$R134),"")</f>
        <v/>
      </c>
      <c r="AW134" s="39" t="str">
        <f>IF(AND($G134='Povolené hodnoty'!$B$13,$H134=AW$4),SUM($J134,$M134,$P134,$S134),"")</f>
        <v/>
      </c>
      <c r="AX134" s="458" t="str">
        <f>IF(AND($G134='Povolené hodnoty'!$B$13,$H134=AX$4),SUM($J134,$M134,$P134,$S134),"")</f>
        <v/>
      </c>
      <c r="AY134" s="458" t="str">
        <f>IF(AND($G134='Povolené hodnoty'!$B$13,$H134=AY$4),SUM($J134,$M134,$P134,$S134),"")</f>
        <v/>
      </c>
      <c r="AZ134" s="458" t="str">
        <f>IF(AND($G134='Povolené hodnoty'!$B$13,$H134=AZ$4),SUM($J134,$M134,$P134,$S134),"")</f>
        <v/>
      </c>
      <c r="BA134" s="458" t="str">
        <f>IF(AND($G134='Povolené hodnoty'!$B$13,$H134=BA$4),SUM($J134,$M134,$P134,$S134),"")</f>
        <v/>
      </c>
      <c r="BB134" s="40" t="str">
        <f>IF(AND($G134='Povolené hodnoty'!$B$13,$H134=BB$4),SUM($J134,$M134,$P134,$S134),"")</f>
        <v/>
      </c>
      <c r="BC134" s="40" t="str">
        <f>IF(AND($G134='Povolené hodnoty'!$B$13,$H134=BC$4),SUM($J134,$M134,$P134,$S134),"")</f>
        <v/>
      </c>
      <c r="BD134" s="40" t="str">
        <f>IF(AND($G134='Povolené hodnoty'!$B$13,$H134=BD$4),SUM($J134,$M134,$P134,$S134),"")</f>
        <v/>
      </c>
      <c r="BE134" s="41" t="str">
        <f>IF(AND($G134='Povolené hodnoty'!$B$13,$H134=BE$4),SUM($J134,$M134,$P134,$S134),"")</f>
        <v/>
      </c>
      <c r="BF134" s="39" t="str">
        <f>IF(AND($G134='Povolené hodnoty'!$B$14,$H134=BF$4),SUM($J134,$M134,$P134,$S134),"")</f>
        <v/>
      </c>
      <c r="BG134" s="458" t="str">
        <f>IF(AND($G134='Povolené hodnoty'!$B$14,$H134=BG$4),SUM($J134,$M134,$P134,$S134),"")</f>
        <v/>
      </c>
      <c r="BH134" s="458" t="str">
        <f>IF(AND($G134='Povolené hodnoty'!$B$14,$H134=BH$4),SUM($J134,$M134,$P134,$S134),"")</f>
        <v/>
      </c>
      <c r="BI134" s="458" t="str">
        <f>IF(AND($G134='Povolené hodnoty'!$B$14,$H134=BI$4),SUM($J134,$M134,$P134,$S134),"")</f>
        <v/>
      </c>
      <c r="BJ134" s="458" t="str">
        <f>IF(AND($G134='Povolené hodnoty'!$B$14,$H134=BJ$4),SUM($J134,$M134,$P134,$S134),"")</f>
        <v/>
      </c>
      <c r="BK134" s="40" t="str">
        <f>IF(AND($G134='Povolené hodnoty'!$B$14,$H134=BK$4),SUM($J134,$M134,$P134,$S134),"")</f>
        <v/>
      </c>
      <c r="BL134" s="40" t="str">
        <f>IF(AND($G134='Povolené hodnoty'!$B$14,$H134=BL$4),SUM($J134,$M134,$P134,$S134),"")</f>
        <v/>
      </c>
      <c r="BM134" s="41" t="str">
        <f>IF(AND($G134='Povolené hodnoty'!$B$14,$H134=BM$4),SUM($J134,$M134,$P134,$S134),"")</f>
        <v/>
      </c>
      <c r="BO134" s="18" t="b">
        <f t="shared" si="71"/>
        <v>0</v>
      </c>
      <c r="BP134" s="18" t="b">
        <f t="shared" ref="BP134:BP197" si="77">COUNT(I134:J134,L134:M134,O134:P134,R134:S134)&gt;1</f>
        <v>0</v>
      </c>
      <c r="BQ134" s="18" t="b">
        <f>AND(E134&lt;&gt;'Povolené hodnoty'!$B$6,F134&lt;&gt;'Povolené hodnoty'!$D$7,F134&lt;&gt;'Povolené hodnoty'!$D$8,OR(SUM(I134,L134,O134,R134)&lt;&gt;SUM(W134:X134,AA134:AG134),SUM(J134,M134,P134,S134)&lt;&gt;SUM(Y134:Z134,AH134:AK134),COUNT(I134:J134,L134:M134,O134:P134,R134:S134)&lt;&gt;COUNT(W134:AK134)))</f>
        <v>0</v>
      </c>
      <c r="BR134" s="18" t="b">
        <f>OR(AND(E134='Povolené hodnoty'!$B$6,$BR$5),AND(E134='Povolené hodnoty'!$B$6,H134&lt;&gt;'Povolené hodnoty'!$E$26,H134&lt;&gt;'Povolené hodnoty'!$E$35),AND(E134&lt;&gt;'Povolené hodnoty'!$B$6,OR(H134='Povolené hodnoty'!$E$26,H134='Povolené hodnoty'!$E$35)))</f>
        <v>0</v>
      </c>
      <c r="BS134" s="18" t="b">
        <f>OR(AND(G134&lt;&gt;'Povolené hodnoty'!$B$13,OR(H134='Povolené hodnoty'!$E$21,H134='Povolené hodnoty'!$E$22,H134='Povolené hodnoty'!$E$23,H134='Povolené hodnoty'!$E$24,H134='Povolené hodnoty'!$E$26,H134='Povolené hodnoty'!$E$36)),COUNT(I134:J134,L134:M134,O134:P134,R134:S134)&lt;&gt;COUNT(AL134:BM134))</f>
        <v>0</v>
      </c>
      <c r="BT134" s="18" t="b">
        <f t="shared" ref="BT134:BT197" si="78">OR(AND(LEFT(H134,1)="V",COUNT(I134,L134,O134,R134)&gt;0),AND(LEFT(H134,1)="P",COUNT(J134,M134,P134,S134)&gt;0))</f>
        <v>0</v>
      </c>
      <c r="BV134" s="39" t="str">
        <f t="shared" ref="BV134:BV197" si="79">IF(SUM($W134:$X134)=AL134,AL134,"")</f>
        <v/>
      </c>
      <c r="BW134" s="458" t="str">
        <f t="shared" ref="BW134:BW197" si="80">IF(SUM($W134:$X134)=AM134,AM134,"")</f>
        <v/>
      </c>
      <c r="BX134" s="458" t="str">
        <f t="shared" ref="BX134:BX197" si="81">IF(SUM($W134:$X134)=AN134,AN134,"")</f>
        <v/>
      </c>
      <c r="BY134" s="458" t="str">
        <f t="shared" ref="BY134:BY197" si="82">IF(SUM($W134:$X134)=AO134,AO134,"")</f>
        <v/>
      </c>
      <c r="BZ134" s="458" t="str">
        <f t="shared" ref="BZ134:BZ197" si="83">IF(SUM($W134:$X134)=AP134,AP134,"")</f>
        <v/>
      </c>
      <c r="CA134" s="40" t="str">
        <f t="shared" ref="CA134:CA197" si="84">IF(SUM($W134:$X134)=AQ134,AQ134,"")</f>
        <v/>
      </c>
      <c r="CB134" s="40" t="str">
        <f t="shared" ref="CB134:CB197" si="85">IF(SUM($W134:$X134)=AR134,AR134,"")</f>
        <v/>
      </c>
      <c r="CC134" s="39" t="str">
        <f t="shared" ref="CC134:CC197" si="86">IF(SUM($W134:$X134)=AT134,AT134,"")</f>
        <v/>
      </c>
      <c r="CD134" s="458" t="str">
        <f t="shared" ref="CD134:CD197" si="87">IF(SUM($W134:$X134)=AU134,AU134,"")</f>
        <v/>
      </c>
      <c r="CE134" s="41" t="str">
        <f t="shared" ref="CE134:CE197" si="88">IF(SUM($W134:$X134)=AV134,AV134,"")</f>
        <v/>
      </c>
      <c r="CF134" s="39" t="str">
        <f t="shared" ref="CF134:CF197" si="89">IF(SUM($Y134:$Z134)=AW134,AW134,"")</f>
        <v/>
      </c>
      <c r="CG134" s="458" t="str">
        <f t="shared" ref="CG134:CG197" si="90">IF(SUM($Y134:$Z134)=AX134,AX134,"")</f>
        <v/>
      </c>
      <c r="CH134" s="458" t="str">
        <f t="shared" ref="CH134:CH197" si="91">IF(SUM($Y134:$Z134)=AY134,AY134,"")</f>
        <v/>
      </c>
      <c r="CI134" s="458" t="str">
        <f t="shared" ref="CI134:CI197" si="92">IF(SUM($Y134:$Z134)=AZ134,AZ134,"")</f>
        <v/>
      </c>
      <c r="CJ134" s="458" t="str">
        <f t="shared" ref="CJ134:CJ197" si="93">IF(SUM($Y134:$Z134)=BA134,BA134,"")</f>
        <v/>
      </c>
      <c r="CK134" s="40" t="str">
        <f t="shared" ref="CK134:CK197" si="94">IF(SUM($Y134:$Z134)=BB134,BB134,"")</f>
        <v/>
      </c>
      <c r="CL134" s="40" t="str">
        <f t="shared" ref="CL134:CL197" si="95">IF(SUM($Y134:$Z134)=BC134,BC134,"")</f>
        <v/>
      </c>
      <c r="CM134" s="40" t="str">
        <f t="shared" ref="CM134:CM197" si="96">IF(SUM($Y134:$Z134)=BD134,BD134,"")</f>
        <v/>
      </c>
      <c r="CN134" s="39" t="str">
        <f t="shared" ref="CN134:CN197" si="97">IF(SUM($Y134:$Z134)=BF134,BF134,"")</f>
        <v/>
      </c>
      <c r="CO134" s="458" t="str">
        <f t="shared" ref="CO134:CO197" si="98">IF(SUM($Y134:$Z134)=BG134,BG134,"")</f>
        <v/>
      </c>
      <c r="CP134" s="458" t="str">
        <f t="shared" ref="CP134:CP197" si="99">IF(SUM($Y134:$Z134)=BH134,BH134,"")</f>
        <v/>
      </c>
      <c r="CQ134" s="458" t="str">
        <f t="shared" ref="CQ134:CQ197" si="100">IF(SUM($Y134:$Z134)=BI134,BI134,"")</f>
        <v/>
      </c>
      <c r="CR134" s="458" t="str">
        <f t="shared" ref="CR134:CR197" si="101">IF(SUM($Y134:$Z134)=BJ134,BJ134,"")</f>
        <v/>
      </c>
      <c r="CS134" s="40" t="str">
        <f t="shared" ref="CS134:CS197" si="102">IF(SUM($Y134:$Z134)=BK134,BK134,"")</f>
        <v/>
      </c>
      <c r="CT134" s="40" t="str">
        <f t="shared" ref="CT134:CT197" si="103">IF(SUM($Y134:$Z134)=BL134,BL134,"")</f>
        <v/>
      </c>
      <c r="CU134" s="41" t="str">
        <f t="shared" ref="CU134:CU197" si="104">IF(SUM($Y134:$Z134)=BM134,BM134,"")</f>
        <v/>
      </c>
    </row>
    <row r="135" spans="1:99" x14ac:dyDescent="0.2">
      <c r="A135" s="77">
        <f t="shared" ref="A135:A198" si="105">A134+1</f>
        <v>130</v>
      </c>
      <c r="B135" s="81"/>
      <c r="C135" s="82"/>
      <c r="D135" s="71"/>
      <c r="E135" s="72"/>
      <c r="F135" s="73"/>
      <c r="G135" s="443"/>
      <c r="H135" s="443"/>
      <c r="I135" s="74"/>
      <c r="J135" s="75"/>
      <c r="K135" s="41">
        <f t="shared" si="74"/>
        <v>3625</v>
      </c>
      <c r="L135" s="104"/>
      <c r="M135" s="105"/>
      <c r="N135" s="106">
        <f t="shared" si="75"/>
        <v>537.05999999999995</v>
      </c>
      <c r="O135" s="104"/>
      <c r="P135" s="105"/>
      <c r="Q135" s="106">
        <f t="shared" si="72"/>
        <v>10045.83</v>
      </c>
      <c r="R135" s="104"/>
      <c r="S135" s="105"/>
      <c r="T135" s="106">
        <f t="shared" si="73"/>
        <v>0</v>
      </c>
      <c r="U135" s="439"/>
      <c r="V135" s="42">
        <f t="shared" si="76"/>
        <v>130</v>
      </c>
      <c r="W135" s="39" t="str">
        <f>IF(AND(E135='Povolené hodnoty'!$B$4,F135=2),I135+L135+O135+R135,"")</f>
        <v/>
      </c>
      <c r="X135" s="41" t="str">
        <f>IF(AND(E135='Povolené hodnoty'!$B$4,F135=1),I135+L135+O135+R135,"")</f>
        <v/>
      </c>
      <c r="Y135" s="39" t="str">
        <f>IF(AND(E135='Povolené hodnoty'!$B$4,F135=10),J135+M135+P135+S135,"")</f>
        <v/>
      </c>
      <c r="Z135" s="41" t="str">
        <f>IF(AND(E135='Povolené hodnoty'!$B$4,F135=9),J135+M135+P135+S135,"")</f>
        <v/>
      </c>
      <c r="AA135" s="39" t="str">
        <f>IF(AND(E135&lt;&gt;'Povolené hodnoty'!$B$4,F135=2),I135+L135+O135+R135,"")</f>
        <v/>
      </c>
      <c r="AB135" s="40" t="str">
        <f>IF(AND(E135&lt;&gt;'Povolené hodnoty'!$B$4,F135=3),I135+L135+O135+R135,"")</f>
        <v/>
      </c>
      <c r="AC135" s="40" t="str">
        <f>IF(AND(E135&lt;&gt;'Povolené hodnoty'!$B$4,F135=4),I135+L135+O135+R135,"")</f>
        <v/>
      </c>
      <c r="AD135" s="40" t="str">
        <f>IF(AND(E135&lt;&gt;'Povolené hodnoty'!$B$4,F135="5a"),I135-J135+L135-M135+O135-P135+R135-S135,"")</f>
        <v/>
      </c>
      <c r="AE135" s="40" t="str">
        <f>IF(AND(E135&lt;&gt;'Povolené hodnoty'!$B$4,F135="5b"),I135-J135+L135-M135+O135-P135+R135-S135,"")</f>
        <v/>
      </c>
      <c r="AF135" s="40" t="str">
        <f>IF(AND(E135&lt;&gt;'Povolené hodnoty'!$B$4,F135=6),I135+L135+O135+R135,"")</f>
        <v/>
      </c>
      <c r="AG135" s="41" t="str">
        <f>IF(AND(E135&lt;&gt;'Povolené hodnoty'!$B$4,F135=7),I135+L135+O135+R135,"")</f>
        <v/>
      </c>
      <c r="AH135" s="39" t="str">
        <f>IF(AND(E135&lt;&gt;'Povolené hodnoty'!$B$4,F135=10),J135+M135+P135+S135,"")</f>
        <v/>
      </c>
      <c r="AI135" s="40" t="str">
        <f>IF(AND(E135&lt;&gt;'Povolené hodnoty'!$B$4,F135=11),J135+M135+P135+S135,"")</f>
        <v/>
      </c>
      <c r="AJ135" s="40" t="str">
        <f>IF(AND(E135&lt;&gt;'Povolené hodnoty'!$B$4,F135=12),J135+M135+P135+S135,"")</f>
        <v/>
      </c>
      <c r="AK135" s="41" t="str">
        <f>IF(AND(E135&lt;&gt;'Povolené hodnoty'!$B$4,F135=13),J135+M135+P135+S135,"")</f>
        <v/>
      </c>
      <c r="AL135" s="39" t="str">
        <f>IF(AND($G135='Povolené hodnoty'!$B$13,$H135=AL$4),SUM($I135,$L135,$O135,$R135),"")</f>
        <v/>
      </c>
      <c r="AM135" s="458" t="str">
        <f>IF(AND($G135='Povolené hodnoty'!$B$13,$H135=AM$4),SUM($I135,$L135,$O135,$R135),"")</f>
        <v/>
      </c>
      <c r="AN135" s="458" t="str">
        <f>IF(AND($G135='Povolené hodnoty'!$B$13,$H135=AN$4),SUM($I135,$L135,$O135,$R135),"")</f>
        <v/>
      </c>
      <c r="AO135" s="458" t="str">
        <f>IF(AND($G135='Povolené hodnoty'!$B$13,$H135=AO$4),SUM($I135,$L135,$O135,$R135),"")</f>
        <v/>
      </c>
      <c r="AP135" s="458" t="str">
        <f>IF(AND($G135='Povolené hodnoty'!$B$13,$H135=AP$4),SUM($I135,$L135,$O135,$R135),"")</f>
        <v/>
      </c>
      <c r="AQ135" s="40" t="str">
        <f>IF(AND($G135='Povolené hodnoty'!$B$13,OR($H135=AQ$4,$H135='Povolené hodnoty'!$E$36)),SUM($I135,-$J135,$L135,-$M135,$O135,-$P135,$R135,-$S135),"")</f>
        <v/>
      </c>
      <c r="AR135" s="40" t="str">
        <f>IF(AND($G135='Povolené hodnoty'!$B$13,$H135=AR$4),SUM($I135,$L135,$O135,$R135),"")</f>
        <v/>
      </c>
      <c r="AS135" s="41" t="str">
        <f>IF(AND($G135='Povolené hodnoty'!$B$13,$H135=AS$4),SUM($I135,$L135,$O135,$R135),"")</f>
        <v/>
      </c>
      <c r="AT135" s="39" t="str">
        <f>IF(AND($G135='Povolené hodnoty'!$B$14,$H135=AT$4),SUM($I135,$L135,$O135,$R135),"")</f>
        <v/>
      </c>
      <c r="AU135" s="458" t="str">
        <f>IF(AND($G135='Povolené hodnoty'!$B$14,$H135=AU$4),SUM($I135,$L135,$O135,$R135),"")</f>
        <v/>
      </c>
      <c r="AV135" s="41" t="str">
        <f>IF(AND($G135='Povolené hodnoty'!$B$14,$H135=AV$4),SUM($I135,$L135,$O135,$R135),"")</f>
        <v/>
      </c>
      <c r="AW135" s="39" t="str">
        <f>IF(AND($G135='Povolené hodnoty'!$B$13,$H135=AW$4),SUM($J135,$M135,$P135,$S135),"")</f>
        <v/>
      </c>
      <c r="AX135" s="458" t="str">
        <f>IF(AND($G135='Povolené hodnoty'!$B$13,$H135=AX$4),SUM($J135,$M135,$P135,$S135),"")</f>
        <v/>
      </c>
      <c r="AY135" s="458" t="str">
        <f>IF(AND($G135='Povolené hodnoty'!$B$13,$H135=AY$4),SUM($J135,$M135,$P135,$S135),"")</f>
        <v/>
      </c>
      <c r="AZ135" s="458" t="str">
        <f>IF(AND($G135='Povolené hodnoty'!$B$13,$H135=AZ$4),SUM($J135,$M135,$P135,$S135),"")</f>
        <v/>
      </c>
      <c r="BA135" s="458" t="str">
        <f>IF(AND($G135='Povolené hodnoty'!$B$13,$H135=BA$4),SUM($J135,$M135,$P135,$S135),"")</f>
        <v/>
      </c>
      <c r="BB135" s="40" t="str">
        <f>IF(AND($G135='Povolené hodnoty'!$B$13,$H135=BB$4),SUM($J135,$M135,$P135,$S135),"")</f>
        <v/>
      </c>
      <c r="BC135" s="40" t="str">
        <f>IF(AND($G135='Povolené hodnoty'!$B$13,$H135=BC$4),SUM($J135,$M135,$P135,$S135),"")</f>
        <v/>
      </c>
      <c r="BD135" s="40" t="str">
        <f>IF(AND($G135='Povolené hodnoty'!$B$13,$H135=BD$4),SUM($J135,$M135,$P135,$S135),"")</f>
        <v/>
      </c>
      <c r="BE135" s="41" t="str">
        <f>IF(AND($G135='Povolené hodnoty'!$B$13,$H135=BE$4),SUM($J135,$M135,$P135,$S135),"")</f>
        <v/>
      </c>
      <c r="BF135" s="39" t="str">
        <f>IF(AND($G135='Povolené hodnoty'!$B$14,$H135=BF$4),SUM($J135,$M135,$P135,$S135),"")</f>
        <v/>
      </c>
      <c r="BG135" s="458" t="str">
        <f>IF(AND($G135='Povolené hodnoty'!$B$14,$H135=BG$4),SUM($J135,$M135,$P135,$S135),"")</f>
        <v/>
      </c>
      <c r="BH135" s="458" t="str">
        <f>IF(AND($G135='Povolené hodnoty'!$B$14,$H135=BH$4),SUM($J135,$M135,$P135,$S135),"")</f>
        <v/>
      </c>
      <c r="BI135" s="458" t="str">
        <f>IF(AND($G135='Povolené hodnoty'!$B$14,$H135=BI$4),SUM($J135,$M135,$P135,$S135),"")</f>
        <v/>
      </c>
      <c r="BJ135" s="458" t="str">
        <f>IF(AND($G135='Povolené hodnoty'!$B$14,$H135=BJ$4),SUM($J135,$M135,$P135,$S135),"")</f>
        <v/>
      </c>
      <c r="BK135" s="40" t="str">
        <f>IF(AND($G135='Povolené hodnoty'!$B$14,$H135=BK$4),SUM($J135,$M135,$P135,$S135),"")</f>
        <v/>
      </c>
      <c r="BL135" s="40" t="str">
        <f>IF(AND($G135='Povolené hodnoty'!$B$14,$H135=BL$4),SUM($J135,$M135,$P135,$S135),"")</f>
        <v/>
      </c>
      <c r="BM135" s="41" t="str">
        <f>IF(AND($G135='Povolené hodnoty'!$B$14,$H135=BM$4),SUM($J135,$M135,$P135,$S135),"")</f>
        <v/>
      </c>
      <c r="BO135" s="18" t="b">
        <f t="shared" ref="BO135:BO198" si="106">OR(BP135:BT135)</f>
        <v>0</v>
      </c>
      <c r="BP135" s="18" t="b">
        <f t="shared" si="77"/>
        <v>0</v>
      </c>
      <c r="BQ135" s="18" t="b">
        <f>AND(E135&lt;&gt;'Povolené hodnoty'!$B$6,F135&lt;&gt;'Povolené hodnoty'!$D$7,F135&lt;&gt;'Povolené hodnoty'!$D$8,OR(SUM(I135,L135,O135,R135)&lt;&gt;SUM(W135:X135,AA135:AG135),SUM(J135,M135,P135,S135)&lt;&gt;SUM(Y135:Z135,AH135:AK135),COUNT(I135:J135,L135:M135,O135:P135,R135:S135)&lt;&gt;COUNT(W135:AK135)))</f>
        <v>0</v>
      </c>
      <c r="BR135" s="18" t="b">
        <f>OR(AND(E135='Povolené hodnoty'!$B$6,$BR$5),AND(E135='Povolené hodnoty'!$B$6,H135&lt;&gt;'Povolené hodnoty'!$E$26,H135&lt;&gt;'Povolené hodnoty'!$E$35),AND(E135&lt;&gt;'Povolené hodnoty'!$B$6,OR(H135='Povolené hodnoty'!$E$26,H135='Povolené hodnoty'!$E$35)))</f>
        <v>0</v>
      </c>
      <c r="BS135" s="18" t="b">
        <f>OR(AND(G135&lt;&gt;'Povolené hodnoty'!$B$13,OR(H135='Povolené hodnoty'!$E$21,H135='Povolené hodnoty'!$E$22,H135='Povolené hodnoty'!$E$23,H135='Povolené hodnoty'!$E$24,H135='Povolené hodnoty'!$E$26,H135='Povolené hodnoty'!$E$36)),COUNT(I135:J135,L135:M135,O135:P135,R135:S135)&lt;&gt;COUNT(AL135:BM135))</f>
        <v>0</v>
      </c>
      <c r="BT135" s="18" t="b">
        <f t="shared" si="78"/>
        <v>0</v>
      </c>
      <c r="BV135" s="39" t="str">
        <f t="shared" si="79"/>
        <v/>
      </c>
      <c r="BW135" s="458" t="str">
        <f t="shared" si="80"/>
        <v/>
      </c>
      <c r="BX135" s="458" t="str">
        <f t="shared" si="81"/>
        <v/>
      </c>
      <c r="BY135" s="458" t="str">
        <f t="shared" si="82"/>
        <v/>
      </c>
      <c r="BZ135" s="458" t="str">
        <f t="shared" si="83"/>
        <v/>
      </c>
      <c r="CA135" s="40" t="str">
        <f t="shared" si="84"/>
        <v/>
      </c>
      <c r="CB135" s="40" t="str">
        <f t="shared" si="85"/>
        <v/>
      </c>
      <c r="CC135" s="39" t="str">
        <f t="shared" si="86"/>
        <v/>
      </c>
      <c r="CD135" s="458" t="str">
        <f t="shared" si="87"/>
        <v/>
      </c>
      <c r="CE135" s="41" t="str">
        <f t="shared" si="88"/>
        <v/>
      </c>
      <c r="CF135" s="39" t="str">
        <f t="shared" si="89"/>
        <v/>
      </c>
      <c r="CG135" s="458" t="str">
        <f t="shared" si="90"/>
        <v/>
      </c>
      <c r="CH135" s="458" t="str">
        <f t="shared" si="91"/>
        <v/>
      </c>
      <c r="CI135" s="458" t="str">
        <f t="shared" si="92"/>
        <v/>
      </c>
      <c r="CJ135" s="458" t="str">
        <f t="shared" si="93"/>
        <v/>
      </c>
      <c r="CK135" s="40" t="str">
        <f t="shared" si="94"/>
        <v/>
      </c>
      <c r="CL135" s="40" t="str">
        <f t="shared" si="95"/>
        <v/>
      </c>
      <c r="CM135" s="40" t="str">
        <f t="shared" si="96"/>
        <v/>
      </c>
      <c r="CN135" s="39" t="str">
        <f t="shared" si="97"/>
        <v/>
      </c>
      <c r="CO135" s="458" t="str">
        <f t="shared" si="98"/>
        <v/>
      </c>
      <c r="CP135" s="458" t="str">
        <f t="shared" si="99"/>
        <v/>
      </c>
      <c r="CQ135" s="458" t="str">
        <f t="shared" si="100"/>
        <v/>
      </c>
      <c r="CR135" s="458" t="str">
        <f t="shared" si="101"/>
        <v/>
      </c>
      <c r="CS135" s="40" t="str">
        <f t="shared" si="102"/>
        <v/>
      </c>
      <c r="CT135" s="40" t="str">
        <f t="shared" si="103"/>
        <v/>
      </c>
      <c r="CU135" s="41" t="str">
        <f t="shared" si="104"/>
        <v/>
      </c>
    </row>
    <row r="136" spans="1:99" x14ac:dyDescent="0.2">
      <c r="A136" s="77">
        <f t="shared" si="105"/>
        <v>131</v>
      </c>
      <c r="B136" s="81"/>
      <c r="C136" s="82"/>
      <c r="D136" s="71"/>
      <c r="E136" s="72"/>
      <c r="F136" s="73"/>
      <c r="G136" s="443"/>
      <c r="H136" s="443"/>
      <c r="I136" s="74"/>
      <c r="J136" s="75"/>
      <c r="K136" s="41">
        <f t="shared" si="74"/>
        <v>3625</v>
      </c>
      <c r="L136" s="104"/>
      <c r="M136" s="105"/>
      <c r="N136" s="106">
        <f t="shared" si="75"/>
        <v>537.05999999999995</v>
      </c>
      <c r="O136" s="104"/>
      <c r="P136" s="105"/>
      <c r="Q136" s="106">
        <f t="shared" ref="Q136:Q199" si="107">Q135+O136-P136</f>
        <v>10045.83</v>
      </c>
      <c r="R136" s="104"/>
      <c r="S136" s="105"/>
      <c r="T136" s="106">
        <f t="shared" ref="T136:T199" si="108">T135+R136-S136</f>
        <v>0</v>
      </c>
      <c r="U136" s="439"/>
      <c r="V136" s="42">
        <f t="shared" si="76"/>
        <v>131</v>
      </c>
      <c r="W136" s="39" t="str">
        <f>IF(AND(E136='Povolené hodnoty'!$B$4,F136=2),I136+L136+O136+R136,"")</f>
        <v/>
      </c>
      <c r="X136" s="41" t="str">
        <f>IF(AND(E136='Povolené hodnoty'!$B$4,F136=1),I136+L136+O136+R136,"")</f>
        <v/>
      </c>
      <c r="Y136" s="39" t="str">
        <f>IF(AND(E136='Povolené hodnoty'!$B$4,F136=10),J136+M136+P136+S136,"")</f>
        <v/>
      </c>
      <c r="Z136" s="41" t="str">
        <f>IF(AND(E136='Povolené hodnoty'!$B$4,F136=9),J136+M136+P136+S136,"")</f>
        <v/>
      </c>
      <c r="AA136" s="39" t="str">
        <f>IF(AND(E136&lt;&gt;'Povolené hodnoty'!$B$4,F136=2),I136+L136+O136+R136,"")</f>
        <v/>
      </c>
      <c r="AB136" s="40" t="str">
        <f>IF(AND(E136&lt;&gt;'Povolené hodnoty'!$B$4,F136=3),I136+L136+O136+R136,"")</f>
        <v/>
      </c>
      <c r="AC136" s="40" t="str">
        <f>IF(AND(E136&lt;&gt;'Povolené hodnoty'!$B$4,F136=4),I136+L136+O136+R136,"")</f>
        <v/>
      </c>
      <c r="AD136" s="40" t="str">
        <f>IF(AND(E136&lt;&gt;'Povolené hodnoty'!$B$4,F136="5a"),I136-J136+L136-M136+O136-P136+R136-S136,"")</f>
        <v/>
      </c>
      <c r="AE136" s="40" t="str">
        <f>IF(AND(E136&lt;&gt;'Povolené hodnoty'!$B$4,F136="5b"),I136-J136+L136-M136+O136-P136+R136-S136,"")</f>
        <v/>
      </c>
      <c r="AF136" s="40" t="str">
        <f>IF(AND(E136&lt;&gt;'Povolené hodnoty'!$B$4,F136=6),I136+L136+O136+R136,"")</f>
        <v/>
      </c>
      <c r="AG136" s="41" t="str">
        <f>IF(AND(E136&lt;&gt;'Povolené hodnoty'!$B$4,F136=7),I136+L136+O136+R136,"")</f>
        <v/>
      </c>
      <c r="AH136" s="39" t="str">
        <f>IF(AND(E136&lt;&gt;'Povolené hodnoty'!$B$4,F136=10),J136+M136+P136+S136,"")</f>
        <v/>
      </c>
      <c r="AI136" s="40" t="str">
        <f>IF(AND(E136&lt;&gt;'Povolené hodnoty'!$B$4,F136=11),J136+M136+P136+S136,"")</f>
        <v/>
      </c>
      <c r="AJ136" s="40" t="str">
        <f>IF(AND(E136&lt;&gt;'Povolené hodnoty'!$B$4,F136=12),J136+M136+P136+S136,"")</f>
        <v/>
      </c>
      <c r="AK136" s="41" t="str">
        <f>IF(AND(E136&lt;&gt;'Povolené hodnoty'!$B$4,F136=13),J136+M136+P136+S136,"")</f>
        <v/>
      </c>
      <c r="AL136" s="39" t="str">
        <f>IF(AND($G136='Povolené hodnoty'!$B$13,$H136=AL$4),SUM($I136,$L136,$O136,$R136),"")</f>
        <v/>
      </c>
      <c r="AM136" s="458" t="str">
        <f>IF(AND($G136='Povolené hodnoty'!$B$13,$H136=AM$4),SUM($I136,$L136,$O136,$R136),"")</f>
        <v/>
      </c>
      <c r="AN136" s="458" t="str">
        <f>IF(AND($G136='Povolené hodnoty'!$B$13,$H136=AN$4),SUM($I136,$L136,$O136,$R136),"")</f>
        <v/>
      </c>
      <c r="AO136" s="458" t="str">
        <f>IF(AND($G136='Povolené hodnoty'!$B$13,$H136=AO$4),SUM($I136,$L136,$O136,$R136),"")</f>
        <v/>
      </c>
      <c r="AP136" s="458" t="str">
        <f>IF(AND($G136='Povolené hodnoty'!$B$13,$H136=AP$4),SUM($I136,$L136,$O136,$R136),"")</f>
        <v/>
      </c>
      <c r="AQ136" s="40" t="str">
        <f>IF(AND($G136='Povolené hodnoty'!$B$13,OR($H136=AQ$4,$H136='Povolené hodnoty'!$E$36)),SUM($I136,-$J136,$L136,-$M136,$O136,-$P136,$R136,-$S136),"")</f>
        <v/>
      </c>
      <c r="AR136" s="40" t="str">
        <f>IF(AND($G136='Povolené hodnoty'!$B$13,$H136=AR$4),SUM($I136,$L136,$O136,$R136),"")</f>
        <v/>
      </c>
      <c r="AS136" s="41" t="str">
        <f>IF(AND($G136='Povolené hodnoty'!$B$13,$H136=AS$4),SUM($I136,$L136,$O136,$R136),"")</f>
        <v/>
      </c>
      <c r="AT136" s="39" t="str">
        <f>IF(AND($G136='Povolené hodnoty'!$B$14,$H136=AT$4),SUM($I136,$L136,$O136,$R136),"")</f>
        <v/>
      </c>
      <c r="AU136" s="458" t="str">
        <f>IF(AND($G136='Povolené hodnoty'!$B$14,$H136=AU$4),SUM($I136,$L136,$O136,$R136),"")</f>
        <v/>
      </c>
      <c r="AV136" s="41" t="str">
        <f>IF(AND($G136='Povolené hodnoty'!$B$14,$H136=AV$4),SUM($I136,$L136,$O136,$R136),"")</f>
        <v/>
      </c>
      <c r="AW136" s="39" t="str">
        <f>IF(AND($G136='Povolené hodnoty'!$B$13,$H136=AW$4),SUM($J136,$M136,$P136,$S136),"")</f>
        <v/>
      </c>
      <c r="AX136" s="458" t="str">
        <f>IF(AND($G136='Povolené hodnoty'!$B$13,$H136=AX$4),SUM($J136,$M136,$P136,$S136),"")</f>
        <v/>
      </c>
      <c r="AY136" s="458" t="str">
        <f>IF(AND($G136='Povolené hodnoty'!$B$13,$H136=AY$4),SUM($J136,$M136,$P136,$S136),"")</f>
        <v/>
      </c>
      <c r="AZ136" s="458" t="str">
        <f>IF(AND($G136='Povolené hodnoty'!$B$13,$H136=AZ$4),SUM($J136,$M136,$P136,$S136),"")</f>
        <v/>
      </c>
      <c r="BA136" s="458" t="str">
        <f>IF(AND($G136='Povolené hodnoty'!$B$13,$H136=BA$4),SUM($J136,$M136,$P136,$S136),"")</f>
        <v/>
      </c>
      <c r="BB136" s="40" t="str">
        <f>IF(AND($G136='Povolené hodnoty'!$B$13,$H136=BB$4),SUM($J136,$M136,$P136,$S136),"")</f>
        <v/>
      </c>
      <c r="BC136" s="40" t="str">
        <f>IF(AND($G136='Povolené hodnoty'!$B$13,$H136=BC$4),SUM($J136,$M136,$P136,$S136),"")</f>
        <v/>
      </c>
      <c r="BD136" s="40" t="str">
        <f>IF(AND($G136='Povolené hodnoty'!$B$13,$H136=BD$4),SUM($J136,$M136,$P136,$S136),"")</f>
        <v/>
      </c>
      <c r="BE136" s="41" t="str">
        <f>IF(AND($G136='Povolené hodnoty'!$B$13,$H136=BE$4),SUM($J136,$M136,$P136,$S136),"")</f>
        <v/>
      </c>
      <c r="BF136" s="39" t="str">
        <f>IF(AND($G136='Povolené hodnoty'!$B$14,$H136=BF$4),SUM($J136,$M136,$P136,$S136),"")</f>
        <v/>
      </c>
      <c r="BG136" s="458" t="str">
        <f>IF(AND($G136='Povolené hodnoty'!$B$14,$H136=BG$4),SUM($J136,$M136,$P136,$S136),"")</f>
        <v/>
      </c>
      <c r="BH136" s="458" t="str">
        <f>IF(AND($G136='Povolené hodnoty'!$B$14,$H136=BH$4),SUM($J136,$M136,$P136,$S136),"")</f>
        <v/>
      </c>
      <c r="BI136" s="458" t="str">
        <f>IF(AND($G136='Povolené hodnoty'!$B$14,$H136=BI$4),SUM($J136,$M136,$P136,$S136),"")</f>
        <v/>
      </c>
      <c r="BJ136" s="458" t="str">
        <f>IF(AND($G136='Povolené hodnoty'!$B$14,$H136=BJ$4),SUM($J136,$M136,$P136,$S136),"")</f>
        <v/>
      </c>
      <c r="BK136" s="40" t="str">
        <f>IF(AND($G136='Povolené hodnoty'!$B$14,$H136=BK$4),SUM($J136,$M136,$P136,$S136),"")</f>
        <v/>
      </c>
      <c r="BL136" s="40" t="str">
        <f>IF(AND($G136='Povolené hodnoty'!$B$14,$H136=BL$4),SUM($J136,$M136,$P136,$S136),"")</f>
        <v/>
      </c>
      <c r="BM136" s="41" t="str">
        <f>IF(AND($G136='Povolené hodnoty'!$B$14,$H136=BM$4),SUM($J136,$M136,$P136,$S136),"")</f>
        <v/>
      </c>
      <c r="BO136" s="18" t="b">
        <f t="shared" si="106"/>
        <v>0</v>
      </c>
      <c r="BP136" s="18" t="b">
        <f t="shared" si="77"/>
        <v>0</v>
      </c>
      <c r="BQ136" s="18" t="b">
        <f>AND(E136&lt;&gt;'Povolené hodnoty'!$B$6,F136&lt;&gt;'Povolené hodnoty'!$D$7,F136&lt;&gt;'Povolené hodnoty'!$D$8,OR(SUM(I136,L136,O136,R136)&lt;&gt;SUM(W136:X136,AA136:AG136),SUM(J136,M136,P136,S136)&lt;&gt;SUM(Y136:Z136,AH136:AK136),COUNT(I136:J136,L136:M136,O136:P136,R136:S136)&lt;&gt;COUNT(W136:AK136)))</f>
        <v>0</v>
      </c>
      <c r="BR136" s="18" t="b">
        <f>OR(AND(E136='Povolené hodnoty'!$B$6,$BR$5),AND(E136='Povolené hodnoty'!$B$6,H136&lt;&gt;'Povolené hodnoty'!$E$26,H136&lt;&gt;'Povolené hodnoty'!$E$35),AND(E136&lt;&gt;'Povolené hodnoty'!$B$6,OR(H136='Povolené hodnoty'!$E$26,H136='Povolené hodnoty'!$E$35)))</f>
        <v>0</v>
      </c>
      <c r="BS136" s="18" t="b">
        <f>OR(AND(G136&lt;&gt;'Povolené hodnoty'!$B$13,OR(H136='Povolené hodnoty'!$E$21,H136='Povolené hodnoty'!$E$22,H136='Povolené hodnoty'!$E$23,H136='Povolené hodnoty'!$E$24,H136='Povolené hodnoty'!$E$26,H136='Povolené hodnoty'!$E$36)),COUNT(I136:J136,L136:M136,O136:P136,R136:S136)&lt;&gt;COUNT(AL136:BM136))</f>
        <v>0</v>
      </c>
      <c r="BT136" s="18" t="b">
        <f t="shared" si="78"/>
        <v>0</v>
      </c>
      <c r="BV136" s="39" t="str">
        <f t="shared" si="79"/>
        <v/>
      </c>
      <c r="BW136" s="458" t="str">
        <f t="shared" si="80"/>
        <v/>
      </c>
      <c r="BX136" s="458" t="str">
        <f t="shared" si="81"/>
        <v/>
      </c>
      <c r="BY136" s="458" t="str">
        <f t="shared" si="82"/>
        <v/>
      </c>
      <c r="BZ136" s="458" t="str">
        <f t="shared" si="83"/>
        <v/>
      </c>
      <c r="CA136" s="40" t="str">
        <f t="shared" si="84"/>
        <v/>
      </c>
      <c r="CB136" s="40" t="str">
        <f t="shared" si="85"/>
        <v/>
      </c>
      <c r="CC136" s="39" t="str">
        <f t="shared" si="86"/>
        <v/>
      </c>
      <c r="CD136" s="458" t="str">
        <f t="shared" si="87"/>
        <v/>
      </c>
      <c r="CE136" s="41" t="str">
        <f t="shared" si="88"/>
        <v/>
      </c>
      <c r="CF136" s="39" t="str">
        <f t="shared" si="89"/>
        <v/>
      </c>
      <c r="CG136" s="458" t="str">
        <f t="shared" si="90"/>
        <v/>
      </c>
      <c r="CH136" s="458" t="str">
        <f t="shared" si="91"/>
        <v/>
      </c>
      <c r="CI136" s="458" t="str">
        <f t="shared" si="92"/>
        <v/>
      </c>
      <c r="CJ136" s="458" t="str">
        <f t="shared" si="93"/>
        <v/>
      </c>
      <c r="CK136" s="40" t="str">
        <f t="shared" si="94"/>
        <v/>
      </c>
      <c r="CL136" s="40" t="str">
        <f t="shared" si="95"/>
        <v/>
      </c>
      <c r="CM136" s="40" t="str">
        <f t="shared" si="96"/>
        <v/>
      </c>
      <c r="CN136" s="39" t="str">
        <f t="shared" si="97"/>
        <v/>
      </c>
      <c r="CO136" s="458" t="str">
        <f t="shared" si="98"/>
        <v/>
      </c>
      <c r="CP136" s="458" t="str">
        <f t="shared" si="99"/>
        <v/>
      </c>
      <c r="CQ136" s="458" t="str">
        <f t="shared" si="100"/>
        <v/>
      </c>
      <c r="CR136" s="458" t="str">
        <f t="shared" si="101"/>
        <v/>
      </c>
      <c r="CS136" s="40" t="str">
        <f t="shared" si="102"/>
        <v/>
      </c>
      <c r="CT136" s="40" t="str">
        <f t="shared" si="103"/>
        <v/>
      </c>
      <c r="CU136" s="41" t="str">
        <f t="shared" si="104"/>
        <v/>
      </c>
    </row>
    <row r="137" spans="1:99" x14ac:dyDescent="0.2">
      <c r="A137" s="77">
        <f t="shared" si="105"/>
        <v>132</v>
      </c>
      <c r="B137" s="81"/>
      <c r="C137" s="82"/>
      <c r="D137" s="71"/>
      <c r="E137" s="72"/>
      <c r="F137" s="73"/>
      <c r="G137" s="443"/>
      <c r="H137" s="443"/>
      <c r="I137" s="74"/>
      <c r="J137" s="75"/>
      <c r="K137" s="41">
        <f t="shared" si="74"/>
        <v>3625</v>
      </c>
      <c r="L137" s="104"/>
      <c r="M137" s="105"/>
      <c r="N137" s="106">
        <f t="shared" si="75"/>
        <v>537.05999999999995</v>
      </c>
      <c r="O137" s="104"/>
      <c r="P137" s="105"/>
      <c r="Q137" s="106">
        <f t="shared" si="107"/>
        <v>10045.83</v>
      </c>
      <c r="R137" s="104"/>
      <c r="S137" s="105"/>
      <c r="T137" s="106">
        <f t="shared" si="108"/>
        <v>0</v>
      </c>
      <c r="U137" s="439"/>
      <c r="V137" s="42">
        <f t="shared" si="76"/>
        <v>132</v>
      </c>
      <c r="W137" s="39" t="str">
        <f>IF(AND(E137='Povolené hodnoty'!$B$4,F137=2),I137+L137+O137+R137,"")</f>
        <v/>
      </c>
      <c r="X137" s="41" t="str">
        <f>IF(AND(E137='Povolené hodnoty'!$B$4,F137=1),I137+L137+O137+R137,"")</f>
        <v/>
      </c>
      <c r="Y137" s="39" t="str">
        <f>IF(AND(E137='Povolené hodnoty'!$B$4,F137=10),J137+M137+P137+S137,"")</f>
        <v/>
      </c>
      <c r="Z137" s="41" t="str">
        <f>IF(AND(E137='Povolené hodnoty'!$B$4,F137=9),J137+M137+P137+S137,"")</f>
        <v/>
      </c>
      <c r="AA137" s="39" t="str">
        <f>IF(AND(E137&lt;&gt;'Povolené hodnoty'!$B$4,F137=2),I137+L137+O137+R137,"")</f>
        <v/>
      </c>
      <c r="AB137" s="40" t="str">
        <f>IF(AND(E137&lt;&gt;'Povolené hodnoty'!$B$4,F137=3),I137+L137+O137+R137,"")</f>
        <v/>
      </c>
      <c r="AC137" s="40" t="str">
        <f>IF(AND(E137&lt;&gt;'Povolené hodnoty'!$B$4,F137=4),I137+L137+O137+R137,"")</f>
        <v/>
      </c>
      <c r="AD137" s="40" t="str">
        <f>IF(AND(E137&lt;&gt;'Povolené hodnoty'!$B$4,F137="5a"),I137-J137+L137-M137+O137-P137+R137-S137,"")</f>
        <v/>
      </c>
      <c r="AE137" s="40" t="str">
        <f>IF(AND(E137&lt;&gt;'Povolené hodnoty'!$B$4,F137="5b"),I137-J137+L137-M137+O137-P137+R137-S137,"")</f>
        <v/>
      </c>
      <c r="AF137" s="40" t="str">
        <f>IF(AND(E137&lt;&gt;'Povolené hodnoty'!$B$4,F137=6),I137+L137+O137+R137,"")</f>
        <v/>
      </c>
      <c r="AG137" s="41" t="str">
        <f>IF(AND(E137&lt;&gt;'Povolené hodnoty'!$B$4,F137=7),I137+L137+O137+R137,"")</f>
        <v/>
      </c>
      <c r="AH137" s="39" t="str">
        <f>IF(AND(E137&lt;&gt;'Povolené hodnoty'!$B$4,F137=10),J137+M137+P137+S137,"")</f>
        <v/>
      </c>
      <c r="AI137" s="40" t="str">
        <f>IF(AND(E137&lt;&gt;'Povolené hodnoty'!$B$4,F137=11),J137+M137+P137+S137,"")</f>
        <v/>
      </c>
      <c r="AJ137" s="40" t="str">
        <f>IF(AND(E137&lt;&gt;'Povolené hodnoty'!$B$4,F137=12),J137+M137+P137+S137,"")</f>
        <v/>
      </c>
      <c r="AK137" s="41" t="str">
        <f>IF(AND(E137&lt;&gt;'Povolené hodnoty'!$B$4,F137=13),J137+M137+P137+S137,"")</f>
        <v/>
      </c>
      <c r="AL137" s="39" t="str">
        <f>IF(AND($G137='Povolené hodnoty'!$B$13,$H137=AL$4),SUM($I137,$L137,$O137,$R137),"")</f>
        <v/>
      </c>
      <c r="AM137" s="458" t="str">
        <f>IF(AND($G137='Povolené hodnoty'!$B$13,$H137=AM$4),SUM($I137,$L137,$O137,$R137),"")</f>
        <v/>
      </c>
      <c r="AN137" s="458" t="str">
        <f>IF(AND($G137='Povolené hodnoty'!$B$13,$H137=AN$4),SUM($I137,$L137,$O137,$R137),"")</f>
        <v/>
      </c>
      <c r="AO137" s="458" t="str">
        <f>IF(AND($G137='Povolené hodnoty'!$B$13,$H137=AO$4),SUM($I137,$L137,$O137,$R137),"")</f>
        <v/>
      </c>
      <c r="AP137" s="458" t="str">
        <f>IF(AND($G137='Povolené hodnoty'!$B$13,$H137=AP$4),SUM($I137,$L137,$O137,$R137),"")</f>
        <v/>
      </c>
      <c r="AQ137" s="40" t="str">
        <f>IF(AND($G137='Povolené hodnoty'!$B$13,OR($H137=AQ$4,$H137='Povolené hodnoty'!$E$36)),SUM($I137,-$J137,$L137,-$M137,$O137,-$P137,$R137,-$S137),"")</f>
        <v/>
      </c>
      <c r="AR137" s="40" t="str">
        <f>IF(AND($G137='Povolené hodnoty'!$B$13,$H137=AR$4),SUM($I137,$L137,$O137,$R137),"")</f>
        <v/>
      </c>
      <c r="AS137" s="41" t="str">
        <f>IF(AND($G137='Povolené hodnoty'!$B$13,$H137=AS$4),SUM($I137,$L137,$O137,$R137),"")</f>
        <v/>
      </c>
      <c r="AT137" s="39" t="str">
        <f>IF(AND($G137='Povolené hodnoty'!$B$14,$H137=AT$4),SUM($I137,$L137,$O137,$R137),"")</f>
        <v/>
      </c>
      <c r="AU137" s="458" t="str">
        <f>IF(AND($G137='Povolené hodnoty'!$B$14,$H137=AU$4),SUM($I137,$L137,$O137,$R137),"")</f>
        <v/>
      </c>
      <c r="AV137" s="41" t="str">
        <f>IF(AND($G137='Povolené hodnoty'!$B$14,$H137=AV$4),SUM($I137,$L137,$O137,$R137),"")</f>
        <v/>
      </c>
      <c r="AW137" s="39" t="str">
        <f>IF(AND($G137='Povolené hodnoty'!$B$13,$H137=AW$4),SUM($J137,$M137,$P137,$S137),"")</f>
        <v/>
      </c>
      <c r="AX137" s="458" t="str">
        <f>IF(AND($G137='Povolené hodnoty'!$B$13,$H137=AX$4),SUM($J137,$M137,$P137,$S137),"")</f>
        <v/>
      </c>
      <c r="AY137" s="458" t="str">
        <f>IF(AND($G137='Povolené hodnoty'!$B$13,$H137=AY$4),SUM($J137,$M137,$P137,$S137),"")</f>
        <v/>
      </c>
      <c r="AZ137" s="458" t="str">
        <f>IF(AND($G137='Povolené hodnoty'!$B$13,$H137=AZ$4),SUM($J137,$M137,$P137,$S137),"")</f>
        <v/>
      </c>
      <c r="BA137" s="458" t="str">
        <f>IF(AND($G137='Povolené hodnoty'!$B$13,$H137=BA$4),SUM($J137,$M137,$P137,$S137),"")</f>
        <v/>
      </c>
      <c r="BB137" s="40" t="str">
        <f>IF(AND($G137='Povolené hodnoty'!$B$13,$H137=BB$4),SUM($J137,$M137,$P137,$S137),"")</f>
        <v/>
      </c>
      <c r="BC137" s="40" t="str">
        <f>IF(AND($G137='Povolené hodnoty'!$B$13,$H137=BC$4),SUM($J137,$M137,$P137,$S137),"")</f>
        <v/>
      </c>
      <c r="BD137" s="40" t="str">
        <f>IF(AND($G137='Povolené hodnoty'!$B$13,$H137=BD$4),SUM($J137,$M137,$P137,$S137),"")</f>
        <v/>
      </c>
      <c r="BE137" s="41" t="str">
        <f>IF(AND($G137='Povolené hodnoty'!$B$13,$H137=BE$4),SUM($J137,$M137,$P137,$S137),"")</f>
        <v/>
      </c>
      <c r="BF137" s="39" t="str">
        <f>IF(AND($G137='Povolené hodnoty'!$B$14,$H137=BF$4),SUM($J137,$M137,$P137,$S137),"")</f>
        <v/>
      </c>
      <c r="BG137" s="458" t="str">
        <f>IF(AND($G137='Povolené hodnoty'!$B$14,$H137=BG$4),SUM($J137,$M137,$P137,$S137),"")</f>
        <v/>
      </c>
      <c r="BH137" s="458" t="str">
        <f>IF(AND($G137='Povolené hodnoty'!$B$14,$H137=BH$4),SUM($J137,$M137,$P137,$S137),"")</f>
        <v/>
      </c>
      <c r="BI137" s="458" t="str">
        <f>IF(AND($G137='Povolené hodnoty'!$B$14,$H137=BI$4),SUM($J137,$M137,$P137,$S137),"")</f>
        <v/>
      </c>
      <c r="BJ137" s="458" t="str">
        <f>IF(AND($G137='Povolené hodnoty'!$B$14,$H137=BJ$4),SUM($J137,$M137,$P137,$S137),"")</f>
        <v/>
      </c>
      <c r="BK137" s="40" t="str">
        <f>IF(AND($G137='Povolené hodnoty'!$B$14,$H137=BK$4),SUM($J137,$M137,$P137,$S137),"")</f>
        <v/>
      </c>
      <c r="BL137" s="40" t="str">
        <f>IF(AND($G137='Povolené hodnoty'!$B$14,$H137=BL$4),SUM($J137,$M137,$P137,$S137),"")</f>
        <v/>
      </c>
      <c r="BM137" s="41" t="str">
        <f>IF(AND($G137='Povolené hodnoty'!$B$14,$H137=BM$4),SUM($J137,$M137,$P137,$S137),"")</f>
        <v/>
      </c>
      <c r="BO137" s="18" t="b">
        <f t="shared" si="106"/>
        <v>0</v>
      </c>
      <c r="BP137" s="18" t="b">
        <f t="shared" si="77"/>
        <v>0</v>
      </c>
      <c r="BQ137" s="18" t="b">
        <f>AND(E137&lt;&gt;'Povolené hodnoty'!$B$6,F137&lt;&gt;'Povolené hodnoty'!$D$7,F137&lt;&gt;'Povolené hodnoty'!$D$8,OR(SUM(I137,L137,O137,R137)&lt;&gt;SUM(W137:X137,AA137:AG137),SUM(J137,M137,P137,S137)&lt;&gt;SUM(Y137:Z137,AH137:AK137),COUNT(I137:J137,L137:M137,O137:P137,R137:S137)&lt;&gt;COUNT(W137:AK137)))</f>
        <v>0</v>
      </c>
      <c r="BR137" s="18" t="b">
        <f>OR(AND(E137='Povolené hodnoty'!$B$6,$BR$5),AND(E137='Povolené hodnoty'!$B$6,H137&lt;&gt;'Povolené hodnoty'!$E$26,H137&lt;&gt;'Povolené hodnoty'!$E$35),AND(E137&lt;&gt;'Povolené hodnoty'!$B$6,OR(H137='Povolené hodnoty'!$E$26,H137='Povolené hodnoty'!$E$35)))</f>
        <v>0</v>
      </c>
      <c r="BS137" s="18" t="b">
        <f>OR(AND(G137&lt;&gt;'Povolené hodnoty'!$B$13,OR(H137='Povolené hodnoty'!$E$21,H137='Povolené hodnoty'!$E$22,H137='Povolené hodnoty'!$E$23,H137='Povolené hodnoty'!$E$24,H137='Povolené hodnoty'!$E$26,H137='Povolené hodnoty'!$E$36)),COUNT(I137:J137,L137:M137,O137:P137,R137:S137)&lt;&gt;COUNT(AL137:BM137))</f>
        <v>0</v>
      </c>
      <c r="BT137" s="18" t="b">
        <f t="shared" si="78"/>
        <v>0</v>
      </c>
      <c r="BV137" s="39" t="str">
        <f t="shared" si="79"/>
        <v/>
      </c>
      <c r="BW137" s="458" t="str">
        <f t="shared" si="80"/>
        <v/>
      </c>
      <c r="BX137" s="458" t="str">
        <f t="shared" si="81"/>
        <v/>
      </c>
      <c r="BY137" s="458" t="str">
        <f t="shared" si="82"/>
        <v/>
      </c>
      <c r="BZ137" s="458" t="str">
        <f t="shared" si="83"/>
        <v/>
      </c>
      <c r="CA137" s="40" t="str">
        <f t="shared" si="84"/>
        <v/>
      </c>
      <c r="CB137" s="40" t="str">
        <f t="shared" si="85"/>
        <v/>
      </c>
      <c r="CC137" s="39" t="str">
        <f t="shared" si="86"/>
        <v/>
      </c>
      <c r="CD137" s="458" t="str">
        <f t="shared" si="87"/>
        <v/>
      </c>
      <c r="CE137" s="41" t="str">
        <f t="shared" si="88"/>
        <v/>
      </c>
      <c r="CF137" s="39" t="str">
        <f t="shared" si="89"/>
        <v/>
      </c>
      <c r="CG137" s="458" t="str">
        <f t="shared" si="90"/>
        <v/>
      </c>
      <c r="CH137" s="458" t="str">
        <f t="shared" si="91"/>
        <v/>
      </c>
      <c r="CI137" s="458" t="str">
        <f t="shared" si="92"/>
        <v/>
      </c>
      <c r="CJ137" s="458" t="str">
        <f t="shared" si="93"/>
        <v/>
      </c>
      <c r="CK137" s="40" t="str">
        <f t="shared" si="94"/>
        <v/>
      </c>
      <c r="CL137" s="40" t="str">
        <f t="shared" si="95"/>
        <v/>
      </c>
      <c r="CM137" s="40" t="str">
        <f t="shared" si="96"/>
        <v/>
      </c>
      <c r="CN137" s="39" t="str">
        <f t="shared" si="97"/>
        <v/>
      </c>
      <c r="CO137" s="458" t="str">
        <f t="shared" si="98"/>
        <v/>
      </c>
      <c r="CP137" s="458" t="str">
        <f t="shared" si="99"/>
        <v/>
      </c>
      <c r="CQ137" s="458" t="str">
        <f t="shared" si="100"/>
        <v/>
      </c>
      <c r="CR137" s="458" t="str">
        <f t="shared" si="101"/>
        <v/>
      </c>
      <c r="CS137" s="40" t="str">
        <f t="shared" si="102"/>
        <v/>
      </c>
      <c r="CT137" s="40" t="str">
        <f t="shared" si="103"/>
        <v/>
      </c>
      <c r="CU137" s="41" t="str">
        <f t="shared" si="104"/>
        <v/>
      </c>
    </row>
    <row r="138" spans="1:99" x14ac:dyDescent="0.2">
      <c r="A138" s="77">
        <f t="shared" si="105"/>
        <v>133</v>
      </c>
      <c r="B138" s="81"/>
      <c r="C138" s="82"/>
      <c r="D138" s="71"/>
      <c r="E138" s="72"/>
      <c r="F138" s="73"/>
      <c r="G138" s="443"/>
      <c r="H138" s="443"/>
      <c r="I138" s="74"/>
      <c r="J138" s="75"/>
      <c r="K138" s="41">
        <f t="shared" si="74"/>
        <v>3625</v>
      </c>
      <c r="L138" s="104"/>
      <c r="M138" s="105"/>
      <c r="N138" s="106">
        <f t="shared" si="75"/>
        <v>537.05999999999995</v>
      </c>
      <c r="O138" s="104"/>
      <c r="P138" s="105"/>
      <c r="Q138" s="106">
        <f t="shared" si="107"/>
        <v>10045.83</v>
      </c>
      <c r="R138" s="104"/>
      <c r="S138" s="105"/>
      <c r="T138" s="106">
        <f t="shared" si="108"/>
        <v>0</v>
      </c>
      <c r="U138" s="439"/>
      <c r="V138" s="42">
        <f t="shared" si="76"/>
        <v>133</v>
      </c>
      <c r="W138" s="39" t="str">
        <f>IF(AND(E138='Povolené hodnoty'!$B$4,F138=2),I138+L138+O138+R138,"")</f>
        <v/>
      </c>
      <c r="X138" s="41" t="str">
        <f>IF(AND(E138='Povolené hodnoty'!$B$4,F138=1),I138+L138+O138+R138,"")</f>
        <v/>
      </c>
      <c r="Y138" s="39" t="str">
        <f>IF(AND(E138='Povolené hodnoty'!$B$4,F138=10),J138+M138+P138+S138,"")</f>
        <v/>
      </c>
      <c r="Z138" s="41" t="str">
        <f>IF(AND(E138='Povolené hodnoty'!$B$4,F138=9),J138+M138+P138+S138,"")</f>
        <v/>
      </c>
      <c r="AA138" s="39" t="str">
        <f>IF(AND(E138&lt;&gt;'Povolené hodnoty'!$B$4,F138=2),I138+L138+O138+R138,"")</f>
        <v/>
      </c>
      <c r="AB138" s="40" t="str">
        <f>IF(AND(E138&lt;&gt;'Povolené hodnoty'!$B$4,F138=3),I138+L138+O138+R138,"")</f>
        <v/>
      </c>
      <c r="AC138" s="40" t="str">
        <f>IF(AND(E138&lt;&gt;'Povolené hodnoty'!$B$4,F138=4),I138+L138+O138+R138,"")</f>
        <v/>
      </c>
      <c r="AD138" s="40" t="str">
        <f>IF(AND(E138&lt;&gt;'Povolené hodnoty'!$B$4,F138="5a"),I138-J138+L138-M138+O138-P138+R138-S138,"")</f>
        <v/>
      </c>
      <c r="AE138" s="40" t="str">
        <f>IF(AND(E138&lt;&gt;'Povolené hodnoty'!$B$4,F138="5b"),I138-J138+L138-M138+O138-P138+R138-S138,"")</f>
        <v/>
      </c>
      <c r="AF138" s="40" t="str">
        <f>IF(AND(E138&lt;&gt;'Povolené hodnoty'!$B$4,F138=6),I138+L138+O138+R138,"")</f>
        <v/>
      </c>
      <c r="AG138" s="41" t="str">
        <f>IF(AND(E138&lt;&gt;'Povolené hodnoty'!$B$4,F138=7),I138+L138+O138+R138,"")</f>
        <v/>
      </c>
      <c r="AH138" s="39" t="str">
        <f>IF(AND(E138&lt;&gt;'Povolené hodnoty'!$B$4,F138=10),J138+M138+P138+S138,"")</f>
        <v/>
      </c>
      <c r="AI138" s="40" t="str">
        <f>IF(AND(E138&lt;&gt;'Povolené hodnoty'!$B$4,F138=11),J138+M138+P138+S138,"")</f>
        <v/>
      </c>
      <c r="AJ138" s="40" t="str">
        <f>IF(AND(E138&lt;&gt;'Povolené hodnoty'!$B$4,F138=12),J138+M138+P138+S138,"")</f>
        <v/>
      </c>
      <c r="AK138" s="41" t="str">
        <f>IF(AND(E138&lt;&gt;'Povolené hodnoty'!$B$4,F138=13),J138+M138+P138+S138,"")</f>
        <v/>
      </c>
      <c r="AL138" s="39" t="str">
        <f>IF(AND($G138='Povolené hodnoty'!$B$13,$H138=AL$4),SUM($I138,$L138,$O138,$R138),"")</f>
        <v/>
      </c>
      <c r="AM138" s="458" t="str">
        <f>IF(AND($G138='Povolené hodnoty'!$B$13,$H138=AM$4),SUM($I138,$L138,$O138,$R138),"")</f>
        <v/>
      </c>
      <c r="AN138" s="458" t="str">
        <f>IF(AND($G138='Povolené hodnoty'!$B$13,$H138=AN$4),SUM($I138,$L138,$O138,$R138),"")</f>
        <v/>
      </c>
      <c r="AO138" s="458" t="str">
        <f>IF(AND($G138='Povolené hodnoty'!$B$13,$H138=AO$4),SUM($I138,$L138,$O138,$R138),"")</f>
        <v/>
      </c>
      <c r="AP138" s="458" t="str">
        <f>IF(AND($G138='Povolené hodnoty'!$B$13,$H138=AP$4),SUM($I138,$L138,$O138,$R138),"")</f>
        <v/>
      </c>
      <c r="AQ138" s="40" t="str">
        <f>IF(AND($G138='Povolené hodnoty'!$B$13,OR($H138=AQ$4,$H138='Povolené hodnoty'!$E$36)),SUM($I138,-$J138,$L138,-$M138,$O138,-$P138,$R138,-$S138),"")</f>
        <v/>
      </c>
      <c r="AR138" s="40" t="str">
        <f>IF(AND($G138='Povolené hodnoty'!$B$13,$H138=AR$4),SUM($I138,$L138,$O138,$R138),"")</f>
        <v/>
      </c>
      <c r="AS138" s="41" t="str">
        <f>IF(AND($G138='Povolené hodnoty'!$B$13,$H138=AS$4),SUM($I138,$L138,$O138,$R138),"")</f>
        <v/>
      </c>
      <c r="AT138" s="39" t="str">
        <f>IF(AND($G138='Povolené hodnoty'!$B$14,$H138=AT$4),SUM($I138,$L138,$O138,$R138),"")</f>
        <v/>
      </c>
      <c r="AU138" s="458" t="str">
        <f>IF(AND($G138='Povolené hodnoty'!$B$14,$H138=AU$4),SUM($I138,$L138,$O138,$R138),"")</f>
        <v/>
      </c>
      <c r="AV138" s="41" t="str">
        <f>IF(AND($G138='Povolené hodnoty'!$B$14,$H138=AV$4),SUM($I138,$L138,$O138,$R138),"")</f>
        <v/>
      </c>
      <c r="AW138" s="39" t="str">
        <f>IF(AND($G138='Povolené hodnoty'!$B$13,$H138=AW$4),SUM($J138,$M138,$P138,$S138),"")</f>
        <v/>
      </c>
      <c r="AX138" s="458" t="str">
        <f>IF(AND($G138='Povolené hodnoty'!$B$13,$H138=AX$4),SUM($J138,$M138,$P138,$S138),"")</f>
        <v/>
      </c>
      <c r="AY138" s="458" t="str">
        <f>IF(AND($G138='Povolené hodnoty'!$B$13,$H138=AY$4),SUM($J138,$M138,$P138,$S138),"")</f>
        <v/>
      </c>
      <c r="AZ138" s="458" t="str">
        <f>IF(AND($G138='Povolené hodnoty'!$B$13,$H138=AZ$4),SUM($J138,$M138,$P138,$S138),"")</f>
        <v/>
      </c>
      <c r="BA138" s="458" t="str">
        <f>IF(AND($G138='Povolené hodnoty'!$B$13,$H138=BA$4),SUM($J138,$M138,$P138,$S138),"")</f>
        <v/>
      </c>
      <c r="BB138" s="40" t="str">
        <f>IF(AND($G138='Povolené hodnoty'!$B$13,$H138=BB$4),SUM($J138,$M138,$P138,$S138),"")</f>
        <v/>
      </c>
      <c r="BC138" s="40" t="str">
        <f>IF(AND($G138='Povolené hodnoty'!$B$13,$H138=BC$4),SUM($J138,$M138,$P138,$S138),"")</f>
        <v/>
      </c>
      <c r="BD138" s="40" t="str">
        <f>IF(AND($G138='Povolené hodnoty'!$B$13,$H138=BD$4),SUM($J138,$M138,$P138,$S138),"")</f>
        <v/>
      </c>
      <c r="BE138" s="41" t="str">
        <f>IF(AND($G138='Povolené hodnoty'!$B$13,$H138=BE$4),SUM($J138,$M138,$P138,$S138),"")</f>
        <v/>
      </c>
      <c r="BF138" s="39" t="str">
        <f>IF(AND($G138='Povolené hodnoty'!$B$14,$H138=BF$4),SUM($J138,$M138,$P138,$S138),"")</f>
        <v/>
      </c>
      <c r="BG138" s="458" t="str">
        <f>IF(AND($G138='Povolené hodnoty'!$B$14,$H138=BG$4),SUM($J138,$M138,$P138,$S138),"")</f>
        <v/>
      </c>
      <c r="BH138" s="458" t="str">
        <f>IF(AND($G138='Povolené hodnoty'!$B$14,$H138=BH$4),SUM($J138,$M138,$P138,$S138),"")</f>
        <v/>
      </c>
      <c r="BI138" s="458" t="str">
        <f>IF(AND($G138='Povolené hodnoty'!$B$14,$H138=BI$4),SUM($J138,$M138,$P138,$S138),"")</f>
        <v/>
      </c>
      <c r="BJ138" s="458" t="str">
        <f>IF(AND($G138='Povolené hodnoty'!$B$14,$H138=BJ$4),SUM($J138,$M138,$P138,$S138),"")</f>
        <v/>
      </c>
      <c r="BK138" s="40" t="str">
        <f>IF(AND($G138='Povolené hodnoty'!$B$14,$H138=BK$4),SUM($J138,$M138,$P138,$S138),"")</f>
        <v/>
      </c>
      <c r="BL138" s="40" t="str">
        <f>IF(AND($G138='Povolené hodnoty'!$B$14,$H138=BL$4),SUM($J138,$M138,$P138,$S138),"")</f>
        <v/>
      </c>
      <c r="BM138" s="41" t="str">
        <f>IF(AND($G138='Povolené hodnoty'!$B$14,$H138=BM$4),SUM($J138,$M138,$P138,$S138),"")</f>
        <v/>
      </c>
      <c r="BO138" s="18" t="b">
        <f t="shared" si="106"/>
        <v>0</v>
      </c>
      <c r="BP138" s="18" t="b">
        <f t="shared" si="77"/>
        <v>0</v>
      </c>
      <c r="BQ138" s="18" t="b">
        <f>AND(E138&lt;&gt;'Povolené hodnoty'!$B$6,F138&lt;&gt;'Povolené hodnoty'!$D$7,F138&lt;&gt;'Povolené hodnoty'!$D$8,OR(SUM(I138,L138,O138,R138)&lt;&gt;SUM(W138:X138,AA138:AG138),SUM(J138,M138,P138,S138)&lt;&gt;SUM(Y138:Z138,AH138:AK138),COUNT(I138:J138,L138:M138,O138:P138,R138:S138)&lt;&gt;COUNT(W138:AK138)))</f>
        <v>0</v>
      </c>
      <c r="BR138" s="18" t="b">
        <f>OR(AND(E138='Povolené hodnoty'!$B$6,$BR$5),AND(E138='Povolené hodnoty'!$B$6,H138&lt;&gt;'Povolené hodnoty'!$E$26,H138&lt;&gt;'Povolené hodnoty'!$E$35),AND(E138&lt;&gt;'Povolené hodnoty'!$B$6,OR(H138='Povolené hodnoty'!$E$26,H138='Povolené hodnoty'!$E$35)))</f>
        <v>0</v>
      </c>
      <c r="BS138" s="18" t="b">
        <f>OR(AND(G138&lt;&gt;'Povolené hodnoty'!$B$13,OR(H138='Povolené hodnoty'!$E$21,H138='Povolené hodnoty'!$E$22,H138='Povolené hodnoty'!$E$23,H138='Povolené hodnoty'!$E$24,H138='Povolené hodnoty'!$E$26,H138='Povolené hodnoty'!$E$36)),COUNT(I138:J138,L138:M138,O138:P138,R138:S138)&lt;&gt;COUNT(AL138:BM138))</f>
        <v>0</v>
      </c>
      <c r="BT138" s="18" t="b">
        <f t="shared" si="78"/>
        <v>0</v>
      </c>
      <c r="BV138" s="39" t="str">
        <f t="shared" si="79"/>
        <v/>
      </c>
      <c r="BW138" s="458" t="str">
        <f t="shared" si="80"/>
        <v/>
      </c>
      <c r="BX138" s="458" t="str">
        <f t="shared" si="81"/>
        <v/>
      </c>
      <c r="BY138" s="458" t="str">
        <f t="shared" si="82"/>
        <v/>
      </c>
      <c r="BZ138" s="458" t="str">
        <f t="shared" si="83"/>
        <v/>
      </c>
      <c r="CA138" s="40" t="str">
        <f t="shared" si="84"/>
        <v/>
      </c>
      <c r="CB138" s="40" t="str">
        <f t="shared" si="85"/>
        <v/>
      </c>
      <c r="CC138" s="39" t="str">
        <f t="shared" si="86"/>
        <v/>
      </c>
      <c r="CD138" s="458" t="str">
        <f t="shared" si="87"/>
        <v/>
      </c>
      <c r="CE138" s="41" t="str">
        <f t="shared" si="88"/>
        <v/>
      </c>
      <c r="CF138" s="39" t="str">
        <f t="shared" si="89"/>
        <v/>
      </c>
      <c r="CG138" s="458" t="str">
        <f t="shared" si="90"/>
        <v/>
      </c>
      <c r="CH138" s="458" t="str">
        <f t="shared" si="91"/>
        <v/>
      </c>
      <c r="CI138" s="458" t="str">
        <f t="shared" si="92"/>
        <v/>
      </c>
      <c r="CJ138" s="458" t="str">
        <f t="shared" si="93"/>
        <v/>
      </c>
      <c r="CK138" s="40" t="str">
        <f t="shared" si="94"/>
        <v/>
      </c>
      <c r="CL138" s="40" t="str">
        <f t="shared" si="95"/>
        <v/>
      </c>
      <c r="CM138" s="40" t="str">
        <f t="shared" si="96"/>
        <v/>
      </c>
      <c r="CN138" s="39" t="str">
        <f t="shared" si="97"/>
        <v/>
      </c>
      <c r="CO138" s="458" t="str">
        <f t="shared" si="98"/>
        <v/>
      </c>
      <c r="CP138" s="458" t="str">
        <f t="shared" si="99"/>
        <v/>
      </c>
      <c r="CQ138" s="458" t="str">
        <f t="shared" si="100"/>
        <v/>
      </c>
      <c r="CR138" s="458" t="str">
        <f t="shared" si="101"/>
        <v/>
      </c>
      <c r="CS138" s="40" t="str">
        <f t="shared" si="102"/>
        <v/>
      </c>
      <c r="CT138" s="40" t="str">
        <f t="shared" si="103"/>
        <v/>
      </c>
      <c r="CU138" s="41" t="str">
        <f t="shared" si="104"/>
        <v/>
      </c>
    </row>
    <row r="139" spans="1:99" x14ac:dyDescent="0.2">
      <c r="A139" s="77">
        <f t="shared" si="105"/>
        <v>134</v>
      </c>
      <c r="B139" s="81"/>
      <c r="C139" s="82"/>
      <c r="D139" s="71"/>
      <c r="E139" s="72"/>
      <c r="F139" s="73"/>
      <c r="G139" s="443"/>
      <c r="H139" s="443"/>
      <c r="I139" s="74"/>
      <c r="J139" s="75"/>
      <c r="K139" s="41">
        <f t="shared" si="74"/>
        <v>3625</v>
      </c>
      <c r="L139" s="104"/>
      <c r="M139" s="105"/>
      <c r="N139" s="106">
        <f t="shared" si="75"/>
        <v>537.05999999999995</v>
      </c>
      <c r="O139" s="104"/>
      <c r="P139" s="105"/>
      <c r="Q139" s="106">
        <f t="shared" si="107"/>
        <v>10045.83</v>
      </c>
      <c r="R139" s="104"/>
      <c r="S139" s="105"/>
      <c r="T139" s="106">
        <f t="shared" si="108"/>
        <v>0</v>
      </c>
      <c r="U139" s="439"/>
      <c r="V139" s="42">
        <f t="shared" si="76"/>
        <v>134</v>
      </c>
      <c r="W139" s="39" t="str">
        <f>IF(AND(E139='Povolené hodnoty'!$B$4,F139=2),I139+L139+O139+R139,"")</f>
        <v/>
      </c>
      <c r="X139" s="41" t="str">
        <f>IF(AND(E139='Povolené hodnoty'!$B$4,F139=1),I139+L139+O139+R139,"")</f>
        <v/>
      </c>
      <c r="Y139" s="39" t="str">
        <f>IF(AND(E139='Povolené hodnoty'!$B$4,F139=10),J139+M139+P139+S139,"")</f>
        <v/>
      </c>
      <c r="Z139" s="41" t="str">
        <f>IF(AND(E139='Povolené hodnoty'!$B$4,F139=9),J139+M139+P139+S139,"")</f>
        <v/>
      </c>
      <c r="AA139" s="39" t="str">
        <f>IF(AND(E139&lt;&gt;'Povolené hodnoty'!$B$4,F139=2),I139+L139+O139+R139,"")</f>
        <v/>
      </c>
      <c r="AB139" s="40" t="str">
        <f>IF(AND(E139&lt;&gt;'Povolené hodnoty'!$B$4,F139=3),I139+L139+O139+R139,"")</f>
        <v/>
      </c>
      <c r="AC139" s="40" t="str">
        <f>IF(AND(E139&lt;&gt;'Povolené hodnoty'!$B$4,F139=4),I139+L139+O139+R139,"")</f>
        <v/>
      </c>
      <c r="AD139" s="40" t="str">
        <f>IF(AND(E139&lt;&gt;'Povolené hodnoty'!$B$4,F139="5a"),I139-J139+L139-M139+O139-P139+R139-S139,"")</f>
        <v/>
      </c>
      <c r="AE139" s="40" t="str">
        <f>IF(AND(E139&lt;&gt;'Povolené hodnoty'!$B$4,F139="5b"),I139-J139+L139-M139+O139-P139+R139-S139,"")</f>
        <v/>
      </c>
      <c r="AF139" s="40" t="str">
        <f>IF(AND(E139&lt;&gt;'Povolené hodnoty'!$B$4,F139=6),I139+L139+O139+R139,"")</f>
        <v/>
      </c>
      <c r="AG139" s="41" t="str">
        <f>IF(AND(E139&lt;&gt;'Povolené hodnoty'!$B$4,F139=7),I139+L139+O139+R139,"")</f>
        <v/>
      </c>
      <c r="AH139" s="39" t="str">
        <f>IF(AND(E139&lt;&gt;'Povolené hodnoty'!$B$4,F139=10),J139+M139+P139+S139,"")</f>
        <v/>
      </c>
      <c r="AI139" s="40" t="str">
        <f>IF(AND(E139&lt;&gt;'Povolené hodnoty'!$B$4,F139=11),J139+M139+P139+S139,"")</f>
        <v/>
      </c>
      <c r="AJ139" s="40" t="str">
        <f>IF(AND(E139&lt;&gt;'Povolené hodnoty'!$B$4,F139=12),J139+M139+P139+S139,"")</f>
        <v/>
      </c>
      <c r="AK139" s="41" t="str">
        <f>IF(AND(E139&lt;&gt;'Povolené hodnoty'!$B$4,F139=13),J139+M139+P139+S139,"")</f>
        <v/>
      </c>
      <c r="AL139" s="39" t="str">
        <f>IF(AND($G139='Povolené hodnoty'!$B$13,$H139=AL$4),SUM($I139,$L139,$O139,$R139),"")</f>
        <v/>
      </c>
      <c r="AM139" s="458" t="str">
        <f>IF(AND($G139='Povolené hodnoty'!$B$13,$H139=AM$4),SUM($I139,$L139,$O139,$R139),"")</f>
        <v/>
      </c>
      <c r="AN139" s="458" t="str">
        <f>IF(AND($G139='Povolené hodnoty'!$B$13,$H139=AN$4),SUM($I139,$L139,$O139,$R139),"")</f>
        <v/>
      </c>
      <c r="AO139" s="458" t="str">
        <f>IF(AND($G139='Povolené hodnoty'!$B$13,$H139=AO$4),SUM($I139,$L139,$O139,$R139),"")</f>
        <v/>
      </c>
      <c r="AP139" s="458" t="str">
        <f>IF(AND($G139='Povolené hodnoty'!$B$13,$H139=AP$4),SUM($I139,$L139,$O139,$R139),"")</f>
        <v/>
      </c>
      <c r="AQ139" s="40" t="str">
        <f>IF(AND($G139='Povolené hodnoty'!$B$13,OR($H139=AQ$4,$H139='Povolené hodnoty'!$E$36)),SUM($I139,-$J139,$L139,-$M139,$O139,-$P139,$R139,-$S139),"")</f>
        <v/>
      </c>
      <c r="AR139" s="40" t="str">
        <f>IF(AND($G139='Povolené hodnoty'!$B$13,$H139=AR$4),SUM($I139,$L139,$O139,$R139),"")</f>
        <v/>
      </c>
      <c r="AS139" s="41" t="str">
        <f>IF(AND($G139='Povolené hodnoty'!$B$13,$H139=AS$4),SUM($I139,$L139,$O139,$R139),"")</f>
        <v/>
      </c>
      <c r="AT139" s="39" t="str">
        <f>IF(AND($G139='Povolené hodnoty'!$B$14,$H139=AT$4),SUM($I139,$L139,$O139,$R139),"")</f>
        <v/>
      </c>
      <c r="AU139" s="458" t="str">
        <f>IF(AND($G139='Povolené hodnoty'!$B$14,$H139=AU$4),SUM($I139,$L139,$O139,$R139),"")</f>
        <v/>
      </c>
      <c r="AV139" s="41" t="str">
        <f>IF(AND($G139='Povolené hodnoty'!$B$14,$H139=AV$4),SUM($I139,$L139,$O139,$R139),"")</f>
        <v/>
      </c>
      <c r="AW139" s="39" t="str">
        <f>IF(AND($G139='Povolené hodnoty'!$B$13,$H139=AW$4),SUM($J139,$M139,$P139,$S139),"")</f>
        <v/>
      </c>
      <c r="AX139" s="458" t="str">
        <f>IF(AND($G139='Povolené hodnoty'!$B$13,$H139=AX$4),SUM($J139,$M139,$P139,$S139),"")</f>
        <v/>
      </c>
      <c r="AY139" s="458" t="str">
        <f>IF(AND($G139='Povolené hodnoty'!$B$13,$H139=AY$4),SUM($J139,$M139,$P139,$S139),"")</f>
        <v/>
      </c>
      <c r="AZ139" s="458" t="str">
        <f>IF(AND($G139='Povolené hodnoty'!$B$13,$H139=AZ$4),SUM($J139,$M139,$P139,$S139),"")</f>
        <v/>
      </c>
      <c r="BA139" s="458" t="str">
        <f>IF(AND($G139='Povolené hodnoty'!$B$13,$H139=BA$4),SUM($J139,$M139,$P139,$S139),"")</f>
        <v/>
      </c>
      <c r="BB139" s="40" t="str">
        <f>IF(AND($G139='Povolené hodnoty'!$B$13,$H139=BB$4),SUM($J139,$M139,$P139,$S139),"")</f>
        <v/>
      </c>
      <c r="BC139" s="40" t="str">
        <f>IF(AND($G139='Povolené hodnoty'!$B$13,$H139=BC$4),SUM($J139,$M139,$P139,$S139),"")</f>
        <v/>
      </c>
      <c r="BD139" s="40" t="str">
        <f>IF(AND($G139='Povolené hodnoty'!$B$13,$H139=BD$4),SUM($J139,$M139,$P139,$S139),"")</f>
        <v/>
      </c>
      <c r="BE139" s="41" t="str">
        <f>IF(AND($G139='Povolené hodnoty'!$B$13,$H139=BE$4),SUM($J139,$M139,$P139,$S139),"")</f>
        <v/>
      </c>
      <c r="BF139" s="39" t="str">
        <f>IF(AND($G139='Povolené hodnoty'!$B$14,$H139=BF$4),SUM($J139,$M139,$P139,$S139),"")</f>
        <v/>
      </c>
      <c r="BG139" s="458" t="str">
        <f>IF(AND($G139='Povolené hodnoty'!$B$14,$H139=BG$4),SUM($J139,$M139,$P139,$S139),"")</f>
        <v/>
      </c>
      <c r="BH139" s="458" t="str">
        <f>IF(AND($G139='Povolené hodnoty'!$B$14,$H139=BH$4),SUM($J139,$M139,$P139,$S139),"")</f>
        <v/>
      </c>
      <c r="BI139" s="458" t="str">
        <f>IF(AND($G139='Povolené hodnoty'!$B$14,$H139=BI$4),SUM($J139,$M139,$P139,$S139),"")</f>
        <v/>
      </c>
      <c r="BJ139" s="458" t="str">
        <f>IF(AND($G139='Povolené hodnoty'!$B$14,$H139=BJ$4),SUM($J139,$M139,$P139,$S139),"")</f>
        <v/>
      </c>
      <c r="BK139" s="40" t="str">
        <f>IF(AND($G139='Povolené hodnoty'!$B$14,$H139=BK$4),SUM($J139,$M139,$P139,$S139),"")</f>
        <v/>
      </c>
      <c r="BL139" s="40" t="str">
        <f>IF(AND($G139='Povolené hodnoty'!$B$14,$H139=BL$4),SUM($J139,$M139,$P139,$S139),"")</f>
        <v/>
      </c>
      <c r="BM139" s="41" t="str">
        <f>IF(AND($G139='Povolené hodnoty'!$B$14,$H139=BM$4),SUM($J139,$M139,$P139,$S139),"")</f>
        <v/>
      </c>
      <c r="BO139" s="18" t="b">
        <f t="shared" si="106"/>
        <v>0</v>
      </c>
      <c r="BP139" s="18" t="b">
        <f t="shared" si="77"/>
        <v>0</v>
      </c>
      <c r="BQ139" s="18" t="b">
        <f>AND(E139&lt;&gt;'Povolené hodnoty'!$B$6,F139&lt;&gt;'Povolené hodnoty'!$D$7,F139&lt;&gt;'Povolené hodnoty'!$D$8,OR(SUM(I139,L139,O139,R139)&lt;&gt;SUM(W139:X139,AA139:AG139),SUM(J139,M139,P139,S139)&lt;&gt;SUM(Y139:Z139,AH139:AK139),COUNT(I139:J139,L139:M139,O139:P139,R139:S139)&lt;&gt;COUNT(W139:AK139)))</f>
        <v>0</v>
      </c>
      <c r="BR139" s="18" t="b">
        <f>OR(AND(E139='Povolené hodnoty'!$B$6,$BR$5),AND(E139='Povolené hodnoty'!$B$6,H139&lt;&gt;'Povolené hodnoty'!$E$26,H139&lt;&gt;'Povolené hodnoty'!$E$35),AND(E139&lt;&gt;'Povolené hodnoty'!$B$6,OR(H139='Povolené hodnoty'!$E$26,H139='Povolené hodnoty'!$E$35)))</f>
        <v>0</v>
      </c>
      <c r="BS139" s="18" t="b">
        <f>OR(AND(G139&lt;&gt;'Povolené hodnoty'!$B$13,OR(H139='Povolené hodnoty'!$E$21,H139='Povolené hodnoty'!$E$22,H139='Povolené hodnoty'!$E$23,H139='Povolené hodnoty'!$E$24,H139='Povolené hodnoty'!$E$26,H139='Povolené hodnoty'!$E$36)),COUNT(I139:J139,L139:M139,O139:P139,R139:S139)&lt;&gt;COUNT(AL139:BM139))</f>
        <v>0</v>
      </c>
      <c r="BT139" s="18" t="b">
        <f t="shared" si="78"/>
        <v>0</v>
      </c>
      <c r="BV139" s="39" t="str">
        <f t="shared" si="79"/>
        <v/>
      </c>
      <c r="BW139" s="458" t="str">
        <f t="shared" si="80"/>
        <v/>
      </c>
      <c r="BX139" s="458" t="str">
        <f t="shared" si="81"/>
        <v/>
      </c>
      <c r="BY139" s="458" t="str">
        <f t="shared" si="82"/>
        <v/>
      </c>
      <c r="BZ139" s="458" t="str">
        <f t="shared" si="83"/>
        <v/>
      </c>
      <c r="CA139" s="40" t="str">
        <f t="shared" si="84"/>
        <v/>
      </c>
      <c r="CB139" s="40" t="str">
        <f t="shared" si="85"/>
        <v/>
      </c>
      <c r="CC139" s="39" t="str">
        <f t="shared" si="86"/>
        <v/>
      </c>
      <c r="CD139" s="458" t="str">
        <f t="shared" si="87"/>
        <v/>
      </c>
      <c r="CE139" s="41" t="str">
        <f t="shared" si="88"/>
        <v/>
      </c>
      <c r="CF139" s="39" t="str">
        <f t="shared" si="89"/>
        <v/>
      </c>
      <c r="CG139" s="458" t="str">
        <f t="shared" si="90"/>
        <v/>
      </c>
      <c r="CH139" s="458" t="str">
        <f t="shared" si="91"/>
        <v/>
      </c>
      <c r="CI139" s="458" t="str">
        <f t="shared" si="92"/>
        <v/>
      </c>
      <c r="CJ139" s="458" t="str">
        <f t="shared" si="93"/>
        <v/>
      </c>
      <c r="CK139" s="40" t="str">
        <f t="shared" si="94"/>
        <v/>
      </c>
      <c r="CL139" s="40" t="str">
        <f t="shared" si="95"/>
        <v/>
      </c>
      <c r="CM139" s="40" t="str">
        <f t="shared" si="96"/>
        <v/>
      </c>
      <c r="CN139" s="39" t="str">
        <f t="shared" si="97"/>
        <v/>
      </c>
      <c r="CO139" s="458" t="str">
        <f t="shared" si="98"/>
        <v/>
      </c>
      <c r="CP139" s="458" t="str">
        <f t="shared" si="99"/>
        <v/>
      </c>
      <c r="CQ139" s="458" t="str">
        <f t="shared" si="100"/>
        <v/>
      </c>
      <c r="CR139" s="458" t="str">
        <f t="shared" si="101"/>
        <v/>
      </c>
      <c r="CS139" s="40" t="str">
        <f t="shared" si="102"/>
        <v/>
      </c>
      <c r="CT139" s="40" t="str">
        <f t="shared" si="103"/>
        <v/>
      </c>
      <c r="CU139" s="41" t="str">
        <f t="shared" si="104"/>
        <v/>
      </c>
    </row>
    <row r="140" spans="1:99" x14ac:dyDescent="0.2">
      <c r="A140" s="77">
        <f t="shared" si="105"/>
        <v>135</v>
      </c>
      <c r="B140" s="81"/>
      <c r="C140" s="82"/>
      <c r="D140" s="71"/>
      <c r="E140" s="72"/>
      <c r="F140" s="73"/>
      <c r="G140" s="443"/>
      <c r="H140" s="443"/>
      <c r="I140" s="74"/>
      <c r="J140" s="75"/>
      <c r="K140" s="41">
        <f t="shared" si="74"/>
        <v>3625</v>
      </c>
      <c r="L140" s="104"/>
      <c r="M140" s="105"/>
      <c r="N140" s="106">
        <f t="shared" si="75"/>
        <v>537.05999999999995</v>
      </c>
      <c r="O140" s="104"/>
      <c r="P140" s="105"/>
      <c r="Q140" s="106">
        <f t="shared" si="107"/>
        <v>10045.83</v>
      </c>
      <c r="R140" s="104"/>
      <c r="S140" s="105"/>
      <c r="T140" s="106">
        <f t="shared" si="108"/>
        <v>0</v>
      </c>
      <c r="U140" s="439"/>
      <c r="V140" s="42">
        <f t="shared" si="76"/>
        <v>135</v>
      </c>
      <c r="W140" s="39" t="str">
        <f>IF(AND(E140='Povolené hodnoty'!$B$4,F140=2),I140+L140+O140+R140,"")</f>
        <v/>
      </c>
      <c r="X140" s="41" t="str">
        <f>IF(AND(E140='Povolené hodnoty'!$B$4,F140=1),I140+L140+O140+R140,"")</f>
        <v/>
      </c>
      <c r="Y140" s="39" t="str">
        <f>IF(AND(E140='Povolené hodnoty'!$B$4,F140=10),J140+M140+P140+S140,"")</f>
        <v/>
      </c>
      <c r="Z140" s="41" t="str">
        <f>IF(AND(E140='Povolené hodnoty'!$B$4,F140=9),J140+M140+P140+S140,"")</f>
        <v/>
      </c>
      <c r="AA140" s="39" t="str">
        <f>IF(AND(E140&lt;&gt;'Povolené hodnoty'!$B$4,F140=2),I140+L140+O140+R140,"")</f>
        <v/>
      </c>
      <c r="AB140" s="40" t="str">
        <f>IF(AND(E140&lt;&gt;'Povolené hodnoty'!$B$4,F140=3),I140+L140+O140+R140,"")</f>
        <v/>
      </c>
      <c r="AC140" s="40" t="str">
        <f>IF(AND(E140&lt;&gt;'Povolené hodnoty'!$B$4,F140=4),I140+L140+O140+R140,"")</f>
        <v/>
      </c>
      <c r="AD140" s="40" t="str">
        <f>IF(AND(E140&lt;&gt;'Povolené hodnoty'!$B$4,F140="5a"),I140-J140+L140-M140+O140-P140+R140-S140,"")</f>
        <v/>
      </c>
      <c r="AE140" s="40" t="str">
        <f>IF(AND(E140&lt;&gt;'Povolené hodnoty'!$B$4,F140="5b"),I140-J140+L140-M140+O140-P140+R140-S140,"")</f>
        <v/>
      </c>
      <c r="AF140" s="40" t="str">
        <f>IF(AND(E140&lt;&gt;'Povolené hodnoty'!$B$4,F140=6),I140+L140+O140+R140,"")</f>
        <v/>
      </c>
      <c r="AG140" s="41" t="str">
        <f>IF(AND(E140&lt;&gt;'Povolené hodnoty'!$B$4,F140=7),I140+L140+O140+R140,"")</f>
        <v/>
      </c>
      <c r="AH140" s="39" t="str">
        <f>IF(AND(E140&lt;&gt;'Povolené hodnoty'!$B$4,F140=10),J140+M140+P140+S140,"")</f>
        <v/>
      </c>
      <c r="AI140" s="40" t="str">
        <f>IF(AND(E140&lt;&gt;'Povolené hodnoty'!$B$4,F140=11),J140+M140+P140+S140,"")</f>
        <v/>
      </c>
      <c r="AJ140" s="40" t="str">
        <f>IF(AND(E140&lt;&gt;'Povolené hodnoty'!$B$4,F140=12),J140+M140+P140+S140,"")</f>
        <v/>
      </c>
      <c r="AK140" s="41" t="str">
        <f>IF(AND(E140&lt;&gt;'Povolené hodnoty'!$B$4,F140=13),J140+M140+P140+S140,"")</f>
        <v/>
      </c>
      <c r="AL140" s="39" t="str">
        <f>IF(AND($G140='Povolené hodnoty'!$B$13,$H140=AL$4),SUM($I140,$L140,$O140,$R140),"")</f>
        <v/>
      </c>
      <c r="AM140" s="458" t="str">
        <f>IF(AND($G140='Povolené hodnoty'!$B$13,$H140=AM$4),SUM($I140,$L140,$O140,$R140),"")</f>
        <v/>
      </c>
      <c r="AN140" s="458" t="str">
        <f>IF(AND($G140='Povolené hodnoty'!$B$13,$H140=AN$4),SUM($I140,$L140,$O140,$R140),"")</f>
        <v/>
      </c>
      <c r="AO140" s="458" t="str">
        <f>IF(AND($G140='Povolené hodnoty'!$B$13,$H140=AO$4),SUM($I140,$L140,$O140,$R140),"")</f>
        <v/>
      </c>
      <c r="AP140" s="458" t="str">
        <f>IF(AND($G140='Povolené hodnoty'!$B$13,$H140=AP$4),SUM($I140,$L140,$O140,$R140),"")</f>
        <v/>
      </c>
      <c r="AQ140" s="40" t="str">
        <f>IF(AND($G140='Povolené hodnoty'!$B$13,OR($H140=AQ$4,$H140='Povolené hodnoty'!$E$36)),SUM($I140,-$J140,$L140,-$M140,$O140,-$P140,$R140,-$S140),"")</f>
        <v/>
      </c>
      <c r="AR140" s="40" t="str">
        <f>IF(AND($G140='Povolené hodnoty'!$B$13,$H140=AR$4),SUM($I140,$L140,$O140,$R140),"")</f>
        <v/>
      </c>
      <c r="AS140" s="41" t="str">
        <f>IF(AND($G140='Povolené hodnoty'!$B$13,$H140=AS$4),SUM($I140,$L140,$O140,$R140),"")</f>
        <v/>
      </c>
      <c r="AT140" s="39" t="str">
        <f>IF(AND($G140='Povolené hodnoty'!$B$14,$H140=AT$4),SUM($I140,$L140,$O140,$R140),"")</f>
        <v/>
      </c>
      <c r="AU140" s="458" t="str">
        <f>IF(AND($G140='Povolené hodnoty'!$B$14,$H140=AU$4),SUM($I140,$L140,$O140,$R140),"")</f>
        <v/>
      </c>
      <c r="AV140" s="41" t="str">
        <f>IF(AND($G140='Povolené hodnoty'!$B$14,$H140=AV$4),SUM($I140,$L140,$O140,$R140),"")</f>
        <v/>
      </c>
      <c r="AW140" s="39" t="str">
        <f>IF(AND($G140='Povolené hodnoty'!$B$13,$H140=AW$4),SUM($J140,$M140,$P140,$S140),"")</f>
        <v/>
      </c>
      <c r="AX140" s="458" t="str">
        <f>IF(AND($G140='Povolené hodnoty'!$B$13,$H140=AX$4),SUM($J140,$M140,$P140,$S140),"")</f>
        <v/>
      </c>
      <c r="AY140" s="458" t="str">
        <f>IF(AND($G140='Povolené hodnoty'!$B$13,$H140=AY$4),SUM($J140,$M140,$P140,$S140),"")</f>
        <v/>
      </c>
      <c r="AZ140" s="458" t="str">
        <f>IF(AND($G140='Povolené hodnoty'!$B$13,$H140=AZ$4),SUM($J140,$M140,$P140,$S140),"")</f>
        <v/>
      </c>
      <c r="BA140" s="458" t="str">
        <f>IF(AND($G140='Povolené hodnoty'!$B$13,$H140=BA$4),SUM($J140,$M140,$P140,$S140),"")</f>
        <v/>
      </c>
      <c r="BB140" s="40" t="str">
        <f>IF(AND($G140='Povolené hodnoty'!$B$13,$H140=BB$4),SUM($J140,$M140,$P140,$S140),"")</f>
        <v/>
      </c>
      <c r="BC140" s="40" t="str">
        <f>IF(AND($G140='Povolené hodnoty'!$B$13,$H140=BC$4),SUM($J140,$M140,$P140,$S140),"")</f>
        <v/>
      </c>
      <c r="BD140" s="40" t="str">
        <f>IF(AND($G140='Povolené hodnoty'!$B$13,$H140=BD$4),SUM($J140,$M140,$P140,$S140),"")</f>
        <v/>
      </c>
      <c r="BE140" s="41" t="str">
        <f>IF(AND($G140='Povolené hodnoty'!$B$13,$H140=BE$4),SUM($J140,$M140,$P140,$S140),"")</f>
        <v/>
      </c>
      <c r="BF140" s="39" t="str">
        <f>IF(AND($G140='Povolené hodnoty'!$B$14,$H140=BF$4),SUM($J140,$M140,$P140,$S140),"")</f>
        <v/>
      </c>
      <c r="BG140" s="458" t="str">
        <f>IF(AND($G140='Povolené hodnoty'!$B$14,$H140=BG$4),SUM($J140,$M140,$P140,$S140),"")</f>
        <v/>
      </c>
      <c r="BH140" s="458" t="str">
        <f>IF(AND($G140='Povolené hodnoty'!$B$14,$H140=BH$4),SUM($J140,$M140,$P140,$S140),"")</f>
        <v/>
      </c>
      <c r="BI140" s="458" t="str">
        <f>IF(AND($G140='Povolené hodnoty'!$B$14,$H140=BI$4),SUM($J140,$M140,$P140,$S140),"")</f>
        <v/>
      </c>
      <c r="BJ140" s="458" t="str">
        <f>IF(AND($G140='Povolené hodnoty'!$B$14,$H140=BJ$4),SUM($J140,$M140,$P140,$S140),"")</f>
        <v/>
      </c>
      <c r="BK140" s="40" t="str">
        <f>IF(AND($G140='Povolené hodnoty'!$B$14,$H140=BK$4),SUM($J140,$M140,$P140,$S140),"")</f>
        <v/>
      </c>
      <c r="BL140" s="40" t="str">
        <f>IF(AND($G140='Povolené hodnoty'!$B$14,$H140=BL$4),SUM($J140,$M140,$P140,$S140),"")</f>
        <v/>
      </c>
      <c r="BM140" s="41" t="str">
        <f>IF(AND($G140='Povolené hodnoty'!$B$14,$H140=BM$4),SUM($J140,$M140,$P140,$S140),"")</f>
        <v/>
      </c>
      <c r="BO140" s="18" t="b">
        <f t="shared" si="106"/>
        <v>0</v>
      </c>
      <c r="BP140" s="18" t="b">
        <f t="shared" si="77"/>
        <v>0</v>
      </c>
      <c r="BQ140" s="18" t="b">
        <f>AND(E140&lt;&gt;'Povolené hodnoty'!$B$6,F140&lt;&gt;'Povolené hodnoty'!$D$7,F140&lt;&gt;'Povolené hodnoty'!$D$8,OR(SUM(I140,L140,O140,R140)&lt;&gt;SUM(W140:X140,AA140:AG140),SUM(J140,M140,P140,S140)&lt;&gt;SUM(Y140:Z140,AH140:AK140),COUNT(I140:J140,L140:M140,O140:P140,R140:S140)&lt;&gt;COUNT(W140:AK140)))</f>
        <v>0</v>
      </c>
      <c r="BR140" s="18" t="b">
        <f>OR(AND(E140='Povolené hodnoty'!$B$6,$BR$5),AND(E140='Povolené hodnoty'!$B$6,H140&lt;&gt;'Povolené hodnoty'!$E$26,H140&lt;&gt;'Povolené hodnoty'!$E$35),AND(E140&lt;&gt;'Povolené hodnoty'!$B$6,OR(H140='Povolené hodnoty'!$E$26,H140='Povolené hodnoty'!$E$35)))</f>
        <v>0</v>
      </c>
      <c r="BS140" s="18" t="b">
        <f>OR(AND(G140&lt;&gt;'Povolené hodnoty'!$B$13,OR(H140='Povolené hodnoty'!$E$21,H140='Povolené hodnoty'!$E$22,H140='Povolené hodnoty'!$E$23,H140='Povolené hodnoty'!$E$24,H140='Povolené hodnoty'!$E$26,H140='Povolené hodnoty'!$E$36)),COUNT(I140:J140,L140:M140,O140:P140,R140:S140)&lt;&gt;COUNT(AL140:BM140))</f>
        <v>0</v>
      </c>
      <c r="BT140" s="18" t="b">
        <f t="shared" si="78"/>
        <v>0</v>
      </c>
      <c r="BV140" s="39" t="str">
        <f t="shared" si="79"/>
        <v/>
      </c>
      <c r="BW140" s="458" t="str">
        <f t="shared" si="80"/>
        <v/>
      </c>
      <c r="BX140" s="458" t="str">
        <f t="shared" si="81"/>
        <v/>
      </c>
      <c r="BY140" s="458" t="str">
        <f t="shared" si="82"/>
        <v/>
      </c>
      <c r="BZ140" s="458" t="str">
        <f t="shared" si="83"/>
        <v/>
      </c>
      <c r="CA140" s="40" t="str">
        <f t="shared" si="84"/>
        <v/>
      </c>
      <c r="CB140" s="40" t="str">
        <f t="shared" si="85"/>
        <v/>
      </c>
      <c r="CC140" s="39" t="str">
        <f t="shared" si="86"/>
        <v/>
      </c>
      <c r="CD140" s="458" t="str">
        <f t="shared" si="87"/>
        <v/>
      </c>
      <c r="CE140" s="41" t="str">
        <f t="shared" si="88"/>
        <v/>
      </c>
      <c r="CF140" s="39" t="str">
        <f t="shared" si="89"/>
        <v/>
      </c>
      <c r="CG140" s="458" t="str">
        <f t="shared" si="90"/>
        <v/>
      </c>
      <c r="CH140" s="458" t="str">
        <f t="shared" si="91"/>
        <v/>
      </c>
      <c r="CI140" s="458" t="str">
        <f t="shared" si="92"/>
        <v/>
      </c>
      <c r="CJ140" s="458" t="str">
        <f t="shared" si="93"/>
        <v/>
      </c>
      <c r="CK140" s="40" t="str">
        <f t="shared" si="94"/>
        <v/>
      </c>
      <c r="CL140" s="40" t="str">
        <f t="shared" si="95"/>
        <v/>
      </c>
      <c r="CM140" s="40" t="str">
        <f t="shared" si="96"/>
        <v/>
      </c>
      <c r="CN140" s="39" t="str">
        <f t="shared" si="97"/>
        <v/>
      </c>
      <c r="CO140" s="458" t="str">
        <f t="shared" si="98"/>
        <v/>
      </c>
      <c r="CP140" s="458" t="str">
        <f t="shared" si="99"/>
        <v/>
      </c>
      <c r="CQ140" s="458" t="str">
        <f t="shared" si="100"/>
        <v/>
      </c>
      <c r="CR140" s="458" t="str">
        <f t="shared" si="101"/>
        <v/>
      </c>
      <c r="CS140" s="40" t="str">
        <f t="shared" si="102"/>
        <v/>
      </c>
      <c r="CT140" s="40" t="str">
        <f t="shared" si="103"/>
        <v/>
      </c>
      <c r="CU140" s="41" t="str">
        <f t="shared" si="104"/>
        <v/>
      </c>
    </row>
    <row r="141" spans="1:99" x14ac:dyDescent="0.2">
      <c r="A141" s="77">
        <f t="shared" si="105"/>
        <v>136</v>
      </c>
      <c r="B141" s="81"/>
      <c r="C141" s="82"/>
      <c r="D141" s="71"/>
      <c r="E141" s="72"/>
      <c r="F141" s="73"/>
      <c r="G141" s="443"/>
      <c r="H141" s="443"/>
      <c r="I141" s="74"/>
      <c r="J141" s="75"/>
      <c r="K141" s="41">
        <f t="shared" si="74"/>
        <v>3625</v>
      </c>
      <c r="L141" s="104"/>
      <c r="M141" s="105"/>
      <c r="N141" s="106">
        <f t="shared" si="75"/>
        <v>537.05999999999995</v>
      </c>
      <c r="O141" s="104"/>
      <c r="P141" s="105"/>
      <c r="Q141" s="106">
        <f t="shared" si="107"/>
        <v>10045.83</v>
      </c>
      <c r="R141" s="104"/>
      <c r="S141" s="105"/>
      <c r="T141" s="106">
        <f t="shared" si="108"/>
        <v>0</v>
      </c>
      <c r="U141" s="439"/>
      <c r="V141" s="42">
        <f t="shared" si="76"/>
        <v>136</v>
      </c>
      <c r="W141" s="39" t="str">
        <f>IF(AND(E141='Povolené hodnoty'!$B$4,F141=2),I141+L141+O141+R141,"")</f>
        <v/>
      </c>
      <c r="X141" s="41" t="str">
        <f>IF(AND(E141='Povolené hodnoty'!$B$4,F141=1),I141+L141+O141+R141,"")</f>
        <v/>
      </c>
      <c r="Y141" s="39" t="str">
        <f>IF(AND(E141='Povolené hodnoty'!$B$4,F141=10),J141+M141+P141+S141,"")</f>
        <v/>
      </c>
      <c r="Z141" s="41" t="str">
        <f>IF(AND(E141='Povolené hodnoty'!$B$4,F141=9),J141+M141+P141+S141,"")</f>
        <v/>
      </c>
      <c r="AA141" s="39" t="str">
        <f>IF(AND(E141&lt;&gt;'Povolené hodnoty'!$B$4,F141=2),I141+L141+O141+R141,"")</f>
        <v/>
      </c>
      <c r="AB141" s="40" t="str">
        <f>IF(AND(E141&lt;&gt;'Povolené hodnoty'!$B$4,F141=3),I141+L141+O141+R141,"")</f>
        <v/>
      </c>
      <c r="AC141" s="40" t="str">
        <f>IF(AND(E141&lt;&gt;'Povolené hodnoty'!$B$4,F141=4),I141+L141+O141+R141,"")</f>
        <v/>
      </c>
      <c r="AD141" s="40" t="str">
        <f>IF(AND(E141&lt;&gt;'Povolené hodnoty'!$B$4,F141="5a"),I141-J141+L141-M141+O141-P141+R141-S141,"")</f>
        <v/>
      </c>
      <c r="AE141" s="40" t="str">
        <f>IF(AND(E141&lt;&gt;'Povolené hodnoty'!$B$4,F141="5b"),I141-J141+L141-M141+O141-P141+R141-S141,"")</f>
        <v/>
      </c>
      <c r="AF141" s="40" t="str">
        <f>IF(AND(E141&lt;&gt;'Povolené hodnoty'!$B$4,F141=6),I141+L141+O141+R141,"")</f>
        <v/>
      </c>
      <c r="AG141" s="41" t="str">
        <f>IF(AND(E141&lt;&gt;'Povolené hodnoty'!$B$4,F141=7),I141+L141+O141+R141,"")</f>
        <v/>
      </c>
      <c r="AH141" s="39" t="str">
        <f>IF(AND(E141&lt;&gt;'Povolené hodnoty'!$B$4,F141=10),J141+M141+P141+S141,"")</f>
        <v/>
      </c>
      <c r="AI141" s="40" t="str">
        <f>IF(AND(E141&lt;&gt;'Povolené hodnoty'!$B$4,F141=11),J141+M141+P141+S141,"")</f>
        <v/>
      </c>
      <c r="AJ141" s="40" t="str">
        <f>IF(AND(E141&lt;&gt;'Povolené hodnoty'!$B$4,F141=12),J141+M141+P141+S141,"")</f>
        <v/>
      </c>
      <c r="AK141" s="41" t="str">
        <f>IF(AND(E141&lt;&gt;'Povolené hodnoty'!$B$4,F141=13),J141+M141+P141+S141,"")</f>
        <v/>
      </c>
      <c r="AL141" s="39" t="str">
        <f>IF(AND($G141='Povolené hodnoty'!$B$13,$H141=AL$4),SUM($I141,$L141,$O141,$R141),"")</f>
        <v/>
      </c>
      <c r="AM141" s="458" t="str">
        <f>IF(AND($G141='Povolené hodnoty'!$B$13,$H141=AM$4),SUM($I141,$L141,$O141,$R141),"")</f>
        <v/>
      </c>
      <c r="AN141" s="458" t="str">
        <f>IF(AND($G141='Povolené hodnoty'!$B$13,$H141=AN$4),SUM($I141,$L141,$O141,$R141),"")</f>
        <v/>
      </c>
      <c r="AO141" s="458" t="str">
        <f>IF(AND($G141='Povolené hodnoty'!$B$13,$H141=AO$4),SUM($I141,$L141,$O141,$R141),"")</f>
        <v/>
      </c>
      <c r="AP141" s="458" t="str">
        <f>IF(AND($G141='Povolené hodnoty'!$B$13,$H141=AP$4),SUM($I141,$L141,$O141,$R141),"")</f>
        <v/>
      </c>
      <c r="AQ141" s="40" t="str">
        <f>IF(AND($G141='Povolené hodnoty'!$B$13,OR($H141=AQ$4,$H141='Povolené hodnoty'!$E$36)),SUM($I141,-$J141,$L141,-$M141,$O141,-$P141,$R141,-$S141),"")</f>
        <v/>
      </c>
      <c r="AR141" s="40" t="str">
        <f>IF(AND($G141='Povolené hodnoty'!$B$13,$H141=AR$4),SUM($I141,$L141,$O141,$R141),"")</f>
        <v/>
      </c>
      <c r="AS141" s="41" t="str">
        <f>IF(AND($G141='Povolené hodnoty'!$B$13,$H141=AS$4),SUM($I141,$L141,$O141,$R141),"")</f>
        <v/>
      </c>
      <c r="AT141" s="39" t="str">
        <f>IF(AND($G141='Povolené hodnoty'!$B$14,$H141=AT$4),SUM($I141,$L141,$O141,$R141),"")</f>
        <v/>
      </c>
      <c r="AU141" s="458" t="str">
        <f>IF(AND($G141='Povolené hodnoty'!$B$14,$H141=AU$4),SUM($I141,$L141,$O141,$R141),"")</f>
        <v/>
      </c>
      <c r="AV141" s="41" t="str">
        <f>IF(AND($G141='Povolené hodnoty'!$B$14,$H141=AV$4),SUM($I141,$L141,$O141,$R141),"")</f>
        <v/>
      </c>
      <c r="AW141" s="39" t="str">
        <f>IF(AND($G141='Povolené hodnoty'!$B$13,$H141=AW$4),SUM($J141,$M141,$P141,$S141),"")</f>
        <v/>
      </c>
      <c r="AX141" s="458" t="str">
        <f>IF(AND($G141='Povolené hodnoty'!$B$13,$H141=AX$4),SUM($J141,$M141,$P141,$S141),"")</f>
        <v/>
      </c>
      <c r="AY141" s="458" t="str">
        <f>IF(AND($G141='Povolené hodnoty'!$B$13,$H141=AY$4),SUM($J141,$M141,$P141,$S141),"")</f>
        <v/>
      </c>
      <c r="AZ141" s="458" t="str">
        <f>IF(AND($G141='Povolené hodnoty'!$B$13,$H141=AZ$4),SUM($J141,$M141,$P141,$S141),"")</f>
        <v/>
      </c>
      <c r="BA141" s="458" t="str">
        <f>IF(AND($G141='Povolené hodnoty'!$B$13,$H141=BA$4),SUM($J141,$M141,$P141,$S141),"")</f>
        <v/>
      </c>
      <c r="BB141" s="40" t="str">
        <f>IF(AND($G141='Povolené hodnoty'!$B$13,$H141=BB$4),SUM($J141,$M141,$P141,$S141),"")</f>
        <v/>
      </c>
      <c r="BC141" s="40" t="str">
        <f>IF(AND($G141='Povolené hodnoty'!$B$13,$H141=BC$4),SUM($J141,$M141,$P141,$S141),"")</f>
        <v/>
      </c>
      <c r="BD141" s="40" t="str">
        <f>IF(AND($G141='Povolené hodnoty'!$B$13,$H141=BD$4),SUM($J141,$M141,$P141,$S141),"")</f>
        <v/>
      </c>
      <c r="BE141" s="41" t="str">
        <f>IF(AND($G141='Povolené hodnoty'!$B$13,$H141=BE$4),SUM($J141,$M141,$P141,$S141),"")</f>
        <v/>
      </c>
      <c r="BF141" s="39" t="str">
        <f>IF(AND($G141='Povolené hodnoty'!$B$14,$H141=BF$4),SUM($J141,$M141,$P141,$S141),"")</f>
        <v/>
      </c>
      <c r="BG141" s="458" t="str">
        <f>IF(AND($G141='Povolené hodnoty'!$B$14,$H141=BG$4),SUM($J141,$M141,$P141,$S141),"")</f>
        <v/>
      </c>
      <c r="BH141" s="458" t="str">
        <f>IF(AND($G141='Povolené hodnoty'!$B$14,$H141=BH$4),SUM($J141,$M141,$P141,$S141),"")</f>
        <v/>
      </c>
      <c r="BI141" s="458" t="str">
        <f>IF(AND($G141='Povolené hodnoty'!$B$14,$H141=BI$4),SUM($J141,$M141,$P141,$S141),"")</f>
        <v/>
      </c>
      <c r="BJ141" s="458" t="str">
        <f>IF(AND($G141='Povolené hodnoty'!$B$14,$H141=BJ$4),SUM($J141,$M141,$P141,$S141),"")</f>
        <v/>
      </c>
      <c r="BK141" s="40" t="str">
        <f>IF(AND($G141='Povolené hodnoty'!$B$14,$H141=BK$4),SUM($J141,$M141,$P141,$S141),"")</f>
        <v/>
      </c>
      <c r="BL141" s="40" t="str">
        <f>IF(AND($G141='Povolené hodnoty'!$B$14,$H141=BL$4),SUM($J141,$M141,$P141,$S141),"")</f>
        <v/>
      </c>
      <c r="BM141" s="41" t="str">
        <f>IF(AND($G141='Povolené hodnoty'!$B$14,$H141=BM$4),SUM($J141,$M141,$P141,$S141),"")</f>
        <v/>
      </c>
      <c r="BO141" s="18" t="b">
        <f t="shared" si="106"/>
        <v>0</v>
      </c>
      <c r="BP141" s="18" t="b">
        <f t="shared" si="77"/>
        <v>0</v>
      </c>
      <c r="BQ141" s="18" t="b">
        <f>AND(E141&lt;&gt;'Povolené hodnoty'!$B$6,F141&lt;&gt;'Povolené hodnoty'!$D$7,F141&lt;&gt;'Povolené hodnoty'!$D$8,OR(SUM(I141,L141,O141,R141)&lt;&gt;SUM(W141:X141,AA141:AG141),SUM(J141,M141,P141,S141)&lt;&gt;SUM(Y141:Z141,AH141:AK141),COUNT(I141:J141,L141:M141,O141:P141,R141:S141)&lt;&gt;COUNT(W141:AK141)))</f>
        <v>0</v>
      </c>
      <c r="BR141" s="18" t="b">
        <f>OR(AND(E141='Povolené hodnoty'!$B$6,$BR$5),AND(E141='Povolené hodnoty'!$B$6,H141&lt;&gt;'Povolené hodnoty'!$E$26,H141&lt;&gt;'Povolené hodnoty'!$E$35),AND(E141&lt;&gt;'Povolené hodnoty'!$B$6,OR(H141='Povolené hodnoty'!$E$26,H141='Povolené hodnoty'!$E$35)))</f>
        <v>0</v>
      </c>
      <c r="BS141" s="18" t="b">
        <f>OR(AND(G141&lt;&gt;'Povolené hodnoty'!$B$13,OR(H141='Povolené hodnoty'!$E$21,H141='Povolené hodnoty'!$E$22,H141='Povolené hodnoty'!$E$23,H141='Povolené hodnoty'!$E$24,H141='Povolené hodnoty'!$E$26,H141='Povolené hodnoty'!$E$36)),COUNT(I141:J141,L141:M141,O141:P141,R141:S141)&lt;&gt;COUNT(AL141:BM141))</f>
        <v>0</v>
      </c>
      <c r="BT141" s="18" t="b">
        <f t="shared" si="78"/>
        <v>0</v>
      </c>
      <c r="BV141" s="39" t="str">
        <f t="shared" si="79"/>
        <v/>
      </c>
      <c r="BW141" s="458" t="str">
        <f t="shared" si="80"/>
        <v/>
      </c>
      <c r="BX141" s="458" t="str">
        <f t="shared" si="81"/>
        <v/>
      </c>
      <c r="BY141" s="458" t="str">
        <f t="shared" si="82"/>
        <v/>
      </c>
      <c r="BZ141" s="458" t="str">
        <f t="shared" si="83"/>
        <v/>
      </c>
      <c r="CA141" s="40" t="str">
        <f t="shared" si="84"/>
        <v/>
      </c>
      <c r="CB141" s="40" t="str">
        <f t="shared" si="85"/>
        <v/>
      </c>
      <c r="CC141" s="39" t="str">
        <f t="shared" si="86"/>
        <v/>
      </c>
      <c r="CD141" s="458" t="str">
        <f t="shared" si="87"/>
        <v/>
      </c>
      <c r="CE141" s="41" t="str">
        <f t="shared" si="88"/>
        <v/>
      </c>
      <c r="CF141" s="39" t="str">
        <f t="shared" si="89"/>
        <v/>
      </c>
      <c r="CG141" s="458" t="str">
        <f t="shared" si="90"/>
        <v/>
      </c>
      <c r="CH141" s="458" t="str">
        <f t="shared" si="91"/>
        <v/>
      </c>
      <c r="CI141" s="458" t="str">
        <f t="shared" si="92"/>
        <v/>
      </c>
      <c r="CJ141" s="458" t="str">
        <f t="shared" si="93"/>
        <v/>
      </c>
      <c r="CK141" s="40" t="str">
        <f t="shared" si="94"/>
        <v/>
      </c>
      <c r="CL141" s="40" t="str">
        <f t="shared" si="95"/>
        <v/>
      </c>
      <c r="CM141" s="40" t="str">
        <f t="shared" si="96"/>
        <v/>
      </c>
      <c r="CN141" s="39" t="str">
        <f t="shared" si="97"/>
        <v/>
      </c>
      <c r="CO141" s="458" t="str">
        <f t="shared" si="98"/>
        <v/>
      </c>
      <c r="CP141" s="458" t="str">
        <f t="shared" si="99"/>
        <v/>
      </c>
      <c r="CQ141" s="458" t="str">
        <f t="shared" si="100"/>
        <v/>
      </c>
      <c r="CR141" s="458" t="str">
        <f t="shared" si="101"/>
        <v/>
      </c>
      <c r="CS141" s="40" t="str">
        <f t="shared" si="102"/>
        <v/>
      </c>
      <c r="CT141" s="40" t="str">
        <f t="shared" si="103"/>
        <v/>
      </c>
      <c r="CU141" s="41" t="str">
        <f t="shared" si="104"/>
        <v/>
      </c>
    </row>
    <row r="142" spans="1:99" x14ac:dyDescent="0.2">
      <c r="A142" s="77">
        <f t="shared" si="105"/>
        <v>137</v>
      </c>
      <c r="B142" s="81"/>
      <c r="C142" s="82"/>
      <c r="D142" s="71"/>
      <c r="E142" s="72"/>
      <c r="F142" s="73"/>
      <c r="G142" s="443"/>
      <c r="H142" s="443"/>
      <c r="I142" s="74"/>
      <c r="J142" s="75"/>
      <c r="K142" s="41">
        <f t="shared" si="74"/>
        <v>3625</v>
      </c>
      <c r="L142" s="104"/>
      <c r="M142" s="105"/>
      <c r="N142" s="106">
        <f t="shared" si="75"/>
        <v>537.05999999999995</v>
      </c>
      <c r="O142" s="104"/>
      <c r="P142" s="105"/>
      <c r="Q142" s="106">
        <f t="shared" si="107"/>
        <v>10045.83</v>
      </c>
      <c r="R142" s="104"/>
      <c r="S142" s="105"/>
      <c r="T142" s="106">
        <f t="shared" si="108"/>
        <v>0</v>
      </c>
      <c r="U142" s="439"/>
      <c r="V142" s="42">
        <f t="shared" si="76"/>
        <v>137</v>
      </c>
      <c r="W142" s="39" t="str">
        <f>IF(AND(E142='Povolené hodnoty'!$B$4,F142=2),I142+L142+O142+R142,"")</f>
        <v/>
      </c>
      <c r="X142" s="41" t="str">
        <f>IF(AND(E142='Povolené hodnoty'!$B$4,F142=1),I142+L142+O142+R142,"")</f>
        <v/>
      </c>
      <c r="Y142" s="39" t="str">
        <f>IF(AND(E142='Povolené hodnoty'!$B$4,F142=10),J142+M142+P142+S142,"")</f>
        <v/>
      </c>
      <c r="Z142" s="41" t="str">
        <f>IF(AND(E142='Povolené hodnoty'!$B$4,F142=9),J142+M142+P142+S142,"")</f>
        <v/>
      </c>
      <c r="AA142" s="39" t="str">
        <f>IF(AND(E142&lt;&gt;'Povolené hodnoty'!$B$4,F142=2),I142+L142+O142+R142,"")</f>
        <v/>
      </c>
      <c r="AB142" s="40" t="str">
        <f>IF(AND(E142&lt;&gt;'Povolené hodnoty'!$B$4,F142=3),I142+L142+O142+R142,"")</f>
        <v/>
      </c>
      <c r="AC142" s="40" t="str">
        <f>IF(AND(E142&lt;&gt;'Povolené hodnoty'!$B$4,F142=4),I142+L142+O142+R142,"")</f>
        <v/>
      </c>
      <c r="AD142" s="40" t="str">
        <f>IF(AND(E142&lt;&gt;'Povolené hodnoty'!$B$4,F142="5a"),I142-J142+L142-M142+O142-P142+R142-S142,"")</f>
        <v/>
      </c>
      <c r="AE142" s="40" t="str">
        <f>IF(AND(E142&lt;&gt;'Povolené hodnoty'!$B$4,F142="5b"),I142-J142+L142-M142+O142-P142+R142-S142,"")</f>
        <v/>
      </c>
      <c r="AF142" s="40" t="str">
        <f>IF(AND(E142&lt;&gt;'Povolené hodnoty'!$B$4,F142=6),I142+L142+O142+R142,"")</f>
        <v/>
      </c>
      <c r="AG142" s="41" t="str">
        <f>IF(AND(E142&lt;&gt;'Povolené hodnoty'!$B$4,F142=7),I142+L142+O142+R142,"")</f>
        <v/>
      </c>
      <c r="AH142" s="39" t="str">
        <f>IF(AND(E142&lt;&gt;'Povolené hodnoty'!$B$4,F142=10),J142+M142+P142+S142,"")</f>
        <v/>
      </c>
      <c r="AI142" s="40" t="str">
        <f>IF(AND(E142&lt;&gt;'Povolené hodnoty'!$B$4,F142=11),J142+M142+P142+S142,"")</f>
        <v/>
      </c>
      <c r="AJ142" s="40" t="str">
        <f>IF(AND(E142&lt;&gt;'Povolené hodnoty'!$B$4,F142=12),J142+M142+P142+S142,"")</f>
        <v/>
      </c>
      <c r="AK142" s="41" t="str">
        <f>IF(AND(E142&lt;&gt;'Povolené hodnoty'!$B$4,F142=13),J142+M142+P142+S142,"")</f>
        <v/>
      </c>
      <c r="AL142" s="39" t="str">
        <f>IF(AND($G142='Povolené hodnoty'!$B$13,$H142=AL$4),SUM($I142,$L142,$O142,$R142),"")</f>
        <v/>
      </c>
      <c r="AM142" s="458" t="str">
        <f>IF(AND($G142='Povolené hodnoty'!$B$13,$H142=AM$4),SUM($I142,$L142,$O142,$R142),"")</f>
        <v/>
      </c>
      <c r="AN142" s="458" t="str">
        <f>IF(AND($G142='Povolené hodnoty'!$B$13,$H142=AN$4),SUM($I142,$L142,$O142,$R142),"")</f>
        <v/>
      </c>
      <c r="AO142" s="458" t="str">
        <f>IF(AND($G142='Povolené hodnoty'!$B$13,$H142=AO$4),SUM($I142,$L142,$O142,$R142),"")</f>
        <v/>
      </c>
      <c r="AP142" s="458" t="str">
        <f>IF(AND($G142='Povolené hodnoty'!$B$13,$H142=AP$4),SUM($I142,$L142,$O142,$R142),"")</f>
        <v/>
      </c>
      <c r="AQ142" s="40" t="str">
        <f>IF(AND($G142='Povolené hodnoty'!$B$13,OR($H142=AQ$4,$H142='Povolené hodnoty'!$E$36)),SUM($I142,-$J142,$L142,-$M142,$O142,-$P142,$R142,-$S142),"")</f>
        <v/>
      </c>
      <c r="AR142" s="40" t="str">
        <f>IF(AND($G142='Povolené hodnoty'!$B$13,$H142=AR$4),SUM($I142,$L142,$O142,$R142),"")</f>
        <v/>
      </c>
      <c r="AS142" s="41" t="str">
        <f>IF(AND($G142='Povolené hodnoty'!$B$13,$H142=AS$4),SUM($I142,$L142,$O142,$R142),"")</f>
        <v/>
      </c>
      <c r="AT142" s="39" t="str">
        <f>IF(AND($G142='Povolené hodnoty'!$B$14,$H142=AT$4),SUM($I142,$L142,$O142,$R142),"")</f>
        <v/>
      </c>
      <c r="AU142" s="458" t="str">
        <f>IF(AND($G142='Povolené hodnoty'!$B$14,$H142=AU$4),SUM($I142,$L142,$O142,$R142),"")</f>
        <v/>
      </c>
      <c r="AV142" s="41" t="str">
        <f>IF(AND($G142='Povolené hodnoty'!$B$14,$H142=AV$4),SUM($I142,$L142,$O142,$R142),"")</f>
        <v/>
      </c>
      <c r="AW142" s="39" t="str">
        <f>IF(AND($G142='Povolené hodnoty'!$B$13,$H142=AW$4),SUM($J142,$M142,$P142,$S142),"")</f>
        <v/>
      </c>
      <c r="AX142" s="458" t="str">
        <f>IF(AND($G142='Povolené hodnoty'!$B$13,$H142=AX$4),SUM($J142,$M142,$P142,$S142),"")</f>
        <v/>
      </c>
      <c r="AY142" s="458" t="str">
        <f>IF(AND($G142='Povolené hodnoty'!$B$13,$H142=AY$4),SUM($J142,$M142,$P142,$S142),"")</f>
        <v/>
      </c>
      <c r="AZ142" s="458" t="str">
        <f>IF(AND($G142='Povolené hodnoty'!$B$13,$H142=AZ$4),SUM($J142,$M142,$P142,$S142),"")</f>
        <v/>
      </c>
      <c r="BA142" s="458" t="str">
        <f>IF(AND($G142='Povolené hodnoty'!$B$13,$H142=BA$4),SUM($J142,$M142,$P142,$S142),"")</f>
        <v/>
      </c>
      <c r="BB142" s="40" t="str">
        <f>IF(AND($G142='Povolené hodnoty'!$B$13,$H142=BB$4),SUM($J142,$M142,$P142,$S142),"")</f>
        <v/>
      </c>
      <c r="BC142" s="40" t="str">
        <f>IF(AND($G142='Povolené hodnoty'!$B$13,$H142=BC$4),SUM($J142,$M142,$P142,$S142),"")</f>
        <v/>
      </c>
      <c r="BD142" s="40" t="str">
        <f>IF(AND($G142='Povolené hodnoty'!$B$13,$H142=BD$4),SUM($J142,$M142,$P142,$S142),"")</f>
        <v/>
      </c>
      <c r="BE142" s="41" t="str">
        <f>IF(AND($G142='Povolené hodnoty'!$B$13,$H142=BE$4),SUM($J142,$M142,$P142,$S142),"")</f>
        <v/>
      </c>
      <c r="BF142" s="39" t="str">
        <f>IF(AND($G142='Povolené hodnoty'!$B$14,$H142=BF$4),SUM($J142,$M142,$P142,$S142),"")</f>
        <v/>
      </c>
      <c r="BG142" s="458" t="str">
        <f>IF(AND($G142='Povolené hodnoty'!$B$14,$H142=BG$4),SUM($J142,$M142,$P142,$S142),"")</f>
        <v/>
      </c>
      <c r="BH142" s="458" t="str">
        <f>IF(AND($G142='Povolené hodnoty'!$B$14,$H142=BH$4),SUM($J142,$M142,$P142,$S142),"")</f>
        <v/>
      </c>
      <c r="BI142" s="458" t="str">
        <f>IF(AND($G142='Povolené hodnoty'!$B$14,$H142=BI$4),SUM($J142,$M142,$P142,$S142),"")</f>
        <v/>
      </c>
      <c r="BJ142" s="458" t="str">
        <f>IF(AND($G142='Povolené hodnoty'!$B$14,$H142=BJ$4),SUM($J142,$M142,$P142,$S142),"")</f>
        <v/>
      </c>
      <c r="BK142" s="40" t="str">
        <f>IF(AND($G142='Povolené hodnoty'!$B$14,$H142=BK$4),SUM($J142,$M142,$P142,$S142),"")</f>
        <v/>
      </c>
      <c r="BL142" s="40" t="str">
        <f>IF(AND($G142='Povolené hodnoty'!$B$14,$H142=BL$4),SUM($J142,$M142,$P142,$S142),"")</f>
        <v/>
      </c>
      <c r="BM142" s="41" t="str">
        <f>IF(AND($G142='Povolené hodnoty'!$B$14,$H142=BM$4),SUM($J142,$M142,$P142,$S142),"")</f>
        <v/>
      </c>
      <c r="BO142" s="18" t="b">
        <f t="shared" si="106"/>
        <v>0</v>
      </c>
      <c r="BP142" s="18" t="b">
        <f t="shared" si="77"/>
        <v>0</v>
      </c>
      <c r="BQ142" s="18" t="b">
        <f>AND(E142&lt;&gt;'Povolené hodnoty'!$B$6,F142&lt;&gt;'Povolené hodnoty'!$D$7,F142&lt;&gt;'Povolené hodnoty'!$D$8,OR(SUM(I142,L142,O142,R142)&lt;&gt;SUM(W142:X142,AA142:AG142),SUM(J142,M142,P142,S142)&lt;&gt;SUM(Y142:Z142,AH142:AK142),COUNT(I142:J142,L142:M142,O142:P142,R142:S142)&lt;&gt;COUNT(W142:AK142)))</f>
        <v>0</v>
      </c>
      <c r="BR142" s="18" t="b">
        <f>OR(AND(E142='Povolené hodnoty'!$B$6,$BR$5),AND(E142='Povolené hodnoty'!$B$6,H142&lt;&gt;'Povolené hodnoty'!$E$26,H142&lt;&gt;'Povolené hodnoty'!$E$35),AND(E142&lt;&gt;'Povolené hodnoty'!$B$6,OR(H142='Povolené hodnoty'!$E$26,H142='Povolené hodnoty'!$E$35)))</f>
        <v>0</v>
      </c>
      <c r="BS142" s="18" t="b">
        <f>OR(AND(G142&lt;&gt;'Povolené hodnoty'!$B$13,OR(H142='Povolené hodnoty'!$E$21,H142='Povolené hodnoty'!$E$22,H142='Povolené hodnoty'!$E$23,H142='Povolené hodnoty'!$E$24,H142='Povolené hodnoty'!$E$26,H142='Povolené hodnoty'!$E$36)),COUNT(I142:J142,L142:M142,O142:P142,R142:S142)&lt;&gt;COUNT(AL142:BM142))</f>
        <v>0</v>
      </c>
      <c r="BT142" s="18" t="b">
        <f t="shared" si="78"/>
        <v>0</v>
      </c>
      <c r="BV142" s="39" t="str">
        <f t="shared" si="79"/>
        <v/>
      </c>
      <c r="BW142" s="458" t="str">
        <f t="shared" si="80"/>
        <v/>
      </c>
      <c r="BX142" s="458" t="str">
        <f t="shared" si="81"/>
        <v/>
      </c>
      <c r="BY142" s="458" t="str">
        <f t="shared" si="82"/>
        <v/>
      </c>
      <c r="BZ142" s="458" t="str">
        <f t="shared" si="83"/>
        <v/>
      </c>
      <c r="CA142" s="40" t="str">
        <f t="shared" si="84"/>
        <v/>
      </c>
      <c r="CB142" s="40" t="str">
        <f t="shared" si="85"/>
        <v/>
      </c>
      <c r="CC142" s="39" t="str">
        <f t="shared" si="86"/>
        <v/>
      </c>
      <c r="CD142" s="458" t="str">
        <f t="shared" si="87"/>
        <v/>
      </c>
      <c r="CE142" s="41" t="str">
        <f t="shared" si="88"/>
        <v/>
      </c>
      <c r="CF142" s="39" t="str">
        <f t="shared" si="89"/>
        <v/>
      </c>
      <c r="CG142" s="458" t="str">
        <f t="shared" si="90"/>
        <v/>
      </c>
      <c r="CH142" s="458" t="str">
        <f t="shared" si="91"/>
        <v/>
      </c>
      <c r="CI142" s="458" t="str">
        <f t="shared" si="92"/>
        <v/>
      </c>
      <c r="CJ142" s="458" t="str">
        <f t="shared" si="93"/>
        <v/>
      </c>
      <c r="CK142" s="40" t="str">
        <f t="shared" si="94"/>
        <v/>
      </c>
      <c r="CL142" s="40" t="str">
        <f t="shared" si="95"/>
        <v/>
      </c>
      <c r="CM142" s="40" t="str">
        <f t="shared" si="96"/>
        <v/>
      </c>
      <c r="CN142" s="39" t="str">
        <f t="shared" si="97"/>
        <v/>
      </c>
      <c r="CO142" s="458" t="str">
        <f t="shared" si="98"/>
        <v/>
      </c>
      <c r="CP142" s="458" t="str">
        <f t="shared" si="99"/>
        <v/>
      </c>
      <c r="CQ142" s="458" t="str">
        <f t="shared" si="100"/>
        <v/>
      </c>
      <c r="CR142" s="458" t="str">
        <f t="shared" si="101"/>
        <v/>
      </c>
      <c r="CS142" s="40" t="str">
        <f t="shared" si="102"/>
        <v/>
      </c>
      <c r="CT142" s="40" t="str">
        <f t="shared" si="103"/>
        <v/>
      </c>
      <c r="CU142" s="41" t="str">
        <f t="shared" si="104"/>
        <v/>
      </c>
    </row>
    <row r="143" spans="1:99" x14ac:dyDescent="0.2">
      <c r="A143" s="77">
        <f t="shared" si="105"/>
        <v>138</v>
      </c>
      <c r="B143" s="81"/>
      <c r="C143" s="82"/>
      <c r="D143" s="71"/>
      <c r="E143" s="72"/>
      <c r="F143" s="73"/>
      <c r="G143" s="443"/>
      <c r="H143" s="443"/>
      <c r="I143" s="74"/>
      <c r="J143" s="75"/>
      <c r="K143" s="41">
        <f t="shared" si="74"/>
        <v>3625</v>
      </c>
      <c r="L143" s="104"/>
      <c r="M143" s="105"/>
      <c r="N143" s="106">
        <f t="shared" si="75"/>
        <v>537.05999999999995</v>
      </c>
      <c r="O143" s="104"/>
      <c r="P143" s="105"/>
      <c r="Q143" s="106">
        <f t="shared" si="107"/>
        <v>10045.83</v>
      </c>
      <c r="R143" s="104"/>
      <c r="S143" s="105"/>
      <c r="T143" s="106">
        <f t="shared" si="108"/>
        <v>0</v>
      </c>
      <c r="U143" s="439"/>
      <c r="V143" s="42">
        <f t="shared" si="76"/>
        <v>138</v>
      </c>
      <c r="W143" s="39" t="str">
        <f>IF(AND(E143='Povolené hodnoty'!$B$4,F143=2),I143+L143+O143+R143,"")</f>
        <v/>
      </c>
      <c r="X143" s="41" t="str">
        <f>IF(AND(E143='Povolené hodnoty'!$B$4,F143=1),I143+L143+O143+R143,"")</f>
        <v/>
      </c>
      <c r="Y143" s="39" t="str">
        <f>IF(AND(E143='Povolené hodnoty'!$B$4,F143=10),J143+M143+P143+S143,"")</f>
        <v/>
      </c>
      <c r="Z143" s="41" t="str">
        <f>IF(AND(E143='Povolené hodnoty'!$B$4,F143=9),J143+M143+P143+S143,"")</f>
        <v/>
      </c>
      <c r="AA143" s="39" t="str">
        <f>IF(AND(E143&lt;&gt;'Povolené hodnoty'!$B$4,F143=2),I143+L143+O143+R143,"")</f>
        <v/>
      </c>
      <c r="AB143" s="40" t="str">
        <f>IF(AND(E143&lt;&gt;'Povolené hodnoty'!$B$4,F143=3),I143+L143+O143+R143,"")</f>
        <v/>
      </c>
      <c r="AC143" s="40" t="str">
        <f>IF(AND(E143&lt;&gt;'Povolené hodnoty'!$B$4,F143=4),I143+L143+O143+R143,"")</f>
        <v/>
      </c>
      <c r="AD143" s="40" t="str">
        <f>IF(AND(E143&lt;&gt;'Povolené hodnoty'!$B$4,F143="5a"),I143-J143+L143-M143+O143-P143+R143-S143,"")</f>
        <v/>
      </c>
      <c r="AE143" s="40" t="str">
        <f>IF(AND(E143&lt;&gt;'Povolené hodnoty'!$B$4,F143="5b"),I143-J143+L143-M143+O143-P143+R143-S143,"")</f>
        <v/>
      </c>
      <c r="AF143" s="40" t="str">
        <f>IF(AND(E143&lt;&gt;'Povolené hodnoty'!$B$4,F143=6),I143+L143+O143+R143,"")</f>
        <v/>
      </c>
      <c r="AG143" s="41" t="str">
        <f>IF(AND(E143&lt;&gt;'Povolené hodnoty'!$B$4,F143=7),I143+L143+O143+R143,"")</f>
        <v/>
      </c>
      <c r="AH143" s="39" t="str">
        <f>IF(AND(E143&lt;&gt;'Povolené hodnoty'!$B$4,F143=10),J143+M143+P143+S143,"")</f>
        <v/>
      </c>
      <c r="AI143" s="40" t="str">
        <f>IF(AND(E143&lt;&gt;'Povolené hodnoty'!$B$4,F143=11),J143+M143+P143+S143,"")</f>
        <v/>
      </c>
      <c r="AJ143" s="40" t="str">
        <f>IF(AND(E143&lt;&gt;'Povolené hodnoty'!$B$4,F143=12),J143+M143+P143+S143,"")</f>
        <v/>
      </c>
      <c r="AK143" s="41" t="str">
        <f>IF(AND(E143&lt;&gt;'Povolené hodnoty'!$B$4,F143=13),J143+M143+P143+S143,"")</f>
        <v/>
      </c>
      <c r="AL143" s="39" t="str">
        <f>IF(AND($G143='Povolené hodnoty'!$B$13,$H143=AL$4),SUM($I143,$L143,$O143,$R143),"")</f>
        <v/>
      </c>
      <c r="AM143" s="458" t="str">
        <f>IF(AND($G143='Povolené hodnoty'!$B$13,$H143=AM$4),SUM($I143,$L143,$O143,$R143),"")</f>
        <v/>
      </c>
      <c r="AN143" s="458" t="str">
        <f>IF(AND($G143='Povolené hodnoty'!$B$13,$H143=AN$4),SUM($I143,$L143,$O143,$R143),"")</f>
        <v/>
      </c>
      <c r="AO143" s="458" t="str">
        <f>IF(AND($G143='Povolené hodnoty'!$B$13,$H143=AO$4),SUM($I143,$L143,$O143,$R143),"")</f>
        <v/>
      </c>
      <c r="AP143" s="458" t="str">
        <f>IF(AND($G143='Povolené hodnoty'!$B$13,$H143=AP$4),SUM($I143,$L143,$O143,$R143),"")</f>
        <v/>
      </c>
      <c r="AQ143" s="40" t="str">
        <f>IF(AND($G143='Povolené hodnoty'!$B$13,OR($H143=AQ$4,$H143='Povolené hodnoty'!$E$36)),SUM($I143,-$J143,$L143,-$M143,$O143,-$P143,$R143,-$S143),"")</f>
        <v/>
      </c>
      <c r="AR143" s="40" t="str">
        <f>IF(AND($G143='Povolené hodnoty'!$B$13,$H143=AR$4),SUM($I143,$L143,$O143,$R143),"")</f>
        <v/>
      </c>
      <c r="AS143" s="41" t="str">
        <f>IF(AND($G143='Povolené hodnoty'!$B$13,$H143=AS$4),SUM($I143,$L143,$O143,$R143),"")</f>
        <v/>
      </c>
      <c r="AT143" s="39" t="str">
        <f>IF(AND($G143='Povolené hodnoty'!$B$14,$H143=AT$4),SUM($I143,$L143,$O143,$R143),"")</f>
        <v/>
      </c>
      <c r="AU143" s="458" t="str">
        <f>IF(AND($G143='Povolené hodnoty'!$B$14,$H143=AU$4),SUM($I143,$L143,$O143,$R143),"")</f>
        <v/>
      </c>
      <c r="AV143" s="41" t="str">
        <f>IF(AND($G143='Povolené hodnoty'!$B$14,$H143=AV$4),SUM($I143,$L143,$O143,$R143),"")</f>
        <v/>
      </c>
      <c r="AW143" s="39" t="str">
        <f>IF(AND($G143='Povolené hodnoty'!$B$13,$H143=AW$4),SUM($J143,$M143,$P143,$S143),"")</f>
        <v/>
      </c>
      <c r="AX143" s="458" t="str">
        <f>IF(AND($G143='Povolené hodnoty'!$B$13,$H143=AX$4),SUM($J143,$M143,$P143,$S143),"")</f>
        <v/>
      </c>
      <c r="AY143" s="458" t="str">
        <f>IF(AND($G143='Povolené hodnoty'!$B$13,$H143=AY$4),SUM($J143,$M143,$P143,$S143),"")</f>
        <v/>
      </c>
      <c r="AZ143" s="458" t="str">
        <f>IF(AND($G143='Povolené hodnoty'!$B$13,$H143=AZ$4),SUM($J143,$M143,$P143,$S143),"")</f>
        <v/>
      </c>
      <c r="BA143" s="458" t="str">
        <f>IF(AND($G143='Povolené hodnoty'!$B$13,$H143=BA$4),SUM($J143,$M143,$P143,$S143),"")</f>
        <v/>
      </c>
      <c r="BB143" s="40" t="str">
        <f>IF(AND($G143='Povolené hodnoty'!$B$13,$H143=BB$4),SUM($J143,$M143,$P143,$S143),"")</f>
        <v/>
      </c>
      <c r="BC143" s="40" t="str">
        <f>IF(AND($G143='Povolené hodnoty'!$B$13,$H143=BC$4),SUM($J143,$M143,$P143,$S143),"")</f>
        <v/>
      </c>
      <c r="BD143" s="40" t="str">
        <f>IF(AND($G143='Povolené hodnoty'!$B$13,$H143=BD$4),SUM($J143,$M143,$P143,$S143),"")</f>
        <v/>
      </c>
      <c r="BE143" s="41" t="str">
        <f>IF(AND($G143='Povolené hodnoty'!$B$13,$H143=BE$4),SUM($J143,$M143,$P143,$S143),"")</f>
        <v/>
      </c>
      <c r="BF143" s="39" t="str">
        <f>IF(AND($G143='Povolené hodnoty'!$B$14,$H143=BF$4),SUM($J143,$M143,$P143,$S143),"")</f>
        <v/>
      </c>
      <c r="BG143" s="458" t="str">
        <f>IF(AND($G143='Povolené hodnoty'!$B$14,$H143=BG$4),SUM($J143,$M143,$P143,$S143),"")</f>
        <v/>
      </c>
      <c r="BH143" s="458" t="str">
        <f>IF(AND($G143='Povolené hodnoty'!$B$14,$H143=BH$4),SUM($J143,$M143,$P143,$S143),"")</f>
        <v/>
      </c>
      <c r="BI143" s="458" t="str">
        <f>IF(AND($G143='Povolené hodnoty'!$B$14,$H143=BI$4),SUM($J143,$M143,$P143,$S143),"")</f>
        <v/>
      </c>
      <c r="BJ143" s="458" t="str">
        <f>IF(AND($G143='Povolené hodnoty'!$B$14,$H143=BJ$4),SUM($J143,$M143,$P143,$S143),"")</f>
        <v/>
      </c>
      <c r="BK143" s="40" t="str">
        <f>IF(AND($G143='Povolené hodnoty'!$B$14,$H143=BK$4),SUM($J143,$M143,$P143,$S143),"")</f>
        <v/>
      </c>
      <c r="BL143" s="40" t="str">
        <f>IF(AND($G143='Povolené hodnoty'!$B$14,$H143=BL$4),SUM($J143,$M143,$P143,$S143),"")</f>
        <v/>
      </c>
      <c r="BM143" s="41" t="str">
        <f>IF(AND($G143='Povolené hodnoty'!$B$14,$H143=BM$4),SUM($J143,$M143,$P143,$S143),"")</f>
        <v/>
      </c>
      <c r="BO143" s="18" t="b">
        <f t="shared" si="106"/>
        <v>0</v>
      </c>
      <c r="BP143" s="18" t="b">
        <f t="shared" si="77"/>
        <v>0</v>
      </c>
      <c r="BQ143" s="18" t="b">
        <f>AND(E143&lt;&gt;'Povolené hodnoty'!$B$6,F143&lt;&gt;'Povolené hodnoty'!$D$7,F143&lt;&gt;'Povolené hodnoty'!$D$8,OR(SUM(I143,L143,O143,R143)&lt;&gt;SUM(W143:X143,AA143:AG143),SUM(J143,M143,P143,S143)&lt;&gt;SUM(Y143:Z143,AH143:AK143),COUNT(I143:J143,L143:M143,O143:P143,R143:S143)&lt;&gt;COUNT(W143:AK143)))</f>
        <v>0</v>
      </c>
      <c r="BR143" s="18" t="b">
        <f>OR(AND(E143='Povolené hodnoty'!$B$6,$BR$5),AND(E143='Povolené hodnoty'!$B$6,H143&lt;&gt;'Povolené hodnoty'!$E$26,H143&lt;&gt;'Povolené hodnoty'!$E$35),AND(E143&lt;&gt;'Povolené hodnoty'!$B$6,OR(H143='Povolené hodnoty'!$E$26,H143='Povolené hodnoty'!$E$35)))</f>
        <v>0</v>
      </c>
      <c r="BS143" s="18" t="b">
        <f>OR(AND(G143&lt;&gt;'Povolené hodnoty'!$B$13,OR(H143='Povolené hodnoty'!$E$21,H143='Povolené hodnoty'!$E$22,H143='Povolené hodnoty'!$E$23,H143='Povolené hodnoty'!$E$24,H143='Povolené hodnoty'!$E$26,H143='Povolené hodnoty'!$E$36)),COUNT(I143:J143,L143:M143,O143:P143,R143:S143)&lt;&gt;COUNT(AL143:BM143))</f>
        <v>0</v>
      </c>
      <c r="BT143" s="18" t="b">
        <f t="shared" si="78"/>
        <v>0</v>
      </c>
      <c r="BV143" s="39" t="str">
        <f t="shared" si="79"/>
        <v/>
      </c>
      <c r="BW143" s="458" t="str">
        <f t="shared" si="80"/>
        <v/>
      </c>
      <c r="BX143" s="458" t="str">
        <f t="shared" si="81"/>
        <v/>
      </c>
      <c r="BY143" s="458" t="str">
        <f t="shared" si="82"/>
        <v/>
      </c>
      <c r="BZ143" s="458" t="str">
        <f t="shared" si="83"/>
        <v/>
      </c>
      <c r="CA143" s="40" t="str">
        <f t="shared" si="84"/>
        <v/>
      </c>
      <c r="CB143" s="40" t="str">
        <f t="shared" si="85"/>
        <v/>
      </c>
      <c r="CC143" s="39" t="str">
        <f t="shared" si="86"/>
        <v/>
      </c>
      <c r="CD143" s="458" t="str">
        <f t="shared" si="87"/>
        <v/>
      </c>
      <c r="CE143" s="41" t="str">
        <f t="shared" si="88"/>
        <v/>
      </c>
      <c r="CF143" s="39" t="str">
        <f t="shared" si="89"/>
        <v/>
      </c>
      <c r="CG143" s="458" t="str">
        <f t="shared" si="90"/>
        <v/>
      </c>
      <c r="CH143" s="458" t="str">
        <f t="shared" si="91"/>
        <v/>
      </c>
      <c r="CI143" s="458" t="str">
        <f t="shared" si="92"/>
        <v/>
      </c>
      <c r="CJ143" s="458" t="str">
        <f t="shared" si="93"/>
        <v/>
      </c>
      <c r="CK143" s="40" t="str">
        <f t="shared" si="94"/>
        <v/>
      </c>
      <c r="CL143" s="40" t="str">
        <f t="shared" si="95"/>
        <v/>
      </c>
      <c r="CM143" s="40" t="str">
        <f t="shared" si="96"/>
        <v/>
      </c>
      <c r="CN143" s="39" t="str">
        <f t="shared" si="97"/>
        <v/>
      </c>
      <c r="CO143" s="458" t="str">
        <f t="shared" si="98"/>
        <v/>
      </c>
      <c r="CP143" s="458" t="str">
        <f t="shared" si="99"/>
        <v/>
      </c>
      <c r="CQ143" s="458" t="str">
        <f t="shared" si="100"/>
        <v/>
      </c>
      <c r="CR143" s="458" t="str">
        <f t="shared" si="101"/>
        <v/>
      </c>
      <c r="CS143" s="40" t="str">
        <f t="shared" si="102"/>
        <v/>
      </c>
      <c r="CT143" s="40" t="str">
        <f t="shared" si="103"/>
        <v/>
      </c>
      <c r="CU143" s="41" t="str">
        <f t="shared" si="104"/>
        <v/>
      </c>
    </row>
    <row r="144" spans="1:99" x14ac:dyDescent="0.2">
      <c r="A144" s="77">
        <f t="shared" si="105"/>
        <v>139</v>
      </c>
      <c r="B144" s="81"/>
      <c r="C144" s="82"/>
      <c r="D144" s="71"/>
      <c r="E144" s="72"/>
      <c r="F144" s="73"/>
      <c r="G144" s="443"/>
      <c r="H144" s="443"/>
      <c r="I144" s="74"/>
      <c r="J144" s="75"/>
      <c r="K144" s="41">
        <f t="shared" si="74"/>
        <v>3625</v>
      </c>
      <c r="L144" s="104"/>
      <c r="M144" s="105"/>
      <c r="N144" s="106">
        <f t="shared" si="75"/>
        <v>537.05999999999995</v>
      </c>
      <c r="O144" s="104"/>
      <c r="P144" s="105"/>
      <c r="Q144" s="106">
        <f t="shared" si="107"/>
        <v>10045.83</v>
      </c>
      <c r="R144" s="104"/>
      <c r="S144" s="105"/>
      <c r="T144" s="106">
        <f t="shared" si="108"/>
        <v>0</v>
      </c>
      <c r="U144" s="439"/>
      <c r="V144" s="42">
        <f t="shared" si="76"/>
        <v>139</v>
      </c>
      <c r="W144" s="39" t="str">
        <f>IF(AND(E144='Povolené hodnoty'!$B$4,F144=2),I144+L144+O144+R144,"")</f>
        <v/>
      </c>
      <c r="X144" s="41" t="str">
        <f>IF(AND(E144='Povolené hodnoty'!$B$4,F144=1),I144+L144+O144+R144,"")</f>
        <v/>
      </c>
      <c r="Y144" s="39" t="str">
        <f>IF(AND(E144='Povolené hodnoty'!$B$4,F144=10),J144+M144+P144+S144,"")</f>
        <v/>
      </c>
      <c r="Z144" s="41" t="str">
        <f>IF(AND(E144='Povolené hodnoty'!$B$4,F144=9),J144+M144+P144+S144,"")</f>
        <v/>
      </c>
      <c r="AA144" s="39" t="str">
        <f>IF(AND(E144&lt;&gt;'Povolené hodnoty'!$B$4,F144=2),I144+L144+O144+R144,"")</f>
        <v/>
      </c>
      <c r="AB144" s="40" t="str">
        <f>IF(AND(E144&lt;&gt;'Povolené hodnoty'!$B$4,F144=3),I144+L144+O144+R144,"")</f>
        <v/>
      </c>
      <c r="AC144" s="40" t="str">
        <f>IF(AND(E144&lt;&gt;'Povolené hodnoty'!$B$4,F144=4),I144+L144+O144+R144,"")</f>
        <v/>
      </c>
      <c r="AD144" s="40" t="str">
        <f>IF(AND(E144&lt;&gt;'Povolené hodnoty'!$B$4,F144="5a"),I144-J144+L144-M144+O144-P144+R144-S144,"")</f>
        <v/>
      </c>
      <c r="AE144" s="40" t="str">
        <f>IF(AND(E144&lt;&gt;'Povolené hodnoty'!$B$4,F144="5b"),I144-J144+L144-M144+O144-P144+R144-S144,"")</f>
        <v/>
      </c>
      <c r="AF144" s="40" t="str">
        <f>IF(AND(E144&lt;&gt;'Povolené hodnoty'!$B$4,F144=6),I144+L144+O144+R144,"")</f>
        <v/>
      </c>
      <c r="AG144" s="41" t="str">
        <f>IF(AND(E144&lt;&gt;'Povolené hodnoty'!$B$4,F144=7),I144+L144+O144+R144,"")</f>
        <v/>
      </c>
      <c r="AH144" s="39" t="str">
        <f>IF(AND(E144&lt;&gt;'Povolené hodnoty'!$B$4,F144=10),J144+M144+P144+S144,"")</f>
        <v/>
      </c>
      <c r="AI144" s="40" t="str">
        <f>IF(AND(E144&lt;&gt;'Povolené hodnoty'!$B$4,F144=11),J144+M144+P144+S144,"")</f>
        <v/>
      </c>
      <c r="AJ144" s="40" t="str">
        <f>IF(AND(E144&lt;&gt;'Povolené hodnoty'!$B$4,F144=12),J144+M144+P144+S144,"")</f>
        <v/>
      </c>
      <c r="AK144" s="41" t="str">
        <f>IF(AND(E144&lt;&gt;'Povolené hodnoty'!$B$4,F144=13),J144+M144+P144+S144,"")</f>
        <v/>
      </c>
      <c r="AL144" s="39" t="str">
        <f>IF(AND($G144='Povolené hodnoty'!$B$13,$H144=AL$4),SUM($I144,$L144,$O144,$R144),"")</f>
        <v/>
      </c>
      <c r="AM144" s="458" t="str">
        <f>IF(AND($G144='Povolené hodnoty'!$B$13,$H144=AM$4),SUM($I144,$L144,$O144,$R144),"")</f>
        <v/>
      </c>
      <c r="AN144" s="458" t="str">
        <f>IF(AND($G144='Povolené hodnoty'!$B$13,$H144=AN$4),SUM($I144,$L144,$O144,$R144),"")</f>
        <v/>
      </c>
      <c r="AO144" s="458" t="str">
        <f>IF(AND($G144='Povolené hodnoty'!$B$13,$H144=AO$4),SUM($I144,$L144,$O144,$R144),"")</f>
        <v/>
      </c>
      <c r="AP144" s="458" t="str">
        <f>IF(AND($G144='Povolené hodnoty'!$B$13,$H144=AP$4),SUM($I144,$L144,$O144,$R144),"")</f>
        <v/>
      </c>
      <c r="AQ144" s="40" t="str">
        <f>IF(AND($G144='Povolené hodnoty'!$B$13,OR($H144=AQ$4,$H144='Povolené hodnoty'!$E$36)),SUM($I144,-$J144,$L144,-$M144,$O144,-$P144,$R144,-$S144),"")</f>
        <v/>
      </c>
      <c r="AR144" s="40" t="str">
        <f>IF(AND($G144='Povolené hodnoty'!$B$13,$H144=AR$4),SUM($I144,$L144,$O144,$R144),"")</f>
        <v/>
      </c>
      <c r="AS144" s="41" t="str">
        <f>IF(AND($G144='Povolené hodnoty'!$B$13,$H144=AS$4),SUM($I144,$L144,$O144,$R144),"")</f>
        <v/>
      </c>
      <c r="AT144" s="39" t="str">
        <f>IF(AND($G144='Povolené hodnoty'!$B$14,$H144=AT$4),SUM($I144,$L144,$O144,$R144),"")</f>
        <v/>
      </c>
      <c r="AU144" s="458" t="str">
        <f>IF(AND($G144='Povolené hodnoty'!$B$14,$H144=AU$4),SUM($I144,$L144,$O144,$R144),"")</f>
        <v/>
      </c>
      <c r="AV144" s="41" t="str">
        <f>IF(AND($G144='Povolené hodnoty'!$B$14,$H144=AV$4),SUM($I144,$L144,$O144,$R144),"")</f>
        <v/>
      </c>
      <c r="AW144" s="39" t="str">
        <f>IF(AND($G144='Povolené hodnoty'!$B$13,$H144=AW$4),SUM($J144,$M144,$P144,$S144),"")</f>
        <v/>
      </c>
      <c r="AX144" s="458" t="str">
        <f>IF(AND($G144='Povolené hodnoty'!$B$13,$H144=AX$4),SUM($J144,$M144,$P144,$S144),"")</f>
        <v/>
      </c>
      <c r="AY144" s="458" t="str">
        <f>IF(AND($G144='Povolené hodnoty'!$B$13,$H144=AY$4),SUM($J144,$M144,$P144,$S144),"")</f>
        <v/>
      </c>
      <c r="AZ144" s="458" t="str">
        <f>IF(AND($G144='Povolené hodnoty'!$B$13,$H144=AZ$4),SUM($J144,$M144,$P144,$S144),"")</f>
        <v/>
      </c>
      <c r="BA144" s="458" t="str">
        <f>IF(AND($G144='Povolené hodnoty'!$B$13,$H144=BA$4),SUM($J144,$M144,$P144,$S144),"")</f>
        <v/>
      </c>
      <c r="BB144" s="40" t="str">
        <f>IF(AND($G144='Povolené hodnoty'!$B$13,$H144=BB$4),SUM($J144,$M144,$P144,$S144),"")</f>
        <v/>
      </c>
      <c r="BC144" s="40" t="str">
        <f>IF(AND($G144='Povolené hodnoty'!$B$13,$H144=BC$4),SUM($J144,$M144,$P144,$S144),"")</f>
        <v/>
      </c>
      <c r="BD144" s="40" t="str">
        <f>IF(AND($G144='Povolené hodnoty'!$B$13,$H144=BD$4),SUM($J144,$M144,$P144,$S144),"")</f>
        <v/>
      </c>
      <c r="BE144" s="41" t="str">
        <f>IF(AND($G144='Povolené hodnoty'!$B$13,$H144=BE$4),SUM($J144,$M144,$P144,$S144),"")</f>
        <v/>
      </c>
      <c r="BF144" s="39" t="str">
        <f>IF(AND($G144='Povolené hodnoty'!$B$14,$H144=BF$4),SUM($J144,$M144,$P144,$S144),"")</f>
        <v/>
      </c>
      <c r="BG144" s="458" t="str">
        <f>IF(AND($G144='Povolené hodnoty'!$B$14,$H144=BG$4),SUM($J144,$M144,$P144,$S144),"")</f>
        <v/>
      </c>
      <c r="BH144" s="458" t="str">
        <f>IF(AND($G144='Povolené hodnoty'!$B$14,$H144=BH$4),SUM($J144,$M144,$P144,$S144),"")</f>
        <v/>
      </c>
      <c r="BI144" s="458" t="str">
        <f>IF(AND($G144='Povolené hodnoty'!$B$14,$H144=BI$4),SUM($J144,$M144,$P144,$S144),"")</f>
        <v/>
      </c>
      <c r="BJ144" s="458" t="str">
        <f>IF(AND($G144='Povolené hodnoty'!$B$14,$H144=BJ$4),SUM($J144,$M144,$P144,$S144),"")</f>
        <v/>
      </c>
      <c r="BK144" s="40" t="str">
        <f>IF(AND($G144='Povolené hodnoty'!$B$14,$H144=BK$4),SUM($J144,$M144,$P144,$S144),"")</f>
        <v/>
      </c>
      <c r="BL144" s="40" t="str">
        <f>IF(AND($G144='Povolené hodnoty'!$B$14,$H144=BL$4),SUM($J144,$M144,$P144,$S144),"")</f>
        <v/>
      </c>
      <c r="BM144" s="41" t="str">
        <f>IF(AND($G144='Povolené hodnoty'!$B$14,$H144=BM$4),SUM($J144,$M144,$P144,$S144),"")</f>
        <v/>
      </c>
      <c r="BO144" s="18" t="b">
        <f t="shared" si="106"/>
        <v>0</v>
      </c>
      <c r="BP144" s="18" t="b">
        <f t="shared" si="77"/>
        <v>0</v>
      </c>
      <c r="BQ144" s="18" t="b">
        <f>AND(E144&lt;&gt;'Povolené hodnoty'!$B$6,F144&lt;&gt;'Povolené hodnoty'!$D$7,F144&lt;&gt;'Povolené hodnoty'!$D$8,OR(SUM(I144,L144,O144,R144)&lt;&gt;SUM(W144:X144,AA144:AG144),SUM(J144,M144,P144,S144)&lt;&gt;SUM(Y144:Z144,AH144:AK144),COUNT(I144:J144,L144:M144,O144:P144,R144:S144)&lt;&gt;COUNT(W144:AK144)))</f>
        <v>0</v>
      </c>
      <c r="BR144" s="18" t="b">
        <f>OR(AND(E144='Povolené hodnoty'!$B$6,$BR$5),AND(E144='Povolené hodnoty'!$B$6,H144&lt;&gt;'Povolené hodnoty'!$E$26,H144&lt;&gt;'Povolené hodnoty'!$E$35),AND(E144&lt;&gt;'Povolené hodnoty'!$B$6,OR(H144='Povolené hodnoty'!$E$26,H144='Povolené hodnoty'!$E$35)))</f>
        <v>0</v>
      </c>
      <c r="BS144" s="18" t="b">
        <f>OR(AND(G144&lt;&gt;'Povolené hodnoty'!$B$13,OR(H144='Povolené hodnoty'!$E$21,H144='Povolené hodnoty'!$E$22,H144='Povolené hodnoty'!$E$23,H144='Povolené hodnoty'!$E$24,H144='Povolené hodnoty'!$E$26,H144='Povolené hodnoty'!$E$36)),COUNT(I144:J144,L144:M144,O144:P144,R144:S144)&lt;&gt;COUNT(AL144:BM144))</f>
        <v>0</v>
      </c>
      <c r="BT144" s="18" t="b">
        <f t="shared" si="78"/>
        <v>0</v>
      </c>
      <c r="BV144" s="39" t="str">
        <f t="shared" si="79"/>
        <v/>
      </c>
      <c r="BW144" s="458" t="str">
        <f t="shared" si="80"/>
        <v/>
      </c>
      <c r="BX144" s="458" t="str">
        <f t="shared" si="81"/>
        <v/>
      </c>
      <c r="BY144" s="458" t="str">
        <f t="shared" si="82"/>
        <v/>
      </c>
      <c r="BZ144" s="458" t="str">
        <f t="shared" si="83"/>
        <v/>
      </c>
      <c r="CA144" s="40" t="str">
        <f t="shared" si="84"/>
        <v/>
      </c>
      <c r="CB144" s="40" t="str">
        <f t="shared" si="85"/>
        <v/>
      </c>
      <c r="CC144" s="39" t="str">
        <f t="shared" si="86"/>
        <v/>
      </c>
      <c r="CD144" s="458" t="str">
        <f t="shared" si="87"/>
        <v/>
      </c>
      <c r="CE144" s="41" t="str">
        <f t="shared" si="88"/>
        <v/>
      </c>
      <c r="CF144" s="39" t="str">
        <f t="shared" si="89"/>
        <v/>
      </c>
      <c r="CG144" s="458" t="str">
        <f t="shared" si="90"/>
        <v/>
      </c>
      <c r="CH144" s="458" t="str">
        <f t="shared" si="91"/>
        <v/>
      </c>
      <c r="CI144" s="458" t="str">
        <f t="shared" si="92"/>
        <v/>
      </c>
      <c r="CJ144" s="458" t="str">
        <f t="shared" si="93"/>
        <v/>
      </c>
      <c r="CK144" s="40" t="str">
        <f t="shared" si="94"/>
        <v/>
      </c>
      <c r="CL144" s="40" t="str">
        <f t="shared" si="95"/>
        <v/>
      </c>
      <c r="CM144" s="40" t="str">
        <f t="shared" si="96"/>
        <v/>
      </c>
      <c r="CN144" s="39" t="str">
        <f t="shared" si="97"/>
        <v/>
      </c>
      <c r="CO144" s="458" t="str">
        <f t="shared" si="98"/>
        <v/>
      </c>
      <c r="CP144" s="458" t="str">
        <f t="shared" si="99"/>
        <v/>
      </c>
      <c r="CQ144" s="458" t="str">
        <f t="shared" si="100"/>
        <v/>
      </c>
      <c r="CR144" s="458" t="str">
        <f t="shared" si="101"/>
        <v/>
      </c>
      <c r="CS144" s="40" t="str">
        <f t="shared" si="102"/>
        <v/>
      </c>
      <c r="CT144" s="40" t="str">
        <f t="shared" si="103"/>
        <v/>
      </c>
      <c r="CU144" s="41" t="str">
        <f t="shared" si="104"/>
        <v/>
      </c>
    </row>
    <row r="145" spans="1:99" x14ac:dyDescent="0.2">
      <c r="A145" s="77">
        <f t="shared" si="105"/>
        <v>140</v>
      </c>
      <c r="B145" s="81"/>
      <c r="C145" s="82"/>
      <c r="D145" s="71"/>
      <c r="E145" s="72"/>
      <c r="F145" s="73"/>
      <c r="G145" s="443"/>
      <c r="H145" s="443"/>
      <c r="I145" s="74"/>
      <c r="J145" s="75"/>
      <c r="K145" s="41">
        <f t="shared" si="74"/>
        <v>3625</v>
      </c>
      <c r="L145" s="104"/>
      <c r="M145" s="105"/>
      <c r="N145" s="106">
        <f t="shared" si="75"/>
        <v>537.05999999999995</v>
      </c>
      <c r="O145" s="104"/>
      <c r="P145" s="105"/>
      <c r="Q145" s="106">
        <f t="shared" si="107"/>
        <v>10045.83</v>
      </c>
      <c r="R145" s="104"/>
      <c r="S145" s="105"/>
      <c r="T145" s="106">
        <f t="shared" si="108"/>
        <v>0</v>
      </c>
      <c r="U145" s="439"/>
      <c r="V145" s="42">
        <f t="shared" si="76"/>
        <v>140</v>
      </c>
      <c r="W145" s="39" t="str">
        <f>IF(AND(E145='Povolené hodnoty'!$B$4,F145=2),I145+L145+O145+R145,"")</f>
        <v/>
      </c>
      <c r="X145" s="41" t="str">
        <f>IF(AND(E145='Povolené hodnoty'!$B$4,F145=1),I145+L145+O145+R145,"")</f>
        <v/>
      </c>
      <c r="Y145" s="39" t="str">
        <f>IF(AND(E145='Povolené hodnoty'!$B$4,F145=10),J145+M145+P145+S145,"")</f>
        <v/>
      </c>
      <c r="Z145" s="41" t="str">
        <f>IF(AND(E145='Povolené hodnoty'!$B$4,F145=9),J145+M145+P145+S145,"")</f>
        <v/>
      </c>
      <c r="AA145" s="39" t="str">
        <f>IF(AND(E145&lt;&gt;'Povolené hodnoty'!$B$4,F145=2),I145+L145+O145+R145,"")</f>
        <v/>
      </c>
      <c r="AB145" s="40" t="str">
        <f>IF(AND(E145&lt;&gt;'Povolené hodnoty'!$B$4,F145=3),I145+L145+O145+R145,"")</f>
        <v/>
      </c>
      <c r="AC145" s="40" t="str">
        <f>IF(AND(E145&lt;&gt;'Povolené hodnoty'!$B$4,F145=4),I145+L145+O145+R145,"")</f>
        <v/>
      </c>
      <c r="AD145" s="40" t="str">
        <f>IF(AND(E145&lt;&gt;'Povolené hodnoty'!$B$4,F145="5a"),I145-J145+L145-M145+O145-P145+R145-S145,"")</f>
        <v/>
      </c>
      <c r="AE145" s="40" t="str">
        <f>IF(AND(E145&lt;&gt;'Povolené hodnoty'!$B$4,F145="5b"),I145-J145+L145-M145+O145-P145+R145-S145,"")</f>
        <v/>
      </c>
      <c r="AF145" s="40" t="str">
        <f>IF(AND(E145&lt;&gt;'Povolené hodnoty'!$B$4,F145=6),I145+L145+O145+R145,"")</f>
        <v/>
      </c>
      <c r="AG145" s="41" t="str">
        <f>IF(AND(E145&lt;&gt;'Povolené hodnoty'!$B$4,F145=7),I145+L145+O145+R145,"")</f>
        <v/>
      </c>
      <c r="AH145" s="39" t="str">
        <f>IF(AND(E145&lt;&gt;'Povolené hodnoty'!$B$4,F145=10),J145+M145+P145+S145,"")</f>
        <v/>
      </c>
      <c r="AI145" s="40" t="str">
        <f>IF(AND(E145&lt;&gt;'Povolené hodnoty'!$B$4,F145=11),J145+M145+P145+S145,"")</f>
        <v/>
      </c>
      <c r="AJ145" s="40" t="str">
        <f>IF(AND(E145&lt;&gt;'Povolené hodnoty'!$B$4,F145=12),J145+M145+P145+S145,"")</f>
        <v/>
      </c>
      <c r="AK145" s="41" t="str">
        <f>IF(AND(E145&lt;&gt;'Povolené hodnoty'!$B$4,F145=13),J145+M145+P145+S145,"")</f>
        <v/>
      </c>
      <c r="AL145" s="39" t="str">
        <f>IF(AND($G145='Povolené hodnoty'!$B$13,$H145=AL$4),SUM($I145,$L145,$O145,$R145),"")</f>
        <v/>
      </c>
      <c r="AM145" s="458" t="str">
        <f>IF(AND($G145='Povolené hodnoty'!$B$13,$H145=AM$4),SUM($I145,$L145,$O145,$R145),"")</f>
        <v/>
      </c>
      <c r="AN145" s="458" t="str">
        <f>IF(AND($G145='Povolené hodnoty'!$B$13,$H145=AN$4),SUM($I145,$L145,$O145,$R145),"")</f>
        <v/>
      </c>
      <c r="AO145" s="458" t="str">
        <f>IF(AND($G145='Povolené hodnoty'!$B$13,$H145=AO$4),SUM($I145,$L145,$O145,$R145),"")</f>
        <v/>
      </c>
      <c r="AP145" s="458" t="str">
        <f>IF(AND($G145='Povolené hodnoty'!$B$13,$H145=AP$4),SUM($I145,$L145,$O145,$R145),"")</f>
        <v/>
      </c>
      <c r="AQ145" s="40" t="str">
        <f>IF(AND($G145='Povolené hodnoty'!$B$13,OR($H145=AQ$4,$H145='Povolené hodnoty'!$E$36)),SUM($I145,-$J145,$L145,-$M145,$O145,-$P145,$R145,-$S145),"")</f>
        <v/>
      </c>
      <c r="AR145" s="40" t="str">
        <f>IF(AND($G145='Povolené hodnoty'!$B$13,$H145=AR$4),SUM($I145,$L145,$O145,$R145),"")</f>
        <v/>
      </c>
      <c r="AS145" s="41" t="str">
        <f>IF(AND($G145='Povolené hodnoty'!$B$13,$H145=AS$4),SUM($I145,$L145,$O145,$R145),"")</f>
        <v/>
      </c>
      <c r="AT145" s="39" t="str">
        <f>IF(AND($G145='Povolené hodnoty'!$B$14,$H145=AT$4),SUM($I145,$L145,$O145,$R145),"")</f>
        <v/>
      </c>
      <c r="AU145" s="458" t="str">
        <f>IF(AND($G145='Povolené hodnoty'!$B$14,$H145=AU$4),SUM($I145,$L145,$O145,$R145),"")</f>
        <v/>
      </c>
      <c r="AV145" s="41" t="str">
        <f>IF(AND($G145='Povolené hodnoty'!$B$14,$H145=AV$4),SUM($I145,$L145,$O145,$R145),"")</f>
        <v/>
      </c>
      <c r="AW145" s="39" t="str">
        <f>IF(AND($G145='Povolené hodnoty'!$B$13,$H145=AW$4),SUM($J145,$M145,$P145,$S145),"")</f>
        <v/>
      </c>
      <c r="AX145" s="458" t="str">
        <f>IF(AND($G145='Povolené hodnoty'!$B$13,$H145=AX$4),SUM($J145,$M145,$P145,$S145),"")</f>
        <v/>
      </c>
      <c r="AY145" s="458" t="str">
        <f>IF(AND($G145='Povolené hodnoty'!$B$13,$H145=AY$4),SUM($J145,$M145,$P145,$S145),"")</f>
        <v/>
      </c>
      <c r="AZ145" s="458" t="str">
        <f>IF(AND($G145='Povolené hodnoty'!$B$13,$H145=AZ$4),SUM($J145,$M145,$P145,$S145),"")</f>
        <v/>
      </c>
      <c r="BA145" s="458" t="str">
        <f>IF(AND($G145='Povolené hodnoty'!$B$13,$H145=BA$4),SUM($J145,$M145,$P145,$S145),"")</f>
        <v/>
      </c>
      <c r="BB145" s="40" t="str">
        <f>IF(AND($G145='Povolené hodnoty'!$B$13,$H145=BB$4),SUM($J145,$M145,$P145,$S145),"")</f>
        <v/>
      </c>
      <c r="BC145" s="40" t="str">
        <f>IF(AND($G145='Povolené hodnoty'!$B$13,$H145=BC$4),SUM($J145,$M145,$P145,$S145),"")</f>
        <v/>
      </c>
      <c r="BD145" s="40" t="str">
        <f>IF(AND($G145='Povolené hodnoty'!$B$13,$H145=BD$4),SUM($J145,$M145,$P145,$S145),"")</f>
        <v/>
      </c>
      <c r="BE145" s="41" t="str">
        <f>IF(AND($G145='Povolené hodnoty'!$B$13,$H145=BE$4),SUM($J145,$M145,$P145,$S145),"")</f>
        <v/>
      </c>
      <c r="BF145" s="39" t="str">
        <f>IF(AND($G145='Povolené hodnoty'!$B$14,$H145=BF$4),SUM($J145,$M145,$P145,$S145),"")</f>
        <v/>
      </c>
      <c r="BG145" s="458" t="str">
        <f>IF(AND($G145='Povolené hodnoty'!$B$14,$H145=BG$4),SUM($J145,$M145,$P145,$S145),"")</f>
        <v/>
      </c>
      <c r="BH145" s="458" t="str">
        <f>IF(AND($G145='Povolené hodnoty'!$B$14,$H145=BH$4),SUM($J145,$M145,$P145,$S145),"")</f>
        <v/>
      </c>
      <c r="BI145" s="458" t="str">
        <f>IF(AND($G145='Povolené hodnoty'!$B$14,$H145=BI$4),SUM($J145,$M145,$P145,$S145),"")</f>
        <v/>
      </c>
      <c r="BJ145" s="458" t="str">
        <f>IF(AND($G145='Povolené hodnoty'!$B$14,$H145=BJ$4),SUM($J145,$M145,$P145,$S145),"")</f>
        <v/>
      </c>
      <c r="BK145" s="40" t="str">
        <f>IF(AND($G145='Povolené hodnoty'!$B$14,$H145=BK$4),SUM($J145,$M145,$P145,$S145),"")</f>
        <v/>
      </c>
      <c r="BL145" s="40" t="str">
        <f>IF(AND($G145='Povolené hodnoty'!$B$14,$H145=BL$4),SUM($J145,$M145,$P145,$S145),"")</f>
        <v/>
      </c>
      <c r="BM145" s="41" t="str">
        <f>IF(AND($G145='Povolené hodnoty'!$B$14,$H145=BM$4),SUM($J145,$M145,$P145,$S145),"")</f>
        <v/>
      </c>
      <c r="BO145" s="18" t="b">
        <f t="shared" si="106"/>
        <v>0</v>
      </c>
      <c r="BP145" s="18" t="b">
        <f t="shared" si="77"/>
        <v>0</v>
      </c>
      <c r="BQ145" s="18" t="b">
        <f>AND(E145&lt;&gt;'Povolené hodnoty'!$B$6,F145&lt;&gt;'Povolené hodnoty'!$D$7,F145&lt;&gt;'Povolené hodnoty'!$D$8,OR(SUM(I145,L145,O145,R145)&lt;&gt;SUM(W145:X145,AA145:AG145),SUM(J145,M145,P145,S145)&lt;&gt;SUM(Y145:Z145,AH145:AK145),COUNT(I145:J145,L145:M145,O145:P145,R145:S145)&lt;&gt;COUNT(W145:AK145)))</f>
        <v>0</v>
      </c>
      <c r="BR145" s="18" t="b">
        <f>OR(AND(E145='Povolené hodnoty'!$B$6,$BR$5),AND(E145='Povolené hodnoty'!$B$6,H145&lt;&gt;'Povolené hodnoty'!$E$26,H145&lt;&gt;'Povolené hodnoty'!$E$35),AND(E145&lt;&gt;'Povolené hodnoty'!$B$6,OR(H145='Povolené hodnoty'!$E$26,H145='Povolené hodnoty'!$E$35)))</f>
        <v>0</v>
      </c>
      <c r="BS145" s="18" t="b">
        <f>OR(AND(G145&lt;&gt;'Povolené hodnoty'!$B$13,OR(H145='Povolené hodnoty'!$E$21,H145='Povolené hodnoty'!$E$22,H145='Povolené hodnoty'!$E$23,H145='Povolené hodnoty'!$E$24,H145='Povolené hodnoty'!$E$26,H145='Povolené hodnoty'!$E$36)),COUNT(I145:J145,L145:M145,O145:P145,R145:S145)&lt;&gt;COUNT(AL145:BM145))</f>
        <v>0</v>
      </c>
      <c r="BT145" s="18" t="b">
        <f t="shared" si="78"/>
        <v>0</v>
      </c>
      <c r="BV145" s="39" t="str">
        <f t="shared" si="79"/>
        <v/>
      </c>
      <c r="BW145" s="458" t="str">
        <f t="shared" si="80"/>
        <v/>
      </c>
      <c r="BX145" s="458" t="str">
        <f t="shared" si="81"/>
        <v/>
      </c>
      <c r="BY145" s="458" t="str">
        <f t="shared" si="82"/>
        <v/>
      </c>
      <c r="BZ145" s="458" t="str">
        <f t="shared" si="83"/>
        <v/>
      </c>
      <c r="CA145" s="40" t="str">
        <f t="shared" si="84"/>
        <v/>
      </c>
      <c r="CB145" s="40" t="str">
        <f t="shared" si="85"/>
        <v/>
      </c>
      <c r="CC145" s="39" t="str">
        <f t="shared" si="86"/>
        <v/>
      </c>
      <c r="CD145" s="458" t="str">
        <f t="shared" si="87"/>
        <v/>
      </c>
      <c r="CE145" s="41" t="str">
        <f t="shared" si="88"/>
        <v/>
      </c>
      <c r="CF145" s="39" t="str">
        <f t="shared" si="89"/>
        <v/>
      </c>
      <c r="CG145" s="458" t="str">
        <f t="shared" si="90"/>
        <v/>
      </c>
      <c r="CH145" s="458" t="str">
        <f t="shared" si="91"/>
        <v/>
      </c>
      <c r="CI145" s="458" t="str">
        <f t="shared" si="92"/>
        <v/>
      </c>
      <c r="CJ145" s="458" t="str">
        <f t="shared" si="93"/>
        <v/>
      </c>
      <c r="CK145" s="40" t="str">
        <f t="shared" si="94"/>
        <v/>
      </c>
      <c r="CL145" s="40" t="str">
        <f t="shared" si="95"/>
        <v/>
      </c>
      <c r="CM145" s="40" t="str">
        <f t="shared" si="96"/>
        <v/>
      </c>
      <c r="CN145" s="39" t="str">
        <f t="shared" si="97"/>
        <v/>
      </c>
      <c r="CO145" s="458" t="str">
        <f t="shared" si="98"/>
        <v/>
      </c>
      <c r="CP145" s="458" t="str">
        <f t="shared" si="99"/>
        <v/>
      </c>
      <c r="CQ145" s="458" t="str">
        <f t="shared" si="100"/>
        <v/>
      </c>
      <c r="CR145" s="458" t="str">
        <f t="shared" si="101"/>
        <v/>
      </c>
      <c r="CS145" s="40" t="str">
        <f t="shared" si="102"/>
        <v/>
      </c>
      <c r="CT145" s="40" t="str">
        <f t="shared" si="103"/>
        <v/>
      </c>
      <c r="CU145" s="41" t="str">
        <f t="shared" si="104"/>
        <v/>
      </c>
    </row>
    <row r="146" spans="1:99" x14ac:dyDescent="0.2">
      <c r="A146" s="77">
        <f t="shared" si="105"/>
        <v>141</v>
      </c>
      <c r="B146" s="81"/>
      <c r="C146" s="82"/>
      <c r="D146" s="71"/>
      <c r="E146" s="72"/>
      <c r="F146" s="73"/>
      <c r="G146" s="443"/>
      <c r="H146" s="443"/>
      <c r="I146" s="74"/>
      <c r="J146" s="75"/>
      <c r="K146" s="41">
        <f t="shared" si="74"/>
        <v>3625</v>
      </c>
      <c r="L146" s="104"/>
      <c r="M146" s="105"/>
      <c r="N146" s="106">
        <f t="shared" si="75"/>
        <v>537.05999999999995</v>
      </c>
      <c r="O146" s="104"/>
      <c r="P146" s="105"/>
      <c r="Q146" s="106">
        <f t="shared" si="107"/>
        <v>10045.83</v>
      </c>
      <c r="R146" s="104"/>
      <c r="S146" s="105"/>
      <c r="T146" s="106">
        <f t="shared" si="108"/>
        <v>0</v>
      </c>
      <c r="U146" s="439"/>
      <c r="V146" s="42">
        <f t="shared" si="76"/>
        <v>141</v>
      </c>
      <c r="W146" s="39" t="str">
        <f>IF(AND(E146='Povolené hodnoty'!$B$4,F146=2),I146+L146+O146+R146,"")</f>
        <v/>
      </c>
      <c r="X146" s="41" t="str">
        <f>IF(AND(E146='Povolené hodnoty'!$B$4,F146=1),I146+L146+O146+R146,"")</f>
        <v/>
      </c>
      <c r="Y146" s="39" t="str">
        <f>IF(AND(E146='Povolené hodnoty'!$B$4,F146=10),J146+M146+P146+S146,"")</f>
        <v/>
      </c>
      <c r="Z146" s="41" t="str">
        <f>IF(AND(E146='Povolené hodnoty'!$B$4,F146=9),J146+M146+P146+S146,"")</f>
        <v/>
      </c>
      <c r="AA146" s="39" t="str">
        <f>IF(AND(E146&lt;&gt;'Povolené hodnoty'!$B$4,F146=2),I146+L146+O146+R146,"")</f>
        <v/>
      </c>
      <c r="AB146" s="40" t="str">
        <f>IF(AND(E146&lt;&gt;'Povolené hodnoty'!$B$4,F146=3),I146+L146+O146+R146,"")</f>
        <v/>
      </c>
      <c r="AC146" s="40" t="str">
        <f>IF(AND(E146&lt;&gt;'Povolené hodnoty'!$B$4,F146=4),I146+L146+O146+R146,"")</f>
        <v/>
      </c>
      <c r="AD146" s="40" t="str">
        <f>IF(AND(E146&lt;&gt;'Povolené hodnoty'!$B$4,F146="5a"),I146-J146+L146-M146+O146-P146+R146-S146,"")</f>
        <v/>
      </c>
      <c r="AE146" s="40" t="str">
        <f>IF(AND(E146&lt;&gt;'Povolené hodnoty'!$B$4,F146="5b"),I146-J146+L146-M146+O146-P146+R146-S146,"")</f>
        <v/>
      </c>
      <c r="AF146" s="40" t="str">
        <f>IF(AND(E146&lt;&gt;'Povolené hodnoty'!$B$4,F146=6),I146+L146+O146+R146,"")</f>
        <v/>
      </c>
      <c r="AG146" s="41" t="str">
        <f>IF(AND(E146&lt;&gt;'Povolené hodnoty'!$B$4,F146=7),I146+L146+O146+R146,"")</f>
        <v/>
      </c>
      <c r="AH146" s="39" t="str">
        <f>IF(AND(E146&lt;&gt;'Povolené hodnoty'!$B$4,F146=10),J146+M146+P146+S146,"")</f>
        <v/>
      </c>
      <c r="AI146" s="40" t="str">
        <f>IF(AND(E146&lt;&gt;'Povolené hodnoty'!$B$4,F146=11),J146+M146+P146+S146,"")</f>
        <v/>
      </c>
      <c r="AJ146" s="40" t="str">
        <f>IF(AND(E146&lt;&gt;'Povolené hodnoty'!$B$4,F146=12),J146+M146+P146+S146,"")</f>
        <v/>
      </c>
      <c r="AK146" s="41" t="str">
        <f>IF(AND(E146&lt;&gt;'Povolené hodnoty'!$B$4,F146=13),J146+M146+P146+S146,"")</f>
        <v/>
      </c>
      <c r="AL146" s="39" t="str">
        <f>IF(AND($G146='Povolené hodnoty'!$B$13,$H146=AL$4),SUM($I146,$L146,$O146,$R146),"")</f>
        <v/>
      </c>
      <c r="AM146" s="458" t="str">
        <f>IF(AND($G146='Povolené hodnoty'!$B$13,$H146=AM$4),SUM($I146,$L146,$O146,$R146),"")</f>
        <v/>
      </c>
      <c r="AN146" s="458" t="str">
        <f>IF(AND($G146='Povolené hodnoty'!$B$13,$H146=AN$4),SUM($I146,$L146,$O146,$R146),"")</f>
        <v/>
      </c>
      <c r="AO146" s="458" t="str">
        <f>IF(AND($G146='Povolené hodnoty'!$B$13,$H146=AO$4),SUM($I146,$L146,$O146,$R146),"")</f>
        <v/>
      </c>
      <c r="AP146" s="458" t="str">
        <f>IF(AND($G146='Povolené hodnoty'!$B$13,$H146=AP$4),SUM($I146,$L146,$O146,$R146),"")</f>
        <v/>
      </c>
      <c r="AQ146" s="40" t="str">
        <f>IF(AND($G146='Povolené hodnoty'!$B$13,OR($H146=AQ$4,$H146='Povolené hodnoty'!$E$36)),SUM($I146,-$J146,$L146,-$M146,$O146,-$P146,$R146,-$S146),"")</f>
        <v/>
      </c>
      <c r="AR146" s="40" t="str">
        <f>IF(AND($G146='Povolené hodnoty'!$B$13,$H146=AR$4),SUM($I146,$L146,$O146,$R146),"")</f>
        <v/>
      </c>
      <c r="AS146" s="41" t="str">
        <f>IF(AND($G146='Povolené hodnoty'!$B$13,$H146=AS$4),SUM($I146,$L146,$O146,$R146),"")</f>
        <v/>
      </c>
      <c r="AT146" s="39" t="str">
        <f>IF(AND($G146='Povolené hodnoty'!$B$14,$H146=AT$4),SUM($I146,$L146,$O146,$R146),"")</f>
        <v/>
      </c>
      <c r="AU146" s="458" t="str">
        <f>IF(AND($G146='Povolené hodnoty'!$B$14,$H146=AU$4),SUM($I146,$L146,$O146,$R146),"")</f>
        <v/>
      </c>
      <c r="AV146" s="41" t="str">
        <f>IF(AND($G146='Povolené hodnoty'!$B$14,$H146=AV$4),SUM($I146,$L146,$O146,$R146),"")</f>
        <v/>
      </c>
      <c r="AW146" s="39" t="str">
        <f>IF(AND($G146='Povolené hodnoty'!$B$13,$H146=AW$4),SUM($J146,$M146,$P146,$S146),"")</f>
        <v/>
      </c>
      <c r="AX146" s="458" t="str">
        <f>IF(AND($G146='Povolené hodnoty'!$B$13,$H146=AX$4),SUM($J146,$M146,$P146,$S146),"")</f>
        <v/>
      </c>
      <c r="AY146" s="458" t="str">
        <f>IF(AND($G146='Povolené hodnoty'!$B$13,$H146=AY$4),SUM($J146,$M146,$P146,$S146),"")</f>
        <v/>
      </c>
      <c r="AZ146" s="458" t="str">
        <f>IF(AND($G146='Povolené hodnoty'!$B$13,$H146=AZ$4),SUM($J146,$M146,$P146,$S146),"")</f>
        <v/>
      </c>
      <c r="BA146" s="458" t="str">
        <f>IF(AND($G146='Povolené hodnoty'!$B$13,$H146=BA$4),SUM($J146,$M146,$P146,$S146),"")</f>
        <v/>
      </c>
      <c r="BB146" s="40" t="str">
        <f>IF(AND($G146='Povolené hodnoty'!$B$13,$H146=BB$4),SUM($J146,$M146,$P146,$S146),"")</f>
        <v/>
      </c>
      <c r="BC146" s="40" t="str">
        <f>IF(AND($G146='Povolené hodnoty'!$B$13,$H146=BC$4),SUM($J146,$M146,$P146,$S146),"")</f>
        <v/>
      </c>
      <c r="BD146" s="40" t="str">
        <f>IF(AND($G146='Povolené hodnoty'!$B$13,$H146=BD$4),SUM($J146,$M146,$P146,$S146),"")</f>
        <v/>
      </c>
      <c r="BE146" s="41" t="str">
        <f>IF(AND($G146='Povolené hodnoty'!$B$13,$H146=BE$4),SUM($J146,$M146,$P146,$S146),"")</f>
        <v/>
      </c>
      <c r="BF146" s="39" t="str">
        <f>IF(AND($G146='Povolené hodnoty'!$B$14,$H146=BF$4),SUM($J146,$M146,$P146,$S146),"")</f>
        <v/>
      </c>
      <c r="BG146" s="458" t="str">
        <f>IF(AND($G146='Povolené hodnoty'!$B$14,$H146=BG$4),SUM($J146,$M146,$P146,$S146),"")</f>
        <v/>
      </c>
      <c r="BH146" s="458" t="str">
        <f>IF(AND($G146='Povolené hodnoty'!$B$14,$H146=BH$4),SUM($J146,$M146,$P146,$S146),"")</f>
        <v/>
      </c>
      <c r="BI146" s="458" t="str">
        <f>IF(AND($G146='Povolené hodnoty'!$B$14,$H146=BI$4),SUM($J146,$M146,$P146,$S146),"")</f>
        <v/>
      </c>
      <c r="BJ146" s="458" t="str">
        <f>IF(AND($G146='Povolené hodnoty'!$B$14,$H146=BJ$4),SUM($J146,$M146,$P146,$S146),"")</f>
        <v/>
      </c>
      <c r="BK146" s="40" t="str">
        <f>IF(AND($G146='Povolené hodnoty'!$B$14,$H146=BK$4),SUM($J146,$M146,$P146,$S146),"")</f>
        <v/>
      </c>
      <c r="BL146" s="40" t="str">
        <f>IF(AND($G146='Povolené hodnoty'!$B$14,$H146=BL$4),SUM($J146,$M146,$P146,$S146),"")</f>
        <v/>
      </c>
      <c r="BM146" s="41" t="str">
        <f>IF(AND($G146='Povolené hodnoty'!$B$14,$H146=BM$4),SUM($J146,$M146,$P146,$S146),"")</f>
        <v/>
      </c>
      <c r="BO146" s="18" t="b">
        <f t="shared" si="106"/>
        <v>0</v>
      </c>
      <c r="BP146" s="18" t="b">
        <f t="shared" si="77"/>
        <v>0</v>
      </c>
      <c r="BQ146" s="18" t="b">
        <f>AND(E146&lt;&gt;'Povolené hodnoty'!$B$6,F146&lt;&gt;'Povolené hodnoty'!$D$7,F146&lt;&gt;'Povolené hodnoty'!$D$8,OR(SUM(I146,L146,O146,R146)&lt;&gt;SUM(W146:X146,AA146:AG146),SUM(J146,M146,P146,S146)&lt;&gt;SUM(Y146:Z146,AH146:AK146),COUNT(I146:J146,L146:M146,O146:P146,R146:S146)&lt;&gt;COUNT(W146:AK146)))</f>
        <v>0</v>
      </c>
      <c r="BR146" s="18" t="b">
        <f>OR(AND(E146='Povolené hodnoty'!$B$6,$BR$5),AND(E146='Povolené hodnoty'!$B$6,H146&lt;&gt;'Povolené hodnoty'!$E$26,H146&lt;&gt;'Povolené hodnoty'!$E$35),AND(E146&lt;&gt;'Povolené hodnoty'!$B$6,OR(H146='Povolené hodnoty'!$E$26,H146='Povolené hodnoty'!$E$35)))</f>
        <v>0</v>
      </c>
      <c r="BS146" s="18" t="b">
        <f>OR(AND(G146&lt;&gt;'Povolené hodnoty'!$B$13,OR(H146='Povolené hodnoty'!$E$21,H146='Povolené hodnoty'!$E$22,H146='Povolené hodnoty'!$E$23,H146='Povolené hodnoty'!$E$24,H146='Povolené hodnoty'!$E$26,H146='Povolené hodnoty'!$E$36)),COUNT(I146:J146,L146:M146,O146:P146,R146:S146)&lt;&gt;COUNT(AL146:BM146))</f>
        <v>0</v>
      </c>
      <c r="BT146" s="18" t="b">
        <f t="shared" si="78"/>
        <v>0</v>
      </c>
      <c r="BV146" s="39" t="str">
        <f t="shared" si="79"/>
        <v/>
      </c>
      <c r="BW146" s="458" t="str">
        <f t="shared" si="80"/>
        <v/>
      </c>
      <c r="BX146" s="458" t="str">
        <f t="shared" si="81"/>
        <v/>
      </c>
      <c r="BY146" s="458" t="str">
        <f t="shared" si="82"/>
        <v/>
      </c>
      <c r="BZ146" s="458" t="str">
        <f t="shared" si="83"/>
        <v/>
      </c>
      <c r="CA146" s="40" t="str">
        <f t="shared" si="84"/>
        <v/>
      </c>
      <c r="CB146" s="40" t="str">
        <f t="shared" si="85"/>
        <v/>
      </c>
      <c r="CC146" s="39" t="str">
        <f t="shared" si="86"/>
        <v/>
      </c>
      <c r="CD146" s="458" t="str">
        <f t="shared" si="87"/>
        <v/>
      </c>
      <c r="CE146" s="41" t="str">
        <f t="shared" si="88"/>
        <v/>
      </c>
      <c r="CF146" s="39" t="str">
        <f t="shared" si="89"/>
        <v/>
      </c>
      <c r="CG146" s="458" t="str">
        <f t="shared" si="90"/>
        <v/>
      </c>
      <c r="CH146" s="458" t="str">
        <f t="shared" si="91"/>
        <v/>
      </c>
      <c r="CI146" s="458" t="str">
        <f t="shared" si="92"/>
        <v/>
      </c>
      <c r="CJ146" s="458" t="str">
        <f t="shared" si="93"/>
        <v/>
      </c>
      <c r="CK146" s="40" t="str">
        <f t="shared" si="94"/>
        <v/>
      </c>
      <c r="CL146" s="40" t="str">
        <f t="shared" si="95"/>
        <v/>
      </c>
      <c r="CM146" s="40" t="str">
        <f t="shared" si="96"/>
        <v/>
      </c>
      <c r="CN146" s="39" t="str">
        <f t="shared" si="97"/>
        <v/>
      </c>
      <c r="CO146" s="458" t="str">
        <f t="shared" si="98"/>
        <v/>
      </c>
      <c r="CP146" s="458" t="str">
        <f t="shared" si="99"/>
        <v/>
      </c>
      <c r="CQ146" s="458" t="str">
        <f t="shared" si="100"/>
        <v/>
      </c>
      <c r="CR146" s="458" t="str">
        <f t="shared" si="101"/>
        <v/>
      </c>
      <c r="CS146" s="40" t="str">
        <f t="shared" si="102"/>
        <v/>
      </c>
      <c r="CT146" s="40" t="str">
        <f t="shared" si="103"/>
        <v/>
      </c>
      <c r="CU146" s="41" t="str">
        <f t="shared" si="104"/>
        <v/>
      </c>
    </row>
    <row r="147" spans="1:99" x14ac:dyDescent="0.2">
      <c r="A147" s="77">
        <f t="shared" si="105"/>
        <v>142</v>
      </c>
      <c r="B147" s="81"/>
      <c r="C147" s="82"/>
      <c r="D147" s="71"/>
      <c r="E147" s="72"/>
      <c r="F147" s="73"/>
      <c r="G147" s="443"/>
      <c r="H147" s="443"/>
      <c r="I147" s="74"/>
      <c r="J147" s="75"/>
      <c r="K147" s="41">
        <f t="shared" si="74"/>
        <v>3625</v>
      </c>
      <c r="L147" s="104"/>
      <c r="M147" s="105"/>
      <c r="N147" s="106">
        <f t="shared" si="75"/>
        <v>537.05999999999995</v>
      </c>
      <c r="O147" s="104"/>
      <c r="P147" s="105"/>
      <c r="Q147" s="106">
        <f t="shared" si="107"/>
        <v>10045.83</v>
      </c>
      <c r="R147" s="104"/>
      <c r="S147" s="105"/>
      <c r="T147" s="106">
        <f t="shared" si="108"/>
        <v>0</v>
      </c>
      <c r="U147" s="439"/>
      <c r="V147" s="42">
        <f t="shared" si="76"/>
        <v>142</v>
      </c>
      <c r="W147" s="39" t="str">
        <f>IF(AND(E147='Povolené hodnoty'!$B$4,F147=2),I147+L147+O147+R147,"")</f>
        <v/>
      </c>
      <c r="X147" s="41" t="str">
        <f>IF(AND(E147='Povolené hodnoty'!$B$4,F147=1),I147+L147+O147+R147,"")</f>
        <v/>
      </c>
      <c r="Y147" s="39" t="str">
        <f>IF(AND(E147='Povolené hodnoty'!$B$4,F147=10),J147+M147+P147+S147,"")</f>
        <v/>
      </c>
      <c r="Z147" s="41" t="str">
        <f>IF(AND(E147='Povolené hodnoty'!$B$4,F147=9),J147+M147+P147+S147,"")</f>
        <v/>
      </c>
      <c r="AA147" s="39" t="str">
        <f>IF(AND(E147&lt;&gt;'Povolené hodnoty'!$B$4,F147=2),I147+L147+O147+R147,"")</f>
        <v/>
      </c>
      <c r="AB147" s="40" t="str">
        <f>IF(AND(E147&lt;&gt;'Povolené hodnoty'!$B$4,F147=3),I147+L147+O147+R147,"")</f>
        <v/>
      </c>
      <c r="AC147" s="40" t="str">
        <f>IF(AND(E147&lt;&gt;'Povolené hodnoty'!$B$4,F147=4),I147+L147+O147+R147,"")</f>
        <v/>
      </c>
      <c r="AD147" s="40" t="str">
        <f>IF(AND(E147&lt;&gt;'Povolené hodnoty'!$B$4,F147="5a"),I147-J147+L147-M147+O147-P147+R147-S147,"")</f>
        <v/>
      </c>
      <c r="AE147" s="40" t="str">
        <f>IF(AND(E147&lt;&gt;'Povolené hodnoty'!$B$4,F147="5b"),I147-J147+L147-M147+O147-P147+R147-S147,"")</f>
        <v/>
      </c>
      <c r="AF147" s="40" t="str">
        <f>IF(AND(E147&lt;&gt;'Povolené hodnoty'!$B$4,F147=6),I147+L147+O147+R147,"")</f>
        <v/>
      </c>
      <c r="AG147" s="41" t="str">
        <f>IF(AND(E147&lt;&gt;'Povolené hodnoty'!$B$4,F147=7),I147+L147+O147+R147,"")</f>
        <v/>
      </c>
      <c r="AH147" s="39" t="str">
        <f>IF(AND(E147&lt;&gt;'Povolené hodnoty'!$B$4,F147=10),J147+M147+P147+S147,"")</f>
        <v/>
      </c>
      <c r="AI147" s="40" t="str">
        <f>IF(AND(E147&lt;&gt;'Povolené hodnoty'!$B$4,F147=11),J147+M147+P147+S147,"")</f>
        <v/>
      </c>
      <c r="AJ147" s="40" t="str">
        <f>IF(AND(E147&lt;&gt;'Povolené hodnoty'!$B$4,F147=12),J147+M147+P147+S147,"")</f>
        <v/>
      </c>
      <c r="AK147" s="41" t="str">
        <f>IF(AND(E147&lt;&gt;'Povolené hodnoty'!$B$4,F147=13),J147+M147+P147+S147,"")</f>
        <v/>
      </c>
      <c r="AL147" s="39" t="str">
        <f>IF(AND($G147='Povolené hodnoty'!$B$13,$H147=AL$4),SUM($I147,$L147,$O147,$R147),"")</f>
        <v/>
      </c>
      <c r="AM147" s="458" t="str">
        <f>IF(AND($G147='Povolené hodnoty'!$B$13,$H147=AM$4),SUM($I147,$L147,$O147,$R147),"")</f>
        <v/>
      </c>
      <c r="AN147" s="458" t="str">
        <f>IF(AND($G147='Povolené hodnoty'!$B$13,$H147=AN$4),SUM($I147,$L147,$O147,$R147),"")</f>
        <v/>
      </c>
      <c r="AO147" s="458" t="str">
        <f>IF(AND($G147='Povolené hodnoty'!$B$13,$H147=AO$4),SUM($I147,$L147,$O147,$R147),"")</f>
        <v/>
      </c>
      <c r="AP147" s="458" t="str">
        <f>IF(AND($G147='Povolené hodnoty'!$B$13,$H147=AP$4),SUM($I147,$L147,$O147,$R147),"")</f>
        <v/>
      </c>
      <c r="AQ147" s="40" t="str">
        <f>IF(AND($G147='Povolené hodnoty'!$B$13,OR($H147=AQ$4,$H147='Povolené hodnoty'!$E$36)),SUM($I147,-$J147,$L147,-$M147,$O147,-$P147,$R147,-$S147),"")</f>
        <v/>
      </c>
      <c r="AR147" s="40" t="str">
        <f>IF(AND($G147='Povolené hodnoty'!$B$13,$H147=AR$4),SUM($I147,$L147,$O147,$R147),"")</f>
        <v/>
      </c>
      <c r="AS147" s="41" t="str">
        <f>IF(AND($G147='Povolené hodnoty'!$B$13,$H147=AS$4),SUM($I147,$L147,$O147,$R147),"")</f>
        <v/>
      </c>
      <c r="AT147" s="39" t="str">
        <f>IF(AND($G147='Povolené hodnoty'!$B$14,$H147=AT$4),SUM($I147,$L147,$O147,$R147),"")</f>
        <v/>
      </c>
      <c r="AU147" s="458" t="str">
        <f>IF(AND($G147='Povolené hodnoty'!$B$14,$H147=AU$4),SUM($I147,$L147,$O147,$R147),"")</f>
        <v/>
      </c>
      <c r="AV147" s="41" t="str">
        <f>IF(AND($G147='Povolené hodnoty'!$B$14,$H147=AV$4),SUM($I147,$L147,$O147,$R147),"")</f>
        <v/>
      </c>
      <c r="AW147" s="39" t="str">
        <f>IF(AND($G147='Povolené hodnoty'!$B$13,$H147=AW$4),SUM($J147,$M147,$P147,$S147),"")</f>
        <v/>
      </c>
      <c r="AX147" s="458" t="str">
        <f>IF(AND($G147='Povolené hodnoty'!$B$13,$H147=AX$4),SUM($J147,$M147,$P147,$S147),"")</f>
        <v/>
      </c>
      <c r="AY147" s="458" t="str">
        <f>IF(AND($G147='Povolené hodnoty'!$B$13,$H147=AY$4),SUM($J147,$M147,$P147,$S147),"")</f>
        <v/>
      </c>
      <c r="AZ147" s="458" t="str">
        <f>IF(AND($G147='Povolené hodnoty'!$B$13,$H147=AZ$4),SUM($J147,$M147,$P147,$S147),"")</f>
        <v/>
      </c>
      <c r="BA147" s="458" t="str">
        <f>IF(AND($G147='Povolené hodnoty'!$B$13,$H147=BA$4),SUM($J147,$M147,$P147,$S147),"")</f>
        <v/>
      </c>
      <c r="BB147" s="40" t="str">
        <f>IF(AND($G147='Povolené hodnoty'!$B$13,$H147=BB$4),SUM($J147,$M147,$P147,$S147),"")</f>
        <v/>
      </c>
      <c r="BC147" s="40" t="str">
        <f>IF(AND($G147='Povolené hodnoty'!$B$13,$H147=BC$4),SUM($J147,$M147,$P147,$S147),"")</f>
        <v/>
      </c>
      <c r="BD147" s="40" t="str">
        <f>IF(AND($G147='Povolené hodnoty'!$B$13,$H147=BD$4),SUM($J147,$M147,$P147,$S147),"")</f>
        <v/>
      </c>
      <c r="BE147" s="41" t="str">
        <f>IF(AND($G147='Povolené hodnoty'!$B$13,$H147=BE$4),SUM($J147,$M147,$P147,$S147),"")</f>
        <v/>
      </c>
      <c r="BF147" s="39" t="str">
        <f>IF(AND($G147='Povolené hodnoty'!$B$14,$H147=BF$4),SUM($J147,$M147,$P147,$S147),"")</f>
        <v/>
      </c>
      <c r="BG147" s="458" t="str">
        <f>IF(AND($G147='Povolené hodnoty'!$B$14,$H147=BG$4),SUM($J147,$M147,$P147,$S147),"")</f>
        <v/>
      </c>
      <c r="BH147" s="458" t="str">
        <f>IF(AND($G147='Povolené hodnoty'!$B$14,$H147=BH$4),SUM($J147,$M147,$P147,$S147),"")</f>
        <v/>
      </c>
      <c r="BI147" s="458" t="str">
        <f>IF(AND($G147='Povolené hodnoty'!$B$14,$H147=BI$4),SUM($J147,$M147,$P147,$S147),"")</f>
        <v/>
      </c>
      <c r="BJ147" s="458" t="str">
        <f>IF(AND($G147='Povolené hodnoty'!$B$14,$H147=BJ$4),SUM($J147,$M147,$P147,$S147),"")</f>
        <v/>
      </c>
      <c r="BK147" s="40" t="str">
        <f>IF(AND($G147='Povolené hodnoty'!$B$14,$H147=BK$4),SUM($J147,$M147,$P147,$S147),"")</f>
        <v/>
      </c>
      <c r="BL147" s="40" t="str">
        <f>IF(AND($G147='Povolené hodnoty'!$B$14,$H147=BL$4),SUM($J147,$M147,$P147,$S147),"")</f>
        <v/>
      </c>
      <c r="BM147" s="41" t="str">
        <f>IF(AND($G147='Povolené hodnoty'!$B$14,$H147=BM$4),SUM($J147,$M147,$P147,$S147),"")</f>
        <v/>
      </c>
      <c r="BO147" s="18" t="b">
        <f t="shared" si="106"/>
        <v>0</v>
      </c>
      <c r="BP147" s="18" t="b">
        <f t="shared" si="77"/>
        <v>0</v>
      </c>
      <c r="BQ147" s="18" t="b">
        <f>AND(E147&lt;&gt;'Povolené hodnoty'!$B$6,F147&lt;&gt;'Povolené hodnoty'!$D$7,F147&lt;&gt;'Povolené hodnoty'!$D$8,OR(SUM(I147,L147,O147,R147)&lt;&gt;SUM(W147:X147,AA147:AG147),SUM(J147,M147,P147,S147)&lt;&gt;SUM(Y147:Z147,AH147:AK147),COUNT(I147:J147,L147:M147,O147:P147,R147:S147)&lt;&gt;COUNT(W147:AK147)))</f>
        <v>0</v>
      </c>
      <c r="BR147" s="18" t="b">
        <f>OR(AND(E147='Povolené hodnoty'!$B$6,$BR$5),AND(E147='Povolené hodnoty'!$B$6,H147&lt;&gt;'Povolené hodnoty'!$E$26,H147&lt;&gt;'Povolené hodnoty'!$E$35),AND(E147&lt;&gt;'Povolené hodnoty'!$B$6,OR(H147='Povolené hodnoty'!$E$26,H147='Povolené hodnoty'!$E$35)))</f>
        <v>0</v>
      </c>
      <c r="BS147" s="18" t="b">
        <f>OR(AND(G147&lt;&gt;'Povolené hodnoty'!$B$13,OR(H147='Povolené hodnoty'!$E$21,H147='Povolené hodnoty'!$E$22,H147='Povolené hodnoty'!$E$23,H147='Povolené hodnoty'!$E$24,H147='Povolené hodnoty'!$E$26,H147='Povolené hodnoty'!$E$36)),COUNT(I147:J147,L147:M147,O147:P147,R147:S147)&lt;&gt;COUNT(AL147:BM147))</f>
        <v>0</v>
      </c>
      <c r="BT147" s="18" t="b">
        <f t="shared" si="78"/>
        <v>0</v>
      </c>
      <c r="BV147" s="39" t="str">
        <f t="shared" si="79"/>
        <v/>
      </c>
      <c r="BW147" s="458" t="str">
        <f t="shared" si="80"/>
        <v/>
      </c>
      <c r="BX147" s="458" t="str">
        <f t="shared" si="81"/>
        <v/>
      </c>
      <c r="BY147" s="458" t="str">
        <f t="shared" si="82"/>
        <v/>
      </c>
      <c r="BZ147" s="458" t="str">
        <f t="shared" si="83"/>
        <v/>
      </c>
      <c r="CA147" s="40" t="str">
        <f t="shared" si="84"/>
        <v/>
      </c>
      <c r="CB147" s="40" t="str">
        <f t="shared" si="85"/>
        <v/>
      </c>
      <c r="CC147" s="39" t="str">
        <f t="shared" si="86"/>
        <v/>
      </c>
      <c r="CD147" s="458" t="str">
        <f t="shared" si="87"/>
        <v/>
      </c>
      <c r="CE147" s="41" t="str">
        <f t="shared" si="88"/>
        <v/>
      </c>
      <c r="CF147" s="39" t="str">
        <f t="shared" si="89"/>
        <v/>
      </c>
      <c r="CG147" s="458" t="str">
        <f t="shared" si="90"/>
        <v/>
      </c>
      <c r="CH147" s="458" t="str">
        <f t="shared" si="91"/>
        <v/>
      </c>
      <c r="CI147" s="458" t="str">
        <f t="shared" si="92"/>
        <v/>
      </c>
      <c r="CJ147" s="458" t="str">
        <f t="shared" si="93"/>
        <v/>
      </c>
      <c r="CK147" s="40" t="str">
        <f t="shared" si="94"/>
        <v/>
      </c>
      <c r="CL147" s="40" t="str">
        <f t="shared" si="95"/>
        <v/>
      </c>
      <c r="CM147" s="40" t="str">
        <f t="shared" si="96"/>
        <v/>
      </c>
      <c r="CN147" s="39" t="str">
        <f t="shared" si="97"/>
        <v/>
      </c>
      <c r="CO147" s="458" t="str">
        <f t="shared" si="98"/>
        <v/>
      </c>
      <c r="CP147" s="458" t="str">
        <f t="shared" si="99"/>
        <v/>
      </c>
      <c r="CQ147" s="458" t="str">
        <f t="shared" si="100"/>
        <v/>
      </c>
      <c r="CR147" s="458" t="str">
        <f t="shared" si="101"/>
        <v/>
      </c>
      <c r="CS147" s="40" t="str">
        <f t="shared" si="102"/>
        <v/>
      </c>
      <c r="CT147" s="40" t="str">
        <f t="shared" si="103"/>
        <v/>
      </c>
      <c r="CU147" s="41" t="str">
        <f t="shared" si="104"/>
        <v/>
      </c>
    </row>
    <row r="148" spans="1:99" x14ac:dyDescent="0.2">
      <c r="A148" s="77">
        <f t="shared" si="105"/>
        <v>143</v>
      </c>
      <c r="B148" s="81"/>
      <c r="C148" s="82"/>
      <c r="D148" s="71"/>
      <c r="E148" s="72"/>
      <c r="F148" s="73"/>
      <c r="G148" s="443"/>
      <c r="H148" s="443"/>
      <c r="I148" s="74"/>
      <c r="J148" s="75"/>
      <c r="K148" s="41">
        <f t="shared" si="74"/>
        <v>3625</v>
      </c>
      <c r="L148" s="104"/>
      <c r="M148" s="105"/>
      <c r="N148" s="106">
        <f t="shared" si="75"/>
        <v>537.05999999999995</v>
      </c>
      <c r="O148" s="104"/>
      <c r="P148" s="105"/>
      <c r="Q148" s="106">
        <f t="shared" si="107"/>
        <v>10045.83</v>
      </c>
      <c r="R148" s="104"/>
      <c r="S148" s="105"/>
      <c r="T148" s="106">
        <f t="shared" si="108"/>
        <v>0</v>
      </c>
      <c r="U148" s="439"/>
      <c r="V148" s="42">
        <f t="shared" si="76"/>
        <v>143</v>
      </c>
      <c r="W148" s="39" t="str">
        <f>IF(AND(E148='Povolené hodnoty'!$B$4,F148=2),I148+L148+O148+R148,"")</f>
        <v/>
      </c>
      <c r="X148" s="41" t="str">
        <f>IF(AND(E148='Povolené hodnoty'!$B$4,F148=1),I148+L148+O148+R148,"")</f>
        <v/>
      </c>
      <c r="Y148" s="39" t="str">
        <f>IF(AND(E148='Povolené hodnoty'!$B$4,F148=10),J148+M148+P148+S148,"")</f>
        <v/>
      </c>
      <c r="Z148" s="41" t="str">
        <f>IF(AND(E148='Povolené hodnoty'!$B$4,F148=9),J148+M148+P148+S148,"")</f>
        <v/>
      </c>
      <c r="AA148" s="39" t="str">
        <f>IF(AND(E148&lt;&gt;'Povolené hodnoty'!$B$4,F148=2),I148+L148+O148+R148,"")</f>
        <v/>
      </c>
      <c r="AB148" s="40" t="str">
        <f>IF(AND(E148&lt;&gt;'Povolené hodnoty'!$B$4,F148=3),I148+L148+O148+R148,"")</f>
        <v/>
      </c>
      <c r="AC148" s="40" t="str">
        <f>IF(AND(E148&lt;&gt;'Povolené hodnoty'!$B$4,F148=4),I148+L148+O148+R148,"")</f>
        <v/>
      </c>
      <c r="AD148" s="40" t="str">
        <f>IF(AND(E148&lt;&gt;'Povolené hodnoty'!$B$4,F148="5a"),I148-J148+L148-M148+O148-P148+R148-S148,"")</f>
        <v/>
      </c>
      <c r="AE148" s="40" t="str">
        <f>IF(AND(E148&lt;&gt;'Povolené hodnoty'!$B$4,F148="5b"),I148-J148+L148-M148+O148-P148+R148-S148,"")</f>
        <v/>
      </c>
      <c r="AF148" s="40" t="str">
        <f>IF(AND(E148&lt;&gt;'Povolené hodnoty'!$B$4,F148=6),I148+L148+O148+R148,"")</f>
        <v/>
      </c>
      <c r="AG148" s="41" t="str">
        <f>IF(AND(E148&lt;&gt;'Povolené hodnoty'!$B$4,F148=7),I148+L148+O148+R148,"")</f>
        <v/>
      </c>
      <c r="AH148" s="39" t="str">
        <f>IF(AND(E148&lt;&gt;'Povolené hodnoty'!$B$4,F148=10),J148+M148+P148+S148,"")</f>
        <v/>
      </c>
      <c r="AI148" s="40" t="str">
        <f>IF(AND(E148&lt;&gt;'Povolené hodnoty'!$B$4,F148=11),J148+M148+P148+S148,"")</f>
        <v/>
      </c>
      <c r="AJ148" s="40" t="str">
        <f>IF(AND(E148&lt;&gt;'Povolené hodnoty'!$B$4,F148=12),J148+M148+P148+S148,"")</f>
        <v/>
      </c>
      <c r="AK148" s="41" t="str">
        <f>IF(AND(E148&lt;&gt;'Povolené hodnoty'!$B$4,F148=13),J148+M148+P148+S148,"")</f>
        <v/>
      </c>
      <c r="AL148" s="39" t="str">
        <f>IF(AND($G148='Povolené hodnoty'!$B$13,$H148=AL$4),SUM($I148,$L148,$O148,$R148),"")</f>
        <v/>
      </c>
      <c r="AM148" s="458" t="str">
        <f>IF(AND($G148='Povolené hodnoty'!$B$13,$H148=AM$4),SUM($I148,$L148,$O148,$R148),"")</f>
        <v/>
      </c>
      <c r="AN148" s="458" t="str">
        <f>IF(AND($G148='Povolené hodnoty'!$B$13,$H148=AN$4),SUM($I148,$L148,$O148,$R148),"")</f>
        <v/>
      </c>
      <c r="AO148" s="458" t="str">
        <f>IF(AND($G148='Povolené hodnoty'!$B$13,$H148=AO$4),SUM($I148,$L148,$O148,$R148),"")</f>
        <v/>
      </c>
      <c r="AP148" s="458" t="str">
        <f>IF(AND($G148='Povolené hodnoty'!$B$13,$H148=AP$4),SUM($I148,$L148,$O148,$R148),"")</f>
        <v/>
      </c>
      <c r="AQ148" s="40" t="str">
        <f>IF(AND($G148='Povolené hodnoty'!$B$13,OR($H148=AQ$4,$H148='Povolené hodnoty'!$E$36)),SUM($I148,-$J148,$L148,-$M148,$O148,-$P148,$R148,-$S148),"")</f>
        <v/>
      </c>
      <c r="AR148" s="40" t="str">
        <f>IF(AND($G148='Povolené hodnoty'!$B$13,$H148=AR$4),SUM($I148,$L148,$O148,$R148),"")</f>
        <v/>
      </c>
      <c r="AS148" s="41" t="str">
        <f>IF(AND($G148='Povolené hodnoty'!$B$13,$H148=AS$4),SUM($I148,$L148,$O148,$R148),"")</f>
        <v/>
      </c>
      <c r="AT148" s="39" t="str">
        <f>IF(AND($G148='Povolené hodnoty'!$B$14,$H148=AT$4),SUM($I148,$L148,$O148,$R148),"")</f>
        <v/>
      </c>
      <c r="AU148" s="458" t="str">
        <f>IF(AND($G148='Povolené hodnoty'!$B$14,$H148=AU$4),SUM($I148,$L148,$O148,$R148),"")</f>
        <v/>
      </c>
      <c r="AV148" s="41" t="str">
        <f>IF(AND($G148='Povolené hodnoty'!$B$14,$H148=AV$4),SUM($I148,$L148,$O148,$R148),"")</f>
        <v/>
      </c>
      <c r="AW148" s="39" t="str">
        <f>IF(AND($G148='Povolené hodnoty'!$B$13,$H148=AW$4),SUM($J148,$M148,$P148,$S148),"")</f>
        <v/>
      </c>
      <c r="AX148" s="458" t="str">
        <f>IF(AND($G148='Povolené hodnoty'!$B$13,$H148=AX$4),SUM($J148,$M148,$P148,$S148),"")</f>
        <v/>
      </c>
      <c r="AY148" s="458" t="str">
        <f>IF(AND($G148='Povolené hodnoty'!$B$13,$H148=AY$4),SUM($J148,$M148,$P148,$S148),"")</f>
        <v/>
      </c>
      <c r="AZ148" s="458" t="str">
        <f>IF(AND($G148='Povolené hodnoty'!$B$13,$H148=AZ$4),SUM($J148,$M148,$P148,$S148),"")</f>
        <v/>
      </c>
      <c r="BA148" s="458" t="str">
        <f>IF(AND($G148='Povolené hodnoty'!$B$13,$H148=BA$4),SUM($J148,$M148,$P148,$S148),"")</f>
        <v/>
      </c>
      <c r="BB148" s="40" t="str">
        <f>IF(AND($G148='Povolené hodnoty'!$B$13,$H148=BB$4),SUM($J148,$M148,$P148,$S148),"")</f>
        <v/>
      </c>
      <c r="BC148" s="40" t="str">
        <f>IF(AND($G148='Povolené hodnoty'!$B$13,$H148=BC$4),SUM($J148,$M148,$P148,$S148),"")</f>
        <v/>
      </c>
      <c r="BD148" s="40" t="str">
        <f>IF(AND($G148='Povolené hodnoty'!$B$13,$H148=BD$4),SUM($J148,$M148,$P148,$S148),"")</f>
        <v/>
      </c>
      <c r="BE148" s="41" t="str">
        <f>IF(AND($G148='Povolené hodnoty'!$B$13,$H148=BE$4),SUM($J148,$M148,$P148,$S148),"")</f>
        <v/>
      </c>
      <c r="BF148" s="39" t="str">
        <f>IF(AND($G148='Povolené hodnoty'!$B$14,$H148=BF$4),SUM($J148,$M148,$P148,$S148),"")</f>
        <v/>
      </c>
      <c r="BG148" s="458" t="str">
        <f>IF(AND($G148='Povolené hodnoty'!$B$14,$H148=BG$4),SUM($J148,$M148,$P148,$S148),"")</f>
        <v/>
      </c>
      <c r="BH148" s="458" t="str">
        <f>IF(AND($G148='Povolené hodnoty'!$B$14,$H148=BH$4),SUM($J148,$M148,$P148,$S148),"")</f>
        <v/>
      </c>
      <c r="BI148" s="458" t="str">
        <f>IF(AND($G148='Povolené hodnoty'!$B$14,$H148=BI$4),SUM($J148,$M148,$P148,$S148),"")</f>
        <v/>
      </c>
      <c r="BJ148" s="458" t="str">
        <f>IF(AND($G148='Povolené hodnoty'!$B$14,$H148=BJ$4),SUM($J148,$M148,$P148,$S148),"")</f>
        <v/>
      </c>
      <c r="BK148" s="40" t="str">
        <f>IF(AND($G148='Povolené hodnoty'!$B$14,$H148=BK$4),SUM($J148,$M148,$P148,$S148),"")</f>
        <v/>
      </c>
      <c r="BL148" s="40" t="str">
        <f>IF(AND($G148='Povolené hodnoty'!$B$14,$H148=BL$4),SUM($J148,$M148,$P148,$S148),"")</f>
        <v/>
      </c>
      <c r="BM148" s="41" t="str">
        <f>IF(AND($G148='Povolené hodnoty'!$B$14,$H148=BM$4),SUM($J148,$M148,$P148,$S148),"")</f>
        <v/>
      </c>
      <c r="BO148" s="18" t="b">
        <f t="shared" si="106"/>
        <v>0</v>
      </c>
      <c r="BP148" s="18" t="b">
        <f t="shared" si="77"/>
        <v>0</v>
      </c>
      <c r="BQ148" s="18" t="b">
        <f>AND(E148&lt;&gt;'Povolené hodnoty'!$B$6,F148&lt;&gt;'Povolené hodnoty'!$D$7,F148&lt;&gt;'Povolené hodnoty'!$D$8,OR(SUM(I148,L148,O148,R148)&lt;&gt;SUM(W148:X148,AA148:AG148),SUM(J148,M148,P148,S148)&lt;&gt;SUM(Y148:Z148,AH148:AK148),COUNT(I148:J148,L148:M148,O148:P148,R148:S148)&lt;&gt;COUNT(W148:AK148)))</f>
        <v>0</v>
      </c>
      <c r="BR148" s="18" t="b">
        <f>OR(AND(E148='Povolené hodnoty'!$B$6,$BR$5),AND(E148='Povolené hodnoty'!$B$6,H148&lt;&gt;'Povolené hodnoty'!$E$26,H148&lt;&gt;'Povolené hodnoty'!$E$35),AND(E148&lt;&gt;'Povolené hodnoty'!$B$6,OR(H148='Povolené hodnoty'!$E$26,H148='Povolené hodnoty'!$E$35)))</f>
        <v>0</v>
      </c>
      <c r="BS148" s="18" t="b">
        <f>OR(AND(G148&lt;&gt;'Povolené hodnoty'!$B$13,OR(H148='Povolené hodnoty'!$E$21,H148='Povolené hodnoty'!$E$22,H148='Povolené hodnoty'!$E$23,H148='Povolené hodnoty'!$E$24,H148='Povolené hodnoty'!$E$26,H148='Povolené hodnoty'!$E$36)),COUNT(I148:J148,L148:M148,O148:P148,R148:S148)&lt;&gt;COUNT(AL148:BM148))</f>
        <v>0</v>
      </c>
      <c r="BT148" s="18" t="b">
        <f t="shared" si="78"/>
        <v>0</v>
      </c>
      <c r="BV148" s="39" t="str">
        <f t="shared" si="79"/>
        <v/>
      </c>
      <c r="BW148" s="458" t="str">
        <f t="shared" si="80"/>
        <v/>
      </c>
      <c r="BX148" s="458" t="str">
        <f t="shared" si="81"/>
        <v/>
      </c>
      <c r="BY148" s="458" t="str">
        <f t="shared" si="82"/>
        <v/>
      </c>
      <c r="BZ148" s="458" t="str">
        <f t="shared" si="83"/>
        <v/>
      </c>
      <c r="CA148" s="40" t="str">
        <f t="shared" si="84"/>
        <v/>
      </c>
      <c r="CB148" s="40" t="str">
        <f t="shared" si="85"/>
        <v/>
      </c>
      <c r="CC148" s="39" t="str">
        <f t="shared" si="86"/>
        <v/>
      </c>
      <c r="CD148" s="458" t="str">
        <f t="shared" si="87"/>
        <v/>
      </c>
      <c r="CE148" s="41" t="str">
        <f t="shared" si="88"/>
        <v/>
      </c>
      <c r="CF148" s="39" t="str">
        <f t="shared" si="89"/>
        <v/>
      </c>
      <c r="CG148" s="458" t="str">
        <f t="shared" si="90"/>
        <v/>
      </c>
      <c r="CH148" s="458" t="str">
        <f t="shared" si="91"/>
        <v/>
      </c>
      <c r="CI148" s="458" t="str">
        <f t="shared" si="92"/>
        <v/>
      </c>
      <c r="CJ148" s="458" t="str">
        <f t="shared" si="93"/>
        <v/>
      </c>
      <c r="CK148" s="40" t="str">
        <f t="shared" si="94"/>
        <v/>
      </c>
      <c r="CL148" s="40" t="str">
        <f t="shared" si="95"/>
        <v/>
      </c>
      <c r="CM148" s="40" t="str">
        <f t="shared" si="96"/>
        <v/>
      </c>
      <c r="CN148" s="39" t="str">
        <f t="shared" si="97"/>
        <v/>
      </c>
      <c r="CO148" s="458" t="str">
        <f t="shared" si="98"/>
        <v/>
      </c>
      <c r="CP148" s="458" t="str">
        <f t="shared" si="99"/>
        <v/>
      </c>
      <c r="CQ148" s="458" t="str">
        <f t="shared" si="100"/>
        <v/>
      </c>
      <c r="CR148" s="458" t="str">
        <f t="shared" si="101"/>
        <v/>
      </c>
      <c r="CS148" s="40" t="str">
        <f t="shared" si="102"/>
        <v/>
      </c>
      <c r="CT148" s="40" t="str">
        <f t="shared" si="103"/>
        <v/>
      </c>
      <c r="CU148" s="41" t="str">
        <f t="shared" si="104"/>
        <v/>
      </c>
    </row>
    <row r="149" spans="1:99" x14ac:dyDescent="0.2">
      <c r="A149" s="77">
        <f t="shared" si="105"/>
        <v>144</v>
      </c>
      <c r="B149" s="81"/>
      <c r="C149" s="82"/>
      <c r="D149" s="71"/>
      <c r="E149" s="72"/>
      <c r="F149" s="73"/>
      <c r="G149" s="443"/>
      <c r="H149" s="443"/>
      <c r="I149" s="74"/>
      <c r="J149" s="75"/>
      <c r="K149" s="41">
        <f t="shared" si="74"/>
        <v>3625</v>
      </c>
      <c r="L149" s="104"/>
      <c r="M149" s="105"/>
      <c r="N149" s="106">
        <f t="shared" si="75"/>
        <v>537.05999999999995</v>
      </c>
      <c r="O149" s="104"/>
      <c r="P149" s="105"/>
      <c r="Q149" s="106">
        <f t="shared" si="107"/>
        <v>10045.83</v>
      </c>
      <c r="R149" s="104"/>
      <c r="S149" s="105"/>
      <c r="T149" s="106">
        <f t="shared" si="108"/>
        <v>0</v>
      </c>
      <c r="U149" s="439"/>
      <c r="V149" s="42">
        <f t="shared" si="76"/>
        <v>144</v>
      </c>
      <c r="W149" s="39" t="str">
        <f>IF(AND(E149='Povolené hodnoty'!$B$4,F149=2),I149+L149+O149+R149,"")</f>
        <v/>
      </c>
      <c r="X149" s="41" t="str">
        <f>IF(AND(E149='Povolené hodnoty'!$B$4,F149=1),I149+L149+O149+R149,"")</f>
        <v/>
      </c>
      <c r="Y149" s="39" t="str">
        <f>IF(AND(E149='Povolené hodnoty'!$B$4,F149=10),J149+M149+P149+S149,"")</f>
        <v/>
      </c>
      <c r="Z149" s="41" t="str">
        <f>IF(AND(E149='Povolené hodnoty'!$B$4,F149=9),J149+M149+P149+S149,"")</f>
        <v/>
      </c>
      <c r="AA149" s="39" t="str">
        <f>IF(AND(E149&lt;&gt;'Povolené hodnoty'!$B$4,F149=2),I149+L149+O149+R149,"")</f>
        <v/>
      </c>
      <c r="AB149" s="40" t="str">
        <f>IF(AND(E149&lt;&gt;'Povolené hodnoty'!$B$4,F149=3),I149+L149+O149+R149,"")</f>
        <v/>
      </c>
      <c r="AC149" s="40" t="str">
        <f>IF(AND(E149&lt;&gt;'Povolené hodnoty'!$B$4,F149=4),I149+L149+O149+R149,"")</f>
        <v/>
      </c>
      <c r="AD149" s="40" t="str">
        <f>IF(AND(E149&lt;&gt;'Povolené hodnoty'!$B$4,F149="5a"),I149-J149+L149-M149+O149-P149+R149-S149,"")</f>
        <v/>
      </c>
      <c r="AE149" s="40" t="str">
        <f>IF(AND(E149&lt;&gt;'Povolené hodnoty'!$B$4,F149="5b"),I149-J149+L149-M149+O149-P149+R149-S149,"")</f>
        <v/>
      </c>
      <c r="AF149" s="40" t="str">
        <f>IF(AND(E149&lt;&gt;'Povolené hodnoty'!$B$4,F149=6),I149+L149+O149+R149,"")</f>
        <v/>
      </c>
      <c r="AG149" s="41" t="str">
        <f>IF(AND(E149&lt;&gt;'Povolené hodnoty'!$B$4,F149=7),I149+L149+O149+R149,"")</f>
        <v/>
      </c>
      <c r="AH149" s="39" t="str">
        <f>IF(AND(E149&lt;&gt;'Povolené hodnoty'!$B$4,F149=10),J149+M149+P149+S149,"")</f>
        <v/>
      </c>
      <c r="AI149" s="40" t="str">
        <f>IF(AND(E149&lt;&gt;'Povolené hodnoty'!$B$4,F149=11),J149+M149+P149+S149,"")</f>
        <v/>
      </c>
      <c r="AJ149" s="40" t="str">
        <f>IF(AND(E149&lt;&gt;'Povolené hodnoty'!$B$4,F149=12),J149+M149+P149+S149,"")</f>
        <v/>
      </c>
      <c r="AK149" s="41" t="str">
        <f>IF(AND(E149&lt;&gt;'Povolené hodnoty'!$B$4,F149=13),J149+M149+P149+S149,"")</f>
        <v/>
      </c>
      <c r="AL149" s="39" t="str">
        <f>IF(AND($G149='Povolené hodnoty'!$B$13,$H149=AL$4),SUM($I149,$L149,$O149,$R149),"")</f>
        <v/>
      </c>
      <c r="AM149" s="458" t="str">
        <f>IF(AND($G149='Povolené hodnoty'!$B$13,$H149=AM$4),SUM($I149,$L149,$O149,$R149),"")</f>
        <v/>
      </c>
      <c r="AN149" s="458" t="str">
        <f>IF(AND($G149='Povolené hodnoty'!$B$13,$H149=AN$4),SUM($I149,$L149,$O149,$R149),"")</f>
        <v/>
      </c>
      <c r="AO149" s="458" t="str">
        <f>IF(AND($G149='Povolené hodnoty'!$B$13,$H149=AO$4),SUM($I149,$L149,$O149,$R149),"")</f>
        <v/>
      </c>
      <c r="AP149" s="458" t="str">
        <f>IF(AND($G149='Povolené hodnoty'!$B$13,$H149=AP$4),SUM($I149,$L149,$O149,$R149),"")</f>
        <v/>
      </c>
      <c r="AQ149" s="40" t="str">
        <f>IF(AND($G149='Povolené hodnoty'!$B$13,OR($H149=AQ$4,$H149='Povolené hodnoty'!$E$36)),SUM($I149,-$J149,$L149,-$M149,$O149,-$P149,$R149,-$S149),"")</f>
        <v/>
      </c>
      <c r="AR149" s="40" t="str">
        <f>IF(AND($G149='Povolené hodnoty'!$B$13,$H149=AR$4),SUM($I149,$L149,$O149,$R149),"")</f>
        <v/>
      </c>
      <c r="AS149" s="41" t="str">
        <f>IF(AND($G149='Povolené hodnoty'!$B$13,$H149=AS$4),SUM($I149,$L149,$O149,$R149),"")</f>
        <v/>
      </c>
      <c r="AT149" s="39" t="str">
        <f>IF(AND($G149='Povolené hodnoty'!$B$14,$H149=AT$4),SUM($I149,$L149,$O149,$R149),"")</f>
        <v/>
      </c>
      <c r="AU149" s="458" t="str">
        <f>IF(AND($G149='Povolené hodnoty'!$B$14,$H149=AU$4),SUM($I149,$L149,$O149,$R149),"")</f>
        <v/>
      </c>
      <c r="AV149" s="41" t="str">
        <f>IF(AND($G149='Povolené hodnoty'!$B$14,$H149=AV$4),SUM($I149,$L149,$O149,$R149),"")</f>
        <v/>
      </c>
      <c r="AW149" s="39" t="str">
        <f>IF(AND($G149='Povolené hodnoty'!$B$13,$H149=AW$4),SUM($J149,$M149,$P149,$S149),"")</f>
        <v/>
      </c>
      <c r="AX149" s="458" t="str">
        <f>IF(AND($G149='Povolené hodnoty'!$B$13,$H149=AX$4),SUM($J149,$M149,$P149,$S149),"")</f>
        <v/>
      </c>
      <c r="AY149" s="458" t="str">
        <f>IF(AND($G149='Povolené hodnoty'!$B$13,$H149=AY$4),SUM($J149,$M149,$P149,$S149),"")</f>
        <v/>
      </c>
      <c r="AZ149" s="458" t="str">
        <f>IF(AND($G149='Povolené hodnoty'!$B$13,$H149=AZ$4),SUM($J149,$M149,$P149,$S149),"")</f>
        <v/>
      </c>
      <c r="BA149" s="458" t="str">
        <f>IF(AND($G149='Povolené hodnoty'!$B$13,$H149=BA$4),SUM($J149,$M149,$P149,$S149),"")</f>
        <v/>
      </c>
      <c r="BB149" s="40" t="str">
        <f>IF(AND($G149='Povolené hodnoty'!$B$13,$H149=BB$4),SUM($J149,$M149,$P149,$S149),"")</f>
        <v/>
      </c>
      <c r="BC149" s="40" t="str">
        <f>IF(AND($G149='Povolené hodnoty'!$B$13,$H149=BC$4),SUM($J149,$M149,$P149,$S149),"")</f>
        <v/>
      </c>
      <c r="BD149" s="40" t="str">
        <f>IF(AND($G149='Povolené hodnoty'!$B$13,$H149=BD$4),SUM($J149,$M149,$P149,$S149),"")</f>
        <v/>
      </c>
      <c r="BE149" s="41" t="str">
        <f>IF(AND($G149='Povolené hodnoty'!$B$13,$H149=BE$4),SUM($J149,$M149,$P149,$S149),"")</f>
        <v/>
      </c>
      <c r="BF149" s="39" t="str">
        <f>IF(AND($G149='Povolené hodnoty'!$B$14,$H149=BF$4),SUM($J149,$M149,$P149,$S149),"")</f>
        <v/>
      </c>
      <c r="BG149" s="458" t="str">
        <f>IF(AND($G149='Povolené hodnoty'!$B$14,$H149=BG$4),SUM($J149,$M149,$P149,$S149),"")</f>
        <v/>
      </c>
      <c r="BH149" s="458" t="str">
        <f>IF(AND($G149='Povolené hodnoty'!$B$14,$H149=BH$4),SUM($J149,$M149,$P149,$S149),"")</f>
        <v/>
      </c>
      <c r="BI149" s="458" t="str">
        <f>IF(AND($G149='Povolené hodnoty'!$B$14,$H149=BI$4),SUM($J149,$M149,$P149,$S149),"")</f>
        <v/>
      </c>
      <c r="BJ149" s="458" t="str">
        <f>IF(AND($G149='Povolené hodnoty'!$B$14,$H149=BJ$4),SUM($J149,$M149,$P149,$S149),"")</f>
        <v/>
      </c>
      <c r="BK149" s="40" t="str">
        <f>IF(AND($G149='Povolené hodnoty'!$B$14,$H149=BK$4),SUM($J149,$M149,$P149,$S149),"")</f>
        <v/>
      </c>
      <c r="BL149" s="40" t="str">
        <f>IF(AND($G149='Povolené hodnoty'!$B$14,$H149=BL$4),SUM($J149,$M149,$P149,$S149),"")</f>
        <v/>
      </c>
      <c r="BM149" s="41" t="str">
        <f>IF(AND($G149='Povolené hodnoty'!$B$14,$H149=BM$4),SUM($J149,$M149,$P149,$S149),"")</f>
        <v/>
      </c>
      <c r="BO149" s="18" t="b">
        <f t="shared" si="106"/>
        <v>0</v>
      </c>
      <c r="BP149" s="18" t="b">
        <f t="shared" si="77"/>
        <v>0</v>
      </c>
      <c r="BQ149" s="18" t="b">
        <f>AND(E149&lt;&gt;'Povolené hodnoty'!$B$6,F149&lt;&gt;'Povolené hodnoty'!$D$7,F149&lt;&gt;'Povolené hodnoty'!$D$8,OR(SUM(I149,L149,O149,R149)&lt;&gt;SUM(W149:X149,AA149:AG149),SUM(J149,M149,P149,S149)&lt;&gt;SUM(Y149:Z149,AH149:AK149),COUNT(I149:J149,L149:M149,O149:P149,R149:S149)&lt;&gt;COUNT(W149:AK149)))</f>
        <v>0</v>
      </c>
      <c r="BR149" s="18" t="b">
        <f>OR(AND(E149='Povolené hodnoty'!$B$6,$BR$5),AND(E149='Povolené hodnoty'!$B$6,H149&lt;&gt;'Povolené hodnoty'!$E$26,H149&lt;&gt;'Povolené hodnoty'!$E$35),AND(E149&lt;&gt;'Povolené hodnoty'!$B$6,OR(H149='Povolené hodnoty'!$E$26,H149='Povolené hodnoty'!$E$35)))</f>
        <v>0</v>
      </c>
      <c r="BS149" s="18" t="b">
        <f>OR(AND(G149&lt;&gt;'Povolené hodnoty'!$B$13,OR(H149='Povolené hodnoty'!$E$21,H149='Povolené hodnoty'!$E$22,H149='Povolené hodnoty'!$E$23,H149='Povolené hodnoty'!$E$24,H149='Povolené hodnoty'!$E$26,H149='Povolené hodnoty'!$E$36)),COUNT(I149:J149,L149:M149,O149:P149,R149:S149)&lt;&gt;COUNT(AL149:BM149))</f>
        <v>0</v>
      </c>
      <c r="BT149" s="18" t="b">
        <f t="shared" si="78"/>
        <v>0</v>
      </c>
      <c r="BV149" s="39" t="str">
        <f t="shared" si="79"/>
        <v/>
      </c>
      <c r="BW149" s="458" t="str">
        <f t="shared" si="80"/>
        <v/>
      </c>
      <c r="BX149" s="458" t="str">
        <f t="shared" si="81"/>
        <v/>
      </c>
      <c r="BY149" s="458" t="str">
        <f t="shared" si="82"/>
        <v/>
      </c>
      <c r="BZ149" s="458" t="str">
        <f t="shared" si="83"/>
        <v/>
      </c>
      <c r="CA149" s="40" t="str">
        <f t="shared" si="84"/>
        <v/>
      </c>
      <c r="CB149" s="40" t="str">
        <f t="shared" si="85"/>
        <v/>
      </c>
      <c r="CC149" s="39" t="str">
        <f t="shared" si="86"/>
        <v/>
      </c>
      <c r="CD149" s="458" t="str">
        <f t="shared" si="87"/>
        <v/>
      </c>
      <c r="CE149" s="41" t="str">
        <f t="shared" si="88"/>
        <v/>
      </c>
      <c r="CF149" s="39" t="str">
        <f t="shared" si="89"/>
        <v/>
      </c>
      <c r="CG149" s="458" t="str">
        <f t="shared" si="90"/>
        <v/>
      </c>
      <c r="CH149" s="458" t="str">
        <f t="shared" si="91"/>
        <v/>
      </c>
      <c r="CI149" s="458" t="str">
        <f t="shared" si="92"/>
        <v/>
      </c>
      <c r="CJ149" s="458" t="str">
        <f t="shared" si="93"/>
        <v/>
      </c>
      <c r="CK149" s="40" t="str">
        <f t="shared" si="94"/>
        <v/>
      </c>
      <c r="CL149" s="40" t="str">
        <f t="shared" si="95"/>
        <v/>
      </c>
      <c r="CM149" s="40" t="str">
        <f t="shared" si="96"/>
        <v/>
      </c>
      <c r="CN149" s="39" t="str">
        <f t="shared" si="97"/>
        <v/>
      </c>
      <c r="CO149" s="458" t="str">
        <f t="shared" si="98"/>
        <v/>
      </c>
      <c r="CP149" s="458" t="str">
        <f t="shared" si="99"/>
        <v/>
      </c>
      <c r="CQ149" s="458" t="str">
        <f t="shared" si="100"/>
        <v/>
      </c>
      <c r="CR149" s="458" t="str">
        <f t="shared" si="101"/>
        <v/>
      </c>
      <c r="CS149" s="40" t="str">
        <f t="shared" si="102"/>
        <v/>
      </c>
      <c r="CT149" s="40" t="str">
        <f t="shared" si="103"/>
        <v/>
      </c>
      <c r="CU149" s="41" t="str">
        <f t="shared" si="104"/>
        <v/>
      </c>
    </row>
    <row r="150" spans="1:99" x14ac:dyDescent="0.2">
      <c r="A150" s="77">
        <f t="shared" si="105"/>
        <v>145</v>
      </c>
      <c r="B150" s="81"/>
      <c r="C150" s="82"/>
      <c r="D150" s="71"/>
      <c r="E150" s="72"/>
      <c r="F150" s="73"/>
      <c r="G150" s="443"/>
      <c r="H150" s="443"/>
      <c r="I150" s="74"/>
      <c r="J150" s="75"/>
      <c r="K150" s="41">
        <f t="shared" si="74"/>
        <v>3625</v>
      </c>
      <c r="L150" s="104"/>
      <c r="M150" s="105"/>
      <c r="N150" s="106">
        <f t="shared" si="75"/>
        <v>537.05999999999995</v>
      </c>
      <c r="O150" s="104"/>
      <c r="P150" s="105"/>
      <c r="Q150" s="106">
        <f t="shared" si="107"/>
        <v>10045.83</v>
      </c>
      <c r="R150" s="104"/>
      <c r="S150" s="105"/>
      <c r="T150" s="106">
        <f t="shared" si="108"/>
        <v>0</v>
      </c>
      <c r="U150" s="439"/>
      <c r="V150" s="42">
        <f t="shared" si="76"/>
        <v>145</v>
      </c>
      <c r="W150" s="39" t="str">
        <f>IF(AND(E150='Povolené hodnoty'!$B$4,F150=2),I150+L150+O150+R150,"")</f>
        <v/>
      </c>
      <c r="X150" s="41" t="str">
        <f>IF(AND(E150='Povolené hodnoty'!$B$4,F150=1),I150+L150+O150+R150,"")</f>
        <v/>
      </c>
      <c r="Y150" s="39" t="str">
        <f>IF(AND(E150='Povolené hodnoty'!$B$4,F150=10),J150+M150+P150+S150,"")</f>
        <v/>
      </c>
      <c r="Z150" s="41" t="str">
        <f>IF(AND(E150='Povolené hodnoty'!$B$4,F150=9),J150+M150+P150+S150,"")</f>
        <v/>
      </c>
      <c r="AA150" s="39" t="str">
        <f>IF(AND(E150&lt;&gt;'Povolené hodnoty'!$B$4,F150=2),I150+L150+O150+R150,"")</f>
        <v/>
      </c>
      <c r="AB150" s="40" t="str">
        <f>IF(AND(E150&lt;&gt;'Povolené hodnoty'!$B$4,F150=3),I150+L150+O150+R150,"")</f>
        <v/>
      </c>
      <c r="AC150" s="40" t="str">
        <f>IF(AND(E150&lt;&gt;'Povolené hodnoty'!$B$4,F150=4),I150+L150+O150+R150,"")</f>
        <v/>
      </c>
      <c r="AD150" s="40" t="str">
        <f>IF(AND(E150&lt;&gt;'Povolené hodnoty'!$B$4,F150="5a"),I150-J150+L150-M150+O150-P150+R150-S150,"")</f>
        <v/>
      </c>
      <c r="AE150" s="40" t="str">
        <f>IF(AND(E150&lt;&gt;'Povolené hodnoty'!$B$4,F150="5b"),I150-J150+L150-M150+O150-P150+R150-S150,"")</f>
        <v/>
      </c>
      <c r="AF150" s="40" t="str">
        <f>IF(AND(E150&lt;&gt;'Povolené hodnoty'!$B$4,F150=6),I150+L150+O150+R150,"")</f>
        <v/>
      </c>
      <c r="AG150" s="41" t="str">
        <f>IF(AND(E150&lt;&gt;'Povolené hodnoty'!$B$4,F150=7),I150+L150+O150+R150,"")</f>
        <v/>
      </c>
      <c r="AH150" s="39" t="str">
        <f>IF(AND(E150&lt;&gt;'Povolené hodnoty'!$B$4,F150=10),J150+M150+P150+S150,"")</f>
        <v/>
      </c>
      <c r="AI150" s="40" t="str">
        <f>IF(AND(E150&lt;&gt;'Povolené hodnoty'!$B$4,F150=11),J150+M150+P150+S150,"")</f>
        <v/>
      </c>
      <c r="AJ150" s="40" t="str">
        <f>IF(AND(E150&lt;&gt;'Povolené hodnoty'!$B$4,F150=12),J150+M150+P150+S150,"")</f>
        <v/>
      </c>
      <c r="AK150" s="41" t="str">
        <f>IF(AND(E150&lt;&gt;'Povolené hodnoty'!$B$4,F150=13),J150+M150+P150+S150,"")</f>
        <v/>
      </c>
      <c r="AL150" s="39" t="str">
        <f>IF(AND($G150='Povolené hodnoty'!$B$13,$H150=AL$4),SUM($I150,$L150,$O150,$R150),"")</f>
        <v/>
      </c>
      <c r="AM150" s="458" t="str">
        <f>IF(AND($G150='Povolené hodnoty'!$B$13,$H150=AM$4),SUM($I150,$L150,$O150,$R150),"")</f>
        <v/>
      </c>
      <c r="AN150" s="458" t="str">
        <f>IF(AND($G150='Povolené hodnoty'!$B$13,$H150=AN$4),SUM($I150,$L150,$O150,$R150),"")</f>
        <v/>
      </c>
      <c r="AO150" s="458" t="str">
        <f>IF(AND($G150='Povolené hodnoty'!$B$13,$H150=AO$4),SUM($I150,$L150,$O150,$R150),"")</f>
        <v/>
      </c>
      <c r="AP150" s="458" t="str">
        <f>IF(AND($G150='Povolené hodnoty'!$B$13,$H150=AP$4),SUM($I150,$L150,$O150,$R150),"")</f>
        <v/>
      </c>
      <c r="AQ150" s="40" t="str">
        <f>IF(AND($G150='Povolené hodnoty'!$B$13,OR($H150=AQ$4,$H150='Povolené hodnoty'!$E$36)),SUM($I150,-$J150,$L150,-$M150,$O150,-$P150,$R150,-$S150),"")</f>
        <v/>
      </c>
      <c r="AR150" s="40" t="str">
        <f>IF(AND($G150='Povolené hodnoty'!$B$13,$H150=AR$4),SUM($I150,$L150,$O150,$R150),"")</f>
        <v/>
      </c>
      <c r="AS150" s="41" t="str">
        <f>IF(AND($G150='Povolené hodnoty'!$B$13,$H150=AS$4),SUM($I150,$L150,$O150,$R150),"")</f>
        <v/>
      </c>
      <c r="AT150" s="39" t="str">
        <f>IF(AND($G150='Povolené hodnoty'!$B$14,$H150=AT$4),SUM($I150,$L150,$O150,$R150),"")</f>
        <v/>
      </c>
      <c r="AU150" s="458" t="str">
        <f>IF(AND($G150='Povolené hodnoty'!$B$14,$H150=AU$4),SUM($I150,$L150,$O150,$R150),"")</f>
        <v/>
      </c>
      <c r="AV150" s="41" t="str">
        <f>IF(AND($G150='Povolené hodnoty'!$B$14,$H150=AV$4),SUM($I150,$L150,$O150,$R150),"")</f>
        <v/>
      </c>
      <c r="AW150" s="39" t="str">
        <f>IF(AND($G150='Povolené hodnoty'!$B$13,$H150=AW$4),SUM($J150,$M150,$P150,$S150),"")</f>
        <v/>
      </c>
      <c r="AX150" s="458" t="str">
        <f>IF(AND($G150='Povolené hodnoty'!$B$13,$H150=AX$4),SUM($J150,$M150,$P150,$S150),"")</f>
        <v/>
      </c>
      <c r="AY150" s="458" t="str">
        <f>IF(AND($G150='Povolené hodnoty'!$B$13,$H150=AY$4),SUM($J150,$M150,$P150,$S150),"")</f>
        <v/>
      </c>
      <c r="AZ150" s="458" t="str">
        <f>IF(AND($G150='Povolené hodnoty'!$B$13,$H150=AZ$4),SUM($J150,$M150,$P150,$S150),"")</f>
        <v/>
      </c>
      <c r="BA150" s="458" t="str">
        <f>IF(AND($G150='Povolené hodnoty'!$B$13,$H150=BA$4),SUM($J150,$M150,$P150,$S150),"")</f>
        <v/>
      </c>
      <c r="BB150" s="40" t="str">
        <f>IF(AND($G150='Povolené hodnoty'!$B$13,$H150=BB$4),SUM($J150,$M150,$P150,$S150),"")</f>
        <v/>
      </c>
      <c r="BC150" s="40" t="str">
        <f>IF(AND($G150='Povolené hodnoty'!$B$13,$H150=BC$4),SUM($J150,$M150,$P150,$S150),"")</f>
        <v/>
      </c>
      <c r="BD150" s="40" t="str">
        <f>IF(AND($G150='Povolené hodnoty'!$B$13,$H150=BD$4),SUM($J150,$M150,$P150,$S150),"")</f>
        <v/>
      </c>
      <c r="BE150" s="41" t="str">
        <f>IF(AND($G150='Povolené hodnoty'!$B$13,$H150=BE$4),SUM($J150,$M150,$P150,$S150),"")</f>
        <v/>
      </c>
      <c r="BF150" s="39" t="str">
        <f>IF(AND($G150='Povolené hodnoty'!$B$14,$H150=BF$4),SUM($J150,$M150,$P150,$S150),"")</f>
        <v/>
      </c>
      <c r="BG150" s="458" t="str">
        <f>IF(AND($G150='Povolené hodnoty'!$B$14,$H150=BG$4),SUM($J150,$M150,$P150,$S150),"")</f>
        <v/>
      </c>
      <c r="BH150" s="458" t="str">
        <f>IF(AND($G150='Povolené hodnoty'!$B$14,$H150=BH$4),SUM($J150,$M150,$P150,$S150),"")</f>
        <v/>
      </c>
      <c r="BI150" s="458" t="str">
        <f>IF(AND($G150='Povolené hodnoty'!$B$14,$H150=BI$4),SUM($J150,$M150,$P150,$S150),"")</f>
        <v/>
      </c>
      <c r="BJ150" s="458" t="str">
        <f>IF(AND($G150='Povolené hodnoty'!$B$14,$H150=BJ$4),SUM($J150,$M150,$P150,$S150),"")</f>
        <v/>
      </c>
      <c r="BK150" s="40" t="str">
        <f>IF(AND($G150='Povolené hodnoty'!$B$14,$H150=BK$4),SUM($J150,$M150,$P150,$S150),"")</f>
        <v/>
      </c>
      <c r="BL150" s="40" t="str">
        <f>IF(AND($G150='Povolené hodnoty'!$B$14,$H150=BL$4),SUM($J150,$M150,$P150,$S150),"")</f>
        <v/>
      </c>
      <c r="BM150" s="41" t="str">
        <f>IF(AND($G150='Povolené hodnoty'!$B$14,$H150=BM$4),SUM($J150,$M150,$P150,$S150),"")</f>
        <v/>
      </c>
      <c r="BO150" s="18" t="b">
        <f t="shared" si="106"/>
        <v>0</v>
      </c>
      <c r="BP150" s="18" t="b">
        <f t="shared" si="77"/>
        <v>0</v>
      </c>
      <c r="BQ150" s="18" t="b">
        <f>AND(E150&lt;&gt;'Povolené hodnoty'!$B$6,F150&lt;&gt;'Povolené hodnoty'!$D$7,F150&lt;&gt;'Povolené hodnoty'!$D$8,OR(SUM(I150,L150,O150,R150)&lt;&gt;SUM(W150:X150,AA150:AG150),SUM(J150,M150,P150,S150)&lt;&gt;SUM(Y150:Z150,AH150:AK150),COUNT(I150:J150,L150:M150,O150:P150,R150:S150)&lt;&gt;COUNT(W150:AK150)))</f>
        <v>0</v>
      </c>
      <c r="BR150" s="18" t="b">
        <f>OR(AND(E150='Povolené hodnoty'!$B$6,$BR$5),AND(E150='Povolené hodnoty'!$B$6,H150&lt;&gt;'Povolené hodnoty'!$E$26,H150&lt;&gt;'Povolené hodnoty'!$E$35),AND(E150&lt;&gt;'Povolené hodnoty'!$B$6,OR(H150='Povolené hodnoty'!$E$26,H150='Povolené hodnoty'!$E$35)))</f>
        <v>0</v>
      </c>
      <c r="BS150" s="18" t="b">
        <f>OR(AND(G150&lt;&gt;'Povolené hodnoty'!$B$13,OR(H150='Povolené hodnoty'!$E$21,H150='Povolené hodnoty'!$E$22,H150='Povolené hodnoty'!$E$23,H150='Povolené hodnoty'!$E$24,H150='Povolené hodnoty'!$E$26,H150='Povolené hodnoty'!$E$36)),COUNT(I150:J150,L150:M150,O150:P150,R150:S150)&lt;&gt;COUNT(AL150:BM150))</f>
        <v>0</v>
      </c>
      <c r="BT150" s="18" t="b">
        <f t="shared" si="78"/>
        <v>0</v>
      </c>
      <c r="BV150" s="39" t="str">
        <f t="shared" si="79"/>
        <v/>
      </c>
      <c r="BW150" s="458" t="str">
        <f t="shared" si="80"/>
        <v/>
      </c>
      <c r="BX150" s="458" t="str">
        <f t="shared" si="81"/>
        <v/>
      </c>
      <c r="BY150" s="458" t="str">
        <f t="shared" si="82"/>
        <v/>
      </c>
      <c r="BZ150" s="458" t="str">
        <f t="shared" si="83"/>
        <v/>
      </c>
      <c r="CA150" s="40" t="str">
        <f t="shared" si="84"/>
        <v/>
      </c>
      <c r="CB150" s="40" t="str">
        <f t="shared" si="85"/>
        <v/>
      </c>
      <c r="CC150" s="39" t="str">
        <f t="shared" si="86"/>
        <v/>
      </c>
      <c r="CD150" s="458" t="str">
        <f t="shared" si="87"/>
        <v/>
      </c>
      <c r="CE150" s="41" t="str">
        <f t="shared" si="88"/>
        <v/>
      </c>
      <c r="CF150" s="39" t="str">
        <f t="shared" si="89"/>
        <v/>
      </c>
      <c r="CG150" s="458" t="str">
        <f t="shared" si="90"/>
        <v/>
      </c>
      <c r="CH150" s="458" t="str">
        <f t="shared" si="91"/>
        <v/>
      </c>
      <c r="CI150" s="458" t="str">
        <f t="shared" si="92"/>
        <v/>
      </c>
      <c r="CJ150" s="458" t="str">
        <f t="shared" si="93"/>
        <v/>
      </c>
      <c r="CK150" s="40" t="str">
        <f t="shared" si="94"/>
        <v/>
      </c>
      <c r="CL150" s="40" t="str">
        <f t="shared" si="95"/>
        <v/>
      </c>
      <c r="CM150" s="40" t="str">
        <f t="shared" si="96"/>
        <v/>
      </c>
      <c r="CN150" s="39" t="str">
        <f t="shared" si="97"/>
        <v/>
      </c>
      <c r="CO150" s="458" t="str">
        <f t="shared" si="98"/>
        <v/>
      </c>
      <c r="CP150" s="458" t="str">
        <f t="shared" si="99"/>
        <v/>
      </c>
      <c r="CQ150" s="458" t="str">
        <f t="shared" si="100"/>
        <v/>
      </c>
      <c r="CR150" s="458" t="str">
        <f t="shared" si="101"/>
        <v/>
      </c>
      <c r="CS150" s="40" t="str">
        <f t="shared" si="102"/>
        <v/>
      </c>
      <c r="CT150" s="40" t="str">
        <f t="shared" si="103"/>
        <v/>
      </c>
      <c r="CU150" s="41" t="str">
        <f t="shared" si="104"/>
        <v/>
      </c>
    </row>
    <row r="151" spans="1:99" x14ac:dyDescent="0.2">
      <c r="A151" s="77">
        <f t="shared" si="105"/>
        <v>146</v>
      </c>
      <c r="B151" s="81"/>
      <c r="C151" s="82"/>
      <c r="D151" s="71"/>
      <c r="E151" s="72"/>
      <c r="F151" s="73"/>
      <c r="G151" s="443"/>
      <c r="H151" s="443"/>
      <c r="I151" s="74"/>
      <c r="J151" s="75"/>
      <c r="K151" s="41">
        <f t="shared" si="74"/>
        <v>3625</v>
      </c>
      <c r="L151" s="104"/>
      <c r="M151" s="105"/>
      <c r="N151" s="106">
        <f t="shared" si="75"/>
        <v>537.05999999999995</v>
      </c>
      <c r="O151" s="104"/>
      <c r="P151" s="105"/>
      <c r="Q151" s="106">
        <f t="shared" si="107"/>
        <v>10045.83</v>
      </c>
      <c r="R151" s="104"/>
      <c r="S151" s="105"/>
      <c r="T151" s="106">
        <f t="shared" si="108"/>
        <v>0</v>
      </c>
      <c r="U151" s="439"/>
      <c r="V151" s="42">
        <f t="shared" si="76"/>
        <v>146</v>
      </c>
      <c r="W151" s="39" t="str">
        <f>IF(AND(E151='Povolené hodnoty'!$B$4,F151=2),I151+L151+O151+R151,"")</f>
        <v/>
      </c>
      <c r="X151" s="41" t="str">
        <f>IF(AND(E151='Povolené hodnoty'!$B$4,F151=1),I151+L151+O151+R151,"")</f>
        <v/>
      </c>
      <c r="Y151" s="39" t="str">
        <f>IF(AND(E151='Povolené hodnoty'!$B$4,F151=10),J151+M151+P151+S151,"")</f>
        <v/>
      </c>
      <c r="Z151" s="41" t="str">
        <f>IF(AND(E151='Povolené hodnoty'!$B$4,F151=9),J151+M151+P151+S151,"")</f>
        <v/>
      </c>
      <c r="AA151" s="39" t="str">
        <f>IF(AND(E151&lt;&gt;'Povolené hodnoty'!$B$4,F151=2),I151+L151+O151+R151,"")</f>
        <v/>
      </c>
      <c r="AB151" s="40" t="str">
        <f>IF(AND(E151&lt;&gt;'Povolené hodnoty'!$B$4,F151=3),I151+L151+O151+R151,"")</f>
        <v/>
      </c>
      <c r="AC151" s="40" t="str">
        <f>IF(AND(E151&lt;&gt;'Povolené hodnoty'!$B$4,F151=4),I151+L151+O151+R151,"")</f>
        <v/>
      </c>
      <c r="AD151" s="40" t="str">
        <f>IF(AND(E151&lt;&gt;'Povolené hodnoty'!$B$4,F151="5a"),I151-J151+L151-M151+O151-P151+R151-S151,"")</f>
        <v/>
      </c>
      <c r="AE151" s="40" t="str">
        <f>IF(AND(E151&lt;&gt;'Povolené hodnoty'!$B$4,F151="5b"),I151-J151+L151-M151+O151-P151+R151-S151,"")</f>
        <v/>
      </c>
      <c r="AF151" s="40" t="str">
        <f>IF(AND(E151&lt;&gt;'Povolené hodnoty'!$B$4,F151=6),I151+L151+O151+R151,"")</f>
        <v/>
      </c>
      <c r="AG151" s="41" t="str">
        <f>IF(AND(E151&lt;&gt;'Povolené hodnoty'!$B$4,F151=7),I151+L151+O151+R151,"")</f>
        <v/>
      </c>
      <c r="AH151" s="39" t="str">
        <f>IF(AND(E151&lt;&gt;'Povolené hodnoty'!$B$4,F151=10),J151+M151+P151+S151,"")</f>
        <v/>
      </c>
      <c r="AI151" s="40" t="str">
        <f>IF(AND(E151&lt;&gt;'Povolené hodnoty'!$B$4,F151=11),J151+M151+P151+S151,"")</f>
        <v/>
      </c>
      <c r="AJ151" s="40" t="str">
        <f>IF(AND(E151&lt;&gt;'Povolené hodnoty'!$B$4,F151=12),J151+M151+P151+S151,"")</f>
        <v/>
      </c>
      <c r="AK151" s="41" t="str">
        <f>IF(AND(E151&lt;&gt;'Povolené hodnoty'!$B$4,F151=13),J151+M151+P151+S151,"")</f>
        <v/>
      </c>
      <c r="AL151" s="39" t="str">
        <f>IF(AND($G151='Povolené hodnoty'!$B$13,$H151=AL$4),SUM($I151,$L151,$O151,$R151),"")</f>
        <v/>
      </c>
      <c r="AM151" s="458" t="str">
        <f>IF(AND($G151='Povolené hodnoty'!$B$13,$H151=AM$4),SUM($I151,$L151,$O151,$R151),"")</f>
        <v/>
      </c>
      <c r="AN151" s="458" t="str">
        <f>IF(AND($G151='Povolené hodnoty'!$B$13,$H151=AN$4),SUM($I151,$L151,$O151,$R151),"")</f>
        <v/>
      </c>
      <c r="AO151" s="458" t="str">
        <f>IF(AND($G151='Povolené hodnoty'!$B$13,$H151=AO$4),SUM($I151,$L151,$O151,$R151),"")</f>
        <v/>
      </c>
      <c r="AP151" s="458" t="str">
        <f>IF(AND($G151='Povolené hodnoty'!$B$13,$H151=AP$4),SUM($I151,$L151,$O151,$R151),"")</f>
        <v/>
      </c>
      <c r="AQ151" s="40" t="str">
        <f>IF(AND($G151='Povolené hodnoty'!$B$13,OR($H151=AQ$4,$H151='Povolené hodnoty'!$E$36)),SUM($I151,-$J151,$L151,-$M151,$O151,-$P151,$R151,-$S151),"")</f>
        <v/>
      </c>
      <c r="AR151" s="40" t="str">
        <f>IF(AND($G151='Povolené hodnoty'!$B$13,$H151=AR$4),SUM($I151,$L151,$O151,$R151),"")</f>
        <v/>
      </c>
      <c r="AS151" s="41" t="str">
        <f>IF(AND($G151='Povolené hodnoty'!$B$13,$H151=AS$4),SUM($I151,$L151,$O151,$R151),"")</f>
        <v/>
      </c>
      <c r="AT151" s="39" t="str">
        <f>IF(AND($G151='Povolené hodnoty'!$B$14,$H151=AT$4),SUM($I151,$L151,$O151,$R151),"")</f>
        <v/>
      </c>
      <c r="AU151" s="458" t="str">
        <f>IF(AND($G151='Povolené hodnoty'!$B$14,$H151=AU$4),SUM($I151,$L151,$O151,$R151),"")</f>
        <v/>
      </c>
      <c r="AV151" s="41" t="str">
        <f>IF(AND($G151='Povolené hodnoty'!$B$14,$H151=AV$4),SUM($I151,$L151,$O151,$R151),"")</f>
        <v/>
      </c>
      <c r="AW151" s="39" t="str">
        <f>IF(AND($G151='Povolené hodnoty'!$B$13,$H151=AW$4),SUM($J151,$M151,$P151,$S151),"")</f>
        <v/>
      </c>
      <c r="AX151" s="458" t="str">
        <f>IF(AND($G151='Povolené hodnoty'!$B$13,$H151=AX$4),SUM($J151,$M151,$P151,$S151),"")</f>
        <v/>
      </c>
      <c r="AY151" s="458" t="str">
        <f>IF(AND($G151='Povolené hodnoty'!$B$13,$H151=AY$4),SUM($J151,$M151,$P151,$S151),"")</f>
        <v/>
      </c>
      <c r="AZ151" s="458" t="str">
        <f>IF(AND($G151='Povolené hodnoty'!$B$13,$H151=AZ$4),SUM($J151,$M151,$P151,$S151),"")</f>
        <v/>
      </c>
      <c r="BA151" s="458" t="str">
        <f>IF(AND($G151='Povolené hodnoty'!$B$13,$H151=BA$4),SUM($J151,$M151,$P151,$S151),"")</f>
        <v/>
      </c>
      <c r="BB151" s="40" t="str">
        <f>IF(AND($G151='Povolené hodnoty'!$B$13,$H151=BB$4),SUM($J151,$M151,$P151,$S151),"")</f>
        <v/>
      </c>
      <c r="BC151" s="40" t="str">
        <f>IF(AND($G151='Povolené hodnoty'!$B$13,$H151=BC$4),SUM($J151,$M151,$P151,$S151),"")</f>
        <v/>
      </c>
      <c r="BD151" s="40" t="str">
        <f>IF(AND($G151='Povolené hodnoty'!$B$13,$H151=BD$4),SUM($J151,$M151,$P151,$S151),"")</f>
        <v/>
      </c>
      <c r="BE151" s="41" t="str">
        <f>IF(AND($G151='Povolené hodnoty'!$B$13,$H151=BE$4),SUM($J151,$M151,$P151,$S151),"")</f>
        <v/>
      </c>
      <c r="BF151" s="39" t="str">
        <f>IF(AND($G151='Povolené hodnoty'!$B$14,$H151=BF$4),SUM($J151,$M151,$P151,$S151),"")</f>
        <v/>
      </c>
      <c r="BG151" s="458" t="str">
        <f>IF(AND($G151='Povolené hodnoty'!$B$14,$H151=BG$4),SUM($J151,$M151,$P151,$S151),"")</f>
        <v/>
      </c>
      <c r="BH151" s="458" t="str">
        <f>IF(AND($G151='Povolené hodnoty'!$B$14,$H151=BH$4),SUM($J151,$M151,$P151,$S151),"")</f>
        <v/>
      </c>
      <c r="BI151" s="458" t="str">
        <f>IF(AND($G151='Povolené hodnoty'!$B$14,$H151=BI$4),SUM($J151,$M151,$P151,$S151),"")</f>
        <v/>
      </c>
      <c r="BJ151" s="458" t="str">
        <f>IF(AND($G151='Povolené hodnoty'!$B$14,$H151=BJ$4),SUM($J151,$M151,$P151,$S151),"")</f>
        <v/>
      </c>
      <c r="BK151" s="40" t="str">
        <f>IF(AND($G151='Povolené hodnoty'!$B$14,$H151=BK$4),SUM($J151,$M151,$P151,$S151),"")</f>
        <v/>
      </c>
      <c r="BL151" s="40" t="str">
        <f>IF(AND($G151='Povolené hodnoty'!$B$14,$H151=BL$4),SUM($J151,$M151,$P151,$S151),"")</f>
        <v/>
      </c>
      <c r="BM151" s="41" t="str">
        <f>IF(AND($G151='Povolené hodnoty'!$B$14,$H151=BM$4),SUM($J151,$M151,$P151,$S151),"")</f>
        <v/>
      </c>
      <c r="BO151" s="18" t="b">
        <f t="shared" si="106"/>
        <v>0</v>
      </c>
      <c r="BP151" s="18" t="b">
        <f t="shared" si="77"/>
        <v>0</v>
      </c>
      <c r="BQ151" s="18" t="b">
        <f>AND(E151&lt;&gt;'Povolené hodnoty'!$B$6,F151&lt;&gt;'Povolené hodnoty'!$D$7,F151&lt;&gt;'Povolené hodnoty'!$D$8,OR(SUM(I151,L151,O151,R151)&lt;&gt;SUM(W151:X151,AA151:AG151),SUM(J151,M151,P151,S151)&lt;&gt;SUM(Y151:Z151,AH151:AK151),COUNT(I151:J151,L151:M151,O151:P151,R151:S151)&lt;&gt;COUNT(W151:AK151)))</f>
        <v>0</v>
      </c>
      <c r="BR151" s="18" t="b">
        <f>OR(AND(E151='Povolené hodnoty'!$B$6,$BR$5),AND(E151='Povolené hodnoty'!$B$6,H151&lt;&gt;'Povolené hodnoty'!$E$26,H151&lt;&gt;'Povolené hodnoty'!$E$35),AND(E151&lt;&gt;'Povolené hodnoty'!$B$6,OR(H151='Povolené hodnoty'!$E$26,H151='Povolené hodnoty'!$E$35)))</f>
        <v>0</v>
      </c>
      <c r="BS151" s="18" t="b">
        <f>OR(AND(G151&lt;&gt;'Povolené hodnoty'!$B$13,OR(H151='Povolené hodnoty'!$E$21,H151='Povolené hodnoty'!$E$22,H151='Povolené hodnoty'!$E$23,H151='Povolené hodnoty'!$E$24,H151='Povolené hodnoty'!$E$26,H151='Povolené hodnoty'!$E$36)),COUNT(I151:J151,L151:M151,O151:P151,R151:S151)&lt;&gt;COUNT(AL151:BM151))</f>
        <v>0</v>
      </c>
      <c r="BT151" s="18" t="b">
        <f t="shared" si="78"/>
        <v>0</v>
      </c>
      <c r="BV151" s="39" t="str">
        <f t="shared" si="79"/>
        <v/>
      </c>
      <c r="BW151" s="458" t="str">
        <f t="shared" si="80"/>
        <v/>
      </c>
      <c r="BX151" s="458" t="str">
        <f t="shared" si="81"/>
        <v/>
      </c>
      <c r="BY151" s="458" t="str">
        <f t="shared" si="82"/>
        <v/>
      </c>
      <c r="BZ151" s="458" t="str">
        <f t="shared" si="83"/>
        <v/>
      </c>
      <c r="CA151" s="40" t="str">
        <f t="shared" si="84"/>
        <v/>
      </c>
      <c r="CB151" s="40" t="str">
        <f t="shared" si="85"/>
        <v/>
      </c>
      <c r="CC151" s="39" t="str">
        <f t="shared" si="86"/>
        <v/>
      </c>
      <c r="CD151" s="458" t="str">
        <f t="shared" si="87"/>
        <v/>
      </c>
      <c r="CE151" s="41" t="str">
        <f t="shared" si="88"/>
        <v/>
      </c>
      <c r="CF151" s="39" t="str">
        <f t="shared" si="89"/>
        <v/>
      </c>
      <c r="CG151" s="458" t="str">
        <f t="shared" si="90"/>
        <v/>
      </c>
      <c r="CH151" s="458" t="str">
        <f t="shared" si="91"/>
        <v/>
      </c>
      <c r="CI151" s="458" t="str">
        <f t="shared" si="92"/>
        <v/>
      </c>
      <c r="CJ151" s="458" t="str">
        <f t="shared" si="93"/>
        <v/>
      </c>
      <c r="CK151" s="40" t="str">
        <f t="shared" si="94"/>
        <v/>
      </c>
      <c r="CL151" s="40" t="str">
        <f t="shared" si="95"/>
        <v/>
      </c>
      <c r="CM151" s="40" t="str">
        <f t="shared" si="96"/>
        <v/>
      </c>
      <c r="CN151" s="39" t="str">
        <f t="shared" si="97"/>
        <v/>
      </c>
      <c r="CO151" s="458" t="str">
        <f t="shared" si="98"/>
        <v/>
      </c>
      <c r="CP151" s="458" t="str">
        <f t="shared" si="99"/>
        <v/>
      </c>
      <c r="CQ151" s="458" t="str">
        <f t="shared" si="100"/>
        <v/>
      </c>
      <c r="CR151" s="458" t="str">
        <f t="shared" si="101"/>
        <v/>
      </c>
      <c r="CS151" s="40" t="str">
        <f t="shared" si="102"/>
        <v/>
      </c>
      <c r="CT151" s="40" t="str">
        <f t="shared" si="103"/>
        <v/>
      </c>
      <c r="CU151" s="41" t="str">
        <f t="shared" si="104"/>
        <v/>
      </c>
    </row>
    <row r="152" spans="1:99" x14ac:dyDescent="0.2">
      <c r="A152" s="77">
        <f t="shared" si="105"/>
        <v>147</v>
      </c>
      <c r="B152" s="81"/>
      <c r="C152" s="82"/>
      <c r="D152" s="71"/>
      <c r="E152" s="72"/>
      <c r="F152" s="73"/>
      <c r="G152" s="443"/>
      <c r="H152" s="443"/>
      <c r="I152" s="74"/>
      <c r="J152" s="75"/>
      <c r="K152" s="41">
        <f t="shared" si="74"/>
        <v>3625</v>
      </c>
      <c r="L152" s="104"/>
      <c r="M152" s="105"/>
      <c r="N152" s="106">
        <f t="shared" si="75"/>
        <v>537.05999999999995</v>
      </c>
      <c r="O152" s="104"/>
      <c r="P152" s="105"/>
      <c r="Q152" s="106">
        <f t="shared" si="107"/>
        <v>10045.83</v>
      </c>
      <c r="R152" s="104"/>
      <c r="S152" s="105"/>
      <c r="T152" s="106">
        <f t="shared" si="108"/>
        <v>0</v>
      </c>
      <c r="U152" s="439"/>
      <c r="V152" s="42">
        <f t="shared" si="76"/>
        <v>147</v>
      </c>
      <c r="W152" s="39" t="str">
        <f>IF(AND(E152='Povolené hodnoty'!$B$4,F152=2),I152+L152+O152+R152,"")</f>
        <v/>
      </c>
      <c r="X152" s="41" t="str">
        <f>IF(AND(E152='Povolené hodnoty'!$B$4,F152=1),I152+L152+O152+R152,"")</f>
        <v/>
      </c>
      <c r="Y152" s="39" t="str">
        <f>IF(AND(E152='Povolené hodnoty'!$B$4,F152=10),J152+M152+P152+S152,"")</f>
        <v/>
      </c>
      <c r="Z152" s="41" t="str">
        <f>IF(AND(E152='Povolené hodnoty'!$B$4,F152=9),J152+M152+P152+S152,"")</f>
        <v/>
      </c>
      <c r="AA152" s="39" t="str">
        <f>IF(AND(E152&lt;&gt;'Povolené hodnoty'!$B$4,F152=2),I152+L152+O152+R152,"")</f>
        <v/>
      </c>
      <c r="AB152" s="40" t="str">
        <f>IF(AND(E152&lt;&gt;'Povolené hodnoty'!$B$4,F152=3),I152+L152+O152+R152,"")</f>
        <v/>
      </c>
      <c r="AC152" s="40" t="str">
        <f>IF(AND(E152&lt;&gt;'Povolené hodnoty'!$B$4,F152=4),I152+L152+O152+R152,"")</f>
        <v/>
      </c>
      <c r="AD152" s="40" t="str">
        <f>IF(AND(E152&lt;&gt;'Povolené hodnoty'!$B$4,F152="5a"),I152-J152+L152-M152+O152-P152+R152-S152,"")</f>
        <v/>
      </c>
      <c r="AE152" s="40" t="str">
        <f>IF(AND(E152&lt;&gt;'Povolené hodnoty'!$B$4,F152="5b"),I152-J152+L152-M152+O152-P152+R152-S152,"")</f>
        <v/>
      </c>
      <c r="AF152" s="40" t="str">
        <f>IF(AND(E152&lt;&gt;'Povolené hodnoty'!$B$4,F152=6),I152+L152+O152+R152,"")</f>
        <v/>
      </c>
      <c r="AG152" s="41" t="str">
        <f>IF(AND(E152&lt;&gt;'Povolené hodnoty'!$B$4,F152=7),I152+L152+O152+R152,"")</f>
        <v/>
      </c>
      <c r="AH152" s="39" t="str">
        <f>IF(AND(E152&lt;&gt;'Povolené hodnoty'!$B$4,F152=10),J152+M152+P152+S152,"")</f>
        <v/>
      </c>
      <c r="AI152" s="40" t="str">
        <f>IF(AND(E152&lt;&gt;'Povolené hodnoty'!$B$4,F152=11),J152+M152+P152+S152,"")</f>
        <v/>
      </c>
      <c r="AJ152" s="40" t="str">
        <f>IF(AND(E152&lt;&gt;'Povolené hodnoty'!$B$4,F152=12),J152+M152+P152+S152,"")</f>
        <v/>
      </c>
      <c r="AK152" s="41" t="str">
        <f>IF(AND(E152&lt;&gt;'Povolené hodnoty'!$B$4,F152=13),J152+M152+P152+S152,"")</f>
        <v/>
      </c>
      <c r="AL152" s="39" t="str">
        <f>IF(AND($G152='Povolené hodnoty'!$B$13,$H152=AL$4),SUM($I152,$L152,$O152,$R152),"")</f>
        <v/>
      </c>
      <c r="AM152" s="458" t="str">
        <f>IF(AND($G152='Povolené hodnoty'!$B$13,$H152=AM$4),SUM($I152,$L152,$O152,$R152),"")</f>
        <v/>
      </c>
      <c r="AN152" s="458" t="str">
        <f>IF(AND($G152='Povolené hodnoty'!$B$13,$H152=AN$4),SUM($I152,$L152,$O152,$R152),"")</f>
        <v/>
      </c>
      <c r="AO152" s="458" t="str">
        <f>IF(AND($G152='Povolené hodnoty'!$B$13,$H152=AO$4),SUM($I152,$L152,$O152,$R152),"")</f>
        <v/>
      </c>
      <c r="AP152" s="458" t="str">
        <f>IF(AND($G152='Povolené hodnoty'!$B$13,$H152=AP$4),SUM($I152,$L152,$O152,$R152),"")</f>
        <v/>
      </c>
      <c r="AQ152" s="40" t="str">
        <f>IF(AND($G152='Povolené hodnoty'!$B$13,OR($H152=AQ$4,$H152='Povolené hodnoty'!$E$36)),SUM($I152,-$J152,$L152,-$M152,$O152,-$P152,$R152,-$S152),"")</f>
        <v/>
      </c>
      <c r="AR152" s="40" t="str">
        <f>IF(AND($G152='Povolené hodnoty'!$B$13,$H152=AR$4),SUM($I152,$L152,$O152,$R152),"")</f>
        <v/>
      </c>
      <c r="AS152" s="41" t="str">
        <f>IF(AND($G152='Povolené hodnoty'!$B$13,$H152=AS$4),SUM($I152,$L152,$O152,$R152),"")</f>
        <v/>
      </c>
      <c r="AT152" s="39" t="str">
        <f>IF(AND($G152='Povolené hodnoty'!$B$14,$H152=AT$4),SUM($I152,$L152,$O152,$R152),"")</f>
        <v/>
      </c>
      <c r="AU152" s="458" t="str">
        <f>IF(AND($G152='Povolené hodnoty'!$B$14,$H152=AU$4),SUM($I152,$L152,$O152,$R152),"")</f>
        <v/>
      </c>
      <c r="AV152" s="41" t="str">
        <f>IF(AND($G152='Povolené hodnoty'!$B$14,$H152=AV$4),SUM($I152,$L152,$O152,$R152),"")</f>
        <v/>
      </c>
      <c r="AW152" s="39" t="str">
        <f>IF(AND($G152='Povolené hodnoty'!$B$13,$H152=AW$4),SUM($J152,$M152,$P152,$S152),"")</f>
        <v/>
      </c>
      <c r="AX152" s="458" t="str">
        <f>IF(AND($G152='Povolené hodnoty'!$B$13,$H152=AX$4),SUM($J152,$M152,$P152,$S152),"")</f>
        <v/>
      </c>
      <c r="AY152" s="458" t="str">
        <f>IF(AND($G152='Povolené hodnoty'!$B$13,$H152=AY$4),SUM($J152,$M152,$P152,$S152),"")</f>
        <v/>
      </c>
      <c r="AZ152" s="458" t="str">
        <f>IF(AND($G152='Povolené hodnoty'!$B$13,$H152=AZ$4),SUM($J152,$M152,$P152,$S152),"")</f>
        <v/>
      </c>
      <c r="BA152" s="458" t="str">
        <f>IF(AND($G152='Povolené hodnoty'!$B$13,$H152=BA$4),SUM($J152,$M152,$P152,$S152),"")</f>
        <v/>
      </c>
      <c r="BB152" s="40" t="str">
        <f>IF(AND($G152='Povolené hodnoty'!$B$13,$H152=BB$4),SUM($J152,$M152,$P152,$S152),"")</f>
        <v/>
      </c>
      <c r="BC152" s="40" t="str">
        <f>IF(AND($G152='Povolené hodnoty'!$B$13,$H152=BC$4),SUM($J152,$M152,$P152,$S152),"")</f>
        <v/>
      </c>
      <c r="BD152" s="40" t="str">
        <f>IF(AND($G152='Povolené hodnoty'!$B$13,$H152=BD$4),SUM($J152,$M152,$P152,$S152),"")</f>
        <v/>
      </c>
      <c r="BE152" s="41" t="str">
        <f>IF(AND($G152='Povolené hodnoty'!$B$13,$H152=BE$4),SUM($J152,$M152,$P152,$S152),"")</f>
        <v/>
      </c>
      <c r="BF152" s="39" t="str">
        <f>IF(AND($G152='Povolené hodnoty'!$B$14,$H152=BF$4),SUM($J152,$M152,$P152,$S152),"")</f>
        <v/>
      </c>
      <c r="BG152" s="458" t="str">
        <f>IF(AND($G152='Povolené hodnoty'!$B$14,$H152=BG$4),SUM($J152,$M152,$P152,$S152),"")</f>
        <v/>
      </c>
      <c r="BH152" s="458" t="str">
        <f>IF(AND($G152='Povolené hodnoty'!$B$14,$H152=BH$4),SUM($J152,$M152,$P152,$S152),"")</f>
        <v/>
      </c>
      <c r="BI152" s="458" t="str">
        <f>IF(AND($G152='Povolené hodnoty'!$B$14,$H152=BI$4),SUM($J152,$M152,$P152,$S152),"")</f>
        <v/>
      </c>
      <c r="BJ152" s="458" t="str">
        <f>IF(AND($G152='Povolené hodnoty'!$B$14,$H152=BJ$4),SUM($J152,$M152,$P152,$S152),"")</f>
        <v/>
      </c>
      <c r="BK152" s="40" t="str">
        <f>IF(AND($G152='Povolené hodnoty'!$B$14,$H152=BK$4),SUM($J152,$M152,$P152,$S152),"")</f>
        <v/>
      </c>
      <c r="BL152" s="40" t="str">
        <f>IF(AND($G152='Povolené hodnoty'!$B$14,$H152=BL$4),SUM($J152,$M152,$P152,$S152),"")</f>
        <v/>
      </c>
      <c r="BM152" s="41" t="str">
        <f>IF(AND($G152='Povolené hodnoty'!$B$14,$H152=BM$4),SUM($J152,$M152,$P152,$S152),"")</f>
        <v/>
      </c>
      <c r="BO152" s="18" t="b">
        <f t="shared" si="106"/>
        <v>0</v>
      </c>
      <c r="BP152" s="18" t="b">
        <f t="shared" si="77"/>
        <v>0</v>
      </c>
      <c r="BQ152" s="18" t="b">
        <f>AND(E152&lt;&gt;'Povolené hodnoty'!$B$6,F152&lt;&gt;'Povolené hodnoty'!$D$7,F152&lt;&gt;'Povolené hodnoty'!$D$8,OR(SUM(I152,L152,O152,R152)&lt;&gt;SUM(W152:X152,AA152:AG152),SUM(J152,M152,P152,S152)&lt;&gt;SUM(Y152:Z152,AH152:AK152),COUNT(I152:J152,L152:M152,O152:P152,R152:S152)&lt;&gt;COUNT(W152:AK152)))</f>
        <v>0</v>
      </c>
      <c r="BR152" s="18" t="b">
        <f>OR(AND(E152='Povolené hodnoty'!$B$6,$BR$5),AND(E152='Povolené hodnoty'!$B$6,H152&lt;&gt;'Povolené hodnoty'!$E$26,H152&lt;&gt;'Povolené hodnoty'!$E$35),AND(E152&lt;&gt;'Povolené hodnoty'!$B$6,OR(H152='Povolené hodnoty'!$E$26,H152='Povolené hodnoty'!$E$35)))</f>
        <v>0</v>
      </c>
      <c r="BS152" s="18" t="b">
        <f>OR(AND(G152&lt;&gt;'Povolené hodnoty'!$B$13,OR(H152='Povolené hodnoty'!$E$21,H152='Povolené hodnoty'!$E$22,H152='Povolené hodnoty'!$E$23,H152='Povolené hodnoty'!$E$24,H152='Povolené hodnoty'!$E$26,H152='Povolené hodnoty'!$E$36)),COUNT(I152:J152,L152:M152,O152:P152,R152:S152)&lt;&gt;COUNT(AL152:BM152))</f>
        <v>0</v>
      </c>
      <c r="BT152" s="18" t="b">
        <f t="shared" si="78"/>
        <v>0</v>
      </c>
      <c r="BV152" s="39" t="str">
        <f t="shared" si="79"/>
        <v/>
      </c>
      <c r="BW152" s="458" t="str">
        <f t="shared" si="80"/>
        <v/>
      </c>
      <c r="BX152" s="458" t="str">
        <f t="shared" si="81"/>
        <v/>
      </c>
      <c r="BY152" s="458" t="str">
        <f t="shared" si="82"/>
        <v/>
      </c>
      <c r="BZ152" s="458" t="str">
        <f t="shared" si="83"/>
        <v/>
      </c>
      <c r="CA152" s="40" t="str">
        <f t="shared" si="84"/>
        <v/>
      </c>
      <c r="CB152" s="40" t="str">
        <f t="shared" si="85"/>
        <v/>
      </c>
      <c r="CC152" s="39" t="str">
        <f t="shared" si="86"/>
        <v/>
      </c>
      <c r="CD152" s="458" t="str">
        <f t="shared" si="87"/>
        <v/>
      </c>
      <c r="CE152" s="41" t="str">
        <f t="shared" si="88"/>
        <v/>
      </c>
      <c r="CF152" s="39" t="str">
        <f t="shared" si="89"/>
        <v/>
      </c>
      <c r="CG152" s="458" t="str">
        <f t="shared" si="90"/>
        <v/>
      </c>
      <c r="CH152" s="458" t="str">
        <f t="shared" si="91"/>
        <v/>
      </c>
      <c r="CI152" s="458" t="str">
        <f t="shared" si="92"/>
        <v/>
      </c>
      <c r="CJ152" s="458" t="str">
        <f t="shared" si="93"/>
        <v/>
      </c>
      <c r="CK152" s="40" t="str">
        <f t="shared" si="94"/>
        <v/>
      </c>
      <c r="CL152" s="40" t="str">
        <f t="shared" si="95"/>
        <v/>
      </c>
      <c r="CM152" s="40" t="str">
        <f t="shared" si="96"/>
        <v/>
      </c>
      <c r="CN152" s="39" t="str">
        <f t="shared" si="97"/>
        <v/>
      </c>
      <c r="CO152" s="458" t="str">
        <f t="shared" si="98"/>
        <v/>
      </c>
      <c r="CP152" s="458" t="str">
        <f t="shared" si="99"/>
        <v/>
      </c>
      <c r="CQ152" s="458" t="str">
        <f t="shared" si="100"/>
        <v/>
      </c>
      <c r="CR152" s="458" t="str">
        <f t="shared" si="101"/>
        <v/>
      </c>
      <c r="CS152" s="40" t="str">
        <f t="shared" si="102"/>
        <v/>
      </c>
      <c r="CT152" s="40" t="str">
        <f t="shared" si="103"/>
        <v/>
      </c>
      <c r="CU152" s="41" t="str">
        <f t="shared" si="104"/>
        <v/>
      </c>
    </row>
    <row r="153" spans="1:99" x14ac:dyDescent="0.2">
      <c r="A153" s="77">
        <f t="shared" si="105"/>
        <v>148</v>
      </c>
      <c r="B153" s="81"/>
      <c r="C153" s="82"/>
      <c r="D153" s="71"/>
      <c r="E153" s="72"/>
      <c r="F153" s="73"/>
      <c r="G153" s="443"/>
      <c r="H153" s="443"/>
      <c r="I153" s="74"/>
      <c r="J153" s="75"/>
      <c r="K153" s="41">
        <f t="shared" si="74"/>
        <v>3625</v>
      </c>
      <c r="L153" s="104"/>
      <c r="M153" s="105"/>
      <c r="N153" s="106">
        <f t="shared" si="75"/>
        <v>537.05999999999995</v>
      </c>
      <c r="O153" s="104"/>
      <c r="P153" s="105"/>
      <c r="Q153" s="106">
        <f t="shared" si="107"/>
        <v>10045.83</v>
      </c>
      <c r="R153" s="104"/>
      <c r="S153" s="105"/>
      <c r="T153" s="106">
        <f t="shared" si="108"/>
        <v>0</v>
      </c>
      <c r="U153" s="439"/>
      <c r="V153" s="42">
        <f t="shared" si="76"/>
        <v>148</v>
      </c>
      <c r="W153" s="39" t="str">
        <f>IF(AND(E153='Povolené hodnoty'!$B$4,F153=2),I153+L153+O153+R153,"")</f>
        <v/>
      </c>
      <c r="X153" s="41" t="str">
        <f>IF(AND(E153='Povolené hodnoty'!$B$4,F153=1),I153+L153+O153+R153,"")</f>
        <v/>
      </c>
      <c r="Y153" s="39" t="str">
        <f>IF(AND(E153='Povolené hodnoty'!$B$4,F153=10),J153+M153+P153+S153,"")</f>
        <v/>
      </c>
      <c r="Z153" s="41" t="str">
        <f>IF(AND(E153='Povolené hodnoty'!$B$4,F153=9),J153+M153+P153+S153,"")</f>
        <v/>
      </c>
      <c r="AA153" s="39" t="str">
        <f>IF(AND(E153&lt;&gt;'Povolené hodnoty'!$B$4,F153=2),I153+L153+O153+R153,"")</f>
        <v/>
      </c>
      <c r="AB153" s="40" t="str">
        <f>IF(AND(E153&lt;&gt;'Povolené hodnoty'!$B$4,F153=3),I153+L153+O153+R153,"")</f>
        <v/>
      </c>
      <c r="AC153" s="40" t="str">
        <f>IF(AND(E153&lt;&gt;'Povolené hodnoty'!$B$4,F153=4),I153+L153+O153+R153,"")</f>
        <v/>
      </c>
      <c r="AD153" s="40" t="str">
        <f>IF(AND(E153&lt;&gt;'Povolené hodnoty'!$B$4,F153="5a"),I153-J153+L153-M153+O153-P153+R153-S153,"")</f>
        <v/>
      </c>
      <c r="AE153" s="40" t="str">
        <f>IF(AND(E153&lt;&gt;'Povolené hodnoty'!$B$4,F153="5b"),I153-J153+L153-M153+O153-P153+R153-S153,"")</f>
        <v/>
      </c>
      <c r="AF153" s="40" t="str">
        <f>IF(AND(E153&lt;&gt;'Povolené hodnoty'!$B$4,F153=6),I153+L153+O153+R153,"")</f>
        <v/>
      </c>
      <c r="AG153" s="41" t="str">
        <f>IF(AND(E153&lt;&gt;'Povolené hodnoty'!$B$4,F153=7),I153+L153+O153+R153,"")</f>
        <v/>
      </c>
      <c r="AH153" s="39" t="str">
        <f>IF(AND(E153&lt;&gt;'Povolené hodnoty'!$B$4,F153=10),J153+M153+P153+S153,"")</f>
        <v/>
      </c>
      <c r="AI153" s="40" t="str">
        <f>IF(AND(E153&lt;&gt;'Povolené hodnoty'!$B$4,F153=11),J153+M153+P153+S153,"")</f>
        <v/>
      </c>
      <c r="AJ153" s="40" t="str">
        <f>IF(AND(E153&lt;&gt;'Povolené hodnoty'!$B$4,F153=12),J153+M153+P153+S153,"")</f>
        <v/>
      </c>
      <c r="AK153" s="41" t="str">
        <f>IF(AND(E153&lt;&gt;'Povolené hodnoty'!$B$4,F153=13),J153+M153+P153+S153,"")</f>
        <v/>
      </c>
      <c r="AL153" s="39" t="str">
        <f>IF(AND($G153='Povolené hodnoty'!$B$13,$H153=AL$4),SUM($I153,$L153,$O153,$R153),"")</f>
        <v/>
      </c>
      <c r="AM153" s="458" t="str">
        <f>IF(AND($G153='Povolené hodnoty'!$B$13,$H153=AM$4),SUM($I153,$L153,$O153,$R153),"")</f>
        <v/>
      </c>
      <c r="AN153" s="458" t="str">
        <f>IF(AND($G153='Povolené hodnoty'!$B$13,$H153=AN$4),SUM($I153,$L153,$O153,$R153),"")</f>
        <v/>
      </c>
      <c r="AO153" s="458" t="str">
        <f>IF(AND($G153='Povolené hodnoty'!$B$13,$H153=AO$4),SUM($I153,$L153,$O153,$R153),"")</f>
        <v/>
      </c>
      <c r="AP153" s="458" t="str">
        <f>IF(AND($G153='Povolené hodnoty'!$B$13,$H153=AP$4),SUM($I153,$L153,$O153,$R153),"")</f>
        <v/>
      </c>
      <c r="AQ153" s="40" t="str">
        <f>IF(AND($G153='Povolené hodnoty'!$B$13,OR($H153=AQ$4,$H153='Povolené hodnoty'!$E$36)),SUM($I153,-$J153,$L153,-$M153,$O153,-$P153,$R153,-$S153),"")</f>
        <v/>
      </c>
      <c r="AR153" s="40" t="str">
        <f>IF(AND($G153='Povolené hodnoty'!$B$13,$H153=AR$4),SUM($I153,$L153,$O153,$R153),"")</f>
        <v/>
      </c>
      <c r="AS153" s="41" t="str">
        <f>IF(AND($G153='Povolené hodnoty'!$B$13,$H153=AS$4),SUM($I153,$L153,$O153,$R153),"")</f>
        <v/>
      </c>
      <c r="AT153" s="39" t="str">
        <f>IF(AND($G153='Povolené hodnoty'!$B$14,$H153=AT$4),SUM($I153,$L153,$O153,$R153),"")</f>
        <v/>
      </c>
      <c r="AU153" s="458" t="str">
        <f>IF(AND($G153='Povolené hodnoty'!$B$14,$H153=AU$4),SUM($I153,$L153,$O153,$R153),"")</f>
        <v/>
      </c>
      <c r="AV153" s="41" t="str">
        <f>IF(AND($G153='Povolené hodnoty'!$B$14,$H153=AV$4),SUM($I153,$L153,$O153,$R153),"")</f>
        <v/>
      </c>
      <c r="AW153" s="39" t="str">
        <f>IF(AND($G153='Povolené hodnoty'!$B$13,$H153=AW$4),SUM($J153,$M153,$P153,$S153),"")</f>
        <v/>
      </c>
      <c r="AX153" s="458" t="str">
        <f>IF(AND($G153='Povolené hodnoty'!$B$13,$H153=AX$4),SUM($J153,$M153,$P153,$S153),"")</f>
        <v/>
      </c>
      <c r="AY153" s="458" t="str">
        <f>IF(AND($G153='Povolené hodnoty'!$B$13,$H153=AY$4),SUM($J153,$M153,$P153,$S153),"")</f>
        <v/>
      </c>
      <c r="AZ153" s="458" t="str">
        <f>IF(AND($G153='Povolené hodnoty'!$B$13,$H153=AZ$4),SUM($J153,$M153,$P153,$S153),"")</f>
        <v/>
      </c>
      <c r="BA153" s="458" t="str">
        <f>IF(AND($G153='Povolené hodnoty'!$B$13,$H153=BA$4),SUM($J153,$M153,$P153,$S153),"")</f>
        <v/>
      </c>
      <c r="BB153" s="40" t="str">
        <f>IF(AND($G153='Povolené hodnoty'!$B$13,$H153=BB$4),SUM($J153,$M153,$P153,$S153),"")</f>
        <v/>
      </c>
      <c r="BC153" s="40" t="str">
        <f>IF(AND($G153='Povolené hodnoty'!$B$13,$H153=BC$4),SUM($J153,$M153,$P153,$S153),"")</f>
        <v/>
      </c>
      <c r="BD153" s="40" t="str">
        <f>IF(AND($G153='Povolené hodnoty'!$B$13,$H153=BD$4),SUM($J153,$M153,$P153,$S153),"")</f>
        <v/>
      </c>
      <c r="BE153" s="41" t="str">
        <f>IF(AND($G153='Povolené hodnoty'!$B$13,$H153=BE$4),SUM($J153,$M153,$P153,$S153),"")</f>
        <v/>
      </c>
      <c r="BF153" s="39" t="str">
        <f>IF(AND($G153='Povolené hodnoty'!$B$14,$H153=BF$4),SUM($J153,$M153,$P153,$S153),"")</f>
        <v/>
      </c>
      <c r="BG153" s="458" t="str">
        <f>IF(AND($G153='Povolené hodnoty'!$B$14,$H153=BG$4),SUM($J153,$M153,$P153,$S153),"")</f>
        <v/>
      </c>
      <c r="BH153" s="458" t="str">
        <f>IF(AND($G153='Povolené hodnoty'!$B$14,$H153=BH$4),SUM($J153,$M153,$P153,$S153),"")</f>
        <v/>
      </c>
      <c r="BI153" s="458" t="str">
        <f>IF(AND($G153='Povolené hodnoty'!$B$14,$H153=BI$4),SUM($J153,$M153,$P153,$S153),"")</f>
        <v/>
      </c>
      <c r="BJ153" s="458" t="str">
        <f>IF(AND($G153='Povolené hodnoty'!$B$14,$H153=BJ$4),SUM($J153,$M153,$P153,$S153),"")</f>
        <v/>
      </c>
      <c r="BK153" s="40" t="str">
        <f>IF(AND($G153='Povolené hodnoty'!$B$14,$H153=BK$4),SUM($J153,$M153,$P153,$S153),"")</f>
        <v/>
      </c>
      <c r="BL153" s="40" t="str">
        <f>IF(AND($G153='Povolené hodnoty'!$B$14,$H153=BL$4),SUM($J153,$M153,$P153,$S153),"")</f>
        <v/>
      </c>
      <c r="BM153" s="41" t="str">
        <f>IF(AND($G153='Povolené hodnoty'!$B$14,$H153=BM$4),SUM($J153,$M153,$P153,$S153),"")</f>
        <v/>
      </c>
      <c r="BO153" s="18" t="b">
        <f t="shared" si="106"/>
        <v>0</v>
      </c>
      <c r="BP153" s="18" t="b">
        <f t="shared" si="77"/>
        <v>0</v>
      </c>
      <c r="BQ153" s="18" t="b">
        <f>AND(E153&lt;&gt;'Povolené hodnoty'!$B$6,F153&lt;&gt;'Povolené hodnoty'!$D$7,F153&lt;&gt;'Povolené hodnoty'!$D$8,OR(SUM(I153,L153,O153,R153)&lt;&gt;SUM(W153:X153,AA153:AG153),SUM(J153,M153,P153,S153)&lt;&gt;SUM(Y153:Z153,AH153:AK153),COUNT(I153:J153,L153:M153,O153:P153,R153:S153)&lt;&gt;COUNT(W153:AK153)))</f>
        <v>0</v>
      </c>
      <c r="BR153" s="18" t="b">
        <f>OR(AND(E153='Povolené hodnoty'!$B$6,$BR$5),AND(E153='Povolené hodnoty'!$B$6,H153&lt;&gt;'Povolené hodnoty'!$E$26,H153&lt;&gt;'Povolené hodnoty'!$E$35),AND(E153&lt;&gt;'Povolené hodnoty'!$B$6,OR(H153='Povolené hodnoty'!$E$26,H153='Povolené hodnoty'!$E$35)))</f>
        <v>0</v>
      </c>
      <c r="BS153" s="18" t="b">
        <f>OR(AND(G153&lt;&gt;'Povolené hodnoty'!$B$13,OR(H153='Povolené hodnoty'!$E$21,H153='Povolené hodnoty'!$E$22,H153='Povolené hodnoty'!$E$23,H153='Povolené hodnoty'!$E$24,H153='Povolené hodnoty'!$E$26,H153='Povolené hodnoty'!$E$36)),COUNT(I153:J153,L153:M153,O153:P153,R153:S153)&lt;&gt;COUNT(AL153:BM153))</f>
        <v>0</v>
      </c>
      <c r="BT153" s="18" t="b">
        <f t="shared" si="78"/>
        <v>0</v>
      </c>
      <c r="BV153" s="39" t="str">
        <f t="shared" si="79"/>
        <v/>
      </c>
      <c r="BW153" s="458" t="str">
        <f t="shared" si="80"/>
        <v/>
      </c>
      <c r="BX153" s="458" t="str">
        <f t="shared" si="81"/>
        <v/>
      </c>
      <c r="BY153" s="458" t="str">
        <f t="shared" si="82"/>
        <v/>
      </c>
      <c r="BZ153" s="458" t="str">
        <f t="shared" si="83"/>
        <v/>
      </c>
      <c r="CA153" s="40" t="str">
        <f t="shared" si="84"/>
        <v/>
      </c>
      <c r="CB153" s="40" t="str">
        <f t="shared" si="85"/>
        <v/>
      </c>
      <c r="CC153" s="39" t="str">
        <f t="shared" si="86"/>
        <v/>
      </c>
      <c r="CD153" s="458" t="str">
        <f t="shared" si="87"/>
        <v/>
      </c>
      <c r="CE153" s="41" t="str">
        <f t="shared" si="88"/>
        <v/>
      </c>
      <c r="CF153" s="39" t="str">
        <f t="shared" si="89"/>
        <v/>
      </c>
      <c r="CG153" s="458" t="str">
        <f t="shared" si="90"/>
        <v/>
      </c>
      <c r="CH153" s="458" t="str">
        <f t="shared" si="91"/>
        <v/>
      </c>
      <c r="CI153" s="458" t="str">
        <f t="shared" si="92"/>
        <v/>
      </c>
      <c r="CJ153" s="458" t="str">
        <f t="shared" si="93"/>
        <v/>
      </c>
      <c r="CK153" s="40" t="str">
        <f t="shared" si="94"/>
        <v/>
      </c>
      <c r="CL153" s="40" t="str">
        <f t="shared" si="95"/>
        <v/>
      </c>
      <c r="CM153" s="40" t="str">
        <f t="shared" si="96"/>
        <v/>
      </c>
      <c r="CN153" s="39" t="str">
        <f t="shared" si="97"/>
        <v/>
      </c>
      <c r="CO153" s="458" t="str">
        <f t="shared" si="98"/>
        <v/>
      </c>
      <c r="CP153" s="458" t="str">
        <f t="shared" si="99"/>
        <v/>
      </c>
      <c r="CQ153" s="458" t="str">
        <f t="shared" si="100"/>
        <v/>
      </c>
      <c r="CR153" s="458" t="str">
        <f t="shared" si="101"/>
        <v/>
      </c>
      <c r="CS153" s="40" t="str">
        <f t="shared" si="102"/>
        <v/>
      </c>
      <c r="CT153" s="40" t="str">
        <f t="shared" si="103"/>
        <v/>
      </c>
      <c r="CU153" s="41" t="str">
        <f t="shared" si="104"/>
        <v/>
      </c>
    </row>
    <row r="154" spans="1:99" x14ac:dyDescent="0.2">
      <c r="A154" s="77">
        <f t="shared" si="105"/>
        <v>149</v>
      </c>
      <c r="B154" s="81"/>
      <c r="C154" s="82"/>
      <c r="D154" s="71"/>
      <c r="E154" s="72"/>
      <c r="F154" s="73"/>
      <c r="G154" s="443"/>
      <c r="H154" s="443"/>
      <c r="I154" s="74"/>
      <c r="J154" s="75"/>
      <c r="K154" s="41">
        <f t="shared" si="74"/>
        <v>3625</v>
      </c>
      <c r="L154" s="104"/>
      <c r="M154" s="105"/>
      <c r="N154" s="106">
        <f t="shared" si="75"/>
        <v>537.05999999999995</v>
      </c>
      <c r="O154" s="104"/>
      <c r="P154" s="105"/>
      <c r="Q154" s="106">
        <f t="shared" si="107"/>
        <v>10045.83</v>
      </c>
      <c r="R154" s="104"/>
      <c r="S154" s="105"/>
      <c r="T154" s="106">
        <f t="shared" si="108"/>
        <v>0</v>
      </c>
      <c r="U154" s="439"/>
      <c r="V154" s="42">
        <f t="shared" si="76"/>
        <v>149</v>
      </c>
      <c r="W154" s="39" t="str">
        <f>IF(AND(E154='Povolené hodnoty'!$B$4,F154=2),I154+L154+O154+R154,"")</f>
        <v/>
      </c>
      <c r="X154" s="41" t="str">
        <f>IF(AND(E154='Povolené hodnoty'!$B$4,F154=1),I154+L154+O154+R154,"")</f>
        <v/>
      </c>
      <c r="Y154" s="39" t="str">
        <f>IF(AND(E154='Povolené hodnoty'!$B$4,F154=10),J154+M154+P154+S154,"")</f>
        <v/>
      </c>
      <c r="Z154" s="41" t="str">
        <f>IF(AND(E154='Povolené hodnoty'!$B$4,F154=9),J154+M154+P154+S154,"")</f>
        <v/>
      </c>
      <c r="AA154" s="39" t="str">
        <f>IF(AND(E154&lt;&gt;'Povolené hodnoty'!$B$4,F154=2),I154+L154+O154+R154,"")</f>
        <v/>
      </c>
      <c r="AB154" s="40" t="str">
        <f>IF(AND(E154&lt;&gt;'Povolené hodnoty'!$B$4,F154=3),I154+L154+O154+R154,"")</f>
        <v/>
      </c>
      <c r="AC154" s="40" t="str">
        <f>IF(AND(E154&lt;&gt;'Povolené hodnoty'!$B$4,F154=4),I154+L154+O154+R154,"")</f>
        <v/>
      </c>
      <c r="AD154" s="40" t="str">
        <f>IF(AND(E154&lt;&gt;'Povolené hodnoty'!$B$4,F154="5a"),I154-J154+L154-M154+O154-P154+R154-S154,"")</f>
        <v/>
      </c>
      <c r="AE154" s="40" t="str">
        <f>IF(AND(E154&lt;&gt;'Povolené hodnoty'!$B$4,F154="5b"),I154-J154+L154-M154+O154-P154+R154-S154,"")</f>
        <v/>
      </c>
      <c r="AF154" s="40" t="str">
        <f>IF(AND(E154&lt;&gt;'Povolené hodnoty'!$B$4,F154=6),I154+L154+O154+R154,"")</f>
        <v/>
      </c>
      <c r="AG154" s="41" t="str">
        <f>IF(AND(E154&lt;&gt;'Povolené hodnoty'!$B$4,F154=7),I154+L154+O154+R154,"")</f>
        <v/>
      </c>
      <c r="AH154" s="39" t="str">
        <f>IF(AND(E154&lt;&gt;'Povolené hodnoty'!$B$4,F154=10),J154+M154+P154+S154,"")</f>
        <v/>
      </c>
      <c r="AI154" s="40" t="str">
        <f>IF(AND(E154&lt;&gt;'Povolené hodnoty'!$B$4,F154=11),J154+M154+P154+S154,"")</f>
        <v/>
      </c>
      <c r="AJ154" s="40" t="str">
        <f>IF(AND(E154&lt;&gt;'Povolené hodnoty'!$B$4,F154=12),J154+M154+P154+S154,"")</f>
        <v/>
      </c>
      <c r="AK154" s="41" t="str">
        <f>IF(AND(E154&lt;&gt;'Povolené hodnoty'!$B$4,F154=13),J154+M154+P154+S154,"")</f>
        <v/>
      </c>
      <c r="AL154" s="39" t="str">
        <f>IF(AND($G154='Povolené hodnoty'!$B$13,$H154=AL$4),SUM($I154,$L154,$O154,$R154),"")</f>
        <v/>
      </c>
      <c r="AM154" s="458" t="str">
        <f>IF(AND($G154='Povolené hodnoty'!$B$13,$H154=AM$4),SUM($I154,$L154,$O154,$R154),"")</f>
        <v/>
      </c>
      <c r="AN154" s="458" t="str">
        <f>IF(AND($G154='Povolené hodnoty'!$B$13,$H154=AN$4),SUM($I154,$L154,$O154,$R154),"")</f>
        <v/>
      </c>
      <c r="AO154" s="458" t="str">
        <f>IF(AND($G154='Povolené hodnoty'!$B$13,$H154=AO$4),SUM($I154,$L154,$O154,$R154),"")</f>
        <v/>
      </c>
      <c r="AP154" s="458" t="str">
        <f>IF(AND($G154='Povolené hodnoty'!$B$13,$H154=AP$4),SUM($I154,$L154,$O154,$R154),"")</f>
        <v/>
      </c>
      <c r="AQ154" s="40" t="str">
        <f>IF(AND($G154='Povolené hodnoty'!$B$13,OR($H154=AQ$4,$H154='Povolené hodnoty'!$E$36)),SUM($I154,-$J154,$L154,-$M154,$O154,-$P154,$R154,-$S154),"")</f>
        <v/>
      </c>
      <c r="AR154" s="40" t="str">
        <f>IF(AND($G154='Povolené hodnoty'!$B$13,$H154=AR$4),SUM($I154,$L154,$O154,$R154),"")</f>
        <v/>
      </c>
      <c r="AS154" s="41" t="str">
        <f>IF(AND($G154='Povolené hodnoty'!$B$13,$H154=AS$4),SUM($I154,$L154,$O154,$R154),"")</f>
        <v/>
      </c>
      <c r="AT154" s="39" t="str">
        <f>IF(AND($G154='Povolené hodnoty'!$B$14,$H154=AT$4),SUM($I154,$L154,$O154,$R154),"")</f>
        <v/>
      </c>
      <c r="AU154" s="458" t="str">
        <f>IF(AND($G154='Povolené hodnoty'!$B$14,$H154=AU$4),SUM($I154,$L154,$O154,$R154),"")</f>
        <v/>
      </c>
      <c r="AV154" s="41" t="str">
        <f>IF(AND($G154='Povolené hodnoty'!$B$14,$H154=AV$4),SUM($I154,$L154,$O154,$R154),"")</f>
        <v/>
      </c>
      <c r="AW154" s="39" t="str">
        <f>IF(AND($G154='Povolené hodnoty'!$B$13,$H154=AW$4),SUM($J154,$M154,$P154,$S154),"")</f>
        <v/>
      </c>
      <c r="AX154" s="458" t="str">
        <f>IF(AND($G154='Povolené hodnoty'!$B$13,$H154=AX$4),SUM($J154,$M154,$P154,$S154),"")</f>
        <v/>
      </c>
      <c r="AY154" s="458" t="str">
        <f>IF(AND($G154='Povolené hodnoty'!$B$13,$H154=AY$4),SUM($J154,$M154,$P154,$S154),"")</f>
        <v/>
      </c>
      <c r="AZ154" s="458" t="str">
        <f>IF(AND($G154='Povolené hodnoty'!$B$13,$H154=AZ$4),SUM($J154,$M154,$P154,$S154),"")</f>
        <v/>
      </c>
      <c r="BA154" s="458" t="str">
        <f>IF(AND($G154='Povolené hodnoty'!$B$13,$H154=BA$4),SUM($J154,$M154,$P154,$S154),"")</f>
        <v/>
      </c>
      <c r="BB154" s="40" t="str">
        <f>IF(AND($G154='Povolené hodnoty'!$B$13,$H154=BB$4),SUM($J154,$M154,$P154,$S154),"")</f>
        <v/>
      </c>
      <c r="BC154" s="40" t="str">
        <f>IF(AND($G154='Povolené hodnoty'!$B$13,$H154=BC$4),SUM($J154,$M154,$P154,$S154),"")</f>
        <v/>
      </c>
      <c r="BD154" s="40" t="str">
        <f>IF(AND($G154='Povolené hodnoty'!$B$13,$H154=BD$4),SUM($J154,$M154,$P154,$S154),"")</f>
        <v/>
      </c>
      <c r="BE154" s="41" t="str">
        <f>IF(AND($G154='Povolené hodnoty'!$B$13,$H154=BE$4),SUM($J154,$M154,$P154,$S154),"")</f>
        <v/>
      </c>
      <c r="BF154" s="39" t="str">
        <f>IF(AND($G154='Povolené hodnoty'!$B$14,$H154=BF$4),SUM($J154,$M154,$P154,$S154),"")</f>
        <v/>
      </c>
      <c r="BG154" s="458" t="str">
        <f>IF(AND($G154='Povolené hodnoty'!$B$14,$H154=BG$4),SUM($J154,$M154,$P154,$S154),"")</f>
        <v/>
      </c>
      <c r="BH154" s="458" t="str">
        <f>IF(AND($G154='Povolené hodnoty'!$B$14,$H154=BH$4),SUM($J154,$M154,$P154,$S154),"")</f>
        <v/>
      </c>
      <c r="BI154" s="458" t="str">
        <f>IF(AND($G154='Povolené hodnoty'!$B$14,$H154=BI$4),SUM($J154,$M154,$P154,$S154),"")</f>
        <v/>
      </c>
      <c r="BJ154" s="458" t="str">
        <f>IF(AND($G154='Povolené hodnoty'!$B$14,$H154=BJ$4),SUM($J154,$M154,$P154,$S154),"")</f>
        <v/>
      </c>
      <c r="BK154" s="40" t="str">
        <f>IF(AND($G154='Povolené hodnoty'!$B$14,$H154=BK$4),SUM($J154,$M154,$P154,$S154),"")</f>
        <v/>
      </c>
      <c r="BL154" s="40" t="str">
        <f>IF(AND($G154='Povolené hodnoty'!$B$14,$H154=BL$4),SUM($J154,$M154,$P154,$S154),"")</f>
        <v/>
      </c>
      <c r="BM154" s="41" t="str">
        <f>IF(AND($G154='Povolené hodnoty'!$B$14,$H154=BM$4),SUM($J154,$M154,$P154,$S154),"")</f>
        <v/>
      </c>
      <c r="BO154" s="18" t="b">
        <f t="shared" si="106"/>
        <v>0</v>
      </c>
      <c r="BP154" s="18" t="b">
        <f t="shared" si="77"/>
        <v>0</v>
      </c>
      <c r="BQ154" s="18" t="b">
        <f>AND(E154&lt;&gt;'Povolené hodnoty'!$B$6,F154&lt;&gt;'Povolené hodnoty'!$D$7,F154&lt;&gt;'Povolené hodnoty'!$D$8,OR(SUM(I154,L154,O154,R154)&lt;&gt;SUM(W154:X154,AA154:AG154),SUM(J154,M154,P154,S154)&lt;&gt;SUM(Y154:Z154,AH154:AK154),COUNT(I154:J154,L154:M154,O154:P154,R154:S154)&lt;&gt;COUNT(W154:AK154)))</f>
        <v>0</v>
      </c>
      <c r="BR154" s="18" t="b">
        <f>OR(AND(E154='Povolené hodnoty'!$B$6,$BR$5),AND(E154='Povolené hodnoty'!$B$6,H154&lt;&gt;'Povolené hodnoty'!$E$26,H154&lt;&gt;'Povolené hodnoty'!$E$35),AND(E154&lt;&gt;'Povolené hodnoty'!$B$6,OR(H154='Povolené hodnoty'!$E$26,H154='Povolené hodnoty'!$E$35)))</f>
        <v>0</v>
      </c>
      <c r="BS154" s="18" t="b">
        <f>OR(AND(G154&lt;&gt;'Povolené hodnoty'!$B$13,OR(H154='Povolené hodnoty'!$E$21,H154='Povolené hodnoty'!$E$22,H154='Povolené hodnoty'!$E$23,H154='Povolené hodnoty'!$E$24,H154='Povolené hodnoty'!$E$26,H154='Povolené hodnoty'!$E$36)),COUNT(I154:J154,L154:M154,O154:P154,R154:S154)&lt;&gt;COUNT(AL154:BM154))</f>
        <v>0</v>
      </c>
      <c r="BT154" s="18" t="b">
        <f t="shared" si="78"/>
        <v>0</v>
      </c>
      <c r="BV154" s="39" t="str">
        <f t="shared" si="79"/>
        <v/>
      </c>
      <c r="BW154" s="458" t="str">
        <f t="shared" si="80"/>
        <v/>
      </c>
      <c r="BX154" s="458" t="str">
        <f t="shared" si="81"/>
        <v/>
      </c>
      <c r="BY154" s="458" t="str">
        <f t="shared" si="82"/>
        <v/>
      </c>
      <c r="BZ154" s="458" t="str">
        <f t="shared" si="83"/>
        <v/>
      </c>
      <c r="CA154" s="40" t="str">
        <f t="shared" si="84"/>
        <v/>
      </c>
      <c r="CB154" s="40" t="str">
        <f t="shared" si="85"/>
        <v/>
      </c>
      <c r="CC154" s="39" t="str">
        <f t="shared" si="86"/>
        <v/>
      </c>
      <c r="CD154" s="458" t="str">
        <f t="shared" si="87"/>
        <v/>
      </c>
      <c r="CE154" s="41" t="str">
        <f t="shared" si="88"/>
        <v/>
      </c>
      <c r="CF154" s="39" t="str">
        <f t="shared" si="89"/>
        <v/>
      </c>
      <c r="CG154" s="458" t="str">
        <f t="shared" si="90"/>
        <v/>
      </c>
      <c r="CH154" s="458" t="str">
        <f t="shared" si="91"/>
        <v/>
      </c>
      <c r="CI154" s="458" t="str">
        <f t="shared" si="92"/>
        <v/>
      </c>
      <c r="CJ154" s="458" t="str">
        <f t="shared" si="93"/>
        <v/>
      </c>
      <c r="CK154" s="40" t="str">
        <f t="shared" si="94"/>
        <v/>
      </c>
      <c r="CL154" s="40" t="str">
        <f t="shared" si="95"/>
        <v/>
      </c>
      <c r="CM154" s="40" t="str">
        <f t="shared" si="96"/>
        <v/>
      </c>
      <c r="CN154" s="39" t="str">
        <f t="shared" si="97"/>
        <v/>
      </c>
      <c r="CO154" s="458" t="str">
        <f t="shared" si="98"/>
        <v/>
      </c>
      <c r="CP154" s="458" t="str">
        <f t="shared" si="99"/>
        <v/>
      </c>
      <c r="CQ154" s="458" t="str">
        <f t="shared" si="100"/>
        <v/>
      </c>
      <c r="CR154" s="458" t="str">
        <f t="shared" si="101"/>
        <v/>
      </c>
      <c r="CS154" s="40" t="str">
        <f t="shared" si="102"/>
        <v/>
      </c>
      <c r="CT154" s="40" t="str">
        <f t="shared" si="103"/>
        <v/>
      </c>
      <c r="CU154" s="41" t="str">
        <f t="shared" si="104"/>
        <v/>
      </c>
    </row>
    <row r="155" spans="1:99" x14ac:dyDescent="0.2">
      <c r="A155" s="77">
        <f t="shared" si="105"/>
        <v>150</v>
      </c>
      <c r="B155" s="81"/>
      <c r="C155" s="82"/>
      <c r="D155" s="71"/>
      <c r="E155" s="72"/>
      <c r="F155" s="73"/>
      <c r="G155" s="443"/>
      <c r="H155" s="443"/>
      <c r="I155" s="74"/>
      <c r="J155" s="75"/>
      <c r="K155" s="41">
        <f t="shared" si="74"/>
        <v>3625</v>
      </c>
      <c r="L155" s="104"/>
      <c r="M155" s="105"/>
      <c r="N155" s="106">
        <f t="shared" si="75"/>
        <v>537.05999999999995</v>
      </c>
      <c r="O155" s="104"/>
      <c r="P155" s="105"/>
      <c r="Q155" s="106">
        <f t="shared" si="107"/>
        <v>10045.83</v>
      </c>
      <c r="R155" s="104"/>
      <c r="S155" s="105"/>
      <c r="T155" s="106">
        <f t="shared" si="108"/>
        <v>0</v>
      </c>
      <c r="U155" s="439"/>
      <c r="V155" s="42">
        <f t="shared" si="76"/>
        <v>150</v>
      </c>
      <c r="W155" s="39" t="str">
        <f>IF(AND(E155='Povolené hodnoty'!$B$4,F155=2),I155+L155+O155+R155,"")</f>
        <v/>
      </c>
      <c r="X155" s="41" t="str">
        <f>IF(AND(E155='Povolené hodnoty'!$B$4,F155=1),I155+L155+O155+R155,"")</f>
        <v/>
      </c>
      <c r="Y155" s="39" t="str">
        <f>IF(AND(E155='Povolené hodnoty'!$B$4,F155=10),J155+M155+P155+S155,"")</f>
        <v/>
      </c>
      <c r="Z155" s="41" t="str">
        <f>IF(AND(E155='Povolené hodnoty'!$B$4,F155=9),J155+M155+P155+S155,"")</f>
        <v/>
      </c>
      <c r="AA155" s="39" t="str">
        <f>IF(AND(E155&lt;&gt;'Povolené hodnoty'!$B$4,F155=2),I155+L155+O155+R155,"")</f>
        <v/>
      </c>
      <c r="AB155" s="40" t="str">
        <f>IF(AND(E155&lt;&gt;'Povolené hodnoty'!$B$4,F155=3),I155+L155+O155+R155,"")</f>
        <v/>
      </c>
      <c r="AC155" s="40" t="str">
        <f>IF(AND(E155&lt;&gt;'Povolené hodnoty'!$B$4,F155=4),I155+L155+O155+R155,"")</f>
        <v/>
      </c>
      <c r="AD155" s="40" t="str">
        <f>IF(AND(E155&lt;&gt;'Povolené hodnoty'!$B$4,F155="5a"),I155-J155+L155-M155+O155-P155+R155-S155,"")</f>
        <v/>
      </c>
      <c r="AE155" s="40" t="str">
        <f>IF(AND(E155&lt;&gt;'Povolené hodnoty'!$B$4,F155="5b"),I155-J155+L155-M155+O155-P155+R155-S155,"")</f>
        <v/>
      </c>
      <c r="AF155" s="40" t="str">
        <f>IF(AND(E155&lt;&gt;'Povolené hodnoty'!$B$4,F155=6),I155+L155+O155+R155,"")</f>
        <v/>
      </c>
      <c r="AG155" s="41" t="str">
        <f>IF(AND(E155&lt;&gt;'Povolené hodnoty'!$B$4,F155=7),I155+L155+O155+R155,"")</f>
        <v/>
      </c>
      <c r="AH155" s="39" t="str">
        <f>IF(AND(E155&lt;&gt;'Povolené hodnoty'!$B$4,F155=10),J155+M155+P155+S155,"")</f>
        <v/>
      </c>
      <c r="AI155" s="40" t="str">
        <f>IF(AND(E155&lt;&gt;'Povolené hodnoty'!$B$4,F155=11),J155+M155+P155+S155,"")</f>
        <v/>
      </c>
      <c r="AJ155" s="40" t="str">
        <f>IF(AND(E155&lt;&gt;'Povolené hodnoty'!$B$4,F155=12),J155+M155+P155+S155,"")</f>
        <v/>
      </c>
      <c r="AK155" s="41" t="str">
        <f>IF(AND(E155&lt;&gt;'Povolené hodnoty'!$B$4,F155=13),J155+M155+P155+S155,"")</f>
        <v/>
      </c>
      <c r="AL155" s="39" t="str">
        <f>IF(AND($G155='Povolené hodnoty'!$B$13,$H155=AL$4),SUM($I155,$L155,$O155,$R155),"")</f>
        <v/>
      </c>
      <c r="AM155" s="458" t="str">
        <f>IF(AND($G155='Povolené hodnoty'!$B$13,$H155=AM$4),SUM($I155,$L155,$O155,$R155),"")</f>
        <v/>
      </c>
      <c r="AN155" s="458" t="str">
        <f>IF(AND($G155='Povolené hodnoty'!$B$13,$H155=AN$4),SUM($I155,$L155,$O155,$R155),"")</f>
        <v/>
      </c>
      <c r="AO155" s="458" t="str">
        <f>IF(AND($G155='Povolené hodnoty'!$B$13,$H155=AO$4),SUM($I155,$L155,$O155,$R155),"")</f>
        <v/>
      </c>
      <c r="AP155" s="458" t="str">
        <f>IF(AND($G155='Povolené hodnoty'!$B$13,$H155=AP$4),SUM($I155,$L155,$O155,$R155),"")</f>
        <v/>
      </c>
      <c r="AQ155" s="40" t="str">
        <f>IF(AND($G155='Povolené hodnoty'!$B$13,OR($H155=AQ$4,$H155='Povolené hodnoty'!$E$36)),SUM($I155,-$J155,$L155,-$M155,$O155,-$P155,$R155,-$S155),"")</f>
        <v/>
      </c>
      <c r="AR155" s="40" t="str">
        <f>IF(AND($G155='Povolené hodnoty'!$B$13,$H155=AR$4),SUM($I155,$L155,$O155,$R155),"")</f>
        <v/>
      </c>
      <c r="AS155" s="41" t="str">
        <f>IF(AND($G155='Povolené hodnoty'!$B$13,$H155=AS$4),SUM($I155,$L155,$O155,$R155),"")</f>
        <v/>
      </c>
      <c r="AT155" s="39" t="str">
        <f>IF(AND($G155='Povolené hodnoty'!$B$14,$H155=AT$4),SUM($I155,$L155,$O155,$R155),"")</f>
        <v/>
      </c>
      <c r="AU155" s="458" t="str">
        <f>IF(AND($G155='Povolené hodnoty'!$B$14,$H155=AU$4),SUM($I155,$L155,$O155,$R155),"")</f>
        <v/>
      </c>
      <c r="AV155" s="41" t="str">
        <f>IF(AND($G155='Povolené hodnoty'!$B$14,$H155=AV$4),SUM($I155,$L155,$O155,$R155),"")</f>
        <v/>
      </c>
      <c r="AW155" s="39" t="str">
        <f>IF(AND($G155='Povolené hodnoty'!$B$13,$H155=AW$4),SUM($J155,$M155,$P155,$S155),"")</f>
        <v/>
      </c>
      <c r="AX155" s="458" t="str">
        <f>IF(AND($G155='Povolené hodnoty'!$B$13,$H155=AX$4),SUM($J155,$M155,$P155,$S155),"")</f>
        <v/>
      </c>
      <c r="AY155" s="458" t="str">
        <f>IF(AND($G155='Povolené hodnoty'!$B$13,$H155=AY$4),SUM($J155,$M155,$P155,$S155),"")</f>
        <v/>
      </c>
      <c r="AZ155" s="458" t="str">
        <f>IF(AND($G155='Povolené hodnoty'!$B$13,$H155=AZ$4),SUM($J155,$M155,$P155,$S155),"")</f>
        <v/>
      </c>
      <c r="BA155" s="458" t="str">
        <f>IF(AND($G155='Povolené hodnoty'!$B$13,$H155=BA$4),SUM($J155,$M155,$P155,$S155),"")</f>
        <v/>
      </c>
      <c r="BB155" s="40" t="str">
        <f>IF(AND($G155='Povolené hodnoty'!$B$13,$H155=BB$4),SUM($J155,$M155,$P155,$S155),"")</f>
        <v/>
      </c>
      <c r="BC155" s="40" t="str">
        <f>IF(AND($G155='Povolené hodnoty'!$B$13,$H155=BC$4),SUM($J155,$M155,$P155,$S155),"")</f>
        <v/>
      </c>
      <c r="BD155" s="40" t="str">
        <f>IF(AND($G155='Povolené hodnoty'!$B$13,$H155=BD$4),SUM($J155,$M155,$P155,$S155),"")</f>
        <v/>
      </c>
      <c r="BE155" s="41" t="str">
        <f>IF(AND($G155='Povolené hodnoty'!$B$13,$H155=BE$4),SUM($J155,$M155,$P155,$S155),"")</f>
        <v/>
      </c>
      <c r="BF155" s="39" t="str">
        <f>IF(AND($G155='Povolené hodnoty'!$B$14,$H155=BF$4),SUM($J155,$M155,$P155,$S155),"")</f>
        <v/>
      </c>
      <c r="BG155" s="458" t="str">
        <f>IF(AND($G155='Povolené hodnoty'!$B$14,$H155=BG$4),SUM($J155,$M155,$P155,$S155),"")</f>
        <v/>
      </c>
      <c r="BH155" s="458" t="str">
        <f>IF(AND($G155='Povolené hodnoty'!$B$14,$H155=BH$4),SUM($J155,$M155,$P155,$S155),"")</f>
        <v/>
      </c>
      <c r="BI155" s="458" t="str">
        <f>IF(AND($G155='Povolené hodnoty'!$B$14,$H155=BI$4),SUM($J155,$M155,$P155,$S155),"")</f>
        <v/>
      </c>
      <c r="BJ155" s="458" t="str">
        <f>IF(AND($G155='Povolené hodnoty'!$B$14,$H155=BJ$4),SUM($J155,$M155,$P155,$S155),"")</f>
        <v/>
      </c>
      <c r="BK155" s="40" t="str">
        <f>IF(AND($G155='Povolené hodnoty'!$B$14,$H155=BK$4),SUM($J155,$M155,$P155,$S155),"")</f>
        <v/>
      </c>
      <c r="BL155" s="40" t="str">
        <f>IF(AND($G155='Povolené hodnoty'!$B$14,$H155=BL$4),SUM($J155,$M155,$P155,$S155),"")</f>
        <v/>
      </c>
      <c r="BM155" s="41" t="str">
        <f>IF(AND($G155='Povolené hodnoty'!$B$14,$H155=BM$4),SUM($J155,$M155,$P155,$S155),"")</f>
        <v/>
      </c>
      <c r="BO155" s="18" t="b">
        <f t="shared" si="106"/>
        <v>0</v>
      </c>
      <c r="BP155" s="18" t="b">
        <f t="shared" si="77"/>
        <v>0</v>
      </c>
      <c r="BQ155" s="18" t="b">
        <f>AND(E155&lt;&gt;'Povolené hodnoty'!$B$6,F155&lt;&gt;'Povolené hodnoty'!$D$7,F155&lt;&gt;'Povolené hodnoty'!$D$8,OR(SUM(I155,L155,O155,R155)&lt;&gt;SUM(W155:X155,AA155:AG155),SUM(J155,M155,P155,S155)&lt;&gt;SUM(Y155:Z155,AH155:AK155),COUNT(I155:J155,L155:M155,O155:P155,R155:S155)&lt;&gt;COUNT(W155:AK155)))</f>
        <v>0</v>
      </c>
      <c r="BR155" s="18" t="b">
        <f>OR(AND(E155='Povolené hodnoty'!$B$6,$BR$5),AND(E155='Povolené hodnoty'!$B$6,H155&lt;&gt;'Povolené hodnoty'!$E$26,H155&lt;&gt;'Povolené hodnoty'!$E$35),AND(E155&lt;&gt;'Povolené hodnoty'!$B$6,OR(H155='Povolené hodnoty'!$E$26,H155='Povolené hodnoty'!$E$35)))</f>
        <v>0</v>
      </c>
      <c r="BS155" s="18" t="b">
        <f>OR(AND(G155&lt;&gt;'Povolené hodnoty'!$B$13,OR(H155='Povolené hodnoty'!$E$21,H155='Povolené hodnoty'!$E$22,H155='Povolené hodnoty'!$E$23,H155='Povolené hodnoty'!$E$24,H155='Povolené hodnoty'!$E$26,H155='Povolené hodnoty'!$E$36)),COUNT(I155:J155,L155:M155,O155:P155,R155:S155)&lt;&gt;COUNT(AL155:BM155))</f>
        <v>0</v>
      </c>
      <c r="BT155" s="18" t="b">
        <f t="shared" si="78"/>
        <v>0</v>
      </c>
      <c r="BV155" s="39" t="str">
        <f t="shared" si="79"/>
        <v/>
      </c>
      <c r="BW155" s="458" t="str">
        <f t="shared" si="80"/>
        <v/>
      </c>
      <c r="BX155" s="458" t="str">
        <f t="shared" si="81"/>
        <v/>
      </c>
      <c r="BY155" s="458" t="str">
        <f t="shared" si="82"/>
        <v/>
      </c>
      <c r="BZ155" s="458" t="str">
        <f t="shared" si="83"/>
        <v/>
      </c>
      <c r="CA155" s="40" t="str">
        <f t="shared" si="84"/>
        <v/>
      </c>
      <c r="CB155" s="40" t="str">
        <f t="shared" si="85"/>
        <v/>
      </c>
      <c r="CC155" s="39" t="str">
        <f t="shared" si="86"/>
        <v/>
      </c>
      <c r="CD155" s="458" t="str">
        <f t="shared" si="87"/>
        <v/>
      </c>
      <c r="CE155" s="41" t="str">
        <f t="shared" si="88"/>
        <v/>
      </c>
      <c r="CF155" s="39" t="str">
        <f t="shared" si="89"/>
        <v/>
      </c>
      <c r="CG155" s="458" t="str">
        <f t="shared" si="90"/>
        <v/>
      </c>
      <c r="CH155" s="458" t="str">
        <f t="shared" si="91"/>
        <v/>
      </c>
      <c r="CI155" s="458" t="str">
        <f t="shared" si="92"/>
        <v/>
      </c>
      <c r="CJ155" s="458" t="str">
        <f t="shared" si="93"/>
        <v/>
      </c>
      <c r="CK155" s="40" t="str">
        <f t="shared" si="94"/>
        <v/>
      </c>
      <c r="CL155" s="40" t="str">
        <f t="shared" si="95"/>
        <v/>
      </c>
      <c r="CM155" s="40" t="str">
        <f t="shared" si="96"/>
        <v/>
      </c>
      <c r="CN155" s="39" t="str">
        <f t="shared" si="97"/>
        <v/>
      </c>
      <c r="CO155" s="458" t="str">
        <f t="shared" si="98"/>
        <v/>
      </c>
      <c r="CP155" s="458" t="str">
        <f t="shared" si="99"/>
        <v/>
      </c>
      <c r="CQ155" s="458" t="str">
        <f t="shared" si="100"/>
        <v/>
      </c>
      <c r="CR155" s="458" t="str">
        <f t="shared" si="101"/>
        <v/>
      </c>
      <c r="CS155" s="40" t="str">
        <f t="shared" si="102"/>
        <v/>
      </c>
      <c r="CT155" s="40" t="str">
        <f t="shared" si="103"/>
        <v/>
      </c>
      <c r="CU155" s="41" t="str">
        <f t="shared" si="104"/>
        <v/>
      </c>
    </row>
    <row r="156" spans="1:99" x14ac:dyDescent="0.2">
      <c r="A156" s="77">
        <f t="shared" si="105"/>
        <v>151</v>
      </c>
      <c r="B156" s="81"/>
      <c r="C156" s="82"/>
      <c r="D156" s="71"/>
      <c r="E156" s="72"/>
      <c r="F156" s="73"/>
      <c r="G156" s="443"/>
      <c r="H156" s="443"/>
      <c r="I156" s="74"/>
      <c r="J156" s="75"/>
      <c r="K156" s="41">
        <f t="shared" si="74"/>
        <v>3625</v>
      </c>
      <c r="L156" s="104"/>
      <c r="M156" s="105"/>
      <c r="N156" s="106">
        <f t="shared" si="75"/>
        <v>537.05999999999995</v>
      </c>
      <c r="O156" s="104"/>
      <c r="P156" s="105"/>
      <c r="Q156" s="106">
        <f t="shared" si="107"/>
        <v>10045.83</v>
      </c>
      <c r="R156" s="104"/>
      <c r="S156" s="105"/>
      <c r="T156" s="106">
        <f t="shared" si="108"/>
        <v>0</v>
      </c>
      <c r="U156" s="439"/>
      <c r="V156" s="42">
        <f t="shared" si="76"/>
        <v>151</v>
      </c>
      <c r="W156" s="39" t="str">
        <f>IF(AND(E156='Povolené hodnoty'!$B$4,F156=2),I156+L156+O156+R156,"")</f>
        <v/>
      </c>
      <c r="X156" s="41" t="str">
        <f>IF(AND(E156='Povolené hodnoty'!$B$4,F156=1),I156+L156+O156+R156,"")</f>
        <v/>
      </c>
      <c r="Y156" s="39" t="str">
        <f>IF(AND(E156='Povolené hodnoty'!$B$4,F156=10),J156+M156+P156+S156,"")</f>
        <v/>
      </c>
      <c r="Z156" s="41" t="str">
        <f>IF(AND(E156='Povolené hodnoty'!$B$4,F156=9),J156+M156+P156+S156,"")</f>
        <v/>
      </c>
      <c r="AA156" s="39" t="str">
        <f>IF(AND(E156&lt;&gt;'Povolené hodnoty'!$B$4,F156=2),I156+L156+O156+R156,"")</f>
        <v/>
      </c>
      <c r="AB156" s="40" t="str">
        <f>IF(AND(E156&lt;&gt;'Povolené hodnoty'!$B$4,F156=3),I156+L156+O156+R156,"")</f>
        <v/>
      </c>
      <c r="AC156" s="40" t="str">
        <f>IF(AND(E156&lt;&gt;'Povolené hodnoty'!$B$4,F156=4),I156+L156+O156+R156,"")</f>
        <v/>
      </c>
      <c r="AD156" s="40" t="str">
        <f>IF(AND(E156&lt;&gt;'Povolené hodnoty'!$B$4,F156="5a"),I156-J156+L156-M156+O156-P156+R156-S156,"")</f>
        <v/>
      </c>
      <c r="AE156" s="40" t="str">
        <f>IF(AND(E156&lt;&gt;'Povolené hodnoty'!$B$4,F156="5b"),I156-J156+L156-M156+O156-P156+R156-S156,"")</f>
        <v/>
      </c>
      <c r="AF156" s="40" t="str">
        <f>IF(AND(E156&lt;&gt;'Povolené hodnoty'!$B$4,F156=6),I156+L156+O156+R156,"")</f>
        <v/>
      </c>
      <c r="AG156" s="41" t="str">
        <f>IF(AND(E156&lt;&gt;'Povolené hodnoty'!$B$4,F156=7),I156+L156+O156+R156,"")</f>
        <v/>
      </c>
      <c r="AH156" s="39" t="str">
        <f>IF(AND(E156&lt;&gt;'Povolené hodnoty'!$B$4,F156=10),J156+M156+P156+S156,"")</f>
        <v/>
      </c>
      <c r="AI156" s="40" t="str">
        <f>IF(AND(E156&lt;&gt;'Povolené hodnoty'!$B$4,F156=11),J156+M156+P156+S156,"")</f>
        <v/>
      </c>
      <c r="AJ156" s="40" t="str">
        <f>IF(AND(E156&lt;&gt;'Povolené hodnoty'!$B$4,F156=12),J156+M156+P156+S156,"")</f>
        <v/>
      </c>
      <c r="AK156" s="41" t="str">
        <f>IF(AND(E156&lt;&gt;'Povolené hodnoty'!$B$4,F156=13),J156+M156+P156+S156,"")</f>
        <v/>
      </c>
      <c r="AL156" s="39" t="str">
        <f>IF(AND($G156='Povolené hodnoty'!$B$13,$H156=AL$4),SUM($I156,$L156,$O156,$R156),"")</f>
        <v/>
      </c>
      <c r="AM156" s="458" t="str">
        <f>IF(AND($G156='Povolené hodnoty'!$B$13,$H156=AM$4),SUM($I156,$L156,$O156,$R156),"")</f>
        <v/>
      </c>
      <c r="AN156" s="458" t="str">
        <f>IF(AND($G156='Povolené hodnoty'!$B$13,$H156=AN$4),SUM($I156,$L156,$O156,$R156),"")</f>
        <v/>
      </c>
      <c r="AO156" s="458" t="str">
        <f>IF(AND($G156='Povolené hodnoty'!$B$13,$H156=AO$4),SUM($I156,$L156,$O156,$R156),"")</f>
        <v/>
      </c>
      <c r="AP156" s="458" t="str">
        <f>IF(AND($G156='Povolené hodnoty'!$B$13,$H156=AP$4),SUM($I156,$L156,$O156,$R156),"")</f>
        <v/>
      </c>
      <c r="AQ156" s="40" t="str">
        <f>IF(AND($G156='Povolené hodnoty'!$B$13,OR($H156=AQ$4,$H156='Povolené hodnoty'!$E$36)),SUM($I156,-$J156,$L156,-$M156,$O156,-$P156,$R156,-$S156),"")</f>
        <v/>
      </c>
      <c r="AR156" s="40" t="str">
        <f>IF(AND($G156='Povolené hodnoty'!$B$13,$H156=AR$4),SUM($I156,$L156,$O156,$R156),"")</f>
        <v/>
      </c>
      <c r="AS156" s="41" t="str">
        <f>IF(AND($G156='Povolené hodnoty'!$B$13,$H156=AS$4),SUM($I156,$L156,$O156,$R156),"")</f>
        <v/>
      </c>
      <c r="AT156" s="39" t="str">
        <f>IF(AND($G156='Povolené hodnoty'!$B$14,$H156=AT$4),SUM($I156,$L156,$O156,$R156),"")</f>
        <v/>
      </c>
      <c r="AU156" s="458" t="str">
        <f>IF(AND($G156='Povolené hodnoty'!$B$14,$H156=AU$4),SUM($I156,$L156,$O156,$R156),"")</f>
        <v/>
      </c>
      <c r="AV156" s="41" t="str">
        <f>IF(AND($G156='Povolené hodnoty'!$B$14,$H156=AV$4),SUM($I156,$L156,$O156,$R156),"")</f>
        <v/>
      </c>
      <c r="AW156" s="39" t="str">
        <f>IF(AND($G156='Povolené hodnoty'!$B$13,$H156=AW$4),SUM($J156,$M156,$P156,$S156),"")</f>
        <v/>
      </c>
      <c r="AX156" s="458" t="str">
        <f>IF(AND($G156='Povolené hodnoty'!$B$13,$H156=AX$4),SUM($J156,$M156,$P156,$S156),"")</f>
        <v/>
      </c>
      <c r="AY156" s="458" t="str">
        <f>IF(AND($G156='Povolené hodnoty'!$B$13,$H156=AY$4),SUM($J156,$M156,$P156,$S156),"")</f>
        <v/>
      </c>
      <c r="AZ156" s="458" t="str">
        <f>IF(AND($G156='Povolené hodnoty'!$B$13,$H156=AZ$4),SUM($J156,$M156,$P156,$S156),"")</f>
        <v/>
      </c>
      <c r="BA156" s="458" t="str">
        <f>IF(AND($G156='Povolené hodnoty'!$B$13,$H156=BA$4),SUM($J156,$M156,$P156,$S156),"")</f>
        <v/>
      </c>
      <c r="BB156" s="40" t="str">
        <f>IF(AND($G156='Povolené hodnoty'!$B$13,$H156=BB$4),SUM($J156,$M156,$P156,$S156),"")</f>
        <v/>
      </c>
      <c r="BC156" s="40" t="str">
        <f>IF(AND($G156='Povolené hodnoty'!$B$13,$H156=BC$4),SUM($J156,$M156,$P156,$S156),"")</f>
        <v/>
      </c>
      <c r="BD156" s="40" t="str">
        <f>IF(AND($G156='Povolené hodnoty'!$B$13,$H156=BD$4),SUM($J156,$M156,$P156,$S156),"")</f>
        <v/>
      </c>
      <c r="BE156" s="41" t="str">
        <f>IF(AND($G156='Povolené hodnoty'!$B$13,$H156=BE$4),SUM($J156,$M156,$P156,$S156),"")</f>
        <v/>
      </c>
      <c r="BF156" s="39" t="str">
        <f>IF(AND($G156='Povolené hodnoty'!$B$14,$H156=BF$4),SUM($J156,$M156,$P156,$S156),"")</f>
        <v/>
      </c>
      <c r="BG156" s="458" t="str">
        <f>IF(AND($G156='Povolené hodnoty'!$B$14,$H156=BG$4),SUM($J156,$M156,$P156,$S156),"")</f>
        <v/>
      </c>
      <c r="BH156" s="458" t="str">
        <f>IF(AND($G156='Povolené hodnoty'!$B$14,$H156=BH$4),SUM($J156,$M156,$P156,$S156),"")</f>
        <v/>
      </c>
      <c r="BI156" s="458" t="str">
        <f>IF(AND($G156='Povolené hodnoty'!$B$14,$H156=BI$4),SUM($J156,$M156,$P156,$S156),"")</f>
        <v/>
      </c>
      <c r="BJ156" s="458" t="str">
        <f>IF(AND($G156='Povolené hodnoty'!$B$14,$H156=BJ$4),SUM($J156,$M156,$P156,$S156),"")</f>
        <v/>
      </c>
      <c r="BK156" s="40" t="str">
        <f>IF(AND($G156='Povolené hodnoty'!$B$14,$H156=BK$4),SUM($J156,$M156,$P156,$S156),"")</f>
        <v/>
      </c>
      <c r="BL156" s="40" t="str">
        <f>IF(AND($G156='Povolené hodnoty'!$B$14,$H156=BL$4),SUM($J156,$M156,$P156,$S156),"")</f>
        <v/>
      </c>
      <c r="BM156" s="41" t="str">
        <f>IF(AND($G156='Povolené hodnoty'!$B$14,$H156=BM$4),SUM($J156,$M156,$P156,$S156),"")</f>
        <v/>
      </c>
      <c r="BO156" s="18" t="b">
        <f t="shared" si="106"/>
        <v>0</v>
      </c>
      <c r="BP156" s="18" t="b">
        <f t="shared" si="77"/>
        <v>0</v>
      </c>
      <c r="BQ156" s="18" t="b">
        <f>AND(E156&lt;&gt;'Povolené hodnoty'!$B$6,F156&lt;&gt;'Povolené hodnoty'!$D$7,F156&lt;&gt;'Povolené hodnoty'!$D$8,OR(SUM(I156,L156,O156,R156)&lt;&gt;SUM(W156:X156,AA156:AG156),SUM(J156,M156,P156,S156)&lt;&gt;SUM(Y156:Z156,AH156:AK156),COUNT(I156:J156,L156:M156,O156:P156,R156:S156)&lt;&gt;COUNT(W156:AK156)))</f>
        <v>0</v>
      </c>
      <c r="BR156" s="18" t="b">
        <f>OR(AND(E156='Povolené hodnoty'!$B$6,$BR$5),AND(E156='Povolené hodnoty'!$B$6,H156&lt;&gt;'Povolené hodnoty'!$E$26,H156&lt;&gt;'Povolené hodnoty'!$E$35),AND(E156&lt;&gt;'Povolené hodnoty'!$B$6,OR(H156='Povolené hodnoty'!$E$26,H156='Povolené hodnoty'!$E$35)))</f>
        <v>0</v>
      </c>
      <c r="BS156" s="18" t="b">
        <f>OR(AND(G156&lt;&gt;'Povolené hodnoty'!$B$13,OR(H156='Povolené hodnoty'!$E$21,H156='Povolené hodnoty'!$E$22,H156='Povolené hodnoty'!$E$23,H156='Povolené hodnoty'!$E$24,H156='Povolené hodnoty'!$E$26,H156='Povolené hodnoty'!$E$36)),COUNT(I156:J156,L156:M156,O156:P156,R156:S156)&lt;&gt;COUNT(AL156:BM156))</f>
        <v>0</v>
      </c>
      <c r="BT156" s="18" t="b">
        <f t="shared" si="78"/>
        <v>0</v>
      </c>
      <c r="BV156" s="39" t="str">
        <f t="shared" si="79"/>
        <v/>
      </c>
      <c r="BW156" s="458" t="str">
        <f t="shared" si="80"/>
        <v/>
      </c>
      <c r="BX156" s="458" t="str">
        <f t="shared" si="81"/>
        <v/>
      </c>
      <c r="BY156" s="458" t="str">
        <f t="shared" si="82"/>
        <v/>
      </c>
      <c r="BZ156" s="458" t="str">
        <f t="shared" si="83"/>
        <v/>
      </c>
      <c r="CA156" s="40" t="str">
        <f t="shared" si="84"/>
        <v/>
      </c>
      <c r="CB156" s="40" t="str">
        <f t="shared" si="85"/>
        <v/>
      </c>
      <c r="CC156" s="39" t="str">
        <f t="shared" si="86"/>
        <v/>
      </c>
      <c r="CD156" s="458" t="str">
        <f t="shared" si="87"/>
        <v/>
      </c>
      <c r="CE156" s="41" t="str">
        <f t="shared" si="88"/>
        <v/>
      </c>
      <c r="CF156" s="39" t="str">
        <f t="shared" si="89"/>
        <v/>
      </c>
      <c r="CG156" s="458" t="str">
        <f t="shared" si="90"/>
        <v/>
      </c>
      <c r="CH156" s="458" t="str">
        <f t="shared" si="91"/>
        <v/>
      </c>
      <c r="CI156" s="458" t="str">
        <f t="shared" si="92"/>
        <v/>
      </c>
      <c r="CJ156" s="458" t="str">
        <f t="shared" si="93"/>
        <v/>
      </c>
      <c r="CK156" s="40" t="str">
        <f t="shared" si="94"/>
        <v/>
      </c>
      <c r="CL156" s="40" t="str">
        <f t="shared" si="95"/>
        <v/>
      </c>
      <c r="CM156" s="40" t="str">
        <f t="shared" si="96"/>
        <v/>
      </c>
      <c r="CN156" s="39" t="str">
        <f t="shared" si="97"/>
        <v/>
      </c>
      <c r="CO156" s="458" t="str">
        <f t="shared" si="98"/>
        <v/>
      </c>
      <c r="CP156" s="458" t="str">
        <f t="shared" si="99"/>
        <v/>
      </c>
      <c r="CQ156" s="458" t="str">
        <f t="shared" si="100"/>
        <v/>
      </c>
      <c r="CR156" s="458" t="str">
        <f t="shared" si="101"/>
        <v/>
      </c>
      <c r="CS156" s="40" t="str">
        <f t="shared" si="102"/>
        <v/>
      </c>
      <c r="CT156" s="40" t="str">
        <f t="shared" si="103"/>
        <v/>
      </c>
      <c r="CU156" s="41" t="str">
        <f t="shared" si="104"/>
        <v/>
      </c>
    </row>
    <row r="157" spans="1:99" x14ac:dyDescent="0.2">
      <c r="A157" s="77">
        <f t="shared" si="105"/>
        <v>152</v>
      </c>
      <c r="B157" s="81"/>
      <c r="C157" s="82"/>
      <c r="D157" s="71"/>
      <c r="E157" s="72"/>
      <c r="F157" s="73"/>
      <c r="G157" s="443"/>
      <c r="H157" s="443"/>
      <c r="I157" s="74"/>
      <c r="J157" s="75"/>
      <c r="K157" s="41">
        <f t="shared" si="74"/>
        <v>3625</v>
      </c>
      <c r="L157" s="104"/>
      <c r="M157" s="105"/>
      <c r="N157" s="106">
        <f t="shared" si="75"/>
        <v>537.05999999999995</v>
      </c>
      <c r="O157" s="104"/>
      <c r="P157" s="105"/>
      <c r="Q157" s="106">
        <f t="shared" si="107"/>
        <v>10045.83</v>
      </c>
      <c r="R157" s="104"/>
      <c r="S157" s="105"/>
      <c r="T157" s="106">
        <f t="shared" si="108"/>
        <v>0</v>
      </c>
      <c r="U157" s="439"/>
      <c r="V157" s="42">
        <f t="shared" si="76"/>
        <v>152</v>
      </c>
      <c r="W157" s="39" t="str">
        <f>IF(AND(E157='Povolené hodnoty'!$B$4,F157=2),I157+L157+O157+R157,"")</f>
        <v/>
      </c>
      <c r="X157" s="41" t="str">
        <f>IF(AND(E157='Povolené hodnoty'!$B$4,F157=1),I157+L157+O157+R157,"")</f>
        <v/>
      </c>
      <c r="Y157" s="39" t="str">
        <f>IF(AND(E157='Povolené hodnoty'!$B$4,F157=10),J157+M157+P157+S157,"")</f>
        <v/>
      </c>
      <c r="Z157" s="41" t="str">
        <f>IF(AND(E157='Povolené hodnoty'!$B$4,F157=9),J157+M157+P157+S157,"")</f>
        <v/>
      </c>
      <c r="AA157" s="39" t="str">
        <f>IF(AND(E157&lt;&gt;'Povolené hodnoty'!$B$4,F157=2),I157+L157+O157+R157,"")</f>
        <v/>
      </c>
      <c r="AB157" s="40" t="str">
        <f>IF(AND(E157&lt;&gt;'Povolené hodnoty'!$B$4,F157=3),I157+L157+O157+R157,"")</f>
        <v/>
      </c>
      <c r="AC157" s="40" t="str">
        <f>IF(AND(E157&lt;&gt;'Povolené hodnoty'!$B$4,F157=4),I157+L157+O157+R157,"")</f>
        <v/>
      </c>
      <c r="AD157" s="40" t="str">
        <f>IF(AND(E157&lt;&gt;'Povolené hodnoty'!$B$4,F157="5a"),I157-J157+L157-M157+O157-P157+R157-S157,"")</f>
        <v/>
      </c>
      <c r="AE157" s="40" t="str">
        <f>IF(AND(E157&lt;&gt;'Povolené hodnoty'!$B$4,F157="5b"),I157-J157+L157-M157+O157-P157+R157-S157,"")</f>
        <v/>
      </c>
      <c r="AF157" s="40" t="str">
        <f>IF(AND(E157&lt;&gt;'Povolené hodnoty'!$B$4,F157=6),I157+L157+O157+R157,"")</f>
        <v/>
      </c>
      <c r="AG157" s="41" t="str">
        <f>IF(AND(E157&lt;&gt;'Povolené hodnoty'!$B$4,F157=7),I157+L157+O157+R157,"")</f>
        <v/>
      </c>
      <c r="AH157" s="39" t="str">
        <f>IF(AND(E157&lt;&gt;'Povolené hodnoty'!$B$4,F157=10),J157+M157+P157+S157,"")</f>
        <v/>
      </c>
      <c r="AI157" s="40" t="str">
        <f>IF(AND(E157&lt;&gt;'Povolené hodnoty'!$B$4,F157=11),J157+M157+P157+S157,"")</f>
        <v/>
      </c>
      <c r="AJ157" s="40" t="str">
        <f>IF(AND(E157&lt;&gt;'Povolené hodnoty'!$B$4,F157=12),J157+M157+P157+S157,"")</f>
        <v/>
      </c>
      <c r="AK157" s="41" t="str">
        <f>IF(AND(E157&lt;&gt;'Povolené hodnoty'!$B$4,F157=13),J157+M157+P157+S157,"")</f>
        <v/>
      </c>
      <c r="AL157" s="39" t="str">
        <f>IF(AND($G157='Povolené hodnoty'!$B$13,$H157=AL$4),SUM($I157,$L157,$O157,$R157),"")</f>
        <v/>
      </c>
      <c r="AM157" s="458" t="str">
        <f>IF(AND($G157='Povolené hodnoty'!$B$13,$H157=AM$4),SUM($I157,$L157,$O157,$R157),"")</f>
        <v/>
      </c>
      <c r="AN157" s="458" t="str">
        <f>IF(AND($G157='Povolené hodnoty'!$B$13,$H157=AN$4),SUM($I157,$L157,$O157,$R157),"")</f>
        <v/>
      </c>
      <c r="AO157" s="458" t="str">
        <f>IF(AND($G157='Povolené hodnoty'!$B$13,$H157=AO$4),SUM($I157,$L157,$O157,$R157),"")</f>
        <v/>
      </c>
      <c r="AP157" s="458" t="str">
        <f>IF(AND($G157='Povolené hodnoty'!$B$13,$H157=AP$4),SUM($I157,$L157,$O157,$R157),"")</f>
        <v/>
      </c>
      <c r="AQ157" s="40" t="str">
        <f>IF(AND($G157='Povolené hodnoty'!$B$13,OR($H157=AQ$4,$H157='Povolené hodnoty'!$E$36)),SUM($I157,-$J157,$L157,-$M157,$O157,-$P157,$R157,-$S157),"")</f>
        <v/>
      </c>
      <c r="AR157" s="40" t="str">
        <f>IF(AND($G157='Povolené hodnoty'!$B$13,$H157=AR$4),SUM($I157,$L157,$O157,$R157),"")</f>
        <v/>
      </c>
      <c r="AS157" s="41" t="str">
        <f>IF(AND($G157='Povolené hodnoty'!$B$13,$H157=AS$4),SUM($I157,$L157,$O157,$R157),"")</f>
        <v/>
      </c>
      <c r="AT157" s="39" t="str">
        <f>IF(AND($G157='Povolené hodnoty'!$B$14,$H157=AT$4),SUM($I157,$L157,$O157,$R157),"")</f>
        <v/>
      </c>
      <c r="AU157" s="458" t="str">
        <f>IF(AND($G157='Povolené hodnoty'!$B$14,$H157=AU$4),SUM($I157,$L157,$O157,$R157),"")</f>
        <v/>
      </c>
      <c r="AV157" s="41" t="str">
        <f>IF(AND($G157='Povolené hodnoty'!$B$14,$H157=AV$4),SUM($I157,$L157,$O157,$R157),"")</f>
        <v/>
      </c>
      <c r="AW157" s="39" t="str">
        <f>IF(AND($G157='Povolené hodnoty'!$B$13,$H157=AW$4),SUM($J157,$M157,$P157,$S157),"")</f>
        <v/>
      </c>
      <c r="AX157" s="458" t="str">
        <f>IF(AND($G157='Povolené hodnoty'!$B$13,$H157=AX$4),SUM($J157,$M157,$P157,$S157),"")</f>
        <v/>
      </c>
      <c r="AY157" s="458" t="str">
        <f>IF(AND($G157='Povolené hodnoty'!$B$13,$H157=AY$4),SUM($J157,$M157,$P157,$S157),"")</f>
        <v/>
      </c>
      <c r="AZ157" s="458" t="str">
        <f>IF(AND($G157='Povolené hodnoty'!$B$13,$H157=AZ$4),SUM($J157,$M157,$P157,$S157),"")</f>
        <v/>
      </c>
      <c r="BA157" s="458" t="str">
        <f>IF(AND($G157='Povolené hodnoty'!$B$13,$H157=BA$4),SUM($J157,$M157,$P157,$S157),"")</f>
        <v/>
      </c>
      <c r="BB157" s="40" t="str">
        <f>IF(AND($G157='Povolené hodnoty'!$B$13,$H157=BB$4),SUM($J157,$M157,$P157,$S157),"")</f>
        <v/>
      </c>
      <c r="BC157" s="40" t="str">
        <f>IF(AND($G157='Povolené hodnoty'!$B$13,$H157=BC$4),SUM($J157,$M157,$P157,$S157),"")</f>
        <v/>
      </c>
      <c r="BD157" s="40" t="str">
        <f>IF(AND($G157='Povolené hodnoty'!$B$13,$H157=BD$4),SUM($J157,$M157,$P157,$S157),"")</f>
        <v/>
      </c>
      <c r="BE157" s="41" t="str">
        <f>IF(AND($G157='Povolené hodnoty'!$B$13,$H157=BE$4),SUM($J157,$M157,$P157,$S157),"")</f>
        <v/>
      </c>
      <c r="BF157" s="39" t="str">
        <f>IF(AND($G157='Povolené hodnoty'!$B$14,$H157=BF$4),SUM($J157,$M157,$P157,$S157),"")</f>
        <v/>
      </c>
      <c r="BG157" s="458" t="str">
        <f>IF(AND($G157='Povolené hodnoty'!$B$14,$H157=BG$4),SUM($J157,$M157,$P157,$S157),"")</f>
        <v/>
      </c>
      <c r="BH157" s="458" t="str">
        <f>IF(AND($G157='Povolené hodnoty'!$B$14,$H157=BH$4),SUM($J157,$M157,$P157,$S157),"")</f>
        <v/>
      </c>
      <c r="BI157" s="458" t="str">
        <f>IF(AND($G157='Povolené hodnoty'!$B$14,$H157=BI$4),SUM($J157,$M157,$P157,$S157),"")</f>
        <v/>
      </c>
      <c r="BJ157" s="458" t="str">
        <f>IF(AND($G157='Povolené hodnoty'!$B$14,$H157=BJ$4),SUM($J157,$M157,$P157,$S157),"")</f>
        <v/>
      </c>
      <c r="BK157" s="40" t="str">
        <f>IF(AND($G157='Povolené hodnoty'!$B$14,$H157=BK$4),SUM($J157,$M157,$P157,$S157),"")</f>
        <v/>
      </c>
      <c r="BL157" s="40" t="str">
        <f>IF(AND($G157='Povolené hodnoty'!$B$14,$H157=BL$4),SUM($J157,$M157,$P157,$S157),"")</f>
        <v/>
      </c>
      <c r="BM157" s="41" t="str">
        <f>IF(AND($G157='Povolené hodnoty'!$B$14,$H157=BM$4),SUM($J157,$M157,$P157,$S157),"")</f>
        <v/>
      </c>
      <c r="BO157" s="18" t="b">
        <f t="shared" si="106"/>
        <v>0</v>
      </c>
      <c r="BP157" s="18" t="b">
        <f t="shared" si="77"/>
        <v>0</v>
      </c>
      <c r="BQ157" s="18" t="b">
        <f>AND(E157&lt;&gt;'Povolené hodnoty'!$B$6,F157&lt;&gt;'Povolené hodnoty'!$D$7,F157&lt;&gt;'Povolené hodnoty'!$D$8,OR(SUM(I157,L157,O157,R157)&lt;&gt;SUM(W157:X157,AA157:AG157),SUM(J157,M157,P157,S157)&lt;&gt;SUM(Y157:Z157,AH157:AK157),COUNT(I157:J157,L157:M157,O157:P157,R157:S157)&lt;&gt;COUNT(W157:AK157)))</f>
        <v>0</v>
      </c>
      <c r="BR157" s="18" t="b">
        <f>OR(AND(E157='Povolené hodnoty'!$B$6,$BR$5),AND(E157='Povolené hodnoty'!$B$6,H157&lt;&gt;'Povolené hodnoty'!$E$26,H157&lt;&gt;'Povolené hodnoty'!$E$35),AND(E157&lt;&gt;'Povolené hodnoty'!$B$6,OR(H157='Povolené hodnoty'!$E$26,H157='Povolené hodnoty'!$E$35)))</f>
        <v>0</v>
      </c>
      <c r="BS157" s="18" t="b">
        <f>OR(AND(G157&lt;&gt;'Povolené hodnoty'!$B$13,OR(H157='Povolené hodnoty'!$E$21,H157='Povolené hodnoty'!$E$22,H157='Povolené hodnoty'!$E$23,H157='Povolené hodnoty'!$E$24,H157='Povolené hodnoty'!$E$26,H157='Povolené hodnoty'!$E$36)),COUNT(I157:J157,L157:M157,O157:P157,R157:S157)&lt;&gt;COUNT(AL157:BM157))</f>
        <v>0</v>
      </c>
      <c r="BT157" s="18" t="b">
        <f t="shared" si="78"/>
        <v>0</v>
      </c>
      <c r="BV157" s="39" t="str">
        <f t="shared" si="79"/>
        <v/>
      </c>
      <c r="BW157" s="458" t="str">
        <f t="shared" si="80"/>
        <v/>
      </c>
      <c r="BX157" s="458" t="str">
        <f t="shared" si="81"/>
        <v/>
      </c>
      <c r="BY157" s="458" t="str">
        <f t="shared" si="82"/>
        <v/>
      </c>
      <c r="BZ157" s="458" t="str">
        <f t="shared" si="83"/>
        <v/>
      </c>
      <c r="CA157" s="40" t="str">
        <f t="shared" si="84"/>
        <v/>
      </c>
      <c r="CB157" s="40" t="str">
        <f t="shared" si="85"/>
        <v/>
      </c>
      <c r="CC157" s="39" t="str">
        <f t="shared" si="86"/>
        <v/>
      </c>
      <c r="CD157" s="458" t="str">
        <f t="shared" si="87"/>
        <v/>
      </c>
      <c r="CE157" s="41" t="str">
        <f t="shared" si="88"/>
        <v/>
      </c>
      <c r="CF157" s="39" t="str">
        <f t="shared" si="89"/>
        <v/>
      </c>
      <c r="CG157" s="458" t="str">
        <f t="shared" si="90"/>
        <v/>
      </c>
      <c r="CH157" s="458" t="str">
        <f t="shared" si="91"/>
        <v/>
      </c>
      <c r="CI157" s="458" t="str">
        <f t="shared" si="92"/>
        <v/>
      </c>
      <c r="CJ157" s="458" t="str">
        <f t="shared" si="93"/>
        <v/>
      </c>
      <c r="CK157" s="40" t="str">
        <f t="shared" si="94"/>
        <v/>
      </c>
      <c r="CL157" s="40" t="str">
        <f t="shared" si="95"/>
        <v/>
      </c>
      <c r="CM157" s="40" t="str">
        <f t="shared" si="96"/>
        <v/>
      </c>
      <c r="CN157" s="39" t="str">
        <f t="shared" si="97"/>
        <v/>
      </c>
      <c r="CO157" s="458" t="str">
        <f t="shared" si="98"/>
        <v/>
      </c>
      <c r="CP157" s="458" t="str">
        <f t="shared" si="99"/>
        <v/>
      </c>
      <c r="CQ157" s="458" t="str">
        <f t="shared" si="100"/>
        <v/>
      </c>
      <c r="CR157" s="458" t="str">
        <f t="shared" si="101"/>
        <v/>
      </c>
      <c r="CS157" s="40" t="str">
        <f t="shared" si="102"/>
        <v/>
      </c>
      <c r="CT157" s="40" t="str">
        <f t="shared" si="103"/>
        <v/>
      </c>
      <c r="CU157" s="41" t="str">
        <f t="shared" si="104"/>
        <v/>
      </c>
    </row>
    <row r="158" spans="1:99" x14ac:dyDescent="0.2">
      <c r="A158" s="77">
        <f t="shared" si="105"/>
        <v>153</v>
      </c>
      <c r="B158" s="81"/>
      <c r="C158" s="82"/>
      <c r="D158" s="71"/>
      <c r="E158" s="72"/>
      <c r="F158" s="73"/>
      <c r="G158" s="443"/>
      <c r="H158" s="443"/>
      <c r="I158" s="74"/>
      <c r="J158" s="75"/>
      <c r="K158" s="41">
        <f t="shared" si="74"/>
        <v>3625</v>
      </c>
      <c r="L158" s="104"/>
      <c r="M158" s="105"/>
      <c r="N158" s="106">
        <f t="shared" si="75"/>
        <v>537.05999999999995</v>
      </c>
      <c r="O158" s="104"/>
      <c r="P158" s="105"/>
      <c r="Q158" s="106">
        <f t="shared" si="107"/>
        <v>10045.83</v>
      </c>
      <c r="R158" s="104"/>
      <c r="S158" s="105"/>
      <c r="T158" s="106">
        <f t="shared" si="108"/>
        <v>0</v>
      </c>
      <c r="U158" s="439"/>
      <c r="V158" s="42">
        <f t="shared" si="76"/>
        <v>153</v>
      </c>
      <c r="W158" s="39" t="str">
        <f>IF(AND(E158='Povolené hodnoty'!$B$4,F158=2),I158+L158+O158+R158,"")</f>
        <v/>
      </c>
      <c r="X158" s="41" t="str">
        <f>IF(AND(E158='Povolené hodnoty'!$B$4,F158=1),I158+L158+O158+R158,"")</f>
        <v/>
      </c>
      <c r="Y158" s="39" t="str">
        <f>IF(AND(E158='Povolené hodnoty'!$B$4,F158=10),J158+M158+P158+S158,"")</f>
        <v/>
      </c>
      <c r="Z158" s="41" t="str">
        <f>IF(AND(E158='Povolené hodnoty'!$B$4,F158=9),J158+M158+P158+S158,"")</f>
        <v/>
      </c>
      <c r="AA158" s="39" t="str">
        <f>IF(AND(E158&lt;&gt;'Povolené hodnoty'!$B$4,F158=2),I158+L158+O158+R158,"")</f>
        <v/>
      </c>
      <c r="AB158" s="40" t="str">
        <f>IF(AND(E158&lt;&gt;'Povolené hodnoty'!$B$4,F158=3),I158+L158+O158+R158,"")</f>
        <v/>
      </c>
      <c r="AC158" s="40" t="str">
        <f>IF(AND(E158&lt;&gt;'Povolené hodnoty'!$B$4,F158=4),I158+L158+O158+R158,"")</f>
        <v/>
      </c>
      <c r="AD158" s="40" t="str">
        <f>IF(AND(E158&lt;&gt;'Povolené hodnoty'!$B$4,F158="5a"),I158-J158+L158-M158+O158-P158+R158-S158,"")</f>
        <v/>
      </c>
      <c r="AE158" s="40" t="str">
        <f>IF(AND(E158&lt;&gt;'Povolené hodnoty'!$B$4,F158="5b"),I158-J158+L158-M158+O158-P158+R158-S158,"")</f>
        <v/>
      </c>
      <c r="AF158" s="40" t="str">
        <f>IF(AND(E158&lt;&gt;'Povolené hodnoty'!$B$4,F158=6),I158+L158+O158+R158,"")</f>
        <v/>
      </c>
      <c r="AG158" s="41" t="str">
        <f>IF(AND(E158&lt;&gt;'Povolené hodnoty'!$B$4,F158=7),I158+L158+O158+R158,"")</f>
        <v/>
      </c>
      <c r="AH158" s="39" t="str">
        <f>IF(AND(E158&lt;&gt;'Povolené hodnoty'!$B$4,F158=10),J158+M158+P158+S158,"")</f>
        <v/>
      </c>
      <c r="AI158" s="40" t="str">
        <f>IF(AND(E158&lt;&gt;'Povolené hodnoty'!$B$4,F158=11),J158+M158+P158+S158,"")</f>
        <v/>
      </c>
      <c r="AJ158" s="40" t="str">
        <f>IF(AND(E158&lt;&gt;'Povolené hodnoty'!$B$4,F158=12),J158+M158+P158+S158,"")</f>
        <v/>
      </c>
      <c r="AK158" s="41" t="str">
        <f>IF(AND(E158&lt;&gt;'Povolené hodnoty'!$B$4,F158=13),J158+M158+P158+S158,"")</f>
        <v/>
      </c>
      <c r="AL158" s="39" t="str">
        <f>IF(AND($G158='Povolené hodnoty'!$B$13,$H158=AL$4),SUM($I158,$L158,$O158,$R158),"")</f>
        <v/>
      </c>
      <c r="AM158" s="458" t="str">
        <f>IF(AND($G158='Povolené hodnoty'!$B$13,$H158=AM$4),SUM($I158,$L158,$O158,$R158),"")</f>
        <v/>
      </c>
      <c r="AN158" s="458" t="str">
        <f>IF(AND($G158='Povolené hodnoty'!$B$13,$H158=AN$4),SUM($I158,$L158,$O158,$R158),"")</f>
        <v/>
      </c>
      <c r="AO158" s="458" t="str">
        <f>IF(AND($G158='Povolené hodnoty'!$B$13,$H158=AO$4),SUM($I158,$L158,$O158,$R158),"")</f>
        <v/>
      </c>
      <c r="AP158" s="458" t="str">
        <f>IF(AND($G158='Povolené hodnoty'!$B$13,$H158=AP$4),SUM($I158,$L158,$O158,$R158),"")</f>
        <v/>
      </c>
      <c r="AQ158" s="40" t="str">
        <f>IF(AND($G158='Povolené hodnoty'!$B$13,OR($H158=AQ$4,$H158='Povolené hodnoty'!$E$36)),SUM($I158,-$J158,$L158,-$M158,$O158,-$P158,$R158,-$S158),"")</f>
        <v/>
      </c>
      <c r="AR158" s="40" t="str">
        <f>IF(AND($G158='Povolené hodnoty'!$B$13,$H158=AR$4),SUM($I158,$L158,$O158,$R158),"")</f>
        <v/>
      </c>
      <c r="AS158" s="41" t="str">
        <f>IF(AND($G158='Povolené hodnoty'!$B$13,$H158=AS$4),SUM($I158,$L158,$O158,$R158),"")</f>
        <v/>
      </c>
      <c r="AT158" s="39" t="str">
        <f>IF(AND($G158='Povolené hodnoty'!$B$14,$H158=AT$4),SUM($I158,$L158,$O158,$R158),"")</f>
        <v/>
      </c>
      <c r="AU158" s="458" t="str">
        <f>IF(AND($G158='Povolené hodnoty'!$B$14,$H158=AU$4),SUM($I158,$L158,$O158,$R158),"")</f>
        <v/>
      </c>
      <c r="AV158" s="41" t="str">
        <f>IF(AND($G158='Povolené hodnoty'!$B$14,$H158=AV$4),SUM($I158,$L158,$O158,$R158),"")</f>
        <v/>
      </c>
      <c r="AW158" s="39" t="str">
        <f>IF(AND($G158='Povolené hodnoty'!$B$13,$H158=AW$4),SUM($J158,$M158,$P158,$S158),"")</f>
        <v/>
      </c>
      <c r="AX158" s="458" t="str">
        <f>IF(AND($G158='Povolené hodnoty'!$B$13,$H158=AX$4),SUM($J158,$M158,$P158,$S158),"")</f>
        <v/>
      </c>
      <c r="AY158" s="458" t="str">
        <f>IF(AND($G158='Povolené hodnoty'!$B$13,$H158=AY$4),SUM($J158,$M158,$P158,$S158),"")</f>
        <v/>
      </c>
      <c r="AZ158" s="458" t="str">
        <f>IF(AND($G158='Povolené hodnoty'!$B$13,$H158=AZ$4),SUM($J158,$M158,$P158,$S158),"")</f>
        <v/>
      </c>
      <c r="BA158" s="458" t="str">
        <f>IF(AND($G158='Povolené hodnoty'!$B$13,$H158=BA$4),SUM($J158,$M158,$P158,$S158),"")</f>
        <v/>
      </c>
      <c r="BB158" s="40" t="str">
        <f>IF(AND($G158='Povolené hodnoty'!$B$13,$H158=BB$4),SUM($J158,$M158,$P158,$S158),"")</f>
        <v/>
      </c>
      <c r="BC158" s="40" t="str">
        <f>IF(AND($G158='Povolené hodnoty'!$B$13,$H158=BC$4),SUM($J158,$M158,$P158,$S158),"")</f>
        <v/>
      </c>
      <c r="BD158" s="40" t="str">
        <f>IF(AND($G158='Povolené hodnoty'!$B$13,$H158=BD$4),SUM($J158,$M158,$P158,$S158),"")</f>
        <v/>
      </c>
      <c r="BE158" s="41" t="str">
        <f>IF(AND($G158='Povolené hodnoty'!$B$13,$H158=BE$4),SUM($J158,$M158,$P158,$S158),"")</f>
        <v/>
      </c>
      <c r="BF158" s="39" t="str">
        <f>IF(AND($G158='Povolené hodnoty'!$B$14,$H158=BF$4),SUM($J158,$M158,$P158,$S158),"")</f>
        <v/>
      </c>
      <c r="BG158" s="458" t="str">
        <f>IF(AND($G158='Povolené hodnoty'!$B$14,$H158=BG$4),SUM($J158,$M158,$P158,$S158),"")</f>
        <v/>
      </c>
      <c r="BH158" s="458" t="str">
        <f>IF(AND($G158='Povolené hodnoty'!$B$14,$H158=BH$4),SUM($J158,$M158,$P158,$S158),"")</f>
        <v/>
      </c>
      <c r="BI158" s="458" t="str">
        <f>IF(AND($G158='Povolené hodnoty'!$B$14,$H158=BI$4),SUM($J158,$M158,$P158,$S158),"")</f>
        <v/>
      </c>
      <c r="BJ158" s="458" t="str">
        <f>IF(AND($G158='Povolené hodnoty'!$B$14,$H158=BJ$4),SUM($J158,$M158,$P158,$S158),"")</f>
        <v/>
      </c>
      <c r="BK158" s="40" t="str">
        <f>IF(AND($G158='Povolené hodnoty'!$B$14,$H158=BK$4),SUM($J158,$M158,$P158,$S158),"")</f>
        <v/>
      </c>
      <c r="BL158" s="40" t="str">
        <f>IF(AND($G158='Povolené hodnoty'!$B$14,$H158=BL$4),SUM($J158,$M158,$P158,$S158),"")</f>
        <v/>
      </c>
      <c r="BM158" s="41" t="str">
        <f>IF(AND($G158='Povolené hodnoty'!$B$14,$H158=BM$4),SUM($J158,$M158,$P158,$S158),"")</f>
        <v/>
      </c>
      <c r="BO158" s="18" t="b">
        <f t="shared" si="106"/>
        <v>0</v>
      </c>
      <c r="BP158" s="18" t="b">
        <f t="shared" si="77"/>
        <v>0</v>
      </c>
      <c r="BQ158" s="18" t="b">
        <f>AND(E158&lt;&gt;'Povolené hodnoty'!$B$6,F158&lt;&gt;'Povolené hodnoty'!$D$7,F158&lt;&gt;'Povolené hodnoty'!$D$8,OR(SUM(I158,L158,O158,R158)&lt;&gt;SUM(W158:X158,AA158:AG158),SUM(J158,M158,P158,S158)&lt;&gt;SUM(Y158:Z158,AH158:AK158),COUNT(I158:J158,L158:M158,O158:P158,R158:S158)&lt;&gt;COUNT(W158:AK158)))</f>
        <v>0</v>
      </c>
      <c r="BR158" s="18" t="b">
        <f>OR(AND(E158='Povolené hodnoty'!$B$6,$BR$5),AND(E158='Povolené hodnoty'!$B$6,H158&lt;&gt;'Povolené hodnoty'!$E$26,H158&lt;&gt;'Povolené hodnoty'!$E$35),AND(E158&lt;&gt;'Povolené hodnoty'!$B$6,OR(H158='Povolené hodnoty'!$E$26,H158='Povolené hodnoty'!$E$35)))</f>
        <v>0</v>
      </c>
      <c r="BS158" s="18" t="b">
        <f>OR(AND(G158&lt;&gt;'Povolené hodnoty'!$B$13,OR(H158='Povolené hodnoty'!$E$21,H158='Povolené hodnoty'!$E$22,H158='Povolené hodnoty'!$E$23,H158='Povolené hodnoty'!$E$24,H158='Povolené hodnoty'!$E$26,H158='Povolené hodnoty'!$E$36)),COUNT(I158:J158,L158:M158,O158:P158,R158:S158)&lt;&gt;COUNT(AL158:BM158))</f>
        <v>0</v>
      </c>
      <c r="BT158" s="18" t="b">
        <f t="shared" si="78"/>
        <v>0</v>
      </c>
      <c r="BV158" s="39" t="str">
        <f t="shared" si="79"/>
        <v/>
      </c>
      <c r="BW158" s="458" t="str">
        <f t="shared" si="80"/>
        <v/>
      </c>
      <c r="BX158" s="458" t="str">
        <f t="shared" si="81"/>
        <v/>
      </c>
      <c r="BY158" s="458" t="str">
        <f t="shared" si="82"/>
        <v/>
      </c>
      <c r="BZ158" s="458" t="str">
        <f t="shared" si="83"/>
        <v/>
      </c>
      <c r="CA158" s="40" t="str">
        <f t="shared" si="84"/>
        <v/>
      </c>
      <c r="CB158" s="40" t="str">
        <f t="shared" si="85"/>
        <v/>
      </c>
      <c r="CC158" s="39" t="str">
        <f t="shared" si="86"/>
        <v/>
      </c>
      <c r="CD158" s="458" t="str">
        <f t="shared" si="87"/>
        <v/>
      </c>
      <c r="CE158" s="41" t="str">
        <f t="shared" si="88"/>
        <v/>
      </c>
      <c r="CF158" s="39" t="str">
        <f t="shared" si="89"/>
        <v/>
      </c>
      <c r="CG158" s="458" t="str">
        <f t="shared" si="90"/>
        <v/>
      </c>
      <c r="CH158" s="458" t="str">
        <f t="shared" si="91"/>
        <v/>
      </c>
      <c r="CI158" s="458" t="str">
        <f t="shared" si="92"/>
        <v/>
      </c>
      <c r="CJ158" s="458" t="str">
        <f t="shared" si="93"/>
        <v/>
      </c>
      <c r="CK158" s="40" t="str">
        <f t="shared" si="94"/>
        <v/>
      </c>
      <c r="CL158" s="40" t="str">
        <f t="shared" si="95"/>
        <v/>
      </c>
      <c r="CM158" s="40" t="str">
        <f t="shared" si="96"/>
        <v/>
      </c>
      <c r="CN158" s="39" t="str">
        <f t="shared" si="97"/>
        <v/>
      </c>
      <c r="CO158" s="458" t="str">
        <f t="shared" si="98"/>
        <v/>
      </c>
      <c r="CP158" s="458" t="str">
        <f t="shared" si="99"/>
        <v/>
      </c>
      <c r="CQ158" s="458" t="str">
        <f t="shared" si="100"/>
        <v/>
      </c>
      <c r="CR158" s="458" t="str">
        <f t="shared" si="101"/>
        <v/>
      </c>
      <c r="CS158" s="40" t="str">
        <f t="shared" si="102"/>
        <v/>
      </c>
      <c r="CT158" s="40" t="str">
        <f t="shared" si="103"/>
        <v/>
      </c>
      <c r="CU158" s="41" t="str">
        <f t="shared" si="104"/>
        <v/>
      </c>
    </row>
    <row r="159" spans="1:99" x14ac:dyDescent="0.2">
      <c r="A159" s="77">
        <f t="shared" si="105"/>
        <v>154</v>
      </c>
      <c r="B159" s="81"/>
      <c r="C159" s="82"/>
      <c r="D159" s="71"/>
      <c r="E159" s="72"/>
      <c r="F159" s="73"/>
      <c r="G159" s="443"/>
      <c r="H159" s="443"/>
      <c r="I159" s="74"/>
      <c r="J159" s="75"/>
      <c r="K159" s="41">
        <f t="shared" si="74"/>
        <v>3625</v>
      </c>
      <c r="L159" s="104"/>
      <c r="M159" s="105"/>
      <c r="N159" s="106">
        <f t="shared" si="75"/>
        <v>537.05999999999995</v>
      </c>
      <c r="O159" s="104"/>
      <c r="P159" s="105"/>
      <c r="Q159" s="106">
        <f t="shared" si="107"/>
        <v>10045.83</v>
      </c>
      <c r="R159" s="104"/>
      <c r="S159" s="105"/>
      <c r="T159" s="106">
        <f t="shared" si="108"/>
        <v>0</v>
      </c>
      <c r="U159" s="439"/>
      <c r="V159" s="42">
        <f t="shared" si="76"/>
        <v>154</v>
      </c>
      <c r="W159" s="39" t="str">
        <f>IF(AND(E159='Povolené hodnoty'!$B$4,F159=2),I159+L159+O159+R159,"")</f>
        <v/>
      </c>
      <c r="X159" s="41" t="str">
        <f>IF(AND(E159='Povolené hodnoty'!$B$4,F159=1),I159+L159+O159+R159,"")</f>
        <v/>
      </c>
      <c r="Y159" s="39" t="str">
        <f>IF(AND(E159='Povolené hodnoty'!$B$4,F159=10),J159+M159+P159+S159,"")</f>
        <v/>
      </c>
      <c r="Z159" s="41" t="str">
        <f>IF(AND(E159='Povolené hodnoty'!$B$4,F159=9),J159+M159+P159+S159,"")</f>
        <v/>
      </c>
      <c r="AA159" s="39" t="str">
        <f>IF(AND(E159&lt;&gt;'Povolené hodnoty'!$B$4,F159=2),I159+L159+O159+R159,"")</f>
        <v/>
      </c>
      <c r="AB159" s="40" t="str">
        <f>IF(AND(E159&lt;&gt;'Povolené hodnoty'!$B$4,F159=3),I159+L159+O159+R159,"")</f>
        <v/>
      </c>
      <c r="AC159" s="40" t="str">
        <f>IF(AND(E159&lt;&gt;'Povolené hodnoty'!$B$4,F159=4),I159+L159+O159+R159,"")</f>
        <v/>
      </c>
      <c r="AD159" s="40" t="str">
        <f>IF(AND(E159&lt;&gt;'Povolené hodnoty'!$B$4,F159="5a"),I159-J159+L159-M159+O159-P159+R159-S159,"")</f>
        <v/>
      </c>
      <c r="AE159" s="40" t="str">
        <f>IF(AND(E159&lt;&gt;'Povolené hodnoty'!$B$4,F159="5b"),I159-J159+L159-M159+O159-P159+R159-S159,"")</f>
        <v/>
      </c>
      <c r="AF159" s="40" t="str">
        <f>IF(AND(E159&lt;&gt;'Povolené hodnoty'!$B$4,F159=6),I159+L159+O159+R159,"")</f>
        <v/>
      </c>
      <c r="AG159" s="41" t="str">
        <f>IF(AND(E159&lt;&gt;'Povolené hodnoty'!$B$4,F159=7),I159+L159+O159+R159,"")</f>
        <v/>
      </c>
      <c r="AH159" s="39" t="str">
        <f>IF(AND(E159&lt;&gt;'Povolené hodnoty'!$B$4,F159=10),J159+M159+P159+S159,"")</f>
        <v/>
      </c>
      <c r="AI159" s="40" t="str">
        <f>IF(AND(E159&lt;&gt;'Povolené hodnoty'!$B$4,F159=11),J159+M159+P159+S159,"")</f>
        <v/>
      </c>
      <c r="AJ159" s="40" t="str">
        <f>IF(AND(E159&lt;&gt;'Povolené hodnoty'!$B$4,F159=12),J159+M159+P159+S159,"")</f>
        <v/>
      </c>
      <c r="AK159" s="41" t="str">
        <f>IF(AND(E159&lt;&gt;'Povolené hodnoty'!$B$4,F159=13),J159+M159+P159+S159,"")</f>
        <v/>
      </c>
      <c r="AL159" s="39" t="str">
        <f>IF(AND($G159='Povolené hodnoty'!$B$13,$H159=AL$4),SUM($I159,$L159,$O159,$R159),"")</f>
        <v/>
      </c>
      <c r="AM159" s="458" t="str">
        <f>IF(AND($G159='Povolené hodnoty'!$B$13,$H159=AM$4),SUM($I159,$L159,$O159,$R159),"")</f>
        <v/>
      </c>
      <c r="AN159" s="458" t="str">
        <f>IF(AND($G159='Povolené hodnoty'!$B$13,$H159=AN$4),SUM($I159,$L159,$O159,$R159),"")</f>
        <v/>
      </c>
      <c r="AO159" s="458" t="str">
        <f>IF(AND($G159='Povolené hodnoty'!$B$13,$H159=AO$4),SUM($I159,$L159,$O159,$R159),"")</f>
        <v/>
      </c>
      <c r="AP159" s="458" t="str">
        <f>IF(AND($G159='Povolené hodnoty'!$B$13,$H159=AP$4),SUM($I159,$L159,$O159,$R159),"")</f>
        <v/>
      </c>
      <c r="AQ159" s="40" t="str">
        <f>IF(AND($G159='Povolené hodnoty'!$B$13,OR($H159=AQ$4,$H159='Povolené hodnoty'!$E$36)),SUM($I159,-$J159,$L159,-$M159,$O159,-$P159,$R159,-$S159),"")</f>
        <v/>
      </c>
      <c r="AR159" s="40" t="str">
        <f>IF(AND($G159='Povolené hodnoty'!$B$13,$H159=AR$4),SUM($I159,$L159,$O159,$R159),"")</f>
        <v/>
      </c>
      <c r="AS159" s="41" t="str">
        <f>IF(AND($G159='Povolené hodnoty'!$B$13,$H159=AS$4),SUM($I159,$L159,$O159,$R159),"")</f>
        <v/>
      </c>
      <c r="AT159" s="39" t="str">
        <f>IF(AND($G159='Povolené hodnoty'!$B$14,$H159=AT$4),SUM($I159,$L159,$O159,$R159),"")</f>
        <v/>
      </c>
      <c r="AU159" s="458" t="str">
        <f>IF(AND($G159='Povolené hodnoty'!$B$14,$H159=AU$4),SUM($I159,$L159,$O159,$R159),"")</f>
        <v/>
      </c>
      <c r="AV159" s="41" t="str">
        <f>IF(AND($G159='Povolené hodnoty'!$B$14,$H159=AV$4),SUM($I159,$L159,$O159,$R159),"")</f>
        <v/>
      </c>
      <c r="AW159" s="39" t="str">
        <f>IF(AND($G159='Povolené hodnoty'!$B$13,$H159=AW$4),SUM($J159,$M159,$P159,$S159),"")</f>
        <v/>
      </c>
      <c r="AX159" s="458" t="str">
        <f>IF(AND($G159='Povolené hodnoty'!$B$13,$H159=AX$4),SUM($J159,$M159,$P159,$S159),"")</f>
        <v/>
      </c>
      <c r="AY159" s="458" t="str">
        <f>IF(AND($G159='Povolené hodnoty'!$B$13,$H159=AY$4),SUM($J159,$M159,$P159,$S159),"")</f>
        <v/>
      </c>
      <c r="AZ159" s="458" t="str">
        <f>IF(AND($G159='Povolené hodnoty'!$B$13,$H159=AZ$4),SUM($J159,$M159,$P159,$S159),"")</f>
        <v/>
      </c>
      <c r="BA159" s="458" t="str">
        <f>IF(AND($G159='Povolené hodnoty'!$B$13,$H159=BA$4),SUM($J159,$M159,$P159,$S159),"")</f>
        <v/>
      </c>
      <c r="BB159" s="40" t="str">
        <f>IF(AND($G159='Povolené hodnoty'!$B$13,$H159=BB$4),SUM($J159,$M159,$P159,$S159),"")</f>
        <v/>
      </c>
      <c r="BC159" s="40" t="str">
        <f>IF(AND($G159='Povolené hodnoty'!$B$13,$H159=BC$4),SUM($J159,$M159,$P159,$S159),"")</f>
        <v/>
      </c>
      <c r="BD159" s="40" t="str">
        <f>IF(AND($G159='Povolené hodnoty'!$B$13,$H159=BD$4),SUM($J159,$M159,$P159,$S159),"")</f>
        <v/>
      </c>
      <c r="BE159" s="41" t="str">
        <f>IF(AND($G159='Povolené hodnoty'!$B$13,$H159=BE$4),SUM($J159,$M159,$P159,$S159),"")</f>
        <v/>
      </c>
      <c r="BF159" s="39" t="str">
        <f>IF(AND($G159='Povolené hodnoty'!$B$14,$H159=BF$4),SUM($J159,$M159,$P159,$S159),"")</f>
        <v/>
      </c>
      <c r="BG159" s="458" t="str">
        <f>IF(AND($G159='Povolené hodnoty'!$B$14,$H159=BG$4),SUM($J159,$M159,$P159,$S159),"")</f>
        <v/>
      </c>
      <c r="BH159" s="458" t="str">
        <f>IF(AND($G159='Povolené hodnoty'!$B$14,$H159=BH$4),SUM($J159,$M159,$P159,$S159),"")</f>
        <v/>
      </c>
      <c r="BI159" s="458" t="str">
        <f>IF(AND($G159='Povolené hodnoty'!$B$14,$H159=BI$4),SUM($J159,$M159,$P159,$S159),"")</f>
        <v/>
      </c>
      <c r="BJ159" s="458" t="str">
        <f>IF(AND($G159='Povolené hodnoty'!$B$14,$H159=BJ$4),SUM($J159,$M159,$P159,$S159),"")</f>
        <v/>
      </c>
      <c r="BK159" s="40" t="str">
        <f>IF(AND($G159='Povolené hodnoty'!$B$14,$H159=BK$4),SUM($J159,$M159,$P159,$S159),"")</f>
        <v/>
      </c>
      <c r="BL159" s="40" t="str">
        <f>IF(AND($G159='Povolené hodnoty'!$B$14,$H159=BL$4),SUM($J159,$M159,$P159,$S159),"")</f>
        <v/>
      </c>
      <c r="BM159" s="41" t="str">
        <f>IF(AND($G159='Povolené hodnoty'!$B$14,$H159=BM$4),SUM($J159,$M159,$P159,$S159),"")</f>
        <v/>
      </c>
      <c r="BO159" s="18" t="b">
        <f t="shared" si="106"/>
        <v>0</v>
      </c>
      <c r="BP159" s="18" t="b">
        <f t="shared" si="77"/>
        <v>0</v>
      </c>
      <c r="BQ159" s="18" t="b">
        <f>AND(E159&lt;&gt;'Povolené hodnoty'!$B$6,F159&lt;&gt;'Povolené hodnoty'!$D$7,F159&lt;&gt;'Povolené hodnoty'!$D$8,OR(SUM(I159,L159,O159,R159)&lt;&gt;SUM(W159:X159,AA159:AG159),SUM(J159,M159,P159,S159)&lt;&gt;SUM(Y159:Z159,AH159:AK159),COUNT(I159:J159,L159:M159,O159:P159,R159:S159)&lt;&gt;COUNT(W159:AK159)))</f>
        <v>0</v>
      </c>
      <c r="BR159" s="18" t="b">
        <f>OR(AND(E159='Povolené hodnoty'!$B$6,$BR$5),AND(E159='Povolené hodnoty'!$B$6,H159&lt;&gt;'Povolené hodnoty'!$E$26,H159&lt;&gt;'Povolené hodnoty'!$E$35),AND(E159&lt;&gt;'Povolené hodnoty'!$B$6,OR(H159='Povolené hodnoty'!$E$26,H159='Povolené hodnoty'!$E$35)))</f>
        <v>0</v>
      </c>
      <c r="BS159" s="18" t="b">
        <f>OR(AND(G159&lt;&gt;'Povolené hodnoty'!$B$13,OR(H159='Povolené hodnoty'!$E$21,H159='Povolené hodnoty'!$E$22,H159='Povolené hodnoty'!$E$23,H159='Povolené hodnoty'!$E$24,H159='Povolené hodnoty'!$E$26,H159='Povolené hodnoty'!$E$36)),COUNT(I159:J159,L159:M159,O159:P159,R159:S159)&lt;&gt;COUNT(AL159:BM159))</f>
        <v>0</v>
      </c>
      <c r="BT159" s="18" t="b">
        <f t="shared" si="78"/>
        <v>0</v>
      </c>
      <c r="BV159" s="39" t="str">
        <f t="shared" si="79"/>
        <v/>
      </c>
      <c r="BW159" s="458" t="str">
        <f t="shared" si="80"/>
        <v/>
      </c>
      <c r="BX159" s="458" t="str">
        <f t="shared" si="81"/>
        <v/>
      </c>
      <c r="BY159" s="458" t="str">
        <f t="shared" si="82"/>
        <v/>
      </c>
      <c r="BZ159" s="458" t="str">
        <f t="shared" si="83"/>
        <v/>
      </c>
      <c r="CA159" s="40" t="str">
        <f t="shared" si="84"/>
        <v/>
      </c>
      <c r="CB159" s="40" t="str">
        <f t="shared" si="85"/>
        <v/>
      </c>
      <c r="CC159" s="39" t="str">
        <f t="shared" si="86"/>
        <v/>
      </c>
      <c r="CD159" s="458" t="str">
        <f t="shared" si="87"/>
        <v/>
      </c>
      <c r="CE159" s="41" t="str">
        <f t="shared" si="88"/>
        <v/>
      </c>
      <c r="CF159" s="39" t="str">
        <f t="shared" si="89"/>
        <v/>
      </c>
      <c r="CG159" s="458" t="str">
        <f t="shared" si="90"/>
        <v/>
      </c>
      <c r="CH159" s="458" t="str">
        <f t="shared" si="91"/>
        <v/>
      </c>
      <c r="CI159" s="458" t="str">
        <f t="shared" si="92"/>
        <v/>
      </c>
      <c r="CJ159" s="458" t="str">
        <f t="shared" si="93"/>
        <v/>
      </c>
      <c r="CK159" s="40" t="str">
        <f t="shared" si="94"/>
        <v/>
      </c>
      <c r="CL159" s="40" t="str">
        <f t="shared" si="95"/>
        <v/>
      </c>
      <c r="CM159" s="40" t="str">
        <f t="shared" si="96"/>
        <v/>
      </c>
      <c r="CN159" s="39" t="str">
        <f t="shared" si="97"/>
        <v/>
      </c>
      <c r="CO159" s="458" t="str">
        <f t="shared" si="98"/>
        <v/>
      </c>
      <c r="CP159" s="458" t="str">
        <f t="shared" si="99"/>
        <v/>
      </c>
      <c r="CQ159" s="458" t="str">
        <f t="shared" si="100"/>
        <v/>
      </c>
      <c r="CR159" s="458" t="str">
        <f t="shared" si="101"/>
        <v/>
      </c>
      <c r="CS159" s="40" t="str">
        <f t="shared" si="102"/>
        <v/>
      </c>
      <c r="CT159" s="40" t="str">
        <f t="shared" si="103"/>
        <v/>
      </c>
      <c r="CU159" s="41" t="str">
        <f t="shared" si="104"/>
        <v/>
      </c>
    </row>
    <row r="160" spans="1:99" x14ac:dyDescent="0.2">
      <c r="A160" s="77">
        <f t="shared" si="105"/>
        <v>155</v>
      </c>
      <c r="B160" s="81"/>
      <c r="C160" s="82"/>
      <c r="D160" s="71"/>
      <c r="E160" s="72"/>
      <c r="F160" s="73"/>
      <c r="G160" s="443"/>
      <c r="H160" s="443"/>
      <c r="I160" s="74"/>
      <c r="J160" s="75"/>
      <c r="K160" s="41">
        <f t="shared" si="74"/>
        <v>3625</v>
      </c>
      <c r="L160" s="104"/>
      <c r="M160" s="105"/>
      <c r="N160" s="106">
        <f t="shared" si="75"/>
        <v>537.05999999999995</v>
      </c>
      <c r="O160" s="104"/>
      <c r="P160" s="105"/>
      <c r="Q160" s="106">
        <f t="shared" si="107"/>
        <v>10045.83</v>
      </c>
      <c r="R160" s="104"/>
      <c r="S160" s="105"/>
      <c r="T160" s="106">
        <f t="shared" si="108"/>
        <v>0</v>
      </c>
      <c r="U160" s="439"/>
      <c r="V160" s="42">
        <f t="shared" si="76"/>
        <v>155</v>
      </c>
      <c r="W160" s="39" t="str">
        <f>IF(AND(E160='Povolené hodnoty'!$B$4,F160=2),I160+L160+O160+R160,"")</f>
        <v/>
      </c>
      <c r="X160" s="41" t="str">
        <f>IF(AND(E160='Povolené hodnoty'!$B$4,F160=1),I160+L160+O160+R160,"")</f>
        <v/>
      </c>
      <c r="Y160" s="39" t="str">
        <f>IF(AND(E160='Povolené hodnoty'!$B$4,F160=10),J160+M160+P160+S160,"")</f>
        <v/>
      </c>
      <c r="Z160" s="41" t="str">
        <f>IF(AND(E160='Povolené hodnoty'!$B$4,F160=9),J160+M160+P160+S160,"")</f>
        <v/>
      </c>
      <c r="AA160" s="39" t="str">
        <f>IF(AND(E160&lt;&gt;'Povolené hodnoty'!$B$4,F160=2),I160+L160+O160+R160,"")</f>
        <v/>
      </c>
      <c r="AB160" s="40" t="str">
        <f>IF(AND(E160&lt;&gt;'Povolené hodnoty'!$B$4,F160=3),I160+L160+O160+R160,"")</f>
        <v/>
      </c>
      <c r="AC160" s="40" t="str">
        <f>IF(AND(E160&lt;&gt;'Povolené hodnoty'!$B$4,F160=4),I160+L160+O160+R160,"")</f>
        <v/>
      </c>
      <c r="AD160" s="40" t="str">
        <f>IF(AND(E160&lt;&gt;'Povolené hodnoty'!$B$4,F160="5a"),I160-J160+L160-M160+O160-P160+R160-S160,"")</f>
        <v/>
      </c>
      <c r="AE160" s="40" t="str">
        <f>IF(AND(E160&lt;&gt;'Povolené hodnoty'!$B$4,F160="5b"),I160-J160+L160-M160+O160-P160+R160-S160,"")</f>
        <v/>
      </c>
      <c r="AF160" s="40" t="str">
        <f>IF(AND(E160&lt;&gt;'Povolené hodnoty'!$B$4,F160=6),I160+L160+O160+R160,"")</f>
        <v/>
      </c>
      <c r="AG160" s="41" t="str">
        <f>IF(AND(E160&lt;&gt;'Povolené hodnoty'!$B$4,F160=7),I160+L160+O160+R160,"")</f>
        <v/>
      </c>
      <c r="AH160" s="39" t="str">
        <f>IF(AND(E160&lt;&gt;'Povolené hodnoty'!$B$4,F160=10),J160+M160+P160+S160,"")</f>
        <v/>
      </c>
      <c r="AI160" s="40" t="str">
        <f>IF(AND(E160&lt;&gt;'Povolené hodnoty'!$B$4,F160=11),J160+M160+P160+S160,"")</f>
        <v/>
      </c>
      <c r="AJ160" s="40" t="str">
        <f>IF(AND(E160&lt;&gt;'Povolené hodnoty'!$B$4,F160=12),J160+M160+P160+S160,"")</f>
        <v/>
      </c>
      <c r="AK160" s="41" t="str">
        <f>IF(AND(E160&lt;&gt;'Povolené hodnoty'!$B$4,F160=13),J160+M160+P160+S160,"")</f>
        <v/>
      </c>
      <c r="AL160" s="39" t="str">
        <f>IF(AND($G160='Povolené hodnoty'!$B$13,$H160=AL$4),SUM($I160,$L160,$O160,$R160),"")</f>
        <v/>
      </c>
      <c r="AM160" s="458" t="str">
        <f>IF(AND($G160='Povolené hodnoty'!$B$13,$H160=AM$4),SUM($I160,$L160,$O160,$R160),"")</f>
        <v/>
      </c>
      <c r="AN160" s="458" t="str">
        <f>IF(AND($G160='Povolené hodnoty'!$B$13,$H160=AN$4),SUM($I160,$L160,$O160,$R160),"")</f>
        <v/>
      </c>
      <c r="AO160" s="458" t="str">
        <f>IF(AND($G160='Povolené hodnoty'!$B$13,$H160=AO$4),SUM($I160,$L160,$O160,$R160),"")</f>
        <v/>
      </c>
      <c r="AP160" s="458" t="str">
        <f>IF(AND($G160='Povolené hodnoty'!$B$13,$H160=AP$4),SUM($I160,$L160,$O160,$R160),"")</f>
        <v/>
      </c>
      <c r="AQ160" s="40" t="str">
        <f>IF(AND($G160='Povolené hodnoty'!$B$13,OR($H160=AQ$4,$H160='Povolené hodnoty'!$E$36)),SUM($I160,-$J160,$L160,-$M160,$O160,-$P160,$R160,-$S160),"")</f>
        <v/>
      </c>
      <c r="AR160" s="40" t="str">
        <f>IF(AND($G160='Povolené hodnoty'!$B$13,$H160=AR$4),SUM($I160,$L160,$O160,$R160),"")</f>
        <v/>
      </c>
      <c r="AS160" s="41" t="str">
        <f>IF(AND($G160='Povolené hodnoty'!$B$13,$H160=AS$4),SUM($I160,$L160,$O160,$R160),"")</f>
        <v/>
      </c>
      <c r="AT160" s="39" t="str">
        <f>IF(AND($G160='Povolené hodnoty'!$B$14,$H160=AT$4),SUM($I160,$L160,$O160,$R160),"")</f>
        <v/>
      </c>
      <c r="AU160" s="458" t="str">
        <f>IF(AND($G160='Povolené hodnoty'!$B$14,$H160=AU$4),SUM($I160,$L160,$O160,$R160),"")</f>
        <v/>
      </c>
      <c r="AV160" s="41" t="str">
        <f>IF(AND($G160='Povolené hodnoty'!$B$14,$H160=AV$4),SUM($I160,$L160,$O160,$R160),"")</f>
        <v/>
      </c>
      <c r="AW160" s="39" t="str">
        <f>IF(AND($G160='Povolené hodnoty'!$B$13,$H160=AW$4),SUM($J160,$M160,$P160,$S160),"")</f>
        <v/>
      </c>
      <c r="AX160" s="458" t="str">
        <f>IF(AND($G160='Povolené hodnoty'!$B$13,$H160=AX$4),SUM($J160,$M160,$P160,$S160),"")</f>
        <v/>
      </c>
      <c r="AY160" s="458" t="str">
        <f>IF(AND($G160='Povolené hodnoty'!$B$13,$H160=AY$4),SUM($J160,$M160,$P160,$S160),"")</f>
        <v/>
      </c>
      <c r="AZ160" s="458" t="str">
        <f>IF(AND($G160='Povolené hodnoty'!$B$13,$H160=AZ$4),SUM($J160,$M160,$P160,$S160),"")</f>
        <v/>
      </c>
      <c r="BA160" s="458" t="str">
        <f>IF(AND($G160='Povolené hodnoty'!$B$13,$H160=BA$4),SUM($J160,$M160,$P160,$S160),"")</f>
        <v/>
      </c>
      <c r="BB160" s="40" t="str">
        <f>IF(AND($G160='Povolené hodnoty'!$B$13,$H160=BB$4),SUM($J160,$M160,$P160,$S160),"")</f>
        <v/>
      </c>
      <c r="BC160" s="40" t="str">
        <f>IF(AND($G160='Povolené hodnoty'!$B$13,$H160=BC$4),SUM($J160,$M160,$P160,$S160),"")</f>
        <v/>
      </c>
      <c r="BD160" s="40" t="str">
        <f>IF(AND($G160='Povolené hodnoty'!$B$13,$H160=BD$4),SUM($J160,$M160,$P160,$S160),"")</f>
        <v/>
      </c>
      <c r="BE160" s="41" t="str">
        <f>IF(AND($G160='Povolené hodnoty'!$B$13,$H160=BE$4),SUM($J160,$M160,$P160,$S160),"")</f>
        <v/>
      </c>
      <c r="BF160" s="39" t="str">
        <f>IF(AND($G160='Povolené hodnoty'!$B$14,$H160=BF$4),SUM($J160,$M160,$P160,$S160),"")</f>
        <v/>
      </c>
      <c r="BG160" s="458" t="str">
        <f>IF(AND($G160='Povolené hodnoty'!$B$14,$H160=BG$4),SUM($J160,$M160,$P160,$S160),"")</f>
        <v/>
      </c>
      <c r="BH160" s="458" t="str">
        <f>IF(AND($G160='Povolené hodnoty'!$B$14,$H160=BH$4),SUM($J160,$M160,$P160,$S160),"")</f>
        <v/>
      </c>
      <c r="BI160" s="458" t="str">
        <f>IF(AND($G160='Povolené hodnoty'!$B$14,$H160=BI$4),SUM($J160,$M160,$P160,$S160),"")</f>
        <v/>
      </c>
      <c r="BJ160" s="458" t="str">
        <f>IF(AND($G160='Povolené hodnoty'!$B$14,$H160=BJ$4),SUM($J160,$M160,$P160,$S160),"")</f>
        <v/>
      </c>
      <c r="BK160" s="40" t="str">
        <f>IF(AND($G160='Povolené hodnoty'!$B$14,$H160=BK$4),SUM($J160,$M160,$P160,$S160),"")</f>
        <v/>
      </c>
      <c r="BL160" s="40" t="str">
        <f>IF(AND($G160='Povolené hodnoty'!$B$14,$H160=BL$4),SUM($J160,$M160,$P160,$S160),"")</f>
        <v/>
      </c>
      <c r="BM160" s="41" t="str">
        <f>IF(AND($G160='Povolené hodnoty'!$B$14,$H160=BM$4),SUM($J160,$M160,$P160,$S160),"")</f>
        <v/>
      </c>
      <c r="BO160" s="18" t="b">
        <f t="shared" si="106"/>
        <v>0</v>
      </c>
      <c r="BP160" s="18" t="b">
        <f t="shared" si="77"/>
        <v>0</v>
      </c>
      <c r="BQ160" s="18" t="b">
        <f>AND(E160&lt;&gt;'Povolené hodnoty'!$B$6,F160&lt;&gt;'Povolené hodnoty'!$D$7,F160&lt;&gt;'Povolené hodnoty'!$D$8,OR(SUM(I160,L160,O160,R160)&lt;&gt;SUM(W160:X160,AA160:AG160),SUM(J160,M160,P160,S160)&lt;&gt;SUM(Y160:Z160,AH160:AK160),COUNT(I160:J160,L160:M160,O160:P160,R160:S160)&lt;&gt;COUNT(W160:AK160)))</f>
        <v>0</v>
      </c>
      <c r="BR160" s="18" t="b">
        <f>OR(AND(E160='Povolené hodnoty'!$B$6,$BR$5),AND(E160='Povolené hodnoty'!$B$6,H160&lt;&gt;'Povolené hodnoty'!$E$26,H160&lt;&gt;'Povolené hodnoty'!$E$35),AND(E160&lt;&gt;'Povolené hodnoty'!$B$6,OR(H160='Povolené hodnoty'!$E$26,H160='Povolené hodnoty'!$E$35)))</f>
        <v>0</v>
      </c>
      <c r="BS160" s="18" t="b">
        <f>OR(AND(G160&lt;&gt;'Povolené hodnoty'!$B$13,OR(H160='Povolené hodnoty'!$E$21,H160='Povolené hodnoty'!$E$22,H160='Povolené hodnoty'!$E$23,H160='Povolené hodnoty'!$E$24,H160='Povolené hodnoty'!$E$26,H160='Povolené hodnoty'!$E$36)),COUNT(I160:J160,L160:M160,O160:P160,R160:S160)&lt;&gt;COUNT(AL160:BM160))</f>
        <v>0</v>
      </c>
      <c r="BT160" s="18" t="b">
        <f t="shared" si="78"/>
        <v>0</v>
      </c>
      <c r="BV160" s="39" t="str">
        <f t="shared" si="79"/>
        <v/>
      </c>
      <c r="BW160" s="458" t="str">
        <f t="shared" si="80"/>
        <v/>
      </c>
      <c r="BX160" s="458" t="str">
        <f t="shared" si="81"/>
        <v/>
      </c>
      <c r="BY160" s="458" t="str">
        <f t="shared" si="82"/>
        <v/>
      </c>
      <c r="BZ160" s="458" t="str">
        <f t="shared" si="83"/>
        <v/>
      </c>
      <c r="CA160" s="40" t="str">
        <f t="shared" si="84"/>
        <v/>
      </c>
      <c r="CB160" s="40" t="str">
        <f t="shared" si="85"/>
        <v/>
      </c>
      <c r="CC160" s="39" t="str">
        <f t="shared" si="86"/>
        <v/>
      </c>
      <c r="CD160" s="458" t="str">
        <f t="shared" si="87"/>
        <v/>
      </c>
      <c r="CE160" s="41" t="str">
        <f t="shared" si="88"/>
        <v/>
      </c>
      <c r="CF160" s="39" t="str">
        <f t="shared" si="89"/>
        <v/>
      </c>
      <c r="CG160" s="458" t="str">
        <f t="shared" si="90"/>
        <v/>
      </c>
      <c r="CH160" s="458" t="str">
        <f t="shared" si="91"/>
        <v/>
      </c>
      <c r="CI160" s="458" t="str">
        <f t="shared" si="92"/>
        <v/>
      </c>
      <c r="CJ160" s="458" t="str">
        <f t="shared" si="93"/>
        <v/>
      </c>
      <c r="CK160" s="40" t="str">
        <f t="shared" si="94"/>
        <v/>
      </c>
      <c r="CL160" s="40" t="str">
        <f t="shared" si="95"/>
        <v/>
      </c>
      <c r="CM160" s="40" t="str">
        <f t="shared" si="96"/>
        <v/>
      </c>
      <c r="CN160" s="39" t="str">
        <f t="shared" si="97"/>
        <v/>
      </c>
      <c r="CO160" s="458" t="str">
        <f t="shared" si="98"/>
        <v/>
      </c>
      <c r="CP160" s="458" t="str">
        <f t="shared" si="99"/>
        <v/>
      </c>
      <c r="CQ160" s="458" t="str">
        <f t="shared" si="100"/>
        <v/>
      </c>
      <c r="CR160" s="458" t="str">
        <f t="shared" si="101"/>
        <v/>
      </c>
      <c r="CS160" s="40" t="str">
        <f t="shared" si="102"/>
        <v/>
      </c>
      <c r="CT160" s="40" t="str">
        <f t="shared" si="103"/>
        <v/>
      </c>
      <c r="CU160" s="41" t="str">
        <f t="shared" si="104"/>
        <v/>
      </c>
    </row>
    <row r="161" spans="1:99" x14ac:dyDescent="0.2">
      <c r="A161" s="77">
        <f t="shared" si="105"/>
        <v>156</v>
      </c>
      <c r="B161" s="81"/>
      <c r="C161" s="82"/>
      <c r="D161" s="71"/>
      <c r="E161" s="72"/>
      <c r="F161" s="73"/>
      <c r="G161" s="443"/>
      <c r="H161" s="443"/>
      <c r="I161" s="74"/>
      <c r="J161" s="75"/>
      <c r="K161" s="41">
        <f t="shared" si="74"/>
        <v>3625</v>
      </c>
      <c r="L161" s="104"/>
      <c r="M161" s="105"/>
      <c r="N161" s="106">
        <f t="shared" si="75"/>
        <v>537.05999999999995</v>
      </c>
      <c r="O161" s="104"/>
      <c r="P161" s="105"/>
      <c r="Q161" s="106">
        <f t="shared" si="107"/>
        <v>10045.83</v>
      </c>
      <c r="R161" s="104"/>
      <c r="S161" s="105"/>
      <c r="T161" s="106">
        <f t="shared" si="108"/>
        <v>0</v>
      </c>
      <c r="U161" s="439"/>
      <c r="V161" s="42">
        <f t="shared" si="76"/>
        <v>156</v>
      </c>
      <c r="W161" s="39" t="str">
        <f>IF(AND(E161='Povolené hodnoty'!$B$4,F161=2),I161+L161+O161+R161,"")</f>
        <v/>
      </c>
      <c r="X161" s="41" t="str">
        <f>IF(AND(E161='Povolené hodnoty'!$B$4,F161=1),I161+L161+O161+R161,"")</f>
        <v/>
      </c>
      <c r="Y161" s="39" t="str">
        <f>IF(AND(E161='Povolené hodnoty'!$B$4,F161=10),J161+M161+P161+S161,"")</f>
        <v/>
      </c>
      <c r="Z161" s="41" t="str">
        <f>IF(AND(E161='Povolené hodnoty'!$B$4,F161=9),J161+M161+P161+S161,"")</f>
        <v/>
      </c>
      <c r="AA161" s="39" t="str">
        <f>IF(AND(E161&lt;&gt;'Povolené hodnoty'!$B$4,F161=2),I161+L161+O161+R161,"")</f>
        <v/>
      </c>
      <c r="AB161" s="40" t="str">
        <f>IF(AND(E161&lt;&gt;'Povolené hodnoty'!$B$4,F161=3),I161+L161+O161+R161,"")</f>
        <v/>
      </c>
      <c r="AC161" s="40" t="str">
        <f>IF(AND(E161&lt;&gt;'Povolené hodnoty'!$B$4,F161=4),I161+L161+O161+R161,"")</f>
        <v/>
      </c>
      <c r="AD161" s="40" t="str">
        <f>IF(AND(E161&lt;&gt;'Povolené hodnoty'!$B$4,F161="5a"),I161-J161+L161-M161+O161-P161+R161-S161,"")</f>
        <v/>
      </c>
      <c r="AE161" s="40" t="str">
        <f>IF(AND(E161&lt;&gt;'Povolené hodnoty'!$B$4,F161="5b"),I161-J161+L161-M161+O161-P161+R161-S161,"")</f>
        <v/>
      </c>
      <c r="AF161" s="40" t="str">
        <f>IF(AND(E161&lt;&gt;'Povolené hodnoty'!$B$4,F161=6),I161+L161+O161+R161,"")</f>
        <v/>
      </c>
      <c r="AG161" s="41" t="str">
        <f>IF(AND(E161&lt;&gt;'Povolené hodnoty'!$B$4,F161=7),I161+L161+O161+R161,"")</f>
        <v/>
      </c>
      <c r="AH161" s="39" t="str">
        <f>IF(AND(E161&lt;&gt;'Povolené hodnoty'!$B$4,F161=10),J161+M161+P161+S161,"")</f>
        <v/>
      </c>
      <c r="AI161" s="40" t="str">
        <f>IF(AND(E161&lt;&gt;'Povolené hodnoty'!$B$4,F161=11),J161+M161+P161+S161,"")</f>
        <v/>
      </c>
      <c r="AJ161" s="40" t="str">
        <f>IF(AND(E161&lt;&gt;'Povolené hodnoty'!$B$4,F161=12),J161+M161+P161+S161,"")</f>
        <v/>
      </c>
      <c r="AK161" s="41" t="str">
        <f>IF(AND(E161&lt;&gt;'Povolené hodnoty'!$B$4,F161=13),J161+M161+P161+S161,"")</f>
        <v/>
      </c>
      <c r="AL161" s="39" t="str">
        <f>IF(AND($G161='Povolené hodnoty'!$B$13,$H161=AL$4),SUM($I161,$L161,$O161,$R161),"")</f>
        <v/>
      </c>
      <c r="AM161" s="458" t="str">
        <f>IF(AND($G161='Povolené hodnoty'!$B$13,$H161=AM$4),SUM($I161,$L161,$O161,$R161),"")</f>
        <v/>
      </c>
      <c r="AN161" s="458" t="str">
        <f>IF(AND($G161='Povolené hodnoty'!$B$13,$H161=AN$4),SUM($I161,$L161,$O161,$R161),"")</f>
        <v/>
      </c>
      <c r="AO161" s="458" t="str">
        <f>IF(AND($G161='Povolené hodnoty'!$B$13,$H161=AO$4),SUM($I161,$L161,$O161,$R161),"")</f>
        <v/>
      </c>
      <c r="AP161" s="458" t="str">
        <f>IF(AND($G161='Povolené hodnoty'!$B$13,$H161=AP$4),SUM($I161,$L161,$O161,$R161),"")</f>
        <v/>
      </c>
      <c r="AQ161" s="40" t="str">
        <f>IF(AND($G161='Povolené hodnoty'!$B$13,OR($H161=AQ$4,$H161='Povolené hodnoty'!$E$36)),SUM($I161,-$J161,$L161,-$M161,$O161,-$P161,$R161,-$S161),"")</f>
        <v/>
      </c>
      <c r="AR161" s="40" t="str">
        <f>IF(AND($G161='Povolené hodnoty'!$B$13,$H161=AR$4),SUM($I161,$L161,$O161,$R161),"")</f>
        <v/>
      </c>
      <c r="AS161" s="41" t="str">
        <f>IF(AND($G161='Povolené hodnoty'!$B$13,$H161=AS$4),SUM($I161,$L161,$O161,$R161),"")</f>
        <v/>
      </c>
      <c r="AT161" s="39" t="str">
        <f>IF(AND($G161='Povolené hodnoty'!$B$14,$H161=AT$4),SUM($I161,$L161,$O161,$R161),"")</f>
        <v/>
      </c>
      <c r="AU161" s="458" t="str">
        <f>IF(AND($G161='Povolené hodnoty'!$B$14,$H161=AU$4),SUM($I161,$L161,$O161,$R161),"")</f>
        <v/>
      </c>
      <c r="AV161" s="41" t="str">
        <f>IF(AND($G161='Povolené hodnoty'!$B$14,$H161=AV$4),SUM($I161,$L161,$O161,$R161),"")</f>
        <v/>
      </c>
      <c r="AW161" s="39" t="str">
        <f>IF(AND($G161='Povolené hodnoty'!$B$13,$H161=AW$4),SUM($J161,$M161,$P161,$S161),"")</f>
        <v/>
      </c>
      <c r="AX161" s="458" t="str">
        <f>IF(AND($G161='Povolené hodnoty'!$B$13,$H161=AX$4),SUM($J161,$M161,$P161,$S161),"")</f>
        <v/>
      </c>
      <c r="AY161" s="458" t="str">
        <f>IF(AND($G161='Povolené hodnoty'!$B$13,$H161=AY$4),SUM($J161,$M161,$P161,$S161),"")</f>
        <v/>
      </c>
      <c r="AZ161" s="458" t="str">
        <f>IF(AND($G161='Povolené hodnoty'!$B$13,$H161=AZ$4),SUM($J161,$M161,$P161,$S161),"")</f>
        <v/>
      </c>
      <c r="BA161" s="458" t="str">
        <f>IF(AND($G161='Povolené hodnoty'!$B$13,$H161=BA$4),SUM($J161,$M161,$P161,$S161),"")</f>
        <v/>
      </c>
      <c r="BB161" s="40" t="str">
        <f>IF(AND($G161='Povolené hodnoty'!$B$13,$H161=BB$4),SUM($J161,$M161,$P161,$S161),"")</f>
        <v/>
      </c>
      <c r="BC161" s="40" t="str">
        <f>IF(AND($G161='Povolené hodnoty'!$B$13,$H161=BC$4),SUM($J161,$M161,$P161,$S161),"")</f>
        <v/>
      </c>
      <c r="BD161" s="40" t="str">
        <f>IF(AND($G161='Povolené hodnoty'!$B$13,$H161=BD$4),SUM($J161,$M161,$P161,$S161),"")</f>
        <v/>
      </c>
      <c r="BE161" s="41" t="str">
        <f>IF(AND($G161='Povolené hodnoty'!$B$13,$H161=BE$4),SUM($J161,$M161,$P161,$S161),"")</f>
        <v/>
      </c>
      <c r="BF161" s="39" t="str">
        <f>IF(AND($G161='Povolené hodnoty'!$B$14,$H161=BF$4),SUM($J161,$M161,$P161,$S161),"")</f>
        <v/>
      </c>
      <c r="BG161" s="458" t="str">
        <f>IF(AND($G161='Povolené hodnoty'!$B$14,$H161=BG$4),SUM($J161,$M161,$P161,$S161),"")</f>
        <v/>
      </c>
      <c r="BH161" s="458" t="str">
        <f>IF(AND($G161='Povolené hodnoty'!$B$14,$H161=BH$4),SUM($J161,$M161,$P161,$S161),"")</f>
        <v/>
      </c>
      <c r="BI161" s="458" t="str">
        <f>IF(AND($G161='Povolené hodnoty'!$B$14,$H161=BI$4),SUM($J161,$M161,$P161,$S161),"")</f>
        <v/>
      </c>
      <c r="BJ161" s="458" t="str">
        <f>IF(AND($G161='Povolené hodnoty'!$B$14,$H161=BJ$4),SUM($J161,$M161,$P161,$S161),"")</f>
        <v/>
      </c>
      <c r="BK161" s="40" t="str">
        <f>IF(AND($G161='Povolené hodnoty'!$B$14,$H161=BK$4),SUM($J161,$M161,$P161,$S161),"")</f>
        <v/>
      </c>
      <c r="BL161" s="40" t="str">
        <f>IF(AND($G161='Povolené hodnoty'!$B$14,$H161=BL$4),SUM($J161,$M161,$P161,$S161),"")</f>
        <v/>
      </c>
      <c r="BM161" s="41" t="str">
        <f>IF(AND($G161='Povolené hodnoty'!$B$14,$H161=BM$4),SUM($J161,$M161,$P161,$S161),"")</f>
        <v/>
      </c>
      <c r="BO161" s="18" t="b">
        <f t="shared" si="106"/>
        <v>0</v>
      </c>
      <c r="BP161" s="18" t="b">
        <f t="shared" si="77"/>
        <v>0</v>
      </c>
      <c r="BQ161" s="18" t="b">
        <f>AND(E161&lt;&gt;'Povolené hodnoty'!$B$6,F161&lt;&gt;'Povolené hodnoty'!$D$7,F161&lt;&gt;'Povolené hodnoty'!$D$8,OR(SUM(I161,L161,O161,R161)&lt;&gt;SUM(W161:X161,AA161:AG161),SUM(J161,M161,P161,S161)&lt;&gt;SUM(Y161:Z161,AH161:AK161),COUNT(I161:J161,L161:M161,O161:P161,R161:S161)&lt;&gt;COUNT(W161:AK161)))</f>
        <v>0</v>
      </c>
      <c r="BR161" s="18" t="b">
        <f>OR(AND(E161='Povolené hodnoty'!$B$6,$BR$5),AND(E161='Povolené hodnoty'!$B$6,H161&lt;&gt;'Povolené hodnoty'!$E$26,H161&lt;&gt;'Povolené hodnoty'!$E$35),AND(E161&lt;&gt;'Povolené hodnoty'!$B$6,OR(H161='Povolené hodnoty'!$E$26,H161='Povolené hodnoty'!$E$35)))</f>
        <v>0</v>
      </c>
      <c r="BS161" s="18" t="b">
        <f>OR(AND(G161&lt;&gt;'Povolené hodnoty'!$B$13,OR(H161='Povolené hodnoty'!$E$21,H161='Povolené hodnoty'!$E$22,H161='Povolené hodnoty'!$E$23,H161='Povolené hodnoty'!$E$24,H161='Povolené hodnoty'!$E$26,H161='Povolené hodnoty'!$E$36)),COUNT(I161:J161,L161:M161,O161:P161,R161:S161)&lt;&gt;COUNT(AL161:BM161))</f>
        <v>0</v>
      </c>
      <c r="BT161" s="18" t="b">
        <f t="shared" si="78"/>
        <v>0</v>
      </c>
      <c r="BV161" s="39" t="str">
        <f t="shared" si="79"/>
        <v/>
      </c>
      <c r="BW161" s="458" t="str">
        <f t="shared" si="80"/>
        <v/>
      </c>
      <c r="BX161" s="458" t="str">
        <f t="shared" si="81"/>
        <v/>
      </c>
      <c r="BY161" s="458" t="str">
        <f t="shared" si="82"/>
        <v/>
      </c>
      <c r="BZ161" s="458" t="str">
        <f t="shared" si="83"/>
        <v/>
      </c>
      <c r="CA161" s="40" t="str">
        <f t="shared" si="84"/>
        <v/>
      </c>
      <c r="CB161" s="40" t="str">
        <f t="shared" si="85"/>
        <v/>
      </c>
      <c r="CC161" s="39" t="str">
        <f t="shared" si="86"/>
        <v/>
      </c>
      <c r="CD161" s="458" t="str">
        <f t="shared" si="87"/>
        <v/>
      </c>
      <c r="CE161" s="41" t="str">
        <f t="shared" si="88"/>
        <v/>
      </c>
      <c r="CF161" s="39" t="str">
        <f t="shared" si="89"/>
        <v/>
      </c>
      <c r="CG161" s="458" t="str">
        <f t="shared" si="90"/>
        <v/>
      </c>
      <c r="CH161" s="458" t="str">
        <f t="shared" si="91"/>
        <v/>
      </c>
      <c r="CI161" s="458" t="str">
        <f t="shared" si="92"/>
        <v/>
      </c>
      <c r="CJ161" s="458" t="str">
        <f t="shared" si="93"/>
        <v/>
      </c>
      <c r="CK161" s="40" t="str">
        <f t="shared" si="94"/>
        <v/>
      </c>
      <c r="CL161" s="40" t="str">
        <f t="shared" si="95"/>
        <v/>
      </c>
      <c r="CM161" s="40" t="str">
        <f t="shared" si="96"/>
        <v/>
      </c>
      <c r="CN161" s="39" t="str">
        <f t="shared" si="97"/>
        <v/>
      </c>
      <c r="CO161" s="458" t="str">
        <f t="shared" si="98"/>
        <v/>
      </c>
      <c r="CP161" s="458" t="str">
        <f t="shared" si="99"/>
        <v/>
      </c>
      <c r="CQ161" s="458" t="str">
        <f t="shared" si="100"/>
        <v/>
      </c>
      <c r="CR161" s="458" t="str">
        <f t="shared" si="101"/>
        <v/>
      </c>
      <c r="CS161" s="40" t="str">
        <f t="shared" si="102"/>
        <v/>
      </c>
      <c r="CT161" s="40" t="str">
        <f t="shared" si="103"/>
        <v/>
      </c>
      <c r="CU161" s="41" t="str">
        <f t="shared" si="104"/>
        <v/>
      </c>
    </row>
    <row r="162" spans="1:99" x14ac:dyDescent="0.2">
      <c r="A162" s="77">
        <f t="shared" si="105"/>
        <v>157</v>
      </c>
      <c r="B162" s="81"/>
      <c r="C162" s="82"/>
      <c r="D162" s="71"/>
      <c r="E162" s="72"/>
      <c r="F162" s="73"/>
      <c r="G162" s="443"/>
      <c r="H162" s="443"/>
      <c r="I162" s="74"/>
      <c r="J162" s="75"/>
      <c r="K162" s="41">
        <f t="shared" si="74"/>
        <v>3625</v>
      </c>
      <c r="L162" s="104"/>
      <c r="M162" s="105"/>
      <c r="N162" s="106">
        <f t="shared" si="75"/>
        <v>537.05999999999995</v>
      </c>
      <c r="O162" s="104"/>
      <c r="P162" s="105"/>
      <c r="Q162" s="106">
        <f t="shared" si="107"/>
        <v>10045.83</v>
      </c>
      <c r="R162" s="104"/>
      <c r="S162" s="105"/>
      <c r="T162" s="106">
        <f t="shared" si="108"/>
        <v>0</v>
      </c>
      <c r="U162" s="439"/>
      <c r="V162" s="42">
        <f t="shared" si="76"/>
        <v>157</v>
      </c>
      <c r="W162" s="39" t="str">
        <f>IF(AND(E162='Povolené hodnoty'!$B$4,F162=2),I162+L162+O162+R162,"")</f>
        <v/>
      </c>
      <c r="X162" s="41" t="str">
        <f>IF(AND(E162='Povolené hodnoty'!$B$4,F162=1),I162+L162+O162+R162,"")</f>
        <v/>
      </c>
      <c r="Y162" s="39" t="str">
        <f>IF(AND(E162='Povolené hodnoty'!$B$4,F162=10),J162+M162+P162+S162,"")</f>
        <v/>
      </c>
      <c r="Z162" s="41" t="str">
        <f>IF(AND(E162='Povolené hodnoty'!$B$4,F162=9),J162+M162+P162+S162,"")</f>
        <v/>
      </c>
      <c r="AA162" s="39" t="str">
        <f>IF(AND(E162&lt;&gt;'Povolené hodnoty'!$B$4,F162=2),I162+L162+O162+R162,"")</f>
        <v/>
      </c>
      <c r="AB162" s="40" t="str">
        <f>IF(AND(E162&lt;&gt;'Povolené hodnoty'!$B$4,F162=3),I162+L162+O162+R162,"")</f>
        <v/>
      </c>
      <c r="AC162" s="40" t="str">
        <f>IF(AND(E162&lt;&gt;'Povolené hodnoty'!$B$4,F162=4),I162+L162+O162+R162,"")</f>
        <v/>
      </c>
      <c r="AD162" s="40" t="str">
        <f>IF(AND(E162&lt;&gt;'Povolené hodnoty'!$B$4,F162="5a"),I162-J162+L162-M162+O162-P162+R162-S162,"")</f>
        <v/>
      </c>
      <c r="AE162" s="40" t="str">
        <f>IF(AND(E162&lt;&gt;'Povolené hodnoty'!$B$4,F162="5b"),I162-J162+L162-M162+O162-P162+R162-S162,"")</f>
        <v/>
      </c>
      <c r="AF162" s="40" t="str">
        <f>IF(AND(E162&lt;&gt;'Povolené hodnoty'!$B$4,F162=6),I162+L162+O162+R162,"")</f>
        <v/>
      </c>
      <c r="AG162" s="41" t="str">
        <f>IF(AND(E162&lt;&gt;'Povolené hodnoty'!$B$4,F162=7),I162+L162+O162+R162,"")</f>
        <v/>
      </c>
      <c r="AH162" s="39" t="str">
        <f>IF(AND(E162&lt;&gt;'Povolené hodnoty'!$B$4,F162=10),J162+M162+P162+S162,"")</f>
        <v/>
      </c>
      <c r="AI162" s="40" t="str">
        <f>IF(AND(E162&lt;&gt;'Povolené hodnoty'!$B$4,F162=11),J162+M162+P162+S162,"")</f>
        <v/>
      </c>
      <c r="AJ162" s="40" t="str">
        <f>IF(AND(E162&lt;&gt;'Povolené hodnoty'!$B$4,F162=12),J162+M162+P162+S162,"")</f>
        <v/>
      </c>
      <c r="AK162" s="41" t="str">
        <f>IF(AND(E162&lt;&gt;'Povolené hodnoty'!$B$4,F162=13),J162+M162+P162+S162,"")</f>
        <v/>
      </c>
      <c r="AL162" s="39" t="str">
        <f>IF(AND($G162='Povolené hodnoty'!$B$13,$H162=AL$4),SUM($I162,$L162,$O162,$R162),"")</f>
        <v/>
      </c>
      <c r="AM162" s="458" t="str">
        <f>IF(AND($G162='Povolené hodnoty'!$B$13,$H162=AM$4),SUM($I162,$L162,$O162,$R162),"")</f>
        <v/>
      </c>
      <c r="AN162" s="458" t="str">
        <f>IF(AND($G162='Povolené hodnoty'!$B$13,$H162=AN$4),SUM($I162,$L162,$O162,$R162),"")</f>
        <v/>
      </c>
      <c r="AO162" s="458" t="str">
        <f>IF(AND($G162='Povolené hodnoty'!$B$13,$H162=AO$4),SUM($I162,$L162,$O162,$R162),"")</f>
        <v/>
      </c>
      <c r="AP162" s="458" t="str">
        <f>IF(AND($G162='Povolené hodnoty'!$B$13,$H162=AP$4),SUM($I162,$L162,$O162,$R162),"")</f>
        <v/>
      </c>
      <c r="AQ162" s="40" t="str">
        <f>IF(AND($G162='Povolené hodnoty'!$B$13,OR($H162=AQ$4,$H162='Povolené hodnoty'!$E$36)),SUM($I162,-$J162,$L162,-$M162,$O162,-$P162,$R162,-$S162),"")</f>
        <v/>
      </c>
      <c r="AR162" s="40" t="str">
        <f>IF(AND($G162='Povolené hodnoty'!$B$13,$H162=AR$4),SUM($I162,$L162,$O162,$R162),"")</f>
        <v/>
      </c>
      <c r="AS162" s="41" t="str">
        <f>IF(AND($G162='Povolené hodnoty'!$B$13,$H162=AS$4),SUM($I162,$L162,$O162,$R162),"")</f>
        <v/>
      </c>
      <c r="AT162" s="39" t="str">
        <f>IF(AND($G162='Povolené hodnoty'!$B$14,$H162=AT$4),SUM($I162,$L162,$O162,$R162),"")</f>
        <v/>
      </c>
      <c r="AU162" s="458" t="str">
        <f>IF(AND($G162='Povolené hodnoty'!$B$14,$H162=AU$4),SUM($I162,$L162,$O162,$R162),"")</f>
        <v/>
      </c>
      <c r="AV162" s="41" t="str">
        <f>IF(AND($G162='Povolené hodnoty'!$B$14,$H162=AV$4),SUM($I162,$L162,$O162,$R162),"")</f>
        <v/>
      </c>
      <c r="AW162" s="39" t="str">
        <f>IF(AND($G162='Povolené hodnoty'!$B$13,$H162=AW$4),SUM($J162,$M162,$P162,$S162),"")</f>
        <v/>
      </c>
      <c r="AX162" s="458" t="str">
        <f>IF(AND($G162='Povolené hodnoty'!$B$13,$H162=AX$4),SUM($J162,$M162,$P162,$S162),"")</f>
        <v/>
      </c>
      <c r="AY162" s="458" t="str">
        <f>IF(AND($G162='Povolené hodnoty'!$B$13,$H162=AY$4),SUM($J162,$M162,$P162,$S162),"")</f>
        <v/>
      </c>
      <c r="AZ162" s="458" t="str">
        <f>IF(AND($G162='Povolené hodnoty'!$B$13,$H162=AZ$4),SUM($J162,$M162,$P162,$S162),"")</f>
        <v/>
      </c>
      <c r="BA162" s="458" t="str">
        <f>IF(AND($G162='Povolené hodnoty'!$B$13,$H162=BA$4),SUM($J162,$M162,$P162,$S162),"")</f>
        <v/>
      </c>
      <c r="BB162" s="40" t="str">
        <f>IF(AND($G162='Povolené hodnoty'!$B$13,$H162=BB$4),SUM($J162,$M162,$P162,$S162),"")</f>
        <v/>
      </c>
      <c r="BC162" s="40" t="str">
        <f>IF(AND($G162='Povolené hodnoty'!$B$13,$H162=BC$4),SUM($J162,$M162,$P162,$S162),"")</f>
        <v/>
      </c>
      <c r="BD162" s="40" t="str">
        <f>IF(AND($G162='Povolené hodnoty'!$B$13,$H162=BD$4),SUM($J162,$M162,$P162,$S162),"")</f>
        <v/>
      </c>
      <c r="BE162" s="41" t="str">
        <f>IF(AND($G162='Povolené hodnoty'!$B$13,$H162=BE$4),SUM($J162,$M162,$P162,$S162),"")</f>
        <v/>
      </c>
      <c r="BF162" s="39" t="str">
        <f>IF(AND($G162='Povolené hodnoty'!$B$14,$H162=BF$4),SUM($J162,$M162,$P162,$S162),"")</f>
        <v/>
      </c>
      <c r="BG162" s="458" t="str">
        <f>IF(AND($G162='Povolené hodnoty'!$B$14,$H162=BG$4),SUM($J162,$M162,$P162,$S162),"")</f>
        <v/>
      </c>
      <c r="BH162" s="458" t="str">
        <f>IF(AND($G162='Povolené hodnoty'!$B$14,$H162=BH$4),SUM($J162,$M162,$P162,$S162),"")</f>
        <v/>
      </c>
      <c r="BI162" s="458" t="str">
        <f>IF(AND($G162='Povolené hodnoty'!$B$14,$H162=BI$4),SUM($J162,$M162,$P162,$S162),"")</f>
        <v/>
      </c>
      <c r="BJ162" s="458" t="str">
        <f>IF(AND($G162='Povolené hodnoty'!$B$14,$H162=BJ$4),SUM($J162,$M162,$P162,$S162),"")</f>
        <v/>
      </c>
      <c r="BK162" s="40" t="str">
        <f>IF(AND($G162='Povolené hodnoty'!$B$14,$H162=BK$4),SUM($J162,$M162,$P162,$S162),"")</f>
        <v/>
      </c>
      <c r="BL162" s="40" t="str">
        <f>IF(AND($G162='Povolené hodnoty'!$B$14,$H162=BL$4),SUM($J162,$M162,$P162,$S162),"")</f>
        <v/>
      </c>
      <c r="BM162" s="41" t="str">
        <f>IF(AND($G162='Povolené hodnoty'!$B$14,$H162=BM$4),SUM($J162,$M162,$P162,$S162),"")</f>
        <v/>
      </c>
      <c r="BO162" s="18" t="b">
        <f t="shared" si="106"/>
        <v>0</v>
      </c>
      <c r="BP162" s="18" t="b">
        <f t="shared" si="77"/>
        <v>0</v>
      </c>
      <c r="BQ162" s="18" t="b">
        <f>AND(E162&lt;&gt;'Povolené hodnoty'!$B$6,F162&lt;&gt;'Povolené hodnoty'!$D$7,F162&lt;&gt;'Povolené hodnoty'!$D$8,OR(SUM(I162,L162,O162,R162)&lt;&gt;SUM(W162:X162,AA162:AG162),SUM(J162,M162,P162,S162)&lt;&gt;SUM(Y162:Z162,AH162:AK162),COUNT(I162:J162,L162:M162,O162:P162,R162:S162)&lt;&gt;COUNT(W162:AK162)))</f>
        <v>0</v>
      </c>
      <c r="BR162" s="18" t="b">
        <f>OR(AND(E162='Povolené hodnoty'!$B$6,$BR$5),AND(E162='Povolené hodnoty'!$B$6,H162&lt;&gt;'Povolené hodnoty'!$E$26,H162&lt;&gt;'Povolené hodnoty'!$E$35),AND(E162&lt;&gt;'Povolené hodnoty'!$B$6,OR(H162='Povolené hodnoty'!$E$26,H162='Povolené hodnoty'!$E$35)))</f>
        <v>0</v>
      </c>
      <c r="BS162" s="18" t="b">
        <f>OR(AND(G162&lt;&gt;'Povolené hodnoty'!$B$13,OR(H162='Povolené hodnoty'!$E$21,H162='Povolené hodnoty'!$E$22,H162='Povolené hodnoty'!$E$23,H162='Povolené hodnoty'!$E$24,H162='Povolené hodnoty'!$E$26,H162='Povolené hodnoty'!$E$36)),COUNT(I162:J162,L162:M162,O162:P162,R162:S162)&lt;&gt;COUNT(AL162:BM162))</f>
        <v>0</v>
      </c>
      <c r="BT162" s="18" t="b">
        <f t="shared" si="78"/>
        <v>0</v>
      </c>
      <c r="BV162" s="39" t="str">
        <f t="shared" si="79"/>
        <v/>
      </c>
      <c r="BW162" s="458" t="str">
        <f t="shared" si="80"/>
        <v/>
      </c>
      <c r="BX162" s="458" t="str">
        <f t="shared" si="81"/>
        <v/>
      </c>
      <c r="BY162" s="458" t="str">
        <f t="shared" si="82"/>
        <v/>
      </c>
      <c r="BZ162" s="458" t="str">
        <f t="shared" si="83"/>
        <v/>
      </c>
      <c r="CA162" s="40" t="str">
        <f t="shared" si="84"/>
        <v/>
      </c>
      <c r="CB162" s="40" t="str">
        <f t="shared" si="85"/>
        <v/>
      </c>
      <c r="CC162" s="39" t="str">
        <f t="shared" si="86"/>
        <v/>
      </c>
      <c r="CD162" s="458" t="str">
        <f t="shared" si="87"/>
        <v/>
      </c>
      <c r="CE162" s="41" t="str">
        <f t="shared" si="88"/>
        <v/>
      </c>
      <c r="CF162" s="39" t="str">
        <f t="shared" si="89"/>
        <v/>
      </c>
      <c r="CG162" s="458" t="str">
        <f t="shared" si="90"/>
        <v/>
      </c>
      <c r="CH162" s="458" t="str">
        <f t="shared" si="91"/>
        <v/>
      </c>
      <c r="CI162" s="458" t="str">
        <f t="shared" si="92"/>
        <v/>
      </c>
      <c r="CJ162" s="458" t="str">
        <f t="shared" si="93"/>
        <v/>
      </c>
      <c r="CK162" s="40" t="str">
        <f t="shared" si="94"/>
        <v/>
      </c>
      <c r="CL162" s="40" t="str">
        <f t="shared" si="95"/>
        <v/>
      </c>
      <c r="CM162" s="40" t="str">
        <f t="shared" si="96"/>
        <v/>
      </c>
      <c r="CN162" s="39" t="str">
        <f t="shared" si="97"/>
        <v/>
      </c>
      <c r="CO162" s="458" t="str">
        <f t="shared" si="98"/>
        <v/>
      </c>
      <c r="CP162" s="458" t="str">
        <f t="shared" si="99"/>
        <v/>
      </c>
      <c r="CQ162" s="458" t="str">
        <f t="shared" si="100"/>
        <v/>
      </c>
      <c r="CR162" s="458" t="str">
        <f t="shared" si="101"/>
        <v/>
      </c>
      <c r="CS162" s="40" t="str">
        <f t="shared" si="102"/>
        <v/>
      </c>
      <c r="CT162" s="40" t="str">
        <f t="shared" si="103"/>
        <v/>
      </c>
      <c r="CU162" s="41" t="str">
        <f t="shared" si="104"/>
        <v/>
      </c>
    </row>
    <row r="163" spans="1:99" x14ac:dyDescent="0.2">
      <c r="A163" s="77">
        <f t="shared" si="105"/>
        <v>158</v>
      </c>
      <c r="B163" s="81"/>
      <c r="C163" s="82"/>
      <c r="D163" s="71"/>
      <c r="E163" s="72"/>
      <c r="F163" s="73"/>
      <c r="G163" s="443"/>
      <c r="H163" s="443"/>
      <c r="I163" s="74"/>
      <c r="J163" s="75"/>
      <c r="K163" s="41">
        <f t="shared" si="74"/>
        <v>3625</v>
      </c>
      <c r="L163" s="104"/>
      <c r="M163" s="105"/>
      <c r="N163" s="106">
        <f t="shared" si="75"/>
        <v>537.05999999999995</v>
      </c>
      <c r="O163" s="104"/>
      <c r="P163" s="105"/>
      <c r="Q163" s="106">
        <f t="shared" si="107"/>
        <v>10045.83</v>
      </c>
      <c r="R163" s="104"/>
      <c r="S163" s="105"/>
      <c r="T163" s="106">
        <f t="shared" si="108"/>
        <v>0</v>
      </c>
      <c r="U163" s="439"/>
      <c r="V163" s="42">
        <f t="shared" si="76"/>
        <v>158</v>
      </c>
      <c r="W163" s="39" t="str">
        <f>IF(AND(E163='Povolené hodnoty'!$B$4,F163=2),I163+L163+O163+R163,"")</f>
        <v/>
      </c>
      <c r="X163" s="41" t="str">
        <f>IF(AND(E163='Povolené hodnoty'!$B$4,F163=1),I163+L163+O163+R163,"")</f>
        <v/>
      </c>
      <c r="Y163" s="39" t="str">
        <f>IF(AND(E163='Povolené hodnoty'!$B$4,F163=10),J163+M163+P163+S163,"")</f>
        <v/>
      </c>
      <c r="Z163" s="41" t="str">
        <f>IF(AND(E163='Povolené hodnoty'!$B$4,F163=9),J163+M163+P163+S163,"")</f>
        <v/>
      </c>
      <c r="AA163" s="39" t="str">
        <f>IF(AND(E163&lt;&gt;'Povolené hodnoty'!$B$4,F163=2),I163+L163+O163+R163,"")</f>
        <v/>
      </c>
      <c r="AB163" s="40" t="str">
        <f>IF(AND(E163&lt;&gt;'Povolené hodnoty'!$B$4,F163=3),I163+L163+O163+R163,"")</f>
        <v/>
      </c>
      <c r="AC163" s="40" t="str">
        <f>IF(AND(E163&lt;&gt;'Povolené hodnoty'!$B$4,F163=4),I163+L163+O163+R163,"")</f>
        <v/>
      </c>
      <c r="AD163" s="40" t="str">
        <f>IF(AND(E163&lt;&gt;'Povolené hodnoty'!$B$4,F163="5a"),I163-J163+L163-M163+O163-P163+R163-S163,"")</f>
        <v/>
      </c>
      <c r="AE163" s="40" t="str">
        <f>IF(AND(E163&lt;&gt;'Povolené hodnoty'!$B$4,F163="5b"),I163-J163+L163-M163+O163-P163+R163-S163,"")</f>
        <v/>
      </c>
      <c r="AF163" s="40" t="str">
        <f>IF(AND(E163&lt;&gt;'Povolené hodnoty'!$B$4,F163=6),I163+L163+O163+R163,"")</f>
        <v/>
      </c>
      <c r="AG163" s="41" t="str">
        <f>IF(AND(E163&lt;&gt;'Povolené hodnoty'!$B$4,F163=7),I163+L163+O163+R163,"")</f>
        <v/>
      </c>
      <c r="AH163" s="39" t="str">
        <f>IF(AND(E163&lt;&gt;'Povolené hodnoty'!$B$4,F163=10),J163+M163+P163+S163,"")</f>
        <v/>
      </c>
      <c r="AI163" s="40" t="str">
        <f>IF(AND(E163&lt;&gt;'Povolené hodnoty'!$B$4,F163=11),J163+M163+P163+S163,"")</f>
        <v/>
      </c>
      <c r="AJ163" s="40" t="str">
        <f>IF(AND(E163&lt;&gt;'Povolené hodnoty'!$B$4,F163=12),J163+M163+P163+S163,"")</f>
        <v/>
      </c>
      <c r="AK163" s="41" t="str">
        <f>IF(AND(E163&lt;&gt;'Povolené hodnoty'!$B$4,F163=13),J163+M163+P163+S163,"")</f>
        <v/>
      </c>
      <c r="AL163" s="39" t="str">
        <f>IF(AND($G163='Povolené hodnoty'!$B$13,$H163=AL$4),SUM($I163,$L163,$O163,$R163),"")</f>
        <v/>
      </c>
      <c r="AM163" s="458" t="str">
        <f>IF(AND($G163='Povolené hodnoty'!$B$13,$H163=AM$4),SUM($I163,$L163,$O163,$R163),"")</f>
        <v/>
      </c>
      <c r="AN163" s="458" t="str">
        <f>IF(AND($G163='Povolené hodnoty'!$B$13,$H163=AN$4),SUM($I163,$L163,$O163,$R163),"")</f>
        <v/>
      </c>
      <c r="AO163" s="458" t="str">
        <f>IF(AND($G163='Povolené hodnoty'!$B$13,$H163=AO$4),SUM($I163,$L163,$O163,$R163),"")</f>
        <v/>
      </c>
      <c r="AP163" s="458" t="str">
        <f>IF(AND($G163='Povolené hodnoty'!$B$13,$H163=AP$4),SUM($I163,$L163,$O163,$R163),"")</f>
        <v/>
      </c>
      <c r="AQ163" s="40" t="str">
        <f>IF(AND($G163='Povolené hodnoty'!$B$13,OR($H163=AQ$4,$H163='Povolené hodnoty'!$E$36)),SUM($I163,-$J163,$L163,-$M163,$O163,-$P163,$R163,-$S163),"")</f>
        <v/>
      </c>
      <c r="AR163" s="40" t="str">
        <f>IF(AND($G163='Povolené hodnoty'!$B$13,$H163=AR$4),SUM($I163,$L163,$O163,$R163),"")</f>
        <v/>
      </c>
      <c r="AS163" s="41" t="str">
        <f>IF(AND($G163='Povolené hodnoty'!$B$13,$H163=AS$4),SUM($I163,$L163,$O163,$R163),"")</f>
        <v/>
      </c>
      <c r="AT163" s="39" t="str">
        <f>IF(AND($G163='Povolené hodnoty'!$B$14,$H163=AT$4),SUM($I163,$L163,$O163,$R163),"")</f>
        <v/>
      </c>
      <c r="AU163" s="458" t="str">
        <f>IF(AND($G163='Povolené hodnoty'!$B$14,$H163=AU$4),SUM($I163,$L163,$O163,$R163),"")</f>
        <v/>
      </c>
      <c r="AV163" s="41" t="str">
        <f>IF(AND($G163='Povolené hodnoty'!$B$14,$H163=AV$4),SUM($I163,$L163,$O163,$R163),"")</f>
        <v/>
      </c>
      <c r="AW163" s="39" t="str">
        <f>IF(AND($G163='Povolené hodnoty'!$B$13,$H163=AW$4),SUM($J163,$M163,$P163,$S163),"")</f>
        <v/>
      </c>
      <c r="AX163" s="458" t="str">
        <f>IF(AND($G163='Povolené hodnoty'!$B$13,$H163=AX$4),SUM($J163,$M163,$P163,$S163),"")</f>
        <v/>
      </c>
      <c r="AY163" s="458" t="str">
        <f>IF(AND($G163='Povolené hodnoty'!$B$13,$H163=AY$4),SUM($J163,$M163,$P163,$S163),"")</f>
        <v/>
      </c>
      <c r="AZ163" s="458" t="str">
        <f>IF(AND($G163='Povolené hodnoty'!$B$13,$H163=AZ$4),SUM($J163,$M163,$P163,$S163),"")</f>
        <v/>
      </c>
      <c r="BA163" s="458" t="str">
        <f>IF(AND($G163='Povolené hodnoty'!$B$13,$H163=BA$4),SUM($J163,$M163,$P163,$S163),"")</f>
        <v/>
      </c>
      <c r="BB163" s="40" t="str">
        <f>IF(AND($G163='Povolené hodnoty'!$B$13,$H163=BB$4),SUM($J163,$M163,$P163,$S163),"")</f>
        <v/>
      </c>
      <c r="BC163" s="40" t="str">
        <f>IF(AND($G163='Povolené hodnoty'!$B$13,$H163=BC$4),SUM($J163,$M163,$P163,$S163),"")</f>
        <v/>
      </c>
      <c r="BD163" s="40" t="str">
        <f>IF(AND($G163='Povolené hodnoty'!$B$13,$H163=BD$4),SUM($J163,$M163,$P163,$S163),"")</f>
        <v/>
      </c>
      <c r="BE163" s="41" t="str">
        <f>IF(AND($G163='Povolené hodnoty'!$B$13,$H163=BE$4),SUM($J163,$M163,$P163,$S163),"")</f>
        <v/>
      </c>
      <c r="BF163" s="39" t="str">
        <f>IF(AND($G163='Povolené hodnoty'!$B$14,$H163=BF$4),SUM($J163,$M163,$P163,$S163),"")</f>
        <v/>
      </c>
      <c r="BG163" s="458" t="str">
        <f>IF(AND($G163='Povolené hodnoty'!$B$14,$H163=BG$4),SUM($J163,$M163,$P163,$S163),"")</f>
        <v/>
      </c>
      <c r="BH163" s="458" t="str">
        <f>IF(AND($G163='Povolené hodnoty'!$B$14,$H163=BH$4),SUM($J163,$M163,$P163,$S163),"")</f>
        <v/>
      </c>
      <c r="BI163" s="458" t="str">
        <f>IF(AND($G163='Povolené hodnoty'!$B$14,$H163=BI$4),SUM($J163,$M163,$P163,$S163),"")</f>
        <v/>
      </c>
      <c r="BJ163" s="458" t="str">
        <f>IF(AND($G163='Povolené hodnoty'!$B$14,$H163=BJ$4),SUM($J163,$M163,$P163,$S163),"")</f>
        <v/>
      </c>
      <c r="BK163" s="40" t="str">
        <f>IF(AND($G163='Povolené hodnoty'!$B$14,$H163=BK$4),SUM($J163,$M163,$P163,$S163),"")</f>
        <v/>
      </c>
      <c r="BL163" s="40" t="str">
        <f>IF(AND($G163='Povolené hodnoty'!$B$14,$H163=BL$4),SUM($J163,$M163,$P163,$S163),"")</f>
        <v/>
      </c>
      <c r="BM163" s="41" t="str">
        <f>IF(AND($G163='Povolené hodnoty'!$B$14,$H163=BM$4),SUM($J163,$M163,$P163,$S163),"")</f>
        <v/>
      </c>
      <c r="BO163" s="18" t="b">
        <f t="shared" si="106"/>
        <v>0</v>
      </c>
      <c r="BP163" s="18" t="b">
        <f t="shared" si="77"/>
        <v>0</v>
      </c>
      <c r="BQ163" s="18" t="b">
        <f>AND(E163&lt;&gt;'Povolené hodnoty'!$B$6,F163&lt;&gt;'Povolené hodnoty'!$D$7,F163&lt;&gt;'Povolené hodnoty'!$D$8,OR(SUM(I163,L163,O163,R163)&lt;&gt;SUM(W163:X163,AA163:AG163),SUM(J163,M163,P163,S163)&lt;&gt;SUM(Y163:Z163,AH163:AK163),COUNT(I163:J163,L163:M163,O163:P163,R163:S163)&lt;&gt;COUNT(W163:AK163)))</f>
        <v>0</v>
      </c>
      <c r="BR163" s="18" t="b">
        <f>OR(AND(E163='Povolené hodnoty'!$B$6,$BR$5),AND(E163='Povolené hodnoty'!$B$6,H163&lt;&gt;'Povolené hodnoty'!$E$26,H163&lt;&gt;'Povolené hodnoty'!$E$35),AND(E163&lt;&gt;'Povolené hodnoty'!$B$6,OR(H163='Povolené hodnoty'!$E$26,H163='Povolené hodnoty'!$E$35)))</f>
        <v>0</v>
      </c>
      <c r="BS163" s="18" t="b">
        <f>OR(AND(G163&lt;&gt;'Povolené hodnoty'!$B$13,OR(H163='Povolené hodnoty'!$E$21,H163='Povolené hodnoty'!$E$22,H163='Povolené hodnoty'!$E$23,H163='Povolené hodnoty'!$E$24,H163='Povolené hodnoty'!$E$26,H163='Povolené hodnoty'!$E$36)),COUNT(I163:J163,L163:M163,O163:P163,R163:S163)&lt;&gt;COUNT(AL163:BM163))</f>
        <v>0</v>
      </c>
      <c r="BT163" s="18" t="b">
        <f t="shared" si="78"/>
        <v>0</v>
      </c>
      <c r="BV163" s="39" t="str">
        <f t="shared" si="79"/>
        <v/>
      </c>
      <c r="BW163" s="458" t="str">
        <f t="shared" si="80"/>
        <v/>
      </c>
      <c r="BX163" s="458" t="str">
        <f t="shared" si="81"/>
        <v/>
      </c>
      <c r="BY163" s="458" t="str">
        <f t="shared" si="82"/>
        <v/>
      </c>
      <c r="BZ163" s="458" t="str">
        <f t="shared" si="83"/>
        <v/>
      </c>
      <c r="CA163" s="40" t="str">
        <f t="shared" si="84"/>
        <v/>
      </c>
      <c r="CB163" s="40" t="str">
        <f t="shared" si="85"/>
        <v/>
      </c>
      <c r="CC163" s="39" t="str">
        <f t="shared" si="86"/>
        <v/>
      </c>
      <c r="CD163" s="458" t="str">
        <f t="shared" si="87"/>
        <v/>
      </c>
      <c r="CE163" s="41" t="str">
        <f t="shared" si="88"/>
        <v/>
      </c>
      <c r="CF163" s="39" t="str">
        <f t="shared" si="89"/>
        <v/>
      </c>
      <c r="CG163" s="458" t="str">
        <f t="shared" si="90"/>
        <v/>
      </c>
      <c r="CH163" s="458" t="str">
        <f t="shared" si="91"/>
        <v/>
      </c>
      <c r="CI163" s="458" t="str">
        <f t="shared" si="92"/>
        <v/>
      </c>
      <c r="CJ163" s="458" t="str">
        <f t="shared" si="93"/>
        <v/>
      </c>
      <c r="CK163" s="40" t="str">
        <f t="shared" si="94"/>
        <v/>
      </c>
      <c r="CL163" s="40" t="str">
        <f t="shared" si="95"/>
        <v/>
      </c>
      <c r="CM163" s="40" t="str">
        <f t="shared" si="96"/>
        <v/>
      </c>
      <c r="CN163" s="39" t="str">
        <f t="shared" si="97"/>
        <v/>
      </c>
      <c r="CO163" s="458" t="str">
        <f t="shared" si="98"/>
        <v/>
      </c>
      <c r="CP163" s="458" t="str">
        <f t="shared" si="99"/>
        <v/>
      </c>
      <c r="CQ163" s="458" t="str">
        <f t="shared" si="100"/>
        <v/>
      </c>
      <c r="CR163" s="458" t="str">
        <f t="shared" si="101"/>
        <v/>
      </c>
      <c r="CS163" s="40" t="str">
        <f t="shared" si="102"/>
        <v/>
      </c>
      <c r="CT163" s="40" t="str">
        <f t="shared" si="103"/>
        <v/>
      </c>
      <c r="CU163" s="41" t="str">
        <f t="shared" si="104"/>
        <v/>
      </c>
    </row>
    <row r="164" spans="1:99" x14ac:dyDescent="0.2">
      <c r="A164" s="77">
        <f t="shared" si="105"/>
        <v>159</v>
      </c>
      <c r="B164" s="81"/>
      <c r="C164" s="82"/>
      <c r="D164" s="71"/>
      <c r="E164" s="72"/>
      <c r="F164" s="73"/>
      <c r="G164" s="443"/>
      <c r="H164" s="443"/>
      <c r="I164" s="74"/>
      <c r="J164" s="75"/>
      <c r="K164" s="41">
        <f t="shared" si="74"/>
        <v>3625</v>
      </c>
      <c r="L164" s="104"/>
      <c r="M164" s="105"/>
      <c r="N164" s="106">
        <f t="shared" si="75"/>
        <v>537.05999999999995</v>
      </c>
      <c r="O164" s="104"/>
      <c r="P164" s="105"/>
      <c r="Q164" s="106">
        <f t="shared" si="107"/>
        <v>10045.83</v>
      </c>
      <c r="R164" s="104"/>
      <c r="S164" s="105"/>
      <c r="T164" s="106">
        <f t="shared" si="108"/>
        <v>0</v>
      </c>
      <c r="U164" s="439"/>
      <c r="V164" s="42">
        <f t="shared" si="76"/>
        <v>159</v>
      </c>
      <c r="W164" s="39" t="str">
        <f>IF(AND(E164='Povolené hodnoty'!$B$4,F164=2),I164+L164+O164+R164,"")</f>
        <v/>
      </c>
      <c r="X164" s="41" t="str">
        <f>IF(AND(E164='Povolené hodnoty'!$B$4,F164=1),I164+L164+O164+R164,"")</f>
        <v/>
      </c>
      <c r="Y164" s="39" t="str">
        <f>IF(AND(E164='Povolené hodnoty'!$B$4,F164=10),J164+M164+P164+S164,"")</f>
        <v/>
      </c>
      <c r="Z164" s="41" t="str">
        <f>IF(AND(E164='Povolené hodnoty'!$B$4,F164=9),J164+M164+P164+S164,"")</f>
        <v/>
      </c>
      <c r="AA164" s="39" t="str">
        <f>IF(AND(E164&lt;&gt;'Povolené hodnoty'!$B$4,F164=2),I164+L164+O164+R164,"")</f>
        <v/>
      </c>
      <c r="AB164" s="40" t="str">
        <f>IF(AND(E164&lt;&gt;'Povolené hodnoty'!$B$4,F164=3),I164+L164+O164+R164,"")</f>
        <v/>
      </c>
      <c r="AC164" s="40" t="str">
        <f>IF(AND(E164&lt;&gt;'Povolené hodnoty'!$B$4,F164=4),I164+L164+O164+R164,"")</f>
        <v/>
      </c>
      <c r="AD164" s="40" t="str">
        <f>IF(AND(E164&lt;&gt;'Povolené hodnoty'!$B$4,F164="5a"),I164-J164+L164-M164+O164-P164+R164-S164,"")</f>
        <v/>
      </c>
      <c r="AE164" s="40" t="str">
        <f>IF(AND(E164&lt;&gt;'Povolené hodnoty'!$B$4,F164="5b"),I164-J164+L164-M164+O164-P164+R164-S164,"")</f>
        <v/>
      </c>
      <c r="AF164" s="40" t="str">
        <f>IF(AND(E164&lt;&gt;'Povolené hodnoty'!$B$4,F164=6),I164+L164+O164+R164,"")</f>
        <v/>
      </c>
      <c r="AG164" s="41" t="str">
        <f>IF(AND(E164&lt;&gt;'Povolené hodnoty'!$B$4,F164=7),I164+L164+O164+R164,"")</f>
        <v/>
      </c>
      <c r="AH164" s="39" t="str">
        <f>IF(AND(E164&lt;&gt;'Povolené hodnoty'!$B$4,F164=10),J164+M164+P164+S164,"")</f>
        <v/>
      </c>
      <c r="AI164" s="40" t="str">
        <f>IF(AND(E164&lt;&gt;'Povolené hodnoty'!$B$4,F164=11),J164+M164+P164+S164,"")</f>
        <v/>
      </c>
      <c r="AJ164" s="40" t="str">
        <f>IF(AND(E164&lt;&gt;'Povolené hodnoty'!$B$4,F164=12),J164+M164+P164+S164,"")</f>
        <v/>
      </c>
      <c r="AK164" s="41" t="str">
        <f>IF(AND(E164&lt;&gt;'Povolené hodnoty'!$B$4,F164=13),J164+M164+P164+S164,"")</f>
        <v/>
      </c>
      <c r="AL164" s="39" t="str">
        <f>IF(AND($G164='Povolené hodnoty'!$B$13,$H164=AL$4),SUM($I164,$L164,$O164,$R164),"")</f>
        <v/>
      </c>
      <c r="AM164" s="458" t="str">
        <f>IF(AND($G164='Povolené hodnoty'!$B$13,$H164=AM$4),SUM($I164,$L164,$O164,$R164),"")</f>
        <v/>
      </c>
      <c r="AN164" s="458" t="str">
        <f>IF(AND($G164='Povolené hodnoty'!$B$13,$H164=AN$4),SUM($I164,$L164,$O164,$R164),"")</f>
        <v/>
      </c>
      <c r="AO164" s="458" t="str">
        <f>IF(AND($G164='Povolené hodnoty'!$B$13,$H164=AO$4),SUM($I164,$L164,$O164,$R164),"")</f>
        <v/>
      </c>
      <c r="AP164" s="458" t="str">
        <f>IF(AND($G164='Povolené hodnoty'!$B$13,$H164=AP$4),SUM($I164,$L164,$O164,$R164),"")</f>
        <v/>
      </c>
      <c r="AQ164" s="40" t="str">
        <f>IF(AND($G164='Povolené hodnoty'!$B$13,OR($H164=AQ$4,$H164='Povolené hodnoty'!$E$36)),SUM($I164,-$J164,$L164,-$M164,$O164,-$P164,$R164,-$S164),"")</f>
        <v/>
      </c>
      <c r="AR164" s="40" t="str">
        <f>IF(AND($G164='Povolené hodnoty'!$B$13,$H164=AR$4),SUM($I164,$L164,$O164,$R164),"")</f>
        <v/>
      </c>
      <c r="AS164" s="41" t="str">
        <f>IF(AND($G164='Povolené hodnoty'!$B$13,$H164=AS$4),SUM($I164,$L164,$O164,$R164),"")</f>
        <v/>
      </c>
      <c r="AT164" s="39" t="str">
        <f>IF(AND($G164='Povolené hodnoty'!$B$14,$H164=AT$4),SUM($I164,$L164,$O164,$R164),"")</f>
        <v/>
      </c>
      <c r="AU164" s="458" t="str">
        <f>IF(AND($G164='Povolené hodnoty'!$B$14,$H164=AU$4),SUM($I164,$L164,$O164,$R164),"")</f>
        <v/>
      </c>
      <c r="AV164" s="41" t="str">
        <f>IF(AND($G164='Povolené hodnoty'!$B$14,$H164=AV$4),SUM($I164,$L164,$O164,$R164),"")</f>
        <v/>
      </c>
      <c r="AW164" s="39" t="str">
        <f>IF(AND($G164='Povolené hodnoty'!$B$13,$H164=AW$4),SUM($J164,$M164,$P164,$S164),"")</f>
        <v/>
      </c>
      <c r="AX164" s="458" t="str">
        <f>IF(AND($G164='Povolené hodnoty'!$B$13,$H164=AX$4),SUM($J164,$M164,$P164,$S164),"")</f>
        <v/>
      </c>
      <c r="AY164" s="458" t="str">
        <f>IF(AND($G164='Povolené hodnoty'!$B$13,$H164=AY$4),SUM($J164,$M164,$P164,$S164),"")</f>
        <v/>
      </c>
      <c r="AZ164" s="458" t="str">
        <f>IF(AND($G164='Povolené hodnoty'!$B$13,$H164=AZ$4),SUM($J164,$M164,$P164,$S164),"")</f>
        <v/>
      </c>
      <c r="BA164" s="458" t="str">
        <f>IF(AND($G164='Povolené hodnoty'!$B$13,$H164=BA$4),SUM($J164,$M164,$P164,$S164),"")</f>
        <v/>
      </c>
      <c r="BB164" s="40" t="str">
        <f>IF(AND($G164='Povolené hodnoty'!$B$13,$H164=BB$4),SUM($J164,$M164,$P164,$S164),"")</f>
        <v/>
      </c>
      <c r="BC164" s="40" t="str">
        <f>IF(AND($G164='Povolené hodnoty'!$B$13,$H164=BC$4),SUM($J164,$M164,$P164,$S164),"")</f>
        <v/>
      </c>
      <c r="BD164" s="40" t="str">
        <f>IF(AND($G164='Povolené hodnoty'!$B$13,$H164=BD$4),SUM($J164,$M164,$P164,$S164),"")</f>
        <v/>
      </c>
      <c r="BE164" s="41" t="str">
        <f>IF(AND($G164='Povolené hodnoty'!$B$13,$H164=BE$4),SUM($J164,$M164,$P164,$S164),"")</f>
        <v/>
      </c>
      <c r="BF164" s="39" t="str">
        <f>IF(AND($G164='Povolené hodnoty'!$B$14,$H164=BF$4),SUM($J164,$M164,$P164,$S164),"")</f>
        <v/>
      </c>
      <c r="BG164" s="458" t="str">
        <f>IF(AND($G164='Povolené hodnoty'!$B$14,$H164=BG$4),SUM($J164,$M164,$P164,$S164),"")</f>
        <v/>
      </c>
      <c r="BH164" s="458" t="str">
        <f>IF(AND($G164='Povolené hodnoty'!$B$14,$H164=BH$4),SUM($J164,$M164,$P164,$S164),"")</f>
        <v/>
      </c>
      <c r="BI164" s="458" t="str">
        <f>IF(AND($G164='Povolené hodnoty'!$B$14,$H164=BI$4),SUM($J164,$M164,$P164,$S164),"")</f>
        <v/>
      </c>
      <c r="BJ164" s="458" t="str">
        <f>IF(AND($G164='Povolené hodnoty'!$B$14,$H164=BJ$4),SUM($J164,$M164,$P164,$S164),"")</f>
        <v/>
      </c>
      <c r="BK164" s="40" t="str">
        <f>IF(AND($G164='Povolené hodnoty'!$B$14,$H164=BK$4),SUM($J164,$M164,$P164,$S164),"")</f>
        <v/>
      </c>
      <c r="BL164" s="40" t="str">
        <f>IF(AND($G164='Povolené hodnoty'!$B$14,$H164=BL$4),SUM($J164,$M164,$P164,$S164),"")</f>
        <v/>
      </c>
      <c r="BM164" s="41" t="str">
        <f>IF(AND($G164='Povolené hodnoty'!$B$14,$H164=BM$4),SUM($J164,$M164,$P164,$S164),"")</f>
        <v/>
      </c>
      <c r="BO164" s="18" t="b">
        <f t="shared" si="106"/>
        <v>0</v>
      </c>
      <c r="BP164" s="18" t="b">
        <f t="shared" si="77"/>
        <v>0</v>
      </c>
      <c r="BQ164" s="18" t="b">
        <f>AND(E164&lt;&gt;'Povolené hodnoty'!$B$6,F164&lt;&gt;'Povolené hodnoty'!$D$7,F164&lt;&gt;'Povolené hodnoty'!$D$8,OR(SUM(I164,L164,O164,R164)&lt;&gt;SUM(W164:X164,AA164:AG164),SUM(J164,M164,P164,S164)&lt;&gt;SUM(Y164:Z164,AH164:AK164),COUNT(I164:J164,L164:M164,O164:P164,R164:S164)&lt;&gt;COUNT(W164:AK164)))</f>
        <v>0</v>
      </c>
      <c r="BR164" s="18" t="b">
        <f>OR(AND(E164='Povolené hodnoty'!$B$6,$BR$5),AND(E164='Povolené hodnoty'!$B$6,H164&lt;&gt;'Povolené hodnoty'!$E$26,H164&lt;&gt;'Povolené hodnoty'!$E$35),AND(E164&lt;&gt;'Povolené hodnoty'!$B$6,OR(H164='Povolené hodnoty'!$E$26,H164='Povolené hodnoty'!$E$35)))</f>
        <v>0</v>
      </c>
      <c r="BS164" s="18" t="b">
        <f>OR(AND(G164&lt;&gt;'Povolené hodnoty'!$B$13,OR(H164='Povolené hodnoty'!$E$21,H164='Povolené hodnoty'!$E$22,H164='Povolené hodnoty'!$E$23,H164='Povolené hodnoty'!$E$24,H164='Povolené hodnoty'!$E$26,H164='Povolené hodnoty'!$E$36)),COUNT(I164:J164,L164:M164,O164:P164,R164:S164)&lt;&gt;COUNT(AL164:BM164))</f>
        <v>0</v>
      </c>
      <c r="BT164" s="18" t="b">
        <f t="shared" si="78"/>
        <v>0</v>
      </c>
      <c r="BV164" s="39" t="str">
        <f t="shared" si="79"/>
        <v/>
      </c>
      <c r="BW164" s="458" t="str">
        <f t="shared" si="80"/>
        <v/>
      </c>
      <c r="BX164" s="458" t="str">
        <f t="shared" si="81"/>
        <v/>
      </c>
      <c r="BY164" s="458" t="str">
        <f t="shared" si="82"/>
        <v/>
      </c>
      <c r="BZ164" s="458" t="str">
        <f t="shared" si="83"/>
        <v/>
      </c>
      <c r="CA164" s="40" t="str">
        <f t="shared" si="84"/>
        <v/>
      </c>
      <c r="CB164" s="40" t="str">
        <f t="shared" si="85"/>
        <v/>
      </c>
      <c r="CC164" s="39" t="str">
        <f t="shared" si="86"/>
        <v/>
      </c>
      <c r="CD164" s="458" t="str">
        <f t="shared" si="87"/>
        <v/>
      </c>
      <c r="CE164" s="41" t="str">
        <f t="shared" si="88"/>
        <v/>
      </c>
      <c r="CF164" s="39" t="str">
        <f t="shared" si="89"/>
        <v/>
      </c>
      <c r="CG164" s="458" t="str">
        <f t="shared" si="90"/>
        <v/>
      </c>
      <c r="CH164" s="458" t="str">
        <f t="shared" si="91"/>
        <v/>
      </c>
      <c r="CI164" s="458" t="str">
        <f t="shared" si="92"/>
        <v/>
      </c>
      <c r="CJ164" s="458" t="str">
        <f t="shared" si="93"/>
        <v/>
      </c>
      <c r="CK164" s="40" t="str">
        <f t="shared" si="94"/>
        <v/>
      </c>
      <c r="CL164" s="40" t="str">
        <f t="shared" si="95"/>
        <v/>
      </c>
      <c r="CM164" s="40" t="str">
        <f t="shared" si="96"/>
        <v/>
      </c>
      <c r="CN164" s="39" t="str">
        <f t="shared" si="97"/>
        <v/>
      </c>
      <c r="CO164" s="458" t="str">
        <f t="shared" si="98"/>
        <v/>
      </c>
      <c r="CP164" s="458" t="str">
        <f t="shared" si="99"/>
        <v/>
      </c>
      <c r="CQ164" s="458" t="str">
        <f t="shared" si="100"/>
        <v/>
      </c>
      <c r="CR164" s="458" t="str">
        <f t="shared" si="101"/>
        <v/>
      </c>
      <c r="CS164" s="40" t="str">
        <f t="shared" si="102"/>
        <v/>
      </c>
      <c r="CT164" s="40" t="str">
        <f t="shared" si="103"/>
        <v/>
      </c>
      <c r="CU164" s="41" t="str">
        <f t="shared" si="104"/>
        <v/>
      </c>
    </row>
    <row r="165" spans="1:99" x14ac:dyDescent="0.2">
      <c r="A165" s="77">
        <f t="shared" si="105"/>
        <v>160</v>
      </c>
      <c r="B165" s="81"/>
      <c r="C165" s="82"/>
      <c r="D165" s="71"/>
      <c r="E165" s="72"/>
      <c r="F165" s="73"/>
      <c r="G165" s="443"/>
      <c r="H165" s="443"/>
      <c r="I165" s="74"/>
      <c r="J165" s="75"/>
      <c r="K165" s="41">
        <f t="shared" si="74"/>
        <v>3625</v>
      </c>
      <c r="L165" s="104"/>
      <c r="M165" s="105"/>
      <c r="N165" s="106">
        <f t="shared" si="75"/>
        <v>537.05999999999995</v>
      </c>
      <c r="O165" s="104"/>
      <c r="P165" s="105"/>
      <c r="Q165" s="106">
        <f t="shared" si="107"/>
        <v>10045.83</v>
      </c>
      <c r="R165" s="104"/>
      <c r="S165" s="105"/>
      <c r="T165" s="106">
        <f t="shared" si="108"/>
        <v>0</v>
      </c>
      <c r="U165" s="439"/>
      <c r="V165" s="42">
        <f t="shared" si="76"/>
        <v>160</v>
      </c>
      <c r="W165" s="39" t="str">
        <f>IF(AND(E165='Povolené hodnoty'!$B$4,F165=2),I165+L165+O165+R165,"")</f>
        <v/>
      </c>
      <c r="X165" s="41" t="str">
        <f>IF(AND(E165='Povolené hodnoty'!$B$4,F165=1),I165+L165+O165+R165,"")</f>
        <v/>
      </c>
      <c r="Y165" s="39" t="str">
        <f>IF(AND(E165='Povolené hodnoty'!$B$4,F165=10),J165+M165+P165+S165,"")</f>
        <v/>
      </c>
      <c r="Z165" s="41" t="str">
        <f>IF(AND(E165='Povolené hodnoty'!$B$4,F165=9),J165+M165+P165+S165,"")</f>
        <v/>
      </c>
      <c r="AA165" s="39" t="str">
        <f>IF(AND(E165&lt;&gt;'Povolené hodnoty'!$B$4,F165=2),I165+L165+O165+R165,"")</f>
        <v/>
      </c>
      <c r="AB165" s="40" t="str">
        <f>IF(AND(E165&lt;&gt;'Povolené hodnoty'!$B$4,F165=3),I165+L165+O165+R165,"")</f>
        <v/>
      </c>
      <c r="AC165" s="40" t="str">
        <f>IF(AND(E165&lt;&gt;'Povolené hodnoty'!$B$4,F165=4),I165+L165+O165+R165,"")</f>
        <v/>
      </c>
      <c r="AD165" s="40" t="str">
        <f>IF(AND(E165&lt;&gt;'Povolené hodnoty'!$B$4,F165="5a"),I165-J165+L165-M165+O165-P165+R165-S165,"")</f>
        <v/>
      </c>
      <c r="AE165" s="40" t="str">
        <f>IF(AND(E165&lt;&gt;'Povolené hodnoty'!$B$4,F165="5b"),I165-J165+L165-M165+O165-P165+R165-S165,"")</f>
        <v/>
      </c>
      <c r="AF165" s="40" t="str">
        <f>IF(AND(E165&lt;&gt;'Povolené hodnoty'!$B$4,F165=6),I165+L165+O165+R165,"")</f>
        <v/>
      </c>
      <c r="AG165" s="41" t="str">
        <f>IF(AND(E165&lt;&gt;'Povolené hodnoty'!$B$4,F165=7),I165+L165+O165+R165,"")</f>
        <v/>
      </c>
      <c r="AH165" s="39" t="str">
        <f>IF(AND(E165&lt;&gt;'Povolené hodnoty'!$B$4,F165=10),J165+M165+P165+S165,"")</f>
        <v/>
      </c>
      <c r="AI165" s="40" t="str">
        <f>IF(AND(E165&lt;&gt;'Povolené hodnoty'!$B$4,F165=11),J165+M165+P165+S165,"")</f>
        <v/>
      </c>
      <c r="AJ165" s="40" t="str">
        <f>IF(AND(E165&lt;&gt;'Povolené hodnoty'!$B$4,F165=12),J165+M165+P165+S165,"")</f>
        <v/>
      </c>
      <c r="AK165" s="41" t="str">
        <f>IF(AND(E165&lt;&gt;'Povolené hodnoty'!$B$4,F165=13),J165+M165+P165+S165,"")</f>
        <v/>
      </c>
      <c r="AL165" s="39" t="str">
        <f>IF(AND($G165='Povolené hodnoty'!$B$13,$H165=AL$4),SUM($I165,$L165,$O165,$R165),"")</f>
        <v/>
      </c>
      <c r="AM165" s="458" t="str">
        <f>IF(AND($G165='Povolené hodnoty'!$B$13,$H165=AM$4),SUM($I165,$L165,$O165,$R165),"")</f>
        <v/>
      </c>
      <c r="AN165" s="458" t="str">
        <f>IF(AND($G165='Povolené hodnoty'!$B$13,$H165=AN$4),SUM($I165,$L165,$O165,$R165),"")</f>
        <v/>
      </c>
      <c r="AO165" s="458" t="str">
        <f>IF(AND($G165='Povolené hodnoty'!$B$13,$H165=AO$4),SUM($I165,$L165,$O165,$R165),"")</f>
        <v/>
      </c>
      <c r="AP165" s="458" t="str">
        <f>IF(AND($G165='Povolené hodnoty'!$B$13,$H165=AP$4),SUM($I165,$L165,$O165,$R165),"")</f>
        <v/>
      </c>
      <c r="AQ165" s="40" t="str">
        <f>IF(AND($G165='Povolené hodnoty'!$B$13,OR($H165=AQ$4,$H165='Povolené hodnoty'!$E$36)),SUM($I165,-$J165,$L165,-$M165,$O165,-$P165,$R165,-$S165),"")</f>
        <v/>
      </c>
      <c r="AR165" s="40" t="str">
        <f>IF(AND($G165='Povolené hodnoty'!$B$13,$H165=AR$4),SUM($I165,$L165,$O165,$R165),"")</f>
        <v/>
      </c>
      <c r="AS165" s="41" t="str">
        <f>IF(AND($G165='Povolené hodnoty'!$B$13,$H165=AS$4),SUM($I165,$L165,$O165,$R165),"")</f>
        <v/>
      </c>
      <c r="AT165" s="39" t="str">
        <f>IF(AND($G165='Povolené hodnoty'!$B$14,$H165=AT$4),SUM($I165,$L165,$O165,$R165),"")</f>
        <v/>
      </c>
      <c r="AU165" s="458" t="str">
        <f>IF(AND($G165='Povolené hodnoty'!$B$14,$H165=AU$4),SUM($I165,$L165,$O165,$R165),"")</f>
        <v/>
      </c>
      <c r="AV165" s="41" t="str">
        <f>IF(AND($G165='Povolené hodnoty'!$B$14,$H165=AV$4),SUM($I165,$L165,$O165,$R165),"")</f>
        <v/>
      </c>
      <c r="AW165" s="39" t="str">
        <f>IF(AND($G165='Povolené hodnoty'!$B$13,$H165=AW$4),SUM($J165,$M165,$P165,$S165),"")</f>
        <v/>
      </c>
      <c r="AX165" s="458" t="str">
        <f>IF(AND($G165='Povolené hodnoty'!$B$13,$H165=AX$4),SUM($J165,$M165,$P165,$S165),"")</f>
        <v/>
      </c>
      <c r="AY165" s="458" t="str">
        <f>IF(AND($G165='Povolené hodnoty'!$B$13,$H165=AY$4),SUM($J165,$M165,$P165,$S165),"")</f>
        <v/>
      </c>
      <c r="AZ165" s="458" t="str">
        <f>IF(AND($G165='Povolené hodnoty'!$B$13,$H165=AZ$4),SUM($J165,$M165,$P165,$S165),"")</f>
        <v/>
      </c>
      <c r="BA165" s="458" t="str">
        <f>IF(AND($G165='Povolené hodnoty'!$B$13,$H165=BA$4),SUM($J165,$M165,$P165,$S165),"")</f>
        <v/>
      </c>
      <c r="BB165" s="40" t="str">
        <f>IF(AND($G165='Povolené hodnoty'!$B$13,$H165=BB$4),SUM($J165,$M165,$P165,$S165),"")</f>
        <v/>
      </c>
      <c r="BC165" s="40" t="str">
        <f>IF(AND($G165='Povolené hodnoty'!$B$13,$H165=BC$4),SUM($J165,$M165,$P165,$S165),"")</f>
        <v/>
      </c>
      <c r="BD165" s="40" t="str">
        <f>IF(AND($G165='Povolené hodnoty'!$B$13,$H165=BD$4),SUM($J165,$M165,$P165,$S165),"")</f>
        <v/>
      </c>
      <c r="BE165" s="41" t="str">
        <f>IF(AND($G165='Povolené hodnoty'!$B$13,$H165=BE$4),SUM($J165,$M165,$P165,$S165),"")</f>
        <v/>
      </c>
      <c r="BF165" s="39" t="str">
        <f>IF(AND($G165='Povolené hodnoty'!$B$14,$H165=BF$4),SUM($J165,$M165,$P165,$S165),"")</f>
        <v/>
      </c>
      <c r="BG165" s="458" t="str">
        <f>IF(AND($G165='Povolené hodnoty'!$B$14,$H165=BG$4),SUM($J165,$M165,$P165,$S165),"")</f>
        <v/>
      </c>
      <c r="BH165" s="458" t="str">
        <f>IF(AND($G165='Povolené hodnoty'!$B$14,$H165=BH$4),SUM($J165,$M165,$P165,$S165),"")</f>
        <v/>
      </c>
      <c r="BI165" s="458" t="str">
        <f>IF(AND($G165='Povolené hodnoty'!$B$14,$H165=BI$4),SUM($J165,$M165,$P165,$S165),"")</f>
        <v/>
      </c>
      <c r="BJ165" s="458" t="str">
        <f>IF(AND($G165='Povolené hodnoty'!$B$14,$H165=BJ$4),SUM($J165,$M165,$P165,$S165),"")</f>
        <v/>
      </c>
      <c r="BK165" s="40" t="str">
        <f>IF(AND($G165='Povolené hodnoty'!$B$14,$H165=BK$4),SUM($J165,$M165,$P165,$S165),"")</f>
        <v/>
      </c>
      <c r="BL165" s="40" t="str">
        <f>IF(AND($G165='Povolené hodnoty'!$B$14,$H165=BL$4),SUM($J165,$M165,$P165,$S165),"")</f>
        <v/>
      </c>
      <c r="BM165" s="41" t="str">
        <f>IF(AND($G165='Povolené hodnoty'!$B$14,$H165=BM$4),SUM($J165,$M165,$P165,$S165),"")</f>
        <v/>
      </c>
      <c r="BO165" s="18" t="b">
        <f t="shared" si="106"/>
        <v>0</v>
      </c>
      <c r="BP165" s="18" t="b">
        <f t="shared" si="77"/>
        <v>0</v>
      </c>
      <c r="BQ165" s="18" t="b">
        <f>AND(E165&lt;&gt;'Povolené hodnoty'!$B$6,F165&lt;&gt;'Povolené hodnoty'!$D$7,F165&lt;&gt;'Povolené hodnoty'!$D$8,OR(SUM(I165,L165,O165,R165)&lt;&gt;SUM(W165:X165,AA165:AG165),SUM(J165,M165,P165,S165)&lt;&gt;SUM(Y165:Z165,AH165:AK165),COUNT(I165:J165,L165:M165,O165:P165,R165:S165)&lt;&gt;COUNT(W165:AK165)))</f>
        <v>0</v>
      </c>
      <c r="BR165" s="18" t="b">
        <f>OR(AND(E165='Povolené hodnoty'!$B$6,$BR$5),AND(E165='Povolené hodnoty'!$B$6,H165&lt;&gt;'Povolené hodnoty'!$E$26,H165&lt;&gt;'Povolené hodnoty'!$E$35),AND(E165&lt;&gt;'Povolené hodnoty'!$B$6,OR(H165='Povolené hodnoty'!$E$26,H165='Povolené hodnoty'!$E$35)))</f>
        <v>0</v>
      </c>
      <c r="BS165" s="18" t="b">
        <f>OR(AND(G165&lt;&gt;'Povolené hodnoty'!$B$13,OR(H165='Povolené hodnoty'!$E$21,H165='Povolené hodnoty'!$E$22,H165='Povolené hodnoty'!$E$23,H165='Povolené hodnoty'!$E$24,H165='Povolené hodnoty'!$E$26,H165='Povolené hodnoty'!$E$36)),COUNT(I165:J165,L165:M165,O165:P165,R165:S165)&lt;&gt;COUNT(AL165:BM165))</f>
        <v>0</v>
      </c>
      <c r="BT165" s="18" t="b">
        <f t="shared" si="78"/>
        <v>0</v>
      </c>
      <c r="BV165" s="39" t="str">
        <f t="shared" si="79"/>
        <v/>
      </c>
      <c r="BW165" s="458" t="str">
        <f t="shared" si="80"/>
        <v/>
      </c>
      <c r="BX165" s="458" t="str">
        <f t="shared" si="81"/>
        <v/>
      </c>
      <c r="BY165" s="458" t="str">
        <f t="shared" si="82"/>
        <v/>
      </c>
      <c r="BZ165" s="458" t="str">
        <f t="shared" si="83"/>
        <v/>
      </c>
      <c r="CA165" s="40" t="str">
        <f t="shared" si="84"/>
        <v/>
      </c>
      <c r="CB165" s="40" t="str">
        <f t="shared" si="85"/>
        <v/>
      </c>
      <c r="CC165" s="39" t="str">
        <f t="shared" si="86"/>
        <v/>
      </c>
      <c r="CD165" s="458" t="str">
        <f t="shared" si="87"/>
        <v/>
      </c>
      <c r="CE165" s="41" t="str">
        <f t="shared" si="88"/>
        <v/>
      </c>
      <c r="CF165" s="39" t="str">
        <f t="shared" si="89"/>
        <v/>
      </c>
      <c r="CG165" s="458" t="str">
        <f t="shared" si="90"/>
        <v/>
      </c>
      <c r="CH165" s="458" t="str">
        <f t="shared" si="91"/>
        <v/>
      </c>
      <c r="CI165" s="458" t="str">
        <f t="shared" si="92"/>
        <v/>
      </c>
      <c r="CJ165" s="458" t="str">
        <f t="shared" si="93"/>
        <v/>
      </c>
      <c r="CK165" s="40" t="str">
        <f t="shared" si="94"/>
        <v/>
      </c>
      <c r="CL165" s="40" t="str">
        <f t="shared" si="95"/>
        <v/>
      </c>
      <c r="CM165" s="40" t="str">
        <f t="shared" si="96"/>
        <v/>
      </c>
      <c r="CN165" s="39" t="str">
        <f t="shared" si="97"/>
        <v/>
      </c>
      <c r="CO165" s="458" t="str">
        <f t="shared" si="98"/>
        <v/>
      </c>
      <c r="CP165" s="458" t="str">
        <f t="shared" si="99"/>
        <v/>
      </c>
      <c r="CQ165" s="458" t="str">
        <f t="shared" si="100"/>
        <v/>
      </c>
      <c r="CR165" s="458" t="str">
        <f t="shared" si="101"/>
        <v/>
      </c>
      <c r="CS165" s="40" t="str">
        <f t="shared" si="102"/>
        <v/>
      </c>
      <c r="CT165" s="40" t="str">
        <f t="shared" si="103"/>
        <v/>
      </c>
      <c r="CU165" s="41" t="str">
        <f t="shared" si="104"/>
        <v/>
      </c>
    </row>
    <row r="166" spans="1:99" x14ac:dyDescent="0.2">
      <c r="A166" s="77">
        <f t="shared" si="105"/>
        <v>161</v>
      </c>
      <c r="B166" s="81"/>
      <c r="C166" s="82"/>
      <c r="D166" s="71"/>
      <c r="E166" s="72"/>
      <c r="F166" s="73"/>
      <c r="G166" s="443"/>
      <c r="H166" s="443"/>
      <c r="I166" s="74"/>
      <c r="J166" s="75"/>
      <c r="K166" s="41">
        <f t="shared" si="74"/>
        <v>3625</v>
      </c>
      <c r="L166" s="104"/>
      <c r="M166" s="105"/>
      <c r="N166" s="106">
        <f t="shared" si="75"/>
        <v>537.05999999999995</v>
      </c>
      <c r="O166" s="104"/>
      <c r="P166" s="105"/>
      <c r="Q166" s="106">
        <f t="shared" si="107"/>
        <v>10045.83</v>
      </c>
      <c r="R166" s="104"/>
      <c r="S166" s="105"/>
      <c r="T166" s="106">
        <f t="shared" si="108"/>
        <v>0</v>
      </c>
      <c r="U166" s="439"/>
      <c r="V166" s="42">
        <f t="shared" si="76"/>
        <v>161</v>
      </c>
      <c r="W166" s="39" t="str">
        <f>IF(AND(E166='Povolené hodnoty'!$B$4,F166=2),I166+L166+O166+R166,"")</f>
        <v/>
      </c>
      <c r="X166" s="41" t="str">
        <f>IF(AND(E166='Povolené hodnoty'!$B$4,F166=1),I166+L166+O166+R166,"")</f>
        <v/>
      </c>
      <c r="Y166" s="39" t="str">
        <f>IF(AND(E166='Povolené hodnoty'!$B$4,F166=10),J166+M166+P166+S166,"")</f>
        <v/>
      </c>
      <c r="Z166" s="41" t="str">
        <f>IF(AND(E166='Povolené hodnoty'!$B$4,F166=9),J166+M166+P166+S166,"")</f>
        <v/>
      </c>
      <c r="AA166" s="39" t="str">
        <f>IF(AND(E166&lt;&gt;'Povolené hodnoty'!$B$4,F166=2),I166+L166+O166+R166,"")</f>
        <v/>
      </c>
      <c r="AB166" s="40" t="str">
        <f>IF(AND(E166&lt;&gt;'Povolené hodnoty'!$B$4,F166=3),I166+L166+O166+R166,"")</f>
        <v/>
      </c>
      <c r="AC166" s="40" t="str">
        <f>IF(AND(E166&lt;&gt;'Povolené hodnoty'!$B$4,F166=4),I166+L166+O166+R166,"")</f>
        <v/>
      </c>
      <c r="AD166" s="40" t="str">
        <f>IF(AND(E166&lt;&gt;'Povolené hodnoty'!$B$4,F166="5a"),I166-J166+L166-M166+O166-P166+R166-S166,"")</f>
        <v/>
      </c>
      <c r="AE166" s="40" t="str">
        <f>IF(AND(E166&lt;&gt;'Povolené hodnoty'!$B$4,F166="5b"),I166-J166+L166-M166+O166-P166+R166-S166,"")</f>
        <v/>
      </c>
      <c r="AF166" s="40" t="str">
        <f>IF(AND(E166&lt;&gt;'Povolené hodnoty'!$B$4,F166=6),I166+L166+O166+R166,"")</f>
        <v/>
      </c>
      <c r="AG166" s="41" t="str">
        <f>IF(AND(E166&lt;&gt;'Povolené hodnoty'!$B$4,F166=7),I166+L166+O166+R166,"")</f>
        <v/>
      </c>
      <c r="AH166" s="39" t="str">
        <f>IF(AND(E166&lt;&gt;'Povolené hodnoty'!$B$4,F166=10),J166+M166+P166+S166,"")</f>
        <v/>
      </c>
      <c r="AI166" s="40" t="str">
        <f>IF(AND(E166&lt;&gt;'Povolené hodnoty'!$B$4,F166=11),J166+M166+P166+S166,"")</f>
        <v/>
      </c>
      <c r="AJ166" s="40" t="str">
        <f>IF(AND(E166&lt;&gt;'Povolené hodnoty'!$B$4,F166=12),J166+M166+P166+S166,"")</f>
        <v/>
      </c>
      <c r="AK166" s="41" t="str">
        <f>IF(AND(E166&lt;&gt;'Povolené hodnoty'!$B$4,F166=13),J166+M166+P166+S166,"")</f>
        <v/>
      </c>
      <c r="AL166" s="39" t="str">
        <f>IF(AND($G166='Povolené hodnoty'!$B$13,$H166=AL$4),SUM($I166,$L166,$O166,$R166),"")</f>
        <v/>
      </c>
      <c r="AM166" s="458" t="str">
        <f>IF(AND($G166='Povolené hodnoty'!$B$13,$H166=AM$4),SUM($I166,$L166,$O166,$R166),"")</f>
        <v/>
      </c>
      <c r="AN166" s="458" t="str">
        <f>IF(AND($G166='Povolené hodnoty'!$B$13,$H166=AN$4),SUM($I166,$L166,$O166,$R166),"")</f>
        <v/>
      </c>
      <c r="AO166" s="458" t="str">
        <f>IF(AND($G166='Povolené hodnoty'!$B$13,$H166=AO$4),SUM($I166,$L166,$O166,$R166),"")</f>
        <v/>
      </c>
      <c r="AP166" s="458" t="str">
        <f>IF(AND($G166='Povolené hodnoty'!$B$13,$H166=AP$4),SUM($I166,$L166,$O166,$R166),"")</f>
        <v/>
      </c>
      <c r="AQ166" s="40" t="str">
        <f>IF(AND($G166='Povolené hodnoty'!$B$13,OR($H166=AQ$4,$H166='Povolené hodnoty'!$E$36)),SUM($I166,-$J166,$L166,-$M166,$O166,-$P166,$R166,-$S166),"")</f>
        <v/>
      </c>
      <c r="AR166" s="40" t="str">
        <f>IF(AND($G166='Povolené hodnoty'!$B$13,$H166=AR$4),SUM($I166,$L166,$O166,$R166),"")</f>
        <v/>
      </c>
      <c r="AS166" s="41" t="str">
        <f>IF(AND($G166='Povolené hodnoty'!$B$13,$H166=AS$4),SUM($I166,$L166,$O166,$R166),"")</f>
        <v/>
      </c>
      <c r="AT166" s="39" t="str">
        <f>IF(AND($G166='Povolené hodnoty'!$B$14,$H166=AT$4),SUM($I166,$L166,$O166,$R166),"")</f>
        <v/>
      </c>
      <c r="AU166" s="458" t="str">
        <f>IF(AND($G166='Povolené hodnoty'!$B$14,$H166=AU$4),SUM($I166,$L166,$O166,$R166),"")</f>
        <v/>
      </c>
      <c r="AV166" s="41" t="str">
        <f>IF(AND($G166='Povolené hodnoty'!$B$14,$H166=AV$4),SUM($I166,$L166,$O166,$R166),"")</f>
        <v/>
      </c>
      <c r="AW166" s="39" t="str">
        <f>IF(AND($G166='Povolené hodnoty'!$B$13,$H166=AW$4),SUM($J166,$M166,$P166,$S166),"")</f>
        <v/>
      </c>
      <c r="AX166" s="458" t="str">
        <f>IF(AND($G166='Povolené hodnoty'!$B$13,$H166=AX$4),SUM($J166,$M166,$P166,$S166),"")</f>
        <v/>
      </c>
      <c r="AY166" s="458" t="str">
        <f>IF(AND($G166='Povolené hodnoty'!$B$13,$H166=AY$4),SUM($J166,$M166,$P166,$S166),"")</f>
        <v/>
      </c>
      <c r="AZ166" s="458" t="str">
        <f>IF(AND($G166='Povolené hodnoty'!$B$13,$H166=AZ$4),SUM($J166,$M166,$P166,$S166),"")</f>
        <v/>
      </c>
      <c r="BA166" s="458" t="str">
        <f>IF(AND($G166='Povolené hodnoty'!$B$13,$H166=BA$4),SUM($J166,$M166,$P166,$S166),"")</f>
        <v/>
      </c>
      <c r="BB166" s="40" t="str">
        <f>IF(AND($G166='Povolené hodnoty'!$B$13,$H166=BB$4),SUM($J166,$M166,$P166,$S166),"")</f>
        <v/>
      </c>
      <c r="BC166" s="40" t="str">
        <f>IF(AND($G166='Povolené hodnoty'!$B$13,$H166=BC$4),SUM($J166,$M166,$P166,$S166),"")</f>
        <v/>
      </c>
      <c r="BD166" s="40" t="str">
        <f>IF(AND($G166='Povolené hodnoty'!$B$13,$H166=BD$4),SUM($J166,$M166,$P166,$S166),"")</f>
        <v/>
      </c>
      <c r="BE166" s="41" t="str">
        <f>IF(AND($G166='Povolené hodnoty'!$B$13,$H166=BE$4),SUM($J166,$M166,$P166,$S166),"")</f>
        <v/>
      </c>
      <c r="BF166" s="39" t="str">
        <f>IF(AND($G166='Povolené hodnoty'!$B$14,$H166=BF$4),SUM($J166,$M166,$P166,$S166),"")</f>
        <v/>
      </c>
      <c r="BG166" s="458" t="str">
        <f>IF(AND($G166='Povolené hodnoty'!$B$14,$H166=BG$4),SUM($J166,$M166,$P166,$S166),"")</f>
        <v/>
      </c>
      <c r="BH166" s="458" t="str">
        <f>IF(AND($G166='Povolené hodnoty'!$B$14,$H166=BH$4),SUM($J166,$M166,$P166,$S166),"")</f>
        <v/>
      </c>
      <c r="BI166" s="458" t="str">
        <f>IF(AND($G166='Povolené hodnoty'!$B$14,$H166=BI$4),SUM($J166,$M166,$P166,$S166),"")</f>
        <v/>
      </c>
      <c r="BJ166" s="458" t="str">
        <f>IF(AND($G166='Povolené hodnoty'!$B$14,$H166=BJ$4),SUM($J166,$M166,$P166,$S166),"")</f>
        <v/>
      </c>
      <c r="BK166" s="40" t="str">
        <f>IF(AND($G166='Povolené hodnoty'!$B$14,$H166=BK$4),SUM($J166,$M166,$P166,$S166),"")</f>
        <v/>
      </c>
      <c r="BL166" s="40" t="str">
        <f>IF(AND($G166='Povolené hodnoty'!$B$14,$H166=BL$4),SUM($J166,$M166,$P166,$S166),"")</f>
        <v/>
      </c>
      <c r="BM166" s="41" t="str">
        <f>IF(AND($G166='Povolené hodnoty'!$B$14,$H166=BM$4),SUM($J166,$M166,$P166,$S166),"")</f>
        <v/>
      </c>
      <c r="BO166" s="18" t="b">
        <f t="shared" si="106"/>
        <v>0</v>
      </c>
      <c r="BP166" s="18" t="b">
        <f t="shared" si="77"/>
        <v>0</v>
      </c>
      <c r="BQ166" s="18" t="b">
        <f>AND(E166&lt;&gt;'Povolené hodnoty'!$B$6,F166&lt;&gt;'Povolené hodnoty'!$D$7,F166&lt;&gt;'Povolené hodnoty'!$D$8,OR(SUM(I166,L166,O166,R166)&lt;&gt;SUM(W166:X166,AA166:AG166),SUM(J166,M166,P166,S166)&lt;&gt;SUM(Y166:Z166,AH166:AK166),COUNT(I166:J166,L166:M166,O166:P166,R166:S166)&lt;&gt;COUNT(W166:AK166)))</f>
        <v>0</v>
      </c>
      <c r="BR166" s="18" t="b">
        <f>OR(AND(E166='Povolené hodnoty'!$B$6,$BR$5),AND(E166='Povolené hodnoty'!$B$6,H166&lt;&gt;'Povolené hodnoty'!$E$26,H166&lt;&gt;'Povolené hodnoty'!$E$35),AND(E166&lt;&gt;'Povolené hodnoty'!$B$6,OR(H166='Povolené hodnoty'!$E$26,H166='Povolené hodnoty'!$E$35)))</f>
        <v>0</v>
      </c>
      <c r="BS166" s="18" t="b">
        <f>OR(AND(G166&lt;&gt;'Povolené hodnoty'!$B$13,OR(H166='Povolené hodnoty'!$E$21,H166='Povolené hodnoty'!$E$22,H166='Povolené hodnoty'!$E$23,H166='Povolené hodnoty'!$E$24,H166='Povolené hodnoty'!$E$26,H166='Povolené hodnoty'!$E$36)),COUNT(I166:J166,L166:M166,O166:P166,R166:S166)&lt;&gt;COUNT(AL166:BM166))</f>
        <v>0</v>
      </c>
      <c r="BT166" s="18" t="b">
        <f t="shared" si="78"/>
        <v>0</v>
      </c>
      <c r="BV166" s="39" t="str">
        <f t="shared" si="79"/>
        <v/>
      </c>
      <c r="BW166" s="458" t="str">
        <f t="shared" si="80"/>
        <v/>
      </c>
      <c r="BX166" s="458" t="str">
        <f t="shared" si="81"/>
        <v/>
      </c>
      <c r="BY166" s="458" t="str">
        <f t="shared" si="82"/>
        <v/>
      </c>
      <c r="BZ166" s="458" t="str">
        <f t="shared" si="83"/>
        <v/>
      </c>
      <c r="CA166" s="40" t="str">
        <f t="shared" si="84"/>
        <v/>
      </c>
      <c r="CB166" s="40" t="str">
        <f t="shared" si="85"/>
        <v/>
      </c>
      <c r="CC166" s="39" t="str">
        <f t="shared" si="86"/>
        <v/>
      </c>
      <c r="CD166" s="458" t="str">
        <f t="shared" si="87"/>
        <v/>
      </c>
      <c r="CE166" s="41" t="str">
        <f t="shared" si="88"/>
        <v/>
      </c>
      <c r="CF166" s="39" t="str">
        <f t="shared" si="89"/>
        <v/>
      </c>
      <c r="CG166" s="458" t="str">
        <f t="shared" si="90"/>
        <v/>
      </c>
      <c r="CH166" s="458" t="str">
        <f t="shared" si="91"/>
        <v/>
      </c>
      <c r="CI166" s="458" t="str">
        <f t="shared" si="92"/>
        <v/>
      </c>
      <c r="CJ166" s="458" t="str">
        <f t="shared" si="93"/>
        <v/>
      </c>
      <c r="CK166" s="40" t="str">
        <f t="shared" si="94"/>
        <v/>
      </c>
      <c r="CL166" s="40" t="str">
        <f t="shared" si="95"/>
        <v/>
      </c>
      <c r="CM166" s="40" t="str">
        <f t="shared" si="96"/>
        <v/>
      </c>
      <c r="CN166" s="39" t="str">
        <f t="shared" si="97"/>
        <v/>
      </c>
      <c r="CO166" s="458" t="str">
        <f t="shared" si="98"/>
        <v/>
      </c>
      <c r="CP166" s="458" t="str">
        <f t="shared" si="99"/>
        <v/>
      </c>
      <c r="CQ166" s="458" t="str">
        <f t="shared" si="100"/>
        <v/>
      </c>
      <c r="CR166" s="458" t="str">
        <f t="shared" si="101"/>
        <v/>
      </c>
      <c r="CS166" s="40" t="str">
        <f t="shared" si="102"/>
        <v/>
      </c>
      <c r="CT166" s="40" t="str">
        <f t="shared" si="103"/>
        <v/>
      </c>
      <c r="CU166" s="41" t="str">
        <f t="shared" si="104"/>
        <v/>
      </c>
    </row>
    <row r="167" spans="1:99" x14ac:dyDescent="0.2">
      <c r="A167" s="77">
        <f t="shared" si="105"/>
        <v>162</v>
      </c>
      <c r="B167" s="81"/>
      <c r="C167" s="82"/>
      <c r="D167" s="71"/>
      <c r="E167" s="72"/>
      <c r="F167" s="73"/>
      <c r="G167" s="443"/>
      <c r="H167" s="443"/>
      <c r="I167" s="74"/>
      <c r="J167" s="75"/>
      <c r="K167" s="41">
        <f t="shared" si="74"/>
        <v>3625</v>
      </c>
      <c r="L167" s="104"/>
      <c r="M167" s="105"/>
      <c r="N167" s="106">
        <f t="shared" si="75"/>
        <v>537.05999999999995</v>
      </c>
      <c r="O167" s="104"/>
      <c r="P167" s="105"/>
      <c r="Q167" s="106">
        <f t="shared" si="107"/>
        <v>10045.83</v>
      </c>
      <c r="R167" s="104"/>
      <c r="S167" s="105"/>
      <c r="T167" s="106">
        <f t="shared" si="108"/>
        <v>0</v>
      </c>
      <c r="U167" s="439"/>
      <c r="V167" s="42">
        <f t="shared" si="76"/>
        <v>162</v>
      </c>
      <c r="W167" s="39" t="str">
        <f>IF(AND(E167='Povolené hodnoty'!$B$4,F167=2),I167+L167+O167+R167,"")</f>
        <v/>
      </c>
      <c r="X167" s="41" t="str">
        <f>IF(AND(E167='Povolené hodnoty'!$B$4,F167=1),I167+L167+O167+R167,"")</f>
        <v/>
      </c>
      <c r="Y167" s="39" t="str">
        <f>IF(AND(E167='Povolené hodnoty'!$B$4,F167=10),J167+M167+P167+S167,"")</f>
        <v/>
      </c>
      <c r="Z167" s="41" t="str">
        <f>IF(AND(E167='Povolené hodnoty'!$B$4,F167=9),J167+M167+P167+S167,"")</f>
        <v/>
      </c>
      <c r="AA167" s="39" t="str">
        <f>IF(AND(E167&lt;&gt;'Povolené hodnoty'!$B$4,F167=2),I167+L167+O167+R167,"")</f>
        <v/>
      </c>
      <c r="AB167" s="40" t="str">
        <f>IF(AND(E167&lt;&gt;'Povolené hodnoty'!$B$4,F167=3),I167+L167+O167+R167,"")</f>
        <v/>
      </c>
      <c r="AC167" s="40" t="str">
        <f>IF(AND(E167&lt;&gt;'Povolené hodnoty'!$B$4,F167=4),I167+L167+O167+R167,"")</f>
        <v/>
      </c>
      <c r="AD167" s="40" t="str">
        <f>IF(AND(E167&lt;&gt;'Povolené hodnoty'!$B$4,F167="5a"),I167-J167+L167-M167+O167-P167+R167-S167,"")</f>
        <v/>
      </c>
      <c r="AE167" s="40" t="str">
        <f>IF(AND(E167&lt;&gt;'Povolené hodnoty'!$B$4,F167="5b"),I167-J167+L167-M167+O167-P167+R167-S167,"")</f>
        <v/>
      </c>
      <c r="AF167" s="40" t="str">
        <f>IF(AND(E167&lt;&gt;'Povolené hodnoty'!$B$4,F167=6),I167+L167+O167+R167,"")</f>
        <v/>
      </c>
      <c r="AG167" s="41" t="str">
        <f>IF(AND(E167&lt;&gt;'Povolené hodnoty'!$B$4,F167=7),I167+L167+O167+R167,"")</f>
        <v/>
      </c>
      <c r="AH167" s="39" t="str">
        <f>IF(AND(E167&lt;&gt;'Povolené hodnoty'!$B$4,F167=10),J167+M167+P167+S167,"")</f>
        <v/>
      </c>
      <c r="AI167" s="40" t="str">
        <f>IF(AND(E167&lt;&gt;'Povolené hodnoty'!$B$4,F167=11),J167+M167+P167+S167,"")</f>
        <v/>
      </c>
      <c r="AJ167" s="40" t="str">
        <f>IF(AND(E167&lt;&gt;'Povolené hodnoty'!$B$4,F167=12),J167+M167+P167+S167,"")</f>
        <v/>
      </c>
      <c r="AK167" s="41" t="str">
        <f>IF(AND(E167&lt;&gt;'Povolené hodnoty'!$B$4,F167=13),J167+M167+P167+S167,"")</f>
        <v/>
      </c>
      <c r="AL167" s="39" t="str">
        <f>IF(AND($G167='Povolené hodnoty'!$B$13,$H167=AL$4),SUM($I167,$L167,$O167,$R167),"")</f>
        <v/>
      </c>
      <c r="AM167" s="458" t="str">
        <f>IF(AND($G167='Povolené hodnoty'!$B$13,$H167=AM$4),SUM($I167,$L167,$O167,$R167),"")</f>
        <v/>
      </c>
      <c r="AN167" s="458" t="str">
        <f>IF(AND($G167='Povolené hodnoty'!$B$13,$H167=AN$4),SUM($I167,$L167,$O167,$R167),"")</f>
        <v/>
      </c>
      <c r="AO167" s="458" t="str">
        <f>IF(AND($G167='Povolené hodnoty'!$B$13,$H167=AO$4),SUM($I167,$L167,$O167,$R167),"")</f>
        <v/>
      </c>
      <c r="AP167" s="458" t="str">
        <f>IF(AND($G167='Povolené hodnoty'!$B$13,$H167=AP$4),SUM($I167,$L167,$O167,$R167),"")</f>
        <v/>
      </c>
      <c r="AQ167" s="40" t="str">
        <f>IF(AND($G167='Povolené hodnoty'!$B$13,OR($H167=AQ$4,$H167='Povolené hodnoty'!$E$36)),SUM($I167,-$J167,$L167,-$M167,$O167,-$P167,$R167,-$S167),"")</f>
        <v/>
      </c>
      <c r="AR167" s="40" t="str">
        <f>IF(AND($G167='Povolené hodnoty'!$B$13,$H167=AR$4),SUM($I167,$L167,$O167,$R167),"")</f>
        <v/>
      </c>
      <c r="AS167" s="41" t="str">
        <f>IF(AND($G167='Povolené hodnoty'!$B$13,$H167=AS$4),SUM($I167,$L167,$O167,$R167),"")</f>
        <v/>
      </c>
      <c r="AT167" s="39" t="str">
        <f>IF(AND($G167='Povolené hodnoty'!$B$14,$H167=AT$4),SUM($I167,$L167,$O167,$R167),"")</f>
        <v/>
      </c>
      <c r="AU167" s="458" t="str">
        <f>IF(AND($G167='Povolené hodnoty'!$B$14,$H167=AU$4),SUM($I167,$L167,$O167,$R167),"")</f>
        <v/>
      </c>
      <c r="AV167" s="41" t="str">
        <f>IF(AND($G167='Povolené hodnoty'!$B$14,$H167=AV$4),SUM($I167,$L167,$O167,$R167),"")</f>
        <v/>
      </c>
      <c r="AW167" s="39" t="str">
        <f>IF(AND($G167='Povolené hodnoty'!$B$13,$H167=AW$4),SUM($J167,$M167,$P167,$S167),"")</f>
        <v/>
      </c>
      <c r="AX167" s="458" t="str">
        <f>IF(AND($G167='Povolené hodnoty'!$B$13,$H167=AX$4),SUM($J167,$M167,$P167,$S167),"")</f>
        <v/>
      </c>
      <c r="AY167" s="458" t="str">
        <f>IF(AND($G167='Povolené hodnoty'!$B$13,$H167=AY$4),SUM($J167,$M167,$P167,$S167),"")</f>
        <v/>
      </c>
      <c r="AZ167" s="458" t="str">
        <f>IF(AND($G167='Povolené hodnoty'!$B$13,$H167=AZ$4),SUM($J167,$M167,$P167,$S167),"")</f>
        <v/>
      </c>
      <c r="BA167" s="458" t="str">
        <f>IF(AND($G167='Povolené hodnoty'!$B$13,$H167=BA$4),SUM($J167,$M167,$P167,$S167),"")</f>
        <v/>
      </c>
      <c r="BB167" s="40" t="str">
        <f>IF(AND($G167='Povolené hodnoty'!$B$13,$H167=BB$4),SUM($J167,$M167,$P167,$S167),"")</f>
        <v/>
      </c>
      <c r="BC167" s="40" t="str">
        <f>IF(AND($G167='Povolené hodnoty'!$B$13,$H167=BC$4),SUM($J167,$M167,$P167,$S167),"")</f>
        <v/>
      </c>
      <c r="BD167" s="40" t="str">
        <f>IF(AND($G167='Povolené hodnoty'!$B$13,$H167=BD$4),SUM($J167,$M167,$P167,$S167),"")</f>
        <v/>
      </c>
      <c r="BE167" s="41" t="str">
        <f>IF(AND($G167='Povolené hodnoty'!$B$13,$H167=BE$4),SUM($J167,$M167,$P167,$S167),"")</f>
        <v/>
      </c>
      <c r="BF167" s="39" t="str">
        <f>IF(AND($G167='Povolené hodnoty'!$B$14,$H167=BF$4),SUM($J167,$M167,$P167,$S167),"")</f>
        <v/>
      </c>
      <c r="BG167" s="458" t="str">
        <f>IF(AND($G167='Povolené hodnoty'!$B$14,$H167=BG$4),SUM($J167,$M167,$P167,$S167),"")</f>
        <v/>
      </c>
      <c r="BH167" s="458" t="str">
        <f>IF(AND($G167='Povolené hodnoty'!$B$14,$H167=BH$4),SUM($J167,$M167,$P167,$S167),"")</f>
        <v/>
      </c>
      <c r="BI167" s="458" t="str">
        <f>IF(AND($G167='Povolené hodnoty'!$B$14,$H167=BI$4),SUM($J167,$M167,$P167,$S167),"")</f>
        <v/>
      </c>
      <c r="BJ167" s="458" t="str">
        <f>IF(AND($G167='Povolené hodnoty'!$B$14,$H167=BJ$4),SUM($J167,$M167,$P167,$S167),"")</f>
        <v/>
      </c>
      <c r="BK167" s="40" t="str">
        <f>IF(AND($G167='Povolené hodnoty'!$B$14,$H167=BK$4),SUM($J167,$M167,$P167,$S167),"")</f>
        <v/>
      </c>
      <c r="BL167" s="40" t="str">
        <f>IF(AND($G167='Povolené hodnoty'!$B$14,$H167=BL$4),SUM($J167,$M167,$P167,$S167),"")</f>
        <v/>
      </c>
      <c r="BM167" s="41" t="str">
        <f>IF(AND($G167='Povolené hodnoty'!$B$14,$H167=BM$4),SUM($J167,$M167,$P167,$S167),"")</f>
        <v/>
      </c>
      <c r="BO167" s="18" t="b">
        <f t="shared" si="106"/>
        <v>0</v>
      </c>
      <c r="BP167" s="18" t="b">
        <f t="shared" si="77"/>
        <v>0</v>
      </c>
      <c r="BQ167" s="18" t="b">
        <f>AND(E167&lt;&gt;'Povolené hodnoty'!$B$6,F167&lt;&gt;'Povolené hodnoty'!$D$7,F167&lt;&gt;'Povolené hodnoty'!$D$8,OR(SUM(I167,L167,O167,R167)&lt;&gt;SUM(W167:X167,AA167:AG167),SUM(J167,M167,P167,S167)&lt;&gt;SUM(Y167:Z167,AH167:AK167),COUNT(I167:J167,L167:M167,O167:P167,R167:S167)&lt;&gt;COUNT(W167:AK167)))</f>
        <v>0</v>
      </c>
      <c r="BR167" s="18" t="b">
        <f>OR(AND(E167='Povolené hodnoty'!$B$6,$BR$5),AND(E167='Povolené hodnoty'!$B$6,H167&lt;&gt;'Povolené hodnoty'!$E$26,H167&lt;&gt;'Povolené hodnoty'!$E$35),AND(E167&lt;&gt;'Povolené hodnoty'!$B$6,OR(H167='Povolené hodnoty'!$E$26,H167='Povolené hodnoty'!$E$35)))</f>
        <v>0</v>
      </c>
      <c r="BS167" s="18" t="b">
        <f>OR(AND(G167&lt;&gt;'Povolené hodnoty'!$B$13,OR(H167='Povolené hodnoty'!$E$21,H167='Povolené hodnoty'!$E$22,H167='Povolené hodnoty'!$E$23,H167='Povolené hodnoty'!$E$24,H167='Povolené hodnoty'!$E$26,H167='Povolené hodnoty'!$E$36)),COUNT(I167:J167,L167:M167,O167:P167,R167:S167)&lt;&gt;COUNT(AL167:BM167))</f>
        <v>0</v>
      </c>
      <c r="BT167" s="18" t="b">
        <f t="shared" si="78"/>
        <v>0</v>
      </c>
      <c r="BV167" s="39" t="str">
        <f t="shared" si="79"/>
        <v/>
      </c>
      <c r="BW167" s="458" t="str">
        <f t="shared" si="80"/>
        <v/>
      </c>
      <c r="BX167" s="458" t="str">
        <f t="shared" si="81"/>
        <v/>
      </c>
      <c r="BY167" s="458" t="str">
        <f t="shared" si="82"/>
        <v/>
      </c>
      <c r="BZ167" s="458" t="str">
        <f t="shared" si="83"/>
        <v/>
      </c>
      <c r="CA167" s="40" t="str">
        <f t="shared" si="84"/>
        <v/>
      </c>
      <c r="CB167" s="40" t="str">
        <f t="shared" si="85"/>
        <v/>
      </c>
      <c r="CC167" s="39" t="str">
        <f t="shared" si="86"/>
        <v/>
      </c>
      <c r="CD167" s="458" t="str">
        <f t="shared" si="87"/>
        <v/>
      </c>
      <c r="CE167" s="41" t="str">
        <f t="shared" si="88"/>
        <v/>
      </c>
      <c r="CF167" s="39" t="str">
        <f t="shared" si="89"/>
        <v/>
      </c>
      <c r="CG167" s="458" t="str">
        <f t="shared" si="90"/>
        <v/>
      </c>
      <c r="CH167" s="458" t="str">
        <f t="shared" si="91"/>
        <v/>
      </c>
      <c r="CI167" s="458" t="str">
        <f t="shared" si="92"/>
        <v/>
      </c>
      <c r="CJ167" s="458" t="str">
        <f t="shared" si="93"/>
        <v/>
      </c>
      <c r="CK167" s="40" t="str">
        <f t="shared" si="94"/>
        <v/>
      </c>
      <c r="CL167" s="40" t="str">
        <f t="shared" si="95"/>
        <v/>
      </c>
      <c r="CM167" s="40" t="str">
        <f t="shared" si="96"/>
        <v/>
      </c>
      <c r="CN167" s="39" t="str">
        <f t="shared" si="97"/>
        <v/>
      </c>
      <c r="CO167" s="458" t="str">
        <f t="shared" si="98"/>
        <v/>
      </c>
      <c r="CP167" s="458" t="str">
        <f t="shared" si="99"/>
        <v/>
      </c>
      <c r="CQ167" s="458" t="str">
        <f t="shared" si="100"/>
        <v/>
      </c>
      <c r="CR167" s="458" t="str">
        <f t="shared" si="101"/>
        <v/>
      </c>
      <c r="CS167" s="40" t="str">
        <f t="shared" si="102"/>
        <v/>
      </c>
      <c r="CT167" s="40" t="str">
        <f t="shared" si="103"/>
        <v/>
      </c>
      <c r="CU167" s="41" t="str">
        <f t="shared" si="104"/>
        <v/>
      </c>
    </row>
    <row r="168" spans="1:99" x14ac:dyDescent="0.2">
      <c r="A168" s="77">
        <f t="shared" si="105"/>
        <v>163</v>
      </c>
      <c r="B168" s="81"/>
      <c r="C168" s="82"/>
      <c r="D168" s="71"/>
      <c r="E168" s="72"/>
      <c r="F168" s="73"/>
      <c r="G168" s="443"/>
      <c r="H168" s="443"/>
      <c r="I168" s="74"/>
      <c r="J168" s="75"/>
      <c r="K168" s="41">
        <f t="shared" si="74"/>
        <v>3625</v>
      </c>
      <c r="L168" s="104"/>
      <c r="M168" s="105"/>
      <c r="N168" s="106">
        <f t="shared" si="75"/>
        <v>537.05999999999995</v>
      </c>
      <c r="O168" s="104"/>
      <c r="P168" s="105"/>
      <c r="Q168" s="106">
        <f t="shared" si="107"/>
        <v>10045.83</v>
      </c>
      <c r="R168" s="104"/>
      <c r="S168" s="105"/>
      <c r="T168" s="106">
        <f t="shared" si="108"/>
        <v>0</v>
      </c>
      <c r="U168" s="439"/>
      <c r="V168" s="42">
        <f t="shared" si="76"/>
        <v>163</v>
      </c>
      <c r="W168" s="39" t="str">
        <f>IF(AND(E168='Povolené hodnoty'!$B$4,F168=2),I168+L168+O168+R168,"")</f>
        <v/>
      </c>
      <c r="X168" s="41" t="str">
        <f>IF(AND(E168='Povolené hodnoty'!$B$4,F168=1),I168+L168+O168+R168,"")</f>
        <v/>
      </c>
      <c r="Y168" s="39" t="str">
        <f>IF(AND(E168='Povolené hodnoty'!$B$4,F168=10),J168+M168+P168+S168,"")</f>
        <v/>
      </c>
      <c r="Z168" s="41" t="str">
        <f>IF(AND(E168='Povolené hodnoty'!$B$4,F168=9),J168+M168+P168+S168,"")</f>
        <v/>
      </c>
      <c r="AA168" s="39" t="str">
        <f>IF(AND(E168&lt;&gt;'Povolené hodnoty'!$B$4,F168=2),I168+L168+O168+R168,"")</f>
        <v/>
      </c>
      <c r="AB168" s="40" t="str">
        <f>IF(AND(E168&lt;&gt;'Povolené hodnoty'!$B$4,F168=3),I168+L168+O168+R168,"")</f>
        <v/>
      </c>
      <c r="AC168" s="40" t="str">
        <f>IF(AND(E168&lt;&gt;'Povolené hodnoty'!$B$4,F168=4),I168+L168+O168+R168,"")</f>
        <v/>
      </c>
      <c r="AD168" s="40" t="str">
        <f>IF(AND(E168&lt;&gt;'Povolené hodnoty'!$B$4,F168="5a"),I168-J168+L168-M168+O168-P168+R168-S168,"")</f>
        <v/>
      </c>
      <c r="AE168" s="40" t="str">
        <f>IF(AND(E168&lt;&gt;'Povolené hodnoty'!$B$4,F168="5b"),I168-J168+L168-M168+O168-P168+R168-S168,"")</f>
        <v/>
      </c>
      <c r="AF168" s="40" t="str">
        <f>IF(AND(E168&lt;&gt;'Povolené hodnoty'!$B$4,F168=6),I168+L168+O168+R168,"")</f>
        <v/>
      </c>
      <c r="AG168" s="41" t="str">
        <f>IF(AND(E168&lt;&gt;'Povolené hodnoty'!$B$4,F168=7),I168+L168+O168+R168,"")</f>
        <v/>
      </c>
      <c r="AH168" s="39" t="str">
        <f>IF(AND(E168&lt;&gt;'Povolené hodnoty'!$B$4,F168=10),J168+M168+P168+S168,"")</f>
        <v/>
      </c>
      <c r="AI168" s="40" t="str">
        <f>IF(AND(E168&lt;&gt;'Povolené hodnoty'!$B$4,F168=11),J168+M168+P168+S168,"")</f>
        <v/>
      </c>
      <c r="AJ168" s="40" t="str">
        <f>IF(AND(E168&lt;&gt;'Povolené hodnoty'!$B$4,F168=12),J168+M168+P168+S168,"")</f>
        <v/>
      </c>
      <c r="AK168" s="41" t="str">
        <f>IF(AND(E168&lt;&gt;'Povolené hodnoty'!$B$4,F168=13),J168+M168+P168+S168,"")</f>
        <v/>
      </c>
      <c r="AL168" s="39" t="str">
        <f>IF(AND($G168='Povolené hodnoty'!$B$13,$H168=AL$4),SUM($I168,$L168,$O168,$R168),"")</f>
        <v/>
      </c>
      <c r="AM168" s="458" t="str">
        <f>IF(AND($G168='Povolené hodnoty'!$B$13,$H168=AM$4),SUM($I168,$L168,$O168,$R168),"")</f>
        <v/>
      </c>
      <c r="AN168" s="458" t="str">
        <f>IF(AND($G168='Povolené hodnoty'!$B$13,$H168=AN$4),SUM($I168,$L168,$O168,$R168),"")</f>
        <v/>
      </c>
      <c r="AO168" s="458" t="str">
        <f>IF(AND($G168='Povolené hodnoty'!$B$13,$H168=AO$4),SUM($I168,$L168,$O168,$R168),"")</f>
        <v/>
      </c>
      <c r="AP168" s="458" t="str">
        <f>IF(AND($G168='Povolené hodnoty'!$B$13,$H168=AP$4),SUM($I168,$L168,$O168,$R168),"")</f>
        <v/>
      </c>
      <c r="AQ168" s="40" t="str">
        <f>IF(AND($G168='Povolené hodnoty'!$B$13,OR($H168=AQ$4,$H168='Povolené hodnoty'!$E$36)),SUM($I168,-$J168,$L168,-$M168,$O168,-$P168,$R168,-$S168),"")</f>
        <v/>
      </c>
      <c r="AR168" s="40" t="str">
        <f>IF(AND($G168='Povolené hodnoty'!$B$13,$H168=AR$4),SUM($I168,$L168,$O168,$R168),"")</f>
        <v/>
      </c>
      <c r="AS168" s="41" t="str">
        <f>IF(AND($G168='Povolené hodnoty'!$B$13,$H168=AS$4),SUM($I168,$L168,$O168,$R168),"")</f>
        <v/>
      </c>
      <c r="AT168" s="39" t="str">
        <f>IF(AND($G168='Povolené hodnoty'!$B$14,$H168=AT$4),SUM($I168,$L168,$O168,$R168),"")</f>
        <v/>
      </c>
      <c r="AU168" s="458" t="str">
        <f>IF(AND($G168='Povolené hodnoty'!$B$14,$H168=AU$4),SUM($I168,$L168,$O168,$R168),"")</f>
        <v/>
      </c>
      <c r="AV168" s="41" t="str">
        <f>IF(AND($G168='Povolené hodnoty'!$B$14,$H168=AV$4),SUM($I168,$L168,$O168,$R168),"")</f>
        <v/>
      </c>
      <c r="AW168" s="39" t="str">
        <f>IF(AND($G168='Povolené hodnoty'!$B$13,$H168=AW$4),SUM($J168,$M168,$P168,$S168),"")</f>
        <v/>
      </c>
      <c r="AX168" s="458" t="str">
        <f>IF(AND($G168='Povolené hodnoty'!$B$13,$H168=AX$4),SUM($J168,$M168,$P168,$S168),"")</f>
        <v/>
      </c>
      <c r="AY168" s="458" t="str">
        <f>IF(AND($G168='Povolené hodnoty'!$B$13,$H168=AY$4),SUM($J168,$M168,$P168,$S168),"")</f>
        <v/>
      </c>
      <c r="AZ168" s="458" t="str">
        <f>IF(AND($G168='Povolené hodnoty'!$B$13,$H168=AZ$4),SUM($J168,$M168,$P168,$S168),"")</f>
        <v/>
      </c>
      <c r="BA168" s="458" t="str">
        <f>IF(AND($G168='Povolené hodnoty'!$B$13,$H168=BA$4),SUM($J168,$M168,$P168,$S168),"")</f>
        <v/>
      </c>
      <c r="BB168" s="40" t="str">
        <f>IF(AND($G168='Povolené hodnoty'!$B$13,$H168=BB$4),SUM($J168,$M168,$P168,$S168),"")</f>
        <v/>
      </c>
      <c r="BC168" s="40" t="str">
        <f>IF(AND($G168='Povolené hodnoty'!$B$13,$H168=BC$4),SUM($J168,$M168,$P168,$S168),"")</f>
        <v/>
      </c>
      <c r="BD168" s="40" t="str">
        <f>IF(AND($G168='Povolené hodnoty'!$B$13,$H168=BD$4),SUM($J168,$M168,$P168,$S168),"")</f>
        <v/>
      </c>
      <c r="BE168" s="41" t="str">
        <f>IF(AND($G168='Povolené hodnoty'!$B$13,$H168=BE$4),SUM($J168,$M168,$P168,$S168),"")</f>
        <v/>
      </c>
      <c r="BF168" s="39" t="str">
        <f>IF(AND($G168='Povolené hodnoty'!$B$14,$H168=BF$4),SUM($J168,$M168,$P168,$S168),"")</f>
        <v/>
      </c>
      <c r="BG168" s="458" t="str">
        <f>IF(AND($G168='Povolené hodnoty'!$B$14,$H168=BG$4),SUM($J168,$M168,$P168,$S168),"")</f>
        <v/>
      </c>
      <c r="BH168" s="458" t="str">
        <f>IF(AND($G168='Povolené hodnoty'!$B$14,$H168=BH$4),SUM($J168,$M168,$P168,$S168),"")</f>
        <v/>
      </c>
      <c r="BI168" s="458" t="str">
        <f>IF(AND($G168='Povolené hodnoty'!$B$14,$H168=BI$4),SUM($J168,$M168,$P168,$S168),"")</f>
        <v/>
      </c>
      <c r="BJ168" s="458" t="str">
        <f>IF(AND($G168='Povolené hodnoty'!$B$14,$H168=BJ$4),SUM($J168,$M168,$P168,$S168),"")</f>
        <v/>
      </c>
      <c r="BK168" s="40" t="str">
        <f>IF(AND($G168='Povolené hodnoty'!$B$14,$H168=BK$4),SUM($J168,$M168,$P168,$S168),"")</f>
        <v/>
      </c>
      <c r="BL168" s="40" t="str">
        <f>IF(AND($G168='Povolené hodnoty'!$B$14,$H168=BL$4),SUM($J168,$M168,$P168,$S168),"")</f>
        <v/>
      </c>
      <c r="BM168" s="41" t="str">
        <f>IF(AND($G168='Povolené hodnoty'!$B$14,$H168=BM$4),SUM($J168,$M168,$P168,$S168),"")</f>
        <v/>
      </c>
      <c r="BO168" s="18" t="b">
        <f t="shared" si="106"/>
        <v>0</v>
      </c>
      <c r="BP168" s="18" t="b">
        <f t="shared" si="77"/>
        <v>0</v>
      </c>
      <c r="BQ168" s="18" t="b">
        <f>AND(E168&lt;&gt;'Povolené hodnoty'!$B$6,F168&lt;&gt;'Povolené hodnoty'!$D$7,F168&lt;&gt;'Povolené hodnoty'!$D$8,OR(SUM(I168,L168,O168,R168)&lt;&gt;SUM(W168:X168,AA168:AG168),SUM(J168,M168,P168,S168)&lt;&gt;SUM(Y168:Z168,AH168:AK168),COUNT(I168:J168,L168:M168,O168:P168,R168:S168)&lt;&gt;COUNT(W168:AK168)))</f>
        <v>0</v>
      </c>
      <c r="BR168" s="18" t="b">
        <f>OR(AND(E168='Povolené hodnoty'!$B$6,$BR$5),AND(E168='Povolené hodnoty'!$B$6,H168&lt;&gt;'Povolené hodnoty'!$E$26,H168&lt;&gt;'Povolené hodnoty'!$E$35),AND(E168&lt;&gt;'Povolené hodnoty'!$B$6,OR(H168='Povolené hodnoty'!$E$26,H168='Povolené hodnoty'!$E$35)))</f>
        <v>0</v>
      </c>
      <c r="BS168" s="18" t="b">
        <f>OR(AND(G168&lt;&gt;'Povolené hodnoty'!$B$13,OR(H168='Povolené hodnoty'!$E$21,H168='Povolené hodnoty'!$E$22,H168='Povolené hodnoty'!$E$23,H168='Povolené hodnoty'!$E$24,H168='Povolené hodnoty'!$E$26,H168='Povolené hodnoty'!$E$36)),COUNT(I168:J168,L168:M168,O168:P168,R168:S168)&lt;&gt;COUNT(AL168:BM168))</f>
        <v>0</v>
      </c>
      <c r="BT168" s="18" t="b">
        <f t="shared" si="78"/>
        <v>0</v>
      </c>
      <c r="BV168" s="39" t="str">
        <f t="shared" si="79"/>
        <v/>
      </c>
      <c r="BW168" s="458" t="str">
        <f t="shared" si="80"/>
        <v/>
      </c>
      <c r="BX168" s="458" t="str">
        <f t="shared" si="81"/>
        <v/>
      </c>
      <c r="BY168" s="458" t="str">
        <f t="shared" si="82"/>
        <v/>
      </c>
      <c r="BZ168" s="458" t="str">
        <f t="shared" si="83"/>
        <v/>
      </c>
      <c r="CA168" s="40" t="str">
        <f t="shared" si="84"/>
        <v/>
      </c>
      <c r="CB168" s="40" t="str">
        <f t="shared" si="85"/>
        <v/>
      </c>
      <c r="CC168" s="39" t="str">
        <f t="shared" si="86"/>
        <v/>
      </c>
      <c r="CD168" s="458" t="str">
        <f t="shared" si="87"/>
        <v/>
      </c>
      <c r="CE168" s="41" t="str">
        <f t="shared" si="88"/>
        <v/>
      </c>
      <c r="CF168" s="39" t="str">
        <f t="shared" si="89"/>
        <v/>
      </c>
      <c r="CG168" s="458" t="str">
        <f t="shared" si="90"/>
        <v/>
      </c>
      <c r="CH168" s="458" t="str">
        <f t="shared" si="91"/>
        <v/>
      </c>
      <c r="CI168" s="458" t="str">
        <f t="shared" si="92"/>
        <v/>
      </c>
      <c r="CJ168" s="458" t="str">
        <f t="shared" si="93"/>
        <v/>
      </c>
      <c r="CK168" s="40" t="str">
        <f t="shared" si="94"/>
        <v/>
      </c>
      <c r="CL168" s="40" t="str">
        <f t="shared" si="95"/>
        <v/>
      </c>
      <c r="CM168" s="40" t="str">
        <f t="shared" si="96"/>
        <v/>
      </c>
      <c r="CN168" s="39" t="str">
        <f t="shared" si="97"/>
        <v/>
      </c>
      <c r="CO168" s="458" t="str">
        <f t="shared" si="98"/>
        <v/>
      </c>
      <c r="CP168" s="458" t="str">
        <f t="shared" si="99"/>
        <v/>
      </c>
      <c r="CQ168" s="458" t="str">
        <f t="shared" si="100"/>
        <v/>
      </c>
      <c r="CR168" s="458" t="str">
        <f t="shared" si="101"/>
        <v/>
      </c>
      <c r="CS168" s="40" t="str">
        <f t="shared" si="102"/>
        <v/>
      </c>
      <c r="CT168" s="40" t="str">
        <f t="shared" si="103"/>
        <v/>
      </c>
      <c r="CU168" s="41" t="str">
        <f t="shared" si="104"/>
        <v/>
      </c>
    </row>
    <row r="169" spans="1:99" x14ac:dyDescent="0.2">
      <c r="A169" s="77">
        <f t="shared" si="105"/>
        <v>164</v>
      </c>
      <c r="B169" s="81"/>
      <c r="C169" s="82"/>
      <c r="D169" s="71"/>
      <c r="E169" s="72"/>
      <c r="F169" s="73"/>
      <c r="G169" s="443"/>
      <c r="H169" s="443"/>
      <c r="I169" s="74"/>
      <c r="J169" s="75"/>
      <c r="K169" s="41">
        <f t="shared" si="74"/>
        <v>3625</v>
      </c>
      <c r="L169" s="104"/>
      <c r="M169" s="105"/>
      <c r="N169" s="106">
        <f t="shared" si="75"/>
        <v>537.05999999999995</v>
      </c>
      <c r="O169" s="104"/>
      <c r="P169" s="105"/>
      <c r="Q169" s="106">
        <f t="shared" si="107"/>
        <v>10045.83</v>
      </c>
      <c r="R169" s="104"/>
      <c r="S169" s="105"/>
      <c r="T169" s="106">
        <f t="shared" si="108"/>
        <v>0</v>
      </c>
      <c r="U169" s="439"/>
      <c r="V169" s="42">
        <f t="shared" si="76"/>
        <v>164</v>
      </c>
      <c r="W169" s="39" t="str">
        <f>IF(AND(E169='Povolené hodnoty'!$B$4,F169=2),I169+L169+O169+R169,"")</f>
        <v/>
      </c>
      <c r="X169" s="41" t="str">
        <f>IF(AND(E169='Povolené hodnoty'!$B$4,F169=1),I169+L169+O169+R169,"")</f>
        <v/>
      </c>
      <c r="Y169" s="39" t="str">
        <f>IF(AND(E169='Povolené hodnoty'!$B$4,F169=10),J169+M169+P169+S169,"")</f>
        <v/>
      </c>
      <c r="Z169" s="41" t="str">
        <f>IF(AND(E169='Povolené hodnoty'!$B$4,F169=9),J169+M169+P169+S169,"")</f>
        <v/>
      </c>
      <c r="AA169" s="39" t="str">
        <f>IF(AND(E169&lt;&gt;'Povolené hodnoty'!$B$4,F169=2),I169+L169+O169+R169,"")</f>
        <v/>
      </c>
      <c r="AB169" s="40" t="str">
        <f>IF(AND(E169&lt;&gt;'Povolené hodnoty'!$B$4,F169=3),I169+L169+O169+R169,"")</f>
        <v/>
      </c>
      <c r="AC169" s="40" t="str">
        <f>IF(AND(E169&lt;&gt;'Povolené hodnoty'!$B$4,F169=4),I169+L169+O169+R169,"")</f>
        <v/>
      </c>
      <c r="AD169" s="40" t="str">
        <f>IF(AND(E169&lt;&gt;'Povolené hodnoty'!$B$4,F169="5a"),I169-J169+L169-M169+O169-P169+R169-S169,"")</f>
        <v/>
      </c>
      <c r="AE169" s="40" t="str">
        <f>IF(AND(E169&lt;&gt;'Povolené hodnoty'!$B$4,F169="5b"),I169-J169+L169-M169+O169-P169+R169-S169,"")</f>
        <v/>
      </c>
      <c r="AF169" s="40" t="str">
        <f>IF(AND(E169&lt;&gt;'Povolené hodnoty'!$B$4,F169=6),I169+L169+O169+R169,"")</f>
        <v/>
      </c>
      <c r="AG169" s="41" t="str">
        <f>IF(AND(E169&lt;&gt;'Povolené hodnoty'!$B$4,F169=7),I169+L169+O169+R169,"")</f>
        <v/>
      </c>
      <c r="AH169" s="39" t="str">
        <f>IF(AND(E169&lt;&gt;'Povolené hodnoty'!$B$4,F169=10),J169+M169+P169+S169,"")</f>
        <v/>
      </c>
      <c r="AI169" s="40" t="str">
        <f>IF(AND(E169&lt;&gt;'Povolené hodnoty'!$B$4,F169=11),J169+M169+P169+S169,"")</f>
        <v/>
      </c>
      <c r="AJ169" s="40" t="str">
        <f>IF(AND(E169&lt;&gt;'Povolené hodnoty'!$B$4,F169=12),J169+M169+P169+S169,"")</f>
        <v/>
      </c>
      <c r="AK169" s="41" t="str">
        <f>IF(AND(E169&lt;&gt;'Povolené hodnoty'!$B$4,F169=13),J169+M169+P169+S169,"")</f>
        <v/>
      </c>
      <c r="AL169" s="39" t="str">
        <f>IF(AND($G169='Povolené hodnoty'!$B$13,$H169=AL$4),SUM($I169,$L169,$O169,$R169),"")</f>
        <v/>
      </c>
      <c r="AM169" s="458" t="str">
        <f>IF(AND($G169='Povolené hodnoty'!$B$13,$H169=AM$4),SUM($I169,$L169,$O169,$R169),"")</f>
        <v/>
      </c>
      <c r="AN169" s="458" t="str">
        <f>IF(AND($G169='Povolené hodnoty'!$B$13,$H169=AN$4),SUM($I169,$L169,$O169,$R169),"")</f>
        <v/>
      </c>
      <c r="AO169" s="458" t="str">
        <f>IF(AND($G169='Povolené hodnoty'!$B$13,$H169=AO$4),SUM($I169,$L169,$O169,$R169),"")</f>
        <v/>
      </c>
      <c r="AP169" s="458" t="str">
        <f>IF(AND($G169='Povolené hodnoty'!$B$13,$H169=AP$4),SUM($I169,$L169,$O169,$R169),"")</f>
        <v/>
      </c>
      <c r="AQ169" s="40" t="str">
        <f>IF(AND($G169='Povolené hodnoty'!$B$13,OR($H169=AQ$4,$H169='Povolené hodnoty'!$E$36)),SUM($I169,-$J169,$L169,-$M169,$O169,-$P169,$R169,-$S169),"")</f>
        <v/>
      </c>
      <c r="AR169" s="40" t="str">
        <f>IF(AND($G169='Povolené hodnoty'!$B$13,$H169=AR$4),SUM($I169,$L169,$O169,$R169),"")</f>
        <v/>
      </c>
      <c r="AS169" s="41" t="str">
        <f>IF(AND($G169='Povolené hodnoty'!$B$13,$H169=AS$4),SUM($I169,$L169,$O169,$R169),"")</f>
        <v/>
      </c>
      <c r="AT169" s="39" t="str">
        <f>IF(AND($G169='Povolené hodnoty'!$B$14,$H169=AT$4),SUM($I169,$L169,$O169,$R169),"")</f>
        <v/>
      </c>
      <c r="AU169" s="458" t="str">
        <f>IF(AND($G169='Povolené hodnoty'!$B$14,$H169=AU$4),SUM($I169,$L169,$O169,$R169),"")</f>
        <v/>
      </c>
      <c r="AV169" s="41" t="str">
        <f>IF(AND($G169='Povolené hodnoty'!$B$14,$H169=AV$4),SUM($I169,$L169,$O169,$R169),"")</f>
        <v/>
      </c>
      <c r="AW169" s="39" t="str">
        <f>IF(AND($G169='Povolené hodnoty'!$B$13,$H169=AW$4),SUM($J169,$M169,$P169,$S169),"")</f>
        <v/>
      </c>
      <c r="AX169" s="458" t="str">
        <f>IF(AND($G169='Povolené hodnoty'!$B$13,$H169=AX$4),SUM($J169,$M169,$P169,$S169),"")</f>
        <v/>
      </c>
      <c r="AY169" s="458" t="str">
        <f>IF(AND($G169='Povolené hodnoty'!$B$13,$H169=AY$4),SUM($J169,$M169,$P169,$S169),"")</f>
        <v/>
      </c>
      <c r="AZ169" s="458" t="str">
        <f>IF(AND($G169='Povolené hodnoty'!$B$13,$H169=AZ$4),SUM($J169,$M169,$P169,$S169),"")</f>
        <v/>
      </c>
      <c r="BA169" s="458" t="str">
        <f>IF(AND($G169='Povolené hodnoty'!$B$13,$H169=BA$4),SUM($J169,$M169,$P169,$S169),"")</f>
        <v/>
      </c>
      <c r="BB169" s="40" t="str">
        <f>IF(AND($G169='Povolené hodnoty'!$B$13,$H169=BB$4),SUM($J169,$M169,$P169,$S169),"")</f>
        <v/>
      </c>
      <c r="BC169" s="40" t="str">
        <f>IF(AND($G169='Povolené hodnoty'!$B$13,$H169=BC$4),SUM($J169,$M169,$P169,$S169),"")</f>
        <v/>
      </c>
      <c r="BD169" s="40" t="str">
        <f>IF(AND($G169='Povolené hodnoty'!$B$13,$H169=BD$4),SUM($J169,$M169,$P169,$S169),"")</f>
        <v/>
      </c>
      <c r="BE169" s="41" t="str">
        <f>IF(AND($G169='Povolené hodnoty'!$B$13,$H169=BE$4),SUM($J169,$M169,$P169,$S169),"")</f>
        <v/>
      </c>
      <c r="BF169" s="39" t="str">
        <f>IF(AND($G169='Povolené hodnoty'!$B$14,$H169=BF$4),SUM($J169,$M169,$P169,$S169),"")</f>
        <v/>
      </c>
      <c r="BG169" s="458" t="str">
        <f>IF(AND($G169='Povolené hodnoty'!$B$14,$H169=BG$4),SUM($J169,$M169,$P169,$S169),"")</f>
        <v/>
      </c>
      <c r="BH169" s="458" t="str">
        <f>IF(AND($G169='Povolené hodnoty'!$B$14,$H169=BH$4),SUM($J169,$M169,$P169,$S169),"")</f>
        <v/>
      </c>
      <c r="BI169" s="458" t="str">
        <f>IF(AND($G169='Povolené hodnoty'!$B$14,$H169=BI$4),SUM($J169,$M169,$P169,$S169),"")</f>
        <v/>
      </c>
      <c r="BJ169" s="458" t="str">
        <f>IF(AND($G169='Povolené hodnoty'!$B$14,$H169=BJ$4),SUM($J169,$M169,$P169,$S169),"")</f>
        <v/>
      </c>
      <c r="BK169" s="40" t="str">
        <f>IF(AND($G169='Povolené hodnoty'!$B$14,$H169=BK$4),SUM($J169,$M169,$P169,$S169),"")</f>
        <v/>
      </c>
      <c r="BL169" s="40" t="str">
        <f>IF(AND($G169='Povolené hodnoty'!$B$14,$H169=BL$4),SUM($J169,$M169,$P169,$S169),"")</f>
        <v/>
      </c>
      <c r="BM169" s="41" t="str">
        <f>IF(AND($G169='Povolené hodnoty'!$B$14,$H169=BM$4),SUM($J169,$M169,$P169,$S169),"")</f>
        <v/>
      </c>
      <c r="BO169" s="18" t="b">
        <f t="shared" si="106"/>
        <v>0</v>
      </c>
      <c r="BP169" s="18" t="b">
        <f t="shared" si="77"/>
        <v>0</v>
      </c>
      <c r="BQ169" s="18" t="b">
        <f>AND(E169&lt;&gt;'Povolené hodnoty'!$B$6,F169&lt;&gt;'Povolené hodnoty'!$D$7,F169&lt;&gt;'Povolené hodnoty'!$D$8,OR(SUM(I169,L169,O169,R169)&lt;&gt;SUM(W169:X169,AA169:AG169),SUM(J169,M169,P169,S169)&lt;&gt;SUM(Y169:Z169,AH169:AK169),COUNT(I169:J169,L169:M169,O169:P169,R169:S169)&lt;&gt;COUNT(W169:AK169)))</f>
        <v>0</v>
      </c>
      <c r="BR169" s="18" t="b">
        <f>OR(AND(E169='Povolené hodnoty'!$B$6,$BR$5),AND(E169='Povolené hodnoty'!$B$6,H169&lt;&gt;'Povolené hodnoty'!$E$26,H169&lt;&gt;'Povolené hodnoty'!$E$35),AND(E169&lt;&gt;'Povolené hodnoty'!$B$6,OR(H169='Povolené hodnoty'!$E$26,H169='Povolené hodnoty'!$E$35)))</f>
        <v>0</v>
      </c>
      <c r="BS169" s="18" t="b">
        <f>OR(AND(G169&lt;&gt;'Povolené hodnoty'!$B$13,OR(H169='Povolené hodnoty'!$E$21,H169='Povolené hodnoty'!$E$22,H169='Povolené hodnoty'!$E$23,H169='Povolené hodnoty'!$E$24,H169='Povolené hodnoty'!$E$26,H169='Povolené hodnoty'!$E$36)),COUNT(I169:J169,L169:M169,O169:P169,R169:S169)&lt;&gt;COUNT(AL169:BM169))</f>
        <v>0</v>
      </c>
      <c r="BT169" s="18" t="b">
        <f t="shared" si="78"/>
        <v>0</v>
      </c>
      <c r="BV169" s="39" t="str">
        <f t="shared" si="79"/>
        <v/>
      </c>
      <c r="BW169" s="458" t="str">
        <f t="shared" si="80"/>
        <v/>
      </c>
      <c r="BX169" s="458" t="str">
        <f t="shared" si="81"/>
        <v/>
      </c>
      <c r="BY169" s="458" t="str">
        <f t="shared" si="82"/>
        <v/>
      </c>
      <c r="BZ169" s="458" t="str">
        <f t="shared" si="83"/>
        <v/>
      </c>
      <c r="CA169" s="40" t="str">
        <f t="shared" si="84"/>
        <v/>
      </c>
      <c r="CB169" s="40" t="str">
        <f t="shared" si="85"/>
        <v/>
      </c>
      <c r="CC169" s="39" t="str">
        <f t="shared" si="86"/>
        <v/>
      </c>
      <c r="CD169" s="458" t="str">
        <f t="shared" si="87"/>
        <v/>
      </c>
      <c r="CE169" s="41" t="str">
        <f t="shared" si="88"/>
        <v/>
      </c>
      <c r="CF169" s="39" t="str">
        <f t="shared" si="89"/>
        <v/>
      </c>
      <c r="CG169" s="458" t="str">
        <f t="shared" si="90"/>
        <v/>
      </c>
      <c r="CH169" s="458" t="str">
        <f t="shared" si="91"/>
        <v/>
      </c>
      <c r="CI169" s="458" t="str">
        <f t="shared" si="92"/>
        <v/>
      </c>
      <c r="CJ169" s="458" t="str">
        <f t="shared" si="93"/>
        <v/>
      </c>
      <c r="CK169" s="40" t="str">
        <f t="shared" si="94"/>
        <v/>
      </c>
      <c r="CL169" s="40" t="str">
        <f t="shared" si="95"/>
        <v/>
      </c>
      <c r="CM169" s="40" t="str">
        <f t="shared" si="96"/>
        <v/>
      </c>
      <c r="CN169" s="39" t="str">
        <f t="shared" si="97"/>
        <v/>
      </c>
      <c r="CO169" s="458" t="str">
        <f t="shared" si="98"/>
        <v/>
      </c>
      <c r="CP169" s="458" t="str">
        <f t="shared" si="99"/>
        <v/>
      </c>
      <c r="CQ169" s="458" t="str">
        <f t="shared" si="100"/>
        <v/>
      </c>
      <c r="CR169" s="458" t="str">
        <f t="shared" si="101"/>
        <v/>
      </c>
      <c r="CS169" s="40" t="str">
        <f t="shared" si="102"/>
        <v/>
      </c>
      <c r="CT169" s="40" t="str">
        <f t="shared" si="103"/>
        <v/>
      </c>
      <c r="CU169" s="41" t="str">
        <f t="shared" si="104"/>
        <v/>
      </c>
    </row>
    <row r="170" spans="1:99" x14ac:dyDescent="0.2">
      <c r="A170" s="77">
        <f t="shared" si="105"/>
        <v>165</v>
      </c>
      <c r="B170" s="81"/>
      <c r="C170" s="82"/>
      <c r="D170" s="71"/>
      <c r="E170" s="72"/>
      <c r="F170" s="73"/>
      <c r="G170" s="443"/>
      <c r="H170" s="443"/>
      <c r="I170" s="74"/>
      <c r="J170" s="75"/>
      <c r="K170" s="41">
        <f t="shared" si="74"/>
        <v>3625</v>
      </c>
      <c r="L170" s="104"/>
      <c r="M170" s="105"/>
      <c r="N170" s="106">
        <f t="shared" si="75"/>
        <v>537.05999999999995</v>
      </c>
      <c r="O170" s="104"/>
      <c r="P170" s="105"/>
      <c r="Q170" s="106">
        <f t="shared" si="107"/>
        <v>10045.83</v>
      </c>
      <c r="R170" s="104"/>
      <c r="S170" s="105"/>
      <c r="T170" s="106">
        <f t="shared" si="108"/>
        <v>0</v>
      </c>
      <c r="U170" s="439"/>
      <c r="V170" s="42">
        <f t="shared" si="76"/>
        <v>165</v>
      </c>
      <c r="W170" s="39" t="str">
        <f>IF(AND(E170='Povolené hodnoty'!$B$4,F170=2),I170+L170+O170+R170,"")</f>
        <v/>
      </c>
      <c r="X170" s="41" t="str">
        <f>IF(AND(E170='Povolené hodnoty'!$B$4,F170=1),I170+L170+O170+R170,"")</f>
        <v/>
      </c>
      <c r="Y170" s="39" t="str">
        <f>IF(AND(E170='Povolené hodnoty'!$B$4,F170=10),J170+M170+P170+S170,"")</f>
        <v/>
      </c>
      <c r="Z170" s="41" t="str">
        <f>IF(AND(E170='Povolené hodnoty'!$B$4,F170=9),J170+M170+P170+S170,"")</f>
        <v/>
      </c>
      <c r="AA170" s="39" t="str">
        <f>IF(AND(E170&lt;&gt;'Povolené hodnoty'!$B$4,F170=2),I170+L170+O170+R170,"")</f>
        <v/>
      </c>
      <c r="AB170" s="40" t="str">
        <f>IF(AND(E170&lt;&gt;'Povolené hodnoty'!$B$4,F170=3),I170+L170+O170+R170,"")</f>
        <v/>
      </c>
      <c r="AC170" s="40" t="str">
        <f>IF(AND(E170&lt;&gt;'Povolené hodnoty'!$B$4,F170=4),I170+L170+O170+R170,"")</f>
        <v/>
      </c>
      <c r="AD170" s="40" t="str">
        <f>IF(AND(E170&lt;&gt;'Povolené hodnoty'!$B$4,F170="5a"),I170-J170+L170-M170+O170-P170+R170-S170,"")</f>
        <v/>
      </c>
      <c r="AE170" s="40" t="str">
        <f>IF(AND(E170&lt;&gt;'Povolené hodnoty'!$B$4,F170="5b"),I170-J170+L170-M170+O170-P170+R170-S170,"")</f>
        <v/>
      </c>
      <c r="AF170" s="40" t="str">
        <f>IF(AND(E170&lt;&gt;'Povolené hodnoty'!$B$4,F170=6),I170+L170+O170+R170,"")</f>
        <v/>
      </c>
      <c r="AG170" s="41" t="str">
        <f>IF(AND(E170&lt;&gt;'Povolené hodnoty'!$B$4,F170=7),I170+L170+O170+R170,"")</f>
        <v/>
      </c>
      <c r="AH170" s="39" t="str">
        <f>IF(AND(E170&lt;&gt;'Povolené hodnoty'!$B$4,F170=10),J170+M170+P170+S170,"")</f>
        <v/>
      </c>
      <c r="AI170" s="40" t="str">
        <f>IF(AND(E170&lt;&gt;'Povolené hodnoty'!$B$4,F170=11),J170+M170+P170+S170,"")</f>
        <v/>
      </c>
      <c r="AJ170" s="40" t="str">
        <f>IF(AND(E170&lt;&gt;'Povolené hodnoty'!$B$4,F170=12),J170+M170+P170+S170,"")</f>
        <v/>
      </c>
      <c r="AK170" s="41" t="str">
        <f>IF(AND(E170&lt;&gt;'Povolené hodnoty'!$B$4,F170=13),J170+M170+P170+S170,"")</f>
        <v/>
      </c>
      <c r="AL170" s="39" t="str">
        <f>IF(AND($G170='Povolené hodnoty'!$B$13,$H170=AL$4),SUM($I170,$L170,$O170,$R170),"")</f>
        <v/>
      </c>
      <c r="AM170" s="458" t="str">
        <f>IF(AND($G170='Povolené hodnoty'!$B$13,$H170=AM$4),SUM($I170,$L170,$O170,$R170),"")</f>
        <v/>
      </c>
      <c r="AN170" s="458" t="str">
        <f>IF(AND($G170='Povolené hodnoty'!$B$13,$H170=AN$4),SUM($I170,$L170,$O170,$R170),"")</f>
        <v/>
      </c>
      <c r="AO170" s="458" t="str">
        <f>IF(AND($G170='Povolené hodnoty'!$B$13,$H170=AO$4),SUM($I170,$L170,$O170,$R170),"")</f>
        <v/>
      </c>
      <c r="AP170" s="458" t="str">
        <f>IF(AND($G170='Povolené hodnoty'!$B$13,$H170=AP$4),SUM($I170,$L170,$O170,$R170),"")</f>
        <v/>
      </c>
      <c r="AQ170" s="40" t="str">
        <f>IF(AND($G170='Povolené hodnoty'!$B$13,OR($H170=AQ$4,$H170='Povolené hodnoty'!$E$36)),SUM($I170,-$J170,$L170,-$M170,$O170,-$P170,$R170,-$S170),"")</f>
        <v/>
      </c>
      <c r="AR170" s="40" t="str">
        <f>IF(AND($G170='Povolené hodnoty'!$B$13,$H170=AR$4),SUM($I170,$L170,$O170,$R170),"")</f>
        <v/>
      </c>
      <c r="AS170" s="41" t="str">
        <f>IF(AND($G170='Povolené hodnoty'!$B$13,$H170=AS$4),SUM($I170,$L170,$O170,$R170),"")</f>
        <v/>
      </c>
      <c r="AT170" s="39" t="str">
        <f>IF(AND($G170='Povolené hodnoty'!$B$14,$H170=AT$4),SUM($I170,$L170,$O170,$R170),"")</f>
        <v/>
      </c>
      <c r="AU170" s="458" t="str">
        <f>IF(AND($G170='Povolené hodnoty'!$B$14,$H170=AU$4),SUM($I170,$L170,$O170,$R170),"")</f>
        <v/>
      </c>
      <c r="AV170" s="41" t="str">
        <f>IF(AND($G170='Povolené hodnoty'!$B$14,$H170=AV$4),SUM($I170,$L170,$O170,$R170),"")</f>
        <v/>
      </c>
      <c r="AW170" s="39" t="str">
        <f>IF(AND($G170='Povolené hodnoty'!$B$13,$H170=AW$4),SUM($J170,$M170,$P170,$S170),"")</f>
        <v/>
      </c>
      <c r="AX170" s="458" t="str">
        <f>IF(AND($G170='Povolené hodnoty'!$B$13,$H170=AX$4),SUM($J170,$M170,$P170,$S170),"")</f>
        <v/>
      </c>
      <c r="AY170" s="458" t="str">
        <f>IF(AND($G170='Povolené hodnoty'!$B$13,$H170=AY$4),SUM($J170,$M170,$P170,$S170),"")</f>
        <v/>
      </c>
      <c r="AZ170" s="458" t="str">
        <f>IF(AND($G170='Povolené hodnoty'!$B$13,$H170=AZ$4),SUM($J170,$M170,$P170,$S170),"")</f>
        <v/>
      </c>
      <c r="BA170" s="458" t="str">
        <f>IF(AND($G170='Povolené hodnoty'!$B$13,$H170=BA$4),SUM($J170,$M170,$P170,$S170),"")</f>
        <v/>
      </c>
      <c r="BB170" s="40" t="str">
        <f>IF(AND($G170='Povolené hodnoty'!$B$13,$H170=BB$4),SUM($J170,$M170,$P170,$S170),"")</f>
        <v/>
      </c>
      <c r="BC170" s="40" t="str">
        <f>IF(AND($G170='Povolené hodnoty'!$B$13,$H170=BC$4),SUM($J170,$M170,$P170,$S170),"")</f>
        <v/>
      </c>
      <c r="BD170" s="40" t="str">
        <f>IF(AND($G170='Povolené hodnoty'!$B$13,$H170=BD$4),SUM($J170,$M170,$P170,$S170),"")</f>
        <v/>
      </c>
      <c r="BE170" s="41" t="str">
        <f>IF(AND($G170='Povolené hodnoty'!$B$13,$H170=BE$4),SUM($J170,$M170,$P170,$S170),"")</f>
        <v/>
      </c>
      <c r="BF170" s="39" t="str">
        <f>IF(AND($G170='Povolené hodnoty'!$B$14,$H170=BF$4),SUM($J170,$M170,$P170,$S170),"")</f>
        <v/>
      </c>
      <c r="BG170" s="458" t="str">
        <f>IF(AND($G170='Povolené hodnoty'!$B$14,$H170=BG$4),SUM($J170,$M170,$P170,$S170),"")</f>
        <v/>
      </c>
      <c r="BH170" s="458" t="str">
        <f>IF(AND($G170='Povolené hodnoty'!$B$14,$H170=BH$4),SUM($J170,$M170,$P170,$S170),"")</f>
        <v/>
      </c>
      <c r="BI170" s="458" t="str">
        <f>IF(AND($G170='Povolené hodnoty'!$B$14,$H170=BI$4),SUM($J170,$M170,$P170,$S170),"")</f>
        <v/>
      </c>
      <c r="BJ170" s="458" t="str">
        <f>IF(AND($G170='Povolené hodnoty'!$B$14,$H170=BJ$4),SUM($J170,$M170,$P170,$S170),"")</f>
        <v/>
      </c>
      <c r="BK170" s="40" t="str">
        <f>IF(AND($G170='Povolené hodnoty'!$B$14,$H170=BK$4),SUM($J170,$M170,$P170,$S170),"")</f>
        <v/>
      </c>
      <c r="BL170" s="40" t="str">
        <f>IF(AND($G170='Povolené hodnoty'!$B$14,$H170=BL$4),SUM($J170,$M170,$P170,$S170),"")</f>
        <v/>
      </c>
      <c r="BM170" s="41" t="str">
        <f>IF(AND($G170='Povolené hodnoty'!$B$14,$H170=BM$4),SUM($J170,$M170,$P170,$S170),"")</f>
        <v/>
      </c>
      <c r="BO170" s="18" t="b">
        <f t="shared" si="106"/>
        <v>0</v>
      </c>
      <c r="BP170" s="18" t="b">
        <f t="shared" si="77"/>
        <v>0</v>
      </c>
      <c r="BQ170" s="18" t="b">
        <f>AND(E170&lt;&gt;'Povolené hodnoty'!$B$6,F170&lt;&gt;'Povolené hodnoty'!$D$7,F170&lt;&gt;'Povolené hodnoty'!$D$8,OR(SUM(I170,L170,O170,R170)&lt;&gt;SUM(W170:X170,AA170:AG170),SUM(J170,M170,P170,S170)&lt;&gt;SUM(Y170:Z170,AH170:AK170),COUNT(I170:J170,L170:M170,O170:P170,R170:S170)&lt;&gt;COUNT(W170:AK170)))</f>
        <v>0</v>
      </c>
      <c r="BR170" s="18" t="b">
        <f>OR(AND(E170='Povolené hodnoty'!$B$6,$BR$5),AND(E170='Povolené hodnoty'!$B$6,H170&lt;&gt;'Povolené hodnoty'!$E$26,H170&lt;&gt;'Povolené hodnoty'!$E$35),AND(E170&lt;&gt;'Povolené hodnoty'!$B$6,OR(H170='Povolené hodnoty'!$E$26,H170='Povolené hodnoty'!$E$35)))</f>
        <v>0</v>
      </c>
      <c r="BS170" s="18" t="b">
        <f>OR(AND(G170&lt;&gt;'Povolené hodnoty'!$B$13,OR(H170='Povolené hodnoty'!$E$21,H170='Povolené hodnoty'!$E$22,H170='Povolené hodnoty'!$E$23,H170='Povolené hodnoty'!$E$24,H170='Povolené hodnoty'!$E$26,H170='Povolené hodnoty'!$E$36)),COUNT(I170:J170,L170:M170,O170:P170,R170:S170)&lt;&gt;COUNT(AL170:BM170))</f>
        <v>0</v>
      </c>
      <c r="BT170" s="18" t="b">
        <f t="shared" si="78"/>
        <v>0</v>
      </c>
      <c r="BV170" s="39" t="str">
        <f t="shared" si="79"/>
        <v/>
      </c>
      <c r="BW170" s="458" t="str">
        <f t="shared" si="80"/>
        <v/>
      </c>
      <c r="BX170" s="458" t="str">
        <f t="shared" si="81"/>
        <v/>
      </c>
      <c r="BY170" s="458" t="str">
        <f t="shared" si="82"/>
        <v/>
      </c>
      <c r="BZ170" s="458" t="str">
        <f t="shared" si="83"/>
        <v/>
      </c>
      <c r="CA170" s="40" t="str">
        <f t="shared" si="84"/>
        <v/>
      </c>
      <c r="CB170" s="40" t="str">
        <f t="shared" si="85"/>
        <v/>
      </c>
      <c r="CC170" s="39" t="str">
        <f t="shared" si="86"/>
        <v/>
      </c>
      <c r="CD170" s="458" t="str">
        <f t="shared" si="87"/>
        <v/>
      </c>
      <c r="CE170" s="41" t="str">
        <f t="shared" si="88"/>
        <v/>
      </c>
      <c r="CF170" s="39" t="str">
        <f t="shared" si="89"/>
        <v/>
      </c>
      <c r="CG170" s="458" t="str">
        <f t="shared" si="90"/>
        <v/>
      </c>
      <c r="CH170" s="458" t="str">
        <f t="shared" si="91"/>
        <v/>
      </c>
      <c r="CI170" s="458" t="str">
        <f t="shared" si="92"/>
        <v/>
      </c>
      <c r="CJ170" s="458" t="str">
        <f t="shared" si="93"/>
        <v/>
      </c>
      <c r="CK170" s="40" t="str">
        <f t="shared" si="94"/>
        <v/>
      </c>
      <c r="CL170" s="40" t="str">
        <f t="shared" si="95"/>
        <v/>
      </c>
      <c r="CM170" s="40" t="str">
        <f t="shared" si="96"/>
        <v/>
      </c>
      <c r="CN170" s="39" t="str">
        <f t="shared" si="97"/>
        <v/>
      </c>
      <c r="CO170" s="458" t="str">
        <f t="shared" si="98"/>
        <v/>
      </c>
      <c r="CP170" s="458" t="str">
        <f t="shared" si="99"/>
        <v/>
      </c>
      <c r="CQ170" s="458" t="str">
        <f t="shared" si="100"/>
        <v/>
      </c>
      <c r="CR170" s="458" t="str">
        <f t="shared" si="101"/>
        <v/>
      </c>
      <c r="CS170" s="40" t="str">
        <f t="shared" si="102"/>
        <v/>
      </c>
      <c r="CT170" s="40" t="str">
        <f t="shared" si="103"/>
        <v/>
      </c>
      <c r="CU170" s="41" t="str">
        <f t="shared" si="104"/>
        <v/>
      </c>
    </row>
    <row r="171" spans="1:99" x14ac:dyDescent="0.2">
      <c r="A171" s="77">
        <f t="shared" si="105"/>
        <v>166</v>
      </c>
      <c r="B171" s="81"/>
      <c r="C171" s="82"/>
      <c r="D171" s="71"/>
      <c r="E171" s="72"/>
      <c r="F171" s="73"/>
      <c r="G171" s="443"/>
      <c r="H171" s="443"/>
      <c r="I171" s="74"/>
      <c r="J171" s="75"/>
      <c r="K171" s="41">
        <f t="shared" si="74"/>
        <v>3625</v>
      </c>
      <c r="L171" s="104"/>
      <c r="M171" s="105"/>
      <c r="N171" s="106">
        <f t="shared" si="75"/>
        <v>537.05999999999995</v>
      </c>
      <c r="O171" s="104"/>
      <c r="P171" s="105"/>
      <c r="Q171" s="106">
        <f t="shared" si="107"/>
        <v>10045.83</v>
      </c>
      <c r="R171" s="104"/>
      <c r="S171" s="105"/>
      <c r="T171" s="106">
        <f t="shared" si="108"/>
        <v>0</v>
      </c>
      <c r="U171" s="439"/>
      <c r="V171" s="42">
        <f t="shared" si="76"/>
        <v>166</v>
      </c>
      <c r="W171" s="39" t="str">
        <f>IF(AND(E171='Povolené hodnoty'!$B$4,F171=2),I171+L171+O171+R171,"")</f>
        <v/>
      </c>
      <c r="X171" s="41" t="str">
        <f>IF(AND(E171='Povolené hodnoty'!$B$4,F171=1),I171+L171+O171+R171,"")</f>
        <v/>
      </c>
      <c r="Y171" s="39" t="str">
        <f>IF(AND(E171='Povolené hodnoty'!$B$4,F171=10),J171+M171+P171+S171,"")</f>
        <v/>
      </c>
      <c r="Z171" s="41" t="str">
        <f>IF(AND(E171='Povolené hodnoty'!$B$4,F171=9),J171+M171+P171+S171,"")</f>
        <v/>
      </c>
      <c r="AA171" s="39" t="str">
        <f>IF(AND(E171&lt;&gt;'Povolené hodnoty'!$B$4,F171=2),I171+L171+O171+R171,"")</f>
        <v/>
      </c>
      <c r="AB171" s="40" t="str">
        <f>IF(AND(E171&lt;&gt;'Povolené hodnoty'!$B$4,F171=3),I171+L171+O171+R171,"")</f>
        <v/>
      </c>
      <c r="AC171" s="40" t="str">
        <f>IF(AND(E171&lt;&gt;'Povolené hodnoty'!$B$4,F171=4),I171+L171+O171+R171,"")</f>
        <v/>
      </c>
      <c r="AD171" s="40" t="str">
        <f>IF(AND(E171&lt;&gt;'Povolené hodnoty'!$B$4,F171="5a"),I171-J171+L171-M171+O171-P171+R171-S171,"")</f>
        <v/>
      </c>
      <c r="AE171" s="40" t="str">
        <f>IF(AND(E171&lt;&gt;'Povolené hodnoty'!$B$4,F171="5b"),I171-J171+L171-M171+O171-P171+R171-S171,"")</f>
        <v/>
      </c>
      <c r="AF171" s="40" t="str">
        <f>IF(AND(E171&lt;&gt;'Povolené hodnoty'!$B$4,F171=6),I171+L171+O171+R171,"")</f>
        <v/>
      </c>
      <c r="AG171" s="41" t="str">
        <f>IF(AND(E171&lt;&gt;'Povolené hodnoty'!$B$4,F171=7),I171+L171+O171+R171,"")</f>
        <v/>
      </c>
      <c r="AH171" s="39" t="str">
        <f>IF(AND(E171&lt;&gt;'Povolené hodnoty'!$B$4,F171=10),J171+M171+P171+S171,"")</f>
        <v/>
      </c>
      <c r="AI171" s="40" t="str">
        <f>IF(AND(E171&lt;&gt;'Povolené hodnoty'!$B$4,F171=11),J171+M171+P171+S171,"")</f>
        <v/>
      </c>
      <c r="AJ171" s="40" t="str">
        <f>IF(AND(E171&lt;&gt;'Povolené hodnoty'!$B$4,F171=12),J171+M171+P171+S171,"")</f>
        <v/>
      </c>
      <c r="AK171" s="41" t="str">
        <f>IF(AND(E171&lt;&gt;'Povolené hodnoty'!$B$4,F171=13),J171+M171+P171+S171,"")</f>
        <v/>
      </c>
      <c r="AL171" s="39" t="str">
        <f>IF(AND($G171='Povolené hodnoty'!$B$13,$H171=AL$4),SUM($I171,$L171,$O171,$R171),"")</f>
        <v/>
      </c>
      <c r="AM171" s="458" t="str">
        <f>IF(AND($G171='Povolené hodnoty'!$B$13,$H171=AM$4),SUM($I171,$L171,$O171,$R171),"")</f>
        <v/>
      </c>
      <c r="AN171" s="458" t="str">
        <f>IF(AND($G171='Povolené hodnoty'!$B$13,$H171=AN$4),SUM($I171,$L171,$O171,$R171),"")</f>
        <v/>
      </c>
      <c r="AO171" s="458" t="str">
        <f>IF(AND($G171='Povolené hodnoty'!$B$13,$H171=AO$4),SUM($I171,$L171,$O171,$R171),"")</f>
        <v/>
      </c>
      <c r="AP171" s="458" t="str">
        <f>IF(AND($G171='Povolené hodnoty'!$B$13,$H171=AP$4),SUM($I171,$L171,$O171,$R171),"")</f>
        <v/>
      </c>
      <c r="AQ171" s="40" t="str">
        <f>IF(AND($G171='Povolené hodnoty'!$B$13,OR($H171=AQ$4,$H171='Povolené hodnoty'!$E$36)),SUM($I171,-$J171,$L171,-$M171,$O171,-$P171,$R171,-$S171),"")</f>
        <v/>
      </c>
      <c r="AR171" s="40" t="str">
        <f>IF(AND($G171='Povolené hodnoty'!$B$13,$H171=AR$4),SUM($I171,$L171,$O171,$R171),"")</f>
        <v/>
      </c>
      <c r="AS171" s="41" t="str">
        <f>IF(AND($G171='Povolené hodnoty'!$B$13,$H171=AS$4),SUM($I171,$L171,$O171,$R171),"")</f>
        <v/>
      </c>
      <c r="AT171" s="39" t="str">
        <f>IF(AND($G171='Povolené hodnoty'!$B$14,$H171=AT$4),SUM($I171,$L171,$O171,$R171),"")</f>
        <v/>
      </c>
      <c r="AU171" s="458" t="str">
        <f>IF(AND($G171='Povolené hodnoty'!$B$14,$H171=AU$4),SUM($I171,$L171,$O171,$R171),"")</f>
        <v/>
      </c>
      <c r="AV171" s="41" t="str">
        <f>IF(AND($G171='Povolené hodnoty'!$B$14,$H171=AV$4),SUM($I171,$L171,$O171,$R171),"")</f>
        <v/>
      </c>
      <c r="AW171" s="39" t="str">
        <f>IF(AND($G171='Povolené hodnoty'!$B$13,$H171=AW$4),SUM($J171,$M171,$P171,$S171),"")</f>
        <v/>
      </c>
      <c r="AX171" s="458" t="str">
        <f>IF(AND($G171='Povolené hodnoty'!$B$13,$H171=AX$4),SUM($J171,$M171,$P171,$S171),"")</f>
        <v/>
      </c>
      <c r="AY171" s="458" t="str">
        <f>IF(AND($G171='Povolené hodnoty'!$B$13,$H171=AY$4),SUM($J171,$M171,$P171,$S171),"")</f>
        <v/>
      </c>
      <c r="AZ171" s="458" t="str">
        <f>IF(AND($G171='Povolené hodnoty'!$B$13,$H171=AZ$4),SUM($J171,$M171,$P171,$S171),"")</f>
        <v/>
      </c>
      <c r="BA171" s="458" t="str">
        <f>IF(AND($G171='Povolené hodnoty'!$B$13,$H171=BA$4),SUM($J171,$M171,$P171,$S171),"")</f>
        <v/>
      </c>
      <c r="BB171" s="40" t="str">
        <f>IF(AND($G171='Povolené hodnoty'!$B$13,$H171=BB$4),SUM($J171,$M171,$P171,$S171),"")</f>
        <v/>
      </c>
      <c r="BC171" s="40" t="str">
        <f>IF(AND($G171='Povolené hodnoty'!$B$13,$H171=BC$4),SUM($J171,$M171,$P171,$S171),"")</f>
        <v/>
      </c>
      <c r="BD171" s="40" t="str">
        <f>IF(AND($G171='Povolené hodnoty'!$B$13,$H171=BD$4),SUM($J171,$M171,$P171,$S171),"")</f>
        <v/>
      </c>
      <c r="BE171" s="41" t="str">
        <f>IF(AND($G171='Povolené hodnoty'!$B$13,$H171=BE$4),SUM($J171,$M171,$P171,$S171),"")</f>
        <v/>
      </c>
      <c r="BF171" s="39" t="str">
        <f>IF(AND($G171='Povolené hodnoty'!$B$14,$H171=BF$4),SUM($J171,$M171,$P171,$S171),"")</f>
        <v/>
      </c>
      <c r="BG171" s="458" t="str">
        <f>IF(AND($G171='Povolené hodnoty'!$B$14,$H171=BG$4),SUM($J171,$M171,$P171,$S171),"")</f>
        <v/>
      </c>
      <c r="BH171" s="458" t="str">
        <f>IF(AND($G171='Povolené hodnoty'!$B$14,$H171=BH$4),SUM($J171,$M171,$P171,$S171),"")</f>
        <v/>
      </c>
      <c r="BI171" s="458" t="str">
        <f>IF(AND($G171='Povolené hodnoty'!$B$14,$H171=BI$4),SUM($J171,$M171,$P171,$S171),"")</f>
        <v/>
      </c>
      <c r="BJ171" s="458" t="str">
        <f>IF(AND($G171='Povolené hodnoty'!$B$14,$H171=BJ$4),SUM($J171,$M171,$P171,$S171),"")</f>
        <v/>
      </c>
      <c r="BK171" s="40" t="str">
        <f>IF(AND($G171='Povolené hodnoty'!$B$14,$H171=BK$4),SUM($J171,$M171,$P171,$S171),"")</f>
        <v/>
      </c>
      <c r="BL171" s="40" t="str">
        <f>IF(AND($G171='Povolené hodnoty'!$B$14,$H171=BL$4),SUM($J171,$M171,$P171,$S171),"")</f>
        <v/>
      </c>
      <c r="BM171" s="41" t="str">
        <f>IF(AND($G171='Povolené hodnoty'!$B$14,$H171=BM$4),SUM($J171,$M171,$P171,$S171),"")</f>
        <v/>
      </c>
      <c r="BO171" s="18" t="b">
        <f t="shared" si="106"/>
        <v>0</v>
      </c>
      <c r="BP171" s="18" t="b">
        <f t="shared" si="77"/>
        <v>0</v>
      </c>
      <c r="BQ171" s="18" t="b">
        <f>AND(E171&lt;&gt;'Povolené hodnoty'!$B$6,F171&lt;&gt;'Povolené hodnoty'!$D$7,F171&lt;&gt;'Povolené hodnoty'!$D$8,OR(SUM(I171,L171,O171,R171)&lt;&gt;SUM(W171:X171,AA171:AG171),SUM(J171,M171,P171,S171)&lt;&gt;SUM(Y171:Z171,AH171:AK171),COUNT(I171:J171,L171:M171,O171:P171,R171:S171)&lt;&gt;COUNT(W171:AK171)))</f>
        <v>0</v>
      </c>
      <c r="BR171" s="18" t="b">
        <f>OR(AND(E171='Povolené hodnoty'!$B$6,$BR$5),AND(E171='Povolené hodnoty'!$B$6,H171&lt;&gt;'Povolené hodnoty'!$E$26,H171&lt;&gt;'Povolené hodnoty'!$E$35),AND(E171&lt;&gt;'Povolené hodnoty'!$B$6,OR(H171='Povolené hodnoty'!$E$26,H171='Povolené hodnoty'!$E$35)))</f>
        <v>0</v>
      </c>
      <c r="BS171" s="18" t="b">
        <f>OR(AND(G171&lt;&gt;'Povolené hodnoty'!$B$13,OR(H171='Povolené hodnoty'!$E$21,H171='Povolené hodnoty'!$E$22,H171='Povolené hodnoty'!$E$23,H171='Povolené hodnoty'!$E$24,H171='Povolené hodnoty'!$E$26,H171='Povolené hodnoty'!$E$36)),COUNT(I171:J171,L171:M171,O171:P171,R171:S171)&lt;&gt;COUNT(AL171:BM171))</f>
        <v>0</v>
      </c>
      <c r="BT171" s="18" t="b">
        <f t="shared" si="78"/>
        <v>0</v>
      </c>
      <c r="BV171" s="39" t="str">
        <f t="shared" si="79"/>
        <v/>
      </c>
      <c r="BW171" s="458" t="str">
        <f t="shared" si="80"/>
        <v/>
      </c>
      <c r="BX171" s="458" t="str">
        <f t="shared" si="81"/>
        <v/>
      </c>
      <c r="BY171" s="458" t="str">
        <f t="shared" si="82"/>
        <v/>
      </c>
      <c r="BZ171" s="458" t="str">
        <f t="shared" si="83"/>
        <v/>
      </c>
      <c r="CA171" s="40" t="str">
        <f t="shared" si="84"/>
        <v/>
      </c>
      <c r="CB171" s="40" t="str">
        <f t="shared" si="85"/>
        <v/>
      </c>
      <c r="CC171" s="39" t="str">
        <f t="shared" si="86"/>
        <v/>
      </c>
      <c r="CD171" s="458" t="str">
        <f t="shared" si="87"/>
        <v/>
      </c>
      <c r="CE171" s="41" t="str">
        <f t="shared" si="88"/>
        <v/>
      </c>
      <c r="CF171" s="39" t="str">
        <f t="shared" si="89"/>
        <v/>
      </c>
      <c r="CG171" s="458" t="str">
        <f t="shared" si="90"/>
        <v/>
      </c>
      <c r="CH171" s="458" t="str">
        <f t="shared" si="91"/>
        <v/>
      </c>
      <c r="CI171" s="458" t="str">
        <f t="shared" si="92"/>
        <v/>
      </c>
      <c r="CJ171" s="458" t="str">
        <f t="shared" si="93"/>
        <v/>
      </c>
      <c r="CK171" s="40" t="str">
        <f t="shared" si="94"/>
        <v/>
      </c>
      <c r="CL171" s="40" t="str">
        <f t="shared" si="95"/>
        <v/>
      </c>
      <c r="CM171" s="40" t="str">
        <f t="shared" si="96"/>
        <v/>
      </c>
      <c r="CN171" s="39" t="str">
        <f t="shared" si="97"/>
        <v/>
      </c>
      <c r="CO171" s="458" t="str">
        <f t="shared" si="98"/>
        <v/>
      </c>
      <c r="CP171" s="458" t="str">
        <f t="shared" si="99"/>
        <v/>
      </c>
      <c r="CQ171" s="458" t="str">
        <f t="shared" si="100"/>
        <v/>
      </c>
      <c r="CR171" s="458" t="str">
        <f t="shared" si="101"/>
        <v/>
      </c>
      <c r="CS171" s="40" t="str">
        <f t="shared" si="102"/>
        <v/>
      </c>
      <c r="CT171" s="40" t="str">
        <f t="shared" si="103"/>
        <v/>
      </c>
      <c r="CU171" s="41" t="str">
        <f t="shared" si="104"/>
        <v/>
      </c>
    </row>
    <row r="172" spans="1:99" x14ac:dyDescent="0.2">
      <c r="A172" s="77">
        <f t="shared" si="105"/>
        <v>167</v>
      </c>
      <c r="B172" s="81"/>
      <c r="C172" s="82"/>
      <c r="D172" s="71"/>
      <c r="E172" s="72"/>
      <c r="F172" s="73"/>
      <c r="G172" s="443"/>
      <c r="H172" s="443"/>
      <c r="I172" s="74"/>
      <c r="J172" s="75"/>
      <c r="K172" s="41">
        <f t="shared" si="74"/>
        <v>3625</v>
      </c>
      <c r="L172" s="104"/>
      <c r="M172" s="105"/>
      <c r="N172" s="106">
        <f t="shared" si="75"/>
        <v>537.05999999999995</v>
      </c>
      <c r="O172" s="104"/>
      <c r="P172" s="105"/>
      <c r="Q172" s="106">
        <f t="shared" si="107"/>
        <v>10045.83</v>
      </c>
      <c r="R172" s="104"/>
      <c r="S172" s="105"/>
      <c r="T172" s="106">
        <f t="shared" si="108"/>
        <v>0</v>
      </c>
      <c r="U172" s="439"/>
      <c r="V172" s="42">
        <f t="shared" si="76"/>
        <v>167</v>
      </c>
      <c r="W172" s="39" t="str">
        <f>IF(AND(E172='Povolené hodnoty'!$B$4,F172=2),I172+L172+O172+R172,"")</f>
        <v/>
      </c>
      <c r="X172" s="41" t="str">
        <f>IF(AND(E172='Povolené hodnoty'!$B$4,F172=1),I172+L172+O172+R172,"")</f>
        <v/>
      </c>
      <c r="Y172" s="39" t="str">
        <f>IF(AND(E172='Povolené hodnoty'!$B$4,F172=10),J172+M172+P172+S172,"")</f>
        <v/>
      </c>
      <c r="Z172" s="41" t="str">
        <f>IF(AND(E172='Povolené hodnoty'!$B$4,F172=9),J172+M172+P172+S172,"")</f>
        <v/>
      </c>
      <c r="AA172" s="39" t="str">
        <f>IF(AND(E172&lt;&gt;'Povolené hodnoty'!$B$4,F172=2),I172+L172+O172+R172,"")</f>
        <v/>
      </c>
      <c r="AB172" s="40" t="str">
        <f>IF(AND(E172&lt;&gt;'Povolené hodnoty'!$B$4,F172=3),I172+L172+O172+R172,"")</f>
        <v/>
      </c>
      <c r="AC172" s="40" t="str">
        <f>IF(AND(E172&lt;&gt;'Povolené hodnoty'!$B$4,F172=4),I172+L172+O172+R172,"")</f>
        <v/>
      </c>
      <c r="AD172" s="40" t="str">
        <f>IF(AND(E172&lt;&gt;'Povolené hodnoty'!$B$4,F172="5a"),I172-J172+L172-M172+O172-P172+R172-S172,"")</f>
        <v/>
      </c>
      <c r="AE172" s="40" t="str">
        <f>IF(AND(E172&lt;&gt;'Povolené hodnoty'!$B$4,F172="5b"),I172-J172+L172-M172+O172-P172+R172-S172,"")</f>
        <v/>
      </c>
      <c r="AF172" s="40" t="str">
        <f>IF(AND(E172&lt;&gt;'Povolené hodnoty'!$B$4,F172=6),I172+L172+O172+R172,"")</f>
        <v/>
      </c>
      <c r="AG172" s="41" t="str">
        <f>IF(AND(E172&lt;&gt;'Povolené hodnoty'!$B$4,F172=7),I172+L172+O172+R172,"")</f>
        <v/>
      </c>
      <c r="AH172" s="39" t="str">
        <f>IF(AND(E172&lt;&gt;'Povolené hodnoty'!$B$4,F172=10),J172+M172+P172+S172,"")</f>
        <v/>
      </c>
      <c r="AI172" s="40" t="str">
        <f>IF(AND(E172&lt;&gt;'Povolené hodnoty'!$B$4,F172=11),J172+M172+P172+S172,"")</f>
        <v/>
      </c>
      <c r="AJ172" s="40" t="str">
        <f>IF(AND(E172&lt;&gt;'Povolené hodnoty'!$B$4,F172=12),J172+M172+P172+S172,"")</f>
        <v/>
      </c>
      <c r="AK172" s="41" t="str">
        <f>IF(AND(E172&lt;&gt;'Povolené hodnoty'!$B$4,F172=13),J172+M172+P172+S172,"")</f>
        <v/>
      </c>
      <c r="AL172" s="39" t="str">
        <f>IF(AND($G172='Povolené hodnoty'!$B$13,$H172=AL$4),SUM($I172,$L172,$O172,$R172),"")</f>
        <v/>
      </c>
      <c r="AM172" s="458" t="str">
        <f>IF(AND($G172='Povolené hodnoty'!$B$13,$H172=AM$4),SUM($I172,$L172,$O172,$R172),"")</f>
        <v/>
      </c>
      <c r="AN172" s="458" t="str">
        <f>IF(AND($G172='Povolené hodnoty'!$B$13,$H172=AN$4),SUM($I172,$L172,$O172,$R172),"")</f>
        <v/>
      </c>
      <c r="AO172" s="458" t="str">
        <f>IF(AND($G172='Povolené hodnoty'!$B$13,$H172=AO$4),SUM($I172,$L172,$O172,$R172),"")</f>
        <v/>
      </c>
      <c r="AP172" s="458" t="str">
        <f>IF(AND($G172='Povolené hodnoty'!$B$13,$H172=AP$4),SUM($I172,$L172,$O172,$R172),"")</f>
        <v/>
      </c>
      <c r="AQ172" s="40" t="str">
        <f>IF(AND($G172='Povolené hodnoty'!$B$13,OR($H172=AQ$4,$H172='Povolené hodnoty'!$E$36)),SUM($I172,-$J172,$L172,-$M172,$O172,-$P172,$R172,-$S172),"")</f>
        <v/>
      </c>
      <c r="AR172" s="40" t="str">
        <f>IF(AND($G172='Povolené hodnoty'!$B$13,$H172=AR$4),SUM($I172,$L172,$O172,$R172),"")</f>
        <v/>
      </c>
      <c r="AS172" s="41" t="str">
        <f>IF(AND($G172='Povolené hodnoty'!$B$13,$H172=AS$4),SUM($I172,$L172,$O172,$R172),"")</f>
        <v/>
      </c>
      <c r="AT172" s="39" t="str">
        <f>IF(AND($G172='Povolené hodnoty'!$B$14,$H172=AT$4),SUM($I172,$L172,$O172,$R172),"")</f>
        <v/>
      </c>
      <c r="AU172" s="458" t="str">
        <f>IF(AND($G172='Povolené hodnoty'!$B$14,$H172=AU$4),SUM($I172,$L172,$O172,$R172),"")</f>
        <v/>
      </c>
      <c r="AV172" s="41" t="str">
        <f>IF(AND($G172='Povolené hodnoty'!$B$14,$H172=AV$4),SUM($I172,$L172,$O172,$R172),"")</f>
        <v/>
      </c>
      <c r="AW172" s="39" t="str">
        <f>IF(AND($G172='Povolené hodnoty'!$B$13,$H172=AW$4),SUM($J172,$M172,$P172,$S172),"")</f>
        <v/>
      </c>
      <c r="AX172" s="458" t="str">
        <f>IF(AND($G172='Povolené hodnoty'!$B$13,$H172=AX$4),SUM($J172,$M172,$P172,$S172),"")</f>
        <v/>
      </c>
      <c r="AY172" s="458" t="str">
        <f>IF(AND($G172='Povolené hodnoty'!$B$13,$H172=AY$4),SUM($J172,$M172,$P172,$S172),"")</f>
        <v/>
      </c>
      <c r="AZ172" s="458" t="str">
        <f>IF(AND($G172='Povolené hodnoty'!$B$13,$H172=AZ$4),SUM($J172,$M172,$P172,$S172),"")</f>
        <v/>
      </c>
      <c r="BA172" s="458" t="str">
        <f>IF(AND($G172='Povolené hodnoty'!$B$13,$H172=BA$4),SUM($J172,$M172,$P172,$S172),"")</f>
        <v/>
      </c>
      <c r="BB172" s="40" t="str">
        <f>IF(AND($G172='Povolené hodnoty'!$B$13,$H172=BB$4),SUM($J172,$M172,$P172,$S172),"")</f>
        <v/>
      </c>
      <c r="BC172" s="40" t="str">
        <f>IF(AND($G172='Povolené hodnoty'!$B$13,$H172=BC$4),SUM($J172,$M172,$P172,$S172),"")</f>
        <v/>
      </c>
      <c r="BD172" s="40" t="str">
        <f>IF(AND($G172='Povolené hodnoty'!$B$13,$H172=BD$4),SUM($J172,$M172,$P172,$S172),"")</f>
        <v/>
      </c>
      <c r="BE172" s="41" t="str">
        <f>IF(AND($G172='Povolené hodnoty'!$B$13,$H172=BE$4),SUM($J172,$M172,$P172,$S172),"")</f>
        <v/>
      </c>
      <c r="BF172" s="39" t="str">
        <f>IF(AND($G172='Povolené hodnoty'!$B$14,$H172=BF$4),SUM($J172,$M172,$P172,$S172),"")</f>
        <v/>
      </c>
      <c r="BG172" s="458" t="str">
        <f>IF(AND($G172='Povolené hodnoty'!$B$14,$H172=BG$4),SUM($J172,$M172,$P172,$S172),"")</f>
        <v/>
      </c>
      <c r="BH172" s="458" t="str">
        <f>IF(AND($G172='Povolené hodnoty'!$B$14,$H172=BH$4),SUM($J172,$M172,$P172,$S172),"")</f>
        <v/>
      </c>
      <c r="BI172" s="458" t="str">
        <f>IF(AND($G172='Povolené hodnoty'!$B$14,$H172=BI$4),SUM($J172,$M172,$P172,$S172),"")</f>
        <v/>
      </c>
      <c r="BJ172" s="458" t="str">
        <f>IF(AND($G172='Povolené hodnoty'!$B$14,$H172=BJ$4),SUM($J172,$M172,$P172,$S172),"")</f>
        <v/>
      </c>
      <c r="BK172" s="40" t="str">
        <f>IF(AND($G172='Povolené hodnoty'!$B$14,$H172=BK$4),SUM($J172,$M172,$P172,$S172),"")</f>
        <v/>
      </c>
      <c r="BL172" s="40" t="str">
        <f>IF(AND($G172='Povolené hodnoty'!$B$14,$H172=BL$4),SUM($J172,$M172,$P172,$S172),"")</f>
        <v/>
      </c>
      <c r="BM172" s="41" t="str">
        <f>IF(AND($G172='Povolené hodnoty'!$B$14,$H172=BM$4),SUM($J172,$M172,$P172,$S172),"")</f>
        <v/>
      </c>
      <c r="BO172" s="18" t="b">
        <f t="shared" si="106"/>
        <v>0</v>
      </c>
      <c r="BP172" s="18" t="b">
        <f t="shared" si="77"/>
        <v>0</v>
      </c>
      <c r="BQ172" s="18" t="b">
        <f>AND(E172&lt;&gt;'Povolené hodnoty'!$B$6,F172&lt;&gt;'Povolené hodnoty'!$D$7,F172&lt;&gt;'Povolené hodnoty'!$D$8,OR(SUM(I172,L172,O172,R172)&lt;&gt;SUM(W172:X172,AA172:AG172),SUM(J172,M172,P172,S172)&lt;&gt;SUM(Y172:Z172,AH172:AK172),COUNT(I172:J172,L172:M172,O172:P172,R172:S172)&lt;&gt;COUNT(W172:AK172)))</f>
        <v>0</v>
      </c>
      <c r="BR172" s="18" t="b">
        <f>OR(AND(E172='Povolené hodnoty'!$B$6,$BR$5),AND(E172='Povolené hodnoty'!$B$6,H172&lt;&gt;'Povolené hodnoty'!$E$26,H172&lt;&gt;'Povolené hodnoty'!$E$35),AND(E172&lt;&gt;'Povolené hodnoty'!$B$6,OR(H172='Povolené hodnoty'!$E$26,H172='Povolené hodnoty'!$E$35)))</f>
        <v>0</v>
      </c>
      <c r="BS172" s="18" t="b">
        <f>OR(AND(G172&lt;&gt;'Povolené hodnoty'!$B$13,OR(H172='Povolené hodnoty'!$E$21,H172='Povolené hodnoty'!$E$22,H172='Povolené hodnoty'!$E$23,H172='Povolené hodnoty'!$E$24,H172='Povolené hodnoty'!$E$26,H172='Povolené hodnoty'!$E$36)),COUNT(I172:J172,L172:M172,O172:P172,R172:S172)&lt;&gt;COUNT(AL172:BM172))</f>
        <v>0</v>
      </c>
      <c r="BT172" s="18" t="b">
        <f t="shared" si="78"/>
        <v>0</v>
      </c>
      <c r="BV172" s="39" t="str">
        <f t="shared" si="79"/>
        <v/>
      </c>
      <c r="BW172" s="458" t="str">
        <f t="shared" si="80"/>
        <v/>
      </c>
      <c r="BX172" s="458" t="str">
        <f t="shared" si="81"/>
        <v/>
      </c>
      <c r="BY172" s="458" t="str">
        <f t="shared" si="82"/>
        <v/>
      </c>
      <c r="BZ172" s="458" t="str">
        <f t="shared" si="83"/>
        <v/>
      </c>
      <c r="CA172" s="40" t="str">
        <f t="shared" si="84"/>
        <v/>
      </c>
      <c r="CB172" s="40" t="str">
        <f t="shared" si="85"/>
        <v/>
      </c>
      <c r="CC172" s="39" t="str">
        <f t="shared" si="86"/>
        <v/>
      </c>
      <c r="CD172" s="458" t="str">
        <f t="shared" si="87"/>
        <v/>
      </c>
      <c r="CE172" s="41" t="str">
        <f t="shared" si="88"/>
        <v/>
      </c>
      <c r="CF172" s="39" t="str">
        <f t="shared" si="89"/>
        <v/>
      </c>
      <c r="CG172" s="458" t="str">
        <f t="shared" si="90"/>
        <v/>
      </c>
      <c r="CH172" s="458" t="str">
        <f t="shared" si="91"/>
        <v/>
      </c>
      <c r="CI172" s="458" t="str">
        <f t="shared" si="92"/>
        <v/>
      </c>
      <c r="CJ172" s="458" t="str">
        <f t="shared" si="93"/>
        <v/>
      </c>
      <c r="CK172" s="40" t="str">
        <f t="shared" si="94"/>
        <v/>
      </c>
      <c r="CL172" s="40" t="str">
        <f t="shared" si="95"/>
        <v/>
      </c>
      <c r="CM172" s="40" t="str">
        <f t="shared" si="96"/>
        <v/>
      </c>
      <c r="CN172" s="39" t="str">
        <f t="shared" si="97"/>
        <v/>
      </c>
      <c r="CO172" s="458" t="str">
        <f t="shared" si="98"/>
        <v/>
      </c>
      <c r="CP172" s="458" t="str">
        <f t="shared" si="99"/>
        <v/>
      </c>
      <c r="CQ172" s="458" t="str">
        <f t="shared" si="100"/>
        <v/>
      </c>
      <c r="CR172" s="458" t="str">
        <f t="shared" si="101"/>
        <v/>
      </c>
      <c r="CS172" s="40" t="str">
        <f t="shared" si="102"/>
        <v/>
      </c>
      <c r="CT172" s="40" t="str">
        <f t="shared" si="103"/>
        <v/>
      </c>
      <c r="CU172" s="41" t="str">
        <f t="shared" si="104"/>
        <v/>
      </c>
    </row>
    <row r="173" spans="1:99" x14ac:dyDescent="0.2">
      <c r="A173" s="77">
        <f t="shared" si="105"/>
        <v>168</v>
      </c>
      <c r="B173" s="81"/>
      <c r="C173" s="82"/>
      <c r="D173" s="71"/>
      <c r="E173" s="72"/>
      <c r="F173" s="73"/>
      <c r="G173" s="443"/>
      <c r="H173" s="443"/>
      <c r="I173" s="74"/>
      <c r="J173" s="75"/>
      <c r="K173" s="41">
        <f t="shared" ref="K173:K236" si="109">K172+I173-J173</f>
        <v>3625</v>
      </c>
      <c r="L173" s="104"/>
      <c r="M173" s="105"/>
      <c r="N173" s="106">
        <f t="shared" ref="N173:N236" si="110">N172+L173-M173</f>
        <v>537.05999999999995</v>
      </c>
      <c r="O173" s="104"/>
      <c r="P173" s="105"/>
      <c r="Q173" s="106">
        <f t="shared" si="107"/>
        <v>10045.83</v>
      </c>
      <c r="R173" s="104"/>
      <c r="S173" s="105"/>
      <c r="T173" s="106">
        <f t="shared" si="108"/>
        <v>0</v>
      </c>
      <c r="U173" s="439"/>
      <c r="V173" s="42">
        <f t="shared" si="76"/>
        <v>168</v>
      </c>
      <c r="W173" s="39" t="str">
        <f>IF(AND(E173='Povolené hodnoty'!$B$4,F173=2),I173+L173+O173+R173,"")</f>
        <v/>
      </c>
      <c r="X173" s="41" t="str">
        <f>IF(AND(E173='Povolené hodnoty'!$B$4,F173=1),I173+L173+O173+R173,"")</f>
        <v/>
      </c>
      <c r="Y173" s="39" t="str">
        <f>IF(AND(E173='Povolené hodnoty'!$B$4,F173=10),J173+M173+P173+S173,"")</f>
        <v/>
      </c>
      <c r="Z173" s="41" t="str">
        <f>IF(AND(E173='Povolené hodnoty'!$B$4,F173=9),J173+M173+P173+S173,"")</f>
        <v/>
      </c>
      <c r="AA173" s="39" t="str">
        <f>IF(AND(E173&lt;&gt;'Povolené hodnoty'!$B$4,F173=2),I173+L173+O173+R173,"")</f>
        <v/>
      </c>
      <c r="AB173" s="40" t="str">
        <f>IF(AND(E173&lt;&gt;'Povolené hodnoty'!$B$4,F173=3),I173+L173+O173+R173,"")</f>
        <v/>
      </c>
      <c r="AC173" s="40" t="str">
        <f>IF(AND(E173&lt;&gt;'Povolené hodnoty'!$B$4,F173=4),I173+L173+O173+R173,"")</f>
        <v/>
      </c>
      <c r="AD173" s="40" t="str">
        <f>IF(AND(E173&lt;&gt;'Povolené hodnoty'!$B$4,F173="5a"),I173-J173+L173-M173+O173-P173+R173-S173,"")</f>
        <v/>
      </c>
      <c r="AE173" s="40" t="str">
        <f>IF(AND(E173&lt;&gt;'Povolené hodnoty'!$B$4,F173="5b"),I173-J173+L173-M173+O173-P173+R173-S173,"")</f>
        <v/>
      </c>
      <c r="AF173" s="40" t="str">
        <f>IF(AND(E173&lt;&gt;'Povolené hodnoty'!$B$4,F173=6),I173+L173+O173+R173,"")</f>
        <v/>
      </c>
      <c r="AG173" s="41" t="str">
        <f>IF(AND(E173&lt;&gt;'Povolené hodnoty'!$B$4,F173=7),I173+L173+O173+R173,"")</f>
        <v/>
      </c>
      <c r="AH173" s="39" t="str">
        <f>IF(AND(E173&lt;&gt;'Povolené hodnoty'!$B$4,F173=10),J173+M173+P173+S173,"")</f>
        <v/>
      </c>
      <c r="AI173" s="40" t="str">
        <f>IF(AND(E173&lt;&gt;'Povolené hodnoty'!$B$4,F173=11),J173+M173+P173+S173,"")</f>
        <v/>
      </c>
      <c r="AJ173" s="40" t="str">
        <f>IF(AND(E173&lt;&gt;'Povolené hodnoty'!$B$4,F173=12),J173+M173+P173+S173,"")</f>
        <v/>
      </c>
      <c r="AK173" s="41" t="str">
        <f>IF(AND(E173&lt;&gt;'Povolené hodnoty'!$B$4,F173=13),J173+M173+P173+S173,"")</f>
        <v/>
      </c>
      <c r="AL173" s="39" t="str">
        <f>IF(AND($G173='Povolené hodnoty'!$B$13,$H173=AL$4),SUM($I173,$L173,$O173,$R173),"")</f>
        <v/>
      </c>
      <c r="AM173" s="458" t="str">
        <f>IF(AND($G173='Povolené hodnoty'!$B$13,$H173=AM$4),SUM($I173,$L173,$O173,$R173),"")</f>
        <v/>
      </c>
      <c r="AN173" s="458" t="str">
        <f>IF(AND($G173='Povolené hodnoty'!$B$13,$H173=AN$4),SUM($I173,$L173,$O173,$R173),"")</f>
        <v/>
      </c>
      <c r="AO173" s="458" t="str">
        <f>IF(AND($G173='Povolené hodnoty'!$B$13,$H173=AO$4),SUM($I173,$L173,$O173,$R173),"")</f>
        <v/>
      </c>
      <c r="AP173" s="458" t="str">
        <f>IF(AND($G173='Povolené hodnoty'!$B$13,$H173=AP$4),SUM($I173,$L173,$O173,$R173),"")</f>
        <v/>
      </c>
      <c r="AQ173" s="40" t="str">
        <f>IF(AND($G173='Povolené hodnoty'!$B$13,OR($H173=AQ$4,$H173='Povolené hodnoty'!$E$36)),SUM($I173,-$J173,$L173,-$M173,$O173,-$P173,$R173,-$S173),"")</f>
        <v/>
      </c>
      <c r="AR173" s="40" t="str">
        <f>IF(AND($G173='Povolené hodnoty'!$B$13,$H173=AR$4),SUM($I173,$L173,$O173,$R173),"")</f>
        <v/>
      </c>
      <c r="AS173" s="41" t="str">
        <f>IF(AND($G173='Povolené hodnoty'!$B$13,$H173=AS$4),SUM($I173,$L173,$O173,$R173),"")</f>
        <v/>
      </c>
      <c r="AT173" s="39" t="str">
        <f>IF(AND($G173='Povolené hodnoty'!$B$14,$H173=AT$4),SUM($I173,$L173,$O173,$R173),"")</f>
        <v/>
      </c>
      <c r="AU173" s="458" t="str">
        <f>IF(AND($G173='Povolené hodnoty'!$B$14,$H173=AU$4),SUM($I173,$L173,$O173,$R173),"")</f>
        <v/>
      </c>
      <c r="AV173" s="41" t="str">
        <f>IF(AND($G173='Povolené hodnoty'!$B$14,$H173=AV$4),SUM($I173,$L173,$O173,$R173),"")</f>
        <v/>
      </c>
      <c r="AW173" s="39" t="str">
        <f>IF(AND($G173='Povolené hodnoty'!$B$13,$H173=AW$4),SUM($J173,$M173,$P173,$S173),"")</f>
        <v/>
      </c>
      <c r="AX173" s="458" t="str">
        <f>IF(AND($G173='Povolené hodnoty'!$B$13,$H173=AX$4),SUM($J173,$M173,$P173,$S173),"")</f>
        <v/>
      </c>
      <c r="AY173" s="458" t="str">
        <f>IF(AND($G173='Povolené hodnoty'!$B$13,$H173=AY$4),SUM($J173,$M173,$P173,$S173),"")</f>
        <v/>
      </c>
      <c r="AZ173" s="458" t="str">
        <f>IF(AND($G173='Povolené hodnoty'!$B$13,$H173=AZ$4),SUM($J173,$M173,$P173,$S173),"")</f>
        <v/>
      </c>
      <c r="BA173" s="458" t="str">
        <f>IF(AND($G173='Povolené hodnoty'!$B$13,$H173=BA$4),SUM($J173,$M173,$P173,$S173),"")</f>
        <v/>
      </c>
      <c r="BB173" s="40" t="str">
        <f>IF(AND($G173='Povolené hodnoty'!$B$13,$H173=BB$4),SUM($J173,$M173,$P173,$S173),"")</f>
        <v/>
      </c>
      <c r="BC173" s="40" t="str">
        <f>IF(AND($G173='Povolené hodnoty'!$B$13,$H173=BC$4),SUM($J173,$M173,$P173,$S173),"")</f>
        <v/>
      </c>
      <c r="BD173" s="40" t="str">
        <f>IF(AND($G173='Povolené hodnoty'!$B$13,$H173=BD$4),SUM($J173,$M173,$P173,$S173),"")</f>
        <v/>
      </c>
      <c r="BE173" s="41" t="str">
        <f>IF(AND($G173='Povolené hodnoty'!$B$13,$H173=BE$4),SUM($J173,$M173,$P173,$S173),"")</f>
        <v/>
      </c>
      <c r="BF173" s="39" t="str">
        <f>IF(AND($G173='Povolené hodnoty'!$B$14,$H173=BF$4),SUM($J173,$M173,$P173,$S173),"")</f>
        <v/>
      </c>
      <c r="BG173" s="458" t="str">
        <f>IF(AND($G173='Povolené hodnoty'!$B$14,$H173=BG$4),SUM($J173,$M173,$P173,$S173),"")</f>
        <v/>
      </c>
      <c r="BH173" s="458" t="str">
        <f>IF(AND($G173='Povolené hodnoty'!$B$14,$H173=BH$4),SUM($J173,$M173,$P173,$S173),"")</f>
        <v/>
      </c>
      <c r="BI173" s="458" t="str">
        <f>IF(AND($G173='Povolené hodnoty'!$B$14,$H173=BI$4),SUM($J173,$M173,$P173,$S173),"")</f>
        <v/>
      </c>
      <c r="BJ173" s="458" t="str">
        <f>IF(AND($G173='Povolené hodnoty'!$B$14,$H173=BJ$4),SUM($J173,$M173,$P173,$S173),"")</f>
        <v/>
      </c>
      <c r="BK173" s="40" t="str">
        <f>IF(AND($G173='Povolené hodnoty'!$B$14,$H173=BK$4),SUM($J173,$M173,$P173,$S173),"")</f>
        <v/>
      </c>
      <c r="BL173" s="40" t="str">
        <f>IF(AND($G173='Povolené hodnoty'!$B$14,$H173=BL$4),SUM($J173,$M173,$P173,$S173),"")</f>
        <v/>
      </c>
      <c r="BM173" s="41" t="str">
        <f>IF(AND($G173='Povolené hodnoty'!$B$14,$H173=BM$4),SUM($J173,$M173,$P173,$S173),"")</f>
        <v/>
      </c>
      <c r="BO173" s="18" t="b">
        <f t="shared" si="106"/>
        <v>0</v>
      </c>
      <c r="BP173" s="18" t="b">
        <f t="shared" si="77"/>
        <v>0</v>
      </c>
      <c r="BQ173" s="18" t="b">
        <f>AND(E173&lt;&gt;'Povolené hodnoty'!$B$6,F173&lt;&gt;'Povolené hodnoty'!$D$7,F173&lt;&gt;'Povolené hodnoty'!$D$8,OR(SUM(I173,L173,O173,R173)&lt;&gt;SUM(W173:X173,AA173:AG173),SUM(J173,M173,P173,S173)&lt;&gt;SUM(Y173:Z173,AH173:AK173),COUNT(I173:J173,L173:M173,O173:P173,R173:S173)&lt;&gt;COUNT(W173:AK173)))</f>
        <v>0</v>
      </c>
      <c r="BR173" s="18" t="b">
        <f>OR(AND(E173='Povolené hodnoty'!$B$6,$BR$5),AND(E173='Povolené hodnoty'!$B$6,H173&lt;&gt;'Povolené hodnoty'!$E$26,H173&lt;&gt;'Povolené hodnoty'!$E$35),AND(E173&lt;&gt;'Povolené hodnoty'!$B$6,OR(H173='Povolené hodnoty'!$E$26,H173='Povolené hodnoty'!$E$35)))</f>
        <v>0</v>
      </c>
      <c r="BS173" s="18" t="b">
        <f>OR(AND(G173&lt;&gt;'Povolené hodnoty'!$B$13,OR(H173='Povolené hodnoty'!$E$21,H173='Povolené hodnoty'!$E$22,H173='Povolené hodnoty'!$E$23,H173='Povolené hodnoty'!$E$24,H173='Povolené hodnoty'!$E$26,H173='Povolené hodnoty'!$E$36)),COUNT(I173:J173,L173:M173,O173:P173,R173:S173)&lt;&gt;COUNT(AL173:BM173))</f>
        <v>0</v>
      </c>
      <c r="BT173" s="18" t="b">
        <f t="shared" si="78"/>
        <v>0</v>
      </c>
      <c r="BV173" s="39" t="str">
        <f t="shared" si="79"/>
        <v/>
      </c>
      <c r="BW173" s="458" t="str">
        <f t="shared" si="80"/>
        <v/>
      </c>
      <c r="BX173" s="458" t="str">
        <f t="shared" si="81"/>
        <v/>
      </c>
      <c r="BY173" s="458" t="str">
        <f t="shared" si="82"/>
        <v/>
      </c>
      <c r="BZ173" s="458" t="str">
        <f t="shared" si="83"/>
        <v/>
      </c>
      <c r="CA173" s="40" t="str">
        <f t="shared" si="84"/>
        <v/>
      </c>
      <c r="CB173" s="40" t="str">
        <f t="shared" si="85"/>
        <v/>
      </c>
      <c r="CC173" s="39" t="str">
        <f t="shared" si="86"/>
        <v/>
      </c>
      <c r="CD173" s="458" t="str">
        <f t="shared" si="87"/>
        <v/>
      </c>
      <c r="CE173" s="41" t="str">
        <f t="shared" si="88"/>
        <v/>
      </c>
      <c r="CF173" s="39" t="str">
        <f t="shared" si="89"/>
        <v/>
      </c>
      <c r="CG173" s="458" t="str">
        <f t="shared" si="90"/>
        <v/>
      </c>
      <c r="CH173" s="458" t="str">
        <f t="shared" si="91"/>
        <v/>
      </c>
      <c r="CI173" s="458" t="str">
        <f t="shared" si="92"/>
        <v/>
      </c>
      <c r="CJ173" s="458" t="str">
        <f t="shared" si="93"/>
        <v/>
      </c>
      <c r="CK173" s="40" t="str">
        <f t="shared" si="94"/>
        <v/>
      </c>
      <c r="CL173" s="40" t="str">
        <f t="shared" si="95"/>
        <v/>
      </c>
      <c r="CM173" s="40" t="str">
        <f t="shared" si="96"/>
        <v/>
      </c>
      <c r="CN173" s="39" t="str">
        <f t="shared" si="97"/>
        <v/>
      </c>
      <c r="CO173" s="458" t="str">
        <f t="shared" si="98"/>
        <v/>
      </c>
      <c r="CP173" s="458" t="str">
        <f t="shared" si="99"/>
        <v/>
      </c>
      <c r="CQ173" s="458" t="str">
        <f t="shared" si="100"/>
        <v/>
      </c>
      <c r="CR173" s="458" t="str">
        <f t="shared" si="101"/>
        <v/>
      </c>
      <c r="CS173" s="40" t="str">
        <f t="shared" si="102"/>
        <v/>
      </c>
      <c r="CT173" s="40" t="str">
        <f t="shared" si="103"/>
        <v/>
      </c>
      <c r="CU173" s="41" t="str">
        <f t="shared" si="104"/>
        <v/>
      </c>
    </row>
    <row r="174" spans="1:99" x14ac:dyDescent="0.2">
      <c r="A174" s="77">
        <f t="shared" si="105"/>
        <v>169</v>
      </c>
      <c r="B174" s="81"/>
      <c r="C174" s="82"/>
      <c r="D174" s="71"/>
      <c r="E174" s="72"/>
      <c r="F174" s="73"/>
      <c r="G174" s="443"/>
      <c r="H174" s="443"/>
      <c r="I174" s="74"/>
      <c r="J174" s="75"/>
      <c r="K174" s="41">
        <f t="shared" si="109"/>
        <v>3625</v>
      </c>
      <c r="L174" s="104"/>
      <c r="M174" s="105"/>
      <c r="N174" s="106">
        <f t="shared" si="110"/>
        <v>537.05999999999995</v>
      </c>
      <c r="O174" s="104"/>
      <c r="P174" s="105"/>
      <c r="Q174" s="106">
        <f t="shared" si="107"/>
        <v>10045.83</v>
      </c>
      <c r="R174" s="104"/>
      <c r="S174" s="105"/>
      <c r="T174" s="106">
        <f t="shared" si="108"/>
        <v>0</v>
      </c>
      <c r="U174" s="439"/>
      <c r="V174" s="42">
        <f t="shared" si="76"/>
        <v>169</v>
      </c>
      <c r="W174" s="39" t="str">
        <f>IF(AND(E174='Povolené hodnoty'!$B$4,F174=2),I174+L174+O174+R174,"")</f>
        <v/>
      </c>
      <c r="X174" s="41" t="str">
        <f>IF(AND(E174='Povolené hodnoty'!$B$4,F174=1),I174+L174+O174+R174,"")</f>
        <v/>
      </c>
      <c r="Y174" s="39" t="str">
        <f>IF(AND(E174='Povolené hodnoty'!$B$4,F174=10),J174+M174+P174+S174,"")</f>
        <v/>
      </c>
      <c r="Z174" s="41" t="str">
        <f>IF(AND(E174='Povolené hodnoty'!$B$4,F174=9),J174+M174+P174+S174,"")</f>
        <v/>
      </c>
      <c r="AA174" s="39" t="str">
        <f>IF(AND(E174&lt;&gt;'Povolené hodnoty'!$B$4,F174=2),I174+L174+O174+R174,"")</f>
        <v/>
      </c>
      <c r="AB174" s="40" t="str">
        <f>IF(AND(E174&lt;&gt;'Povolené hodnoty'!$B$4,F174=3),I174+L174+O174+R174,"")</f>
        <v/>
      </c>
      <c r="AC174" s="40" t="str">
        <f>IF(AND(E174&lt;&gt;'Povolené hodnoty'!$B$4,F174=4),I174+L174+O174+R174,"")</f>
        <v/>
      </c>
      <c r="AD174" s="40" t="str">
        <f>IF(AND(E174&lt;&gt;'Povolené hodnoty'!$B$4,F174="5a"),I174-J174+L174-M174+O174-P174+R174-S174,"")</f>
        <v/>
      </c>
      <c r="AE174" s="40" t="str">
        <f>IF(AND(E174&lt;&gt;'Povolené hodnoty'!$B$4,F174="5b"),I174-J174+L174-M174+O174-P174+R174-S174,"")</f>
        <v/>
      </c>
      <c r="AF174" s="40" t="str">
        <f>IF(AND(E174&lt;&gt;'Povolené hodnoty'!$B$4,F174=6),I174+L174+O174+R174,"")</f>
        <v/>
      </c>
      <c r="AG174" s="41" t="str">
        <f>IF(AND(E174&lt;&gt;'Povolené hodnoty'!$B$4,F174=7),I174+L174+O174+R174,"")</f>
        <v/>
      </c>
      <c r="AH174" s="39" t="str">
        <f>IF(AND(E174&lt;&gt;'Povolené hodnoty'!$B$4,F174=10),J174+M174+P174+S174,"")</f>
        <v/>
      </c>
      <c r="AI174" s="40" t="str">
        <f>IF(AND(E174&lt;&gt;'Povolené hodnoty'!$B$4,F174=11),J174+M174+P174+S174,"")</f>
        <v/>
      </c>
      <c r="AJ174" s="40" t="str">
        <f>IF(AND(E174&lt;&gt;'Povolené hodnoty'!$B$4,F174=12),J174+M174+P174+S174,"")</f>
        <v/>
      </c>
      <c r="AK174" s="41" t="str">
        <f>IF(AND(E174&lt;&gt;'Povolené hodnoty'!$B$4,F174=13),J174+M174+P174+S174,"")</f>
        <v/>
      </c>
      <c r="AL174" s="39" t="str">
        <f>IF(AND($G174='Povolené hodnoty'!$B$13,$H174=AL$4),SUM($I174,$L174,$O174,$R174),"")</f>
        <v/>
      </c>
      <c r="AM174" s="458" t="str">
        <f>IF(AND($G174='Povolené hodnoty'!$B$13,$H174=AM$4),SUM($I174,$L174,$O174,$R174),"")</f>
        <v/>
      </c>
      <c r="AN174" s="458" t="str">
        <f>IF(AND($G174='Povolené hodnoty'!$B$13,$H174=AN$4),SUM($I174,$L174,$O174,$R174),"")</f>
        <v/>
      </c>
      <c r="AO174" s="458" t="str">
        <f>IF(AND($G174='Povolené hodnoty'!$B$13,$H174=AO$4),SUM($I174,$L174,$O174,$R174),"")</f>
        <v/>
      </c>
      <c r="AP174" s="458" t="str">
        <f>IF(AND($G174='Povolené hodnoty'!$B$13,$H174=AP$4),SUM($I174,$L174,$O174,$R174),"")</f>
        <v/>
      </c>
      <c r="AQ174" s="40" t="str">
        <f>IF(AND($G174='Povolené hodnoty'!$B$13,OR($H174=AQ$4,$H174='Povolené hodnoty'!$E$36)),SUM($I174,-$J174,$L174,-$M174,$O174,-$P174,$R174,-$S174),"")</f>
        <v/>
      </c>
      <c r="AR174" s="40" t="str">
        <f>IF(AND($G174='Povolené hodnoty'!$B$13,$H174=AR$4),SUM($I174,$L174,$O174,$R174),"")</f>
        <v/>
      </c>
      <c r="AS174" s="41" t="str">
        <f>IF(AND($G174='Povolené hodnoty'!$B$13,$H174=AS$4),SUM($I174,$L174,$O174,$R174),"")</f>
        <v/>
      </c>
      <c r="AT174" s="39" t="str">
        <f>IF(AND($G174='Povolené hodnoty'!$B$14,$H174=AT$4),SUM($I174,$L174,$O174,$R174),"")</f>
        <v/>
      </c>
      <c r="AU174" s="458" t="str">
        <f>IF(AND($G174='Povolené hodnoty'!$B$14,$H174=AU$4),SUM($I174,$L174,$O174,$R174),"")</f>
        <v/>
      </c>
      <c r="AV174" s="41" t="str">
        <f>IF(AND($G174='Povolené hodnoty'!$B$14,$H174=AV$4),SUM($I174,$L174,$O174,$R174),"")</f>
        <v/>
      </c>
      <c r="AW174" s="39" t="str">
        <f>IF(AND($G174='Povolené hodnoty'!$B$13,$H174=AW$4),SUM($J174,$M174,$P174,$S174),"")</f>
        <v/>
      </c>
      <c r="AX174" s="458" t="str">
        <f>IF(AND($G174='Povolené hodnoty'!$B$13,$H174=AX$4),SUM($J174,$M174,$P174,$S174),"")</f>
        <v/>
      </c>
      <c r="AY174" s="458" t="str">
        <f>IF(AND($G174='Povolené hodnoty'!$B$13,$H174=AY$4),SUM($J174,$M174,$P174,$S174),"")</f>
        <v/>
      </c>
      <c r="AZ174" s="458" t="str">
        <f>IF(AND($G174='Povolené hodnoty'!$B$13,$H174=AZ$4),SUM($J174,$M174,$P174,$S174),"")</f>
        <v/>
      </c>
      <c r="BA174" s="458" t="str">
        <f>IF(AND($G174='Povolené hodnoty'!$B$13,$H174=BA$4),SUM($J174,$M174,$P174,$S174),"")</f>
        <v/>
      </c>
      <c r="BB174" s="40" t="str">
        <f>IF(AND($G174='Povolené hodnoty'!$B$13,$H174=BB$4),SUM($J174,$M174,$P174,$S174),"")</f>
        <v/>
      </c>
      <c r="BC174" s="40" t="str">
        <f>IF(AND($G174='Povolené hodnoty'!$B$13,$H174=BC$4),SUM($J174,$M174,$P174,$S174),"")</f>
        <v/>
      </c>
      <c r="BD174" s="40" t="str">
        <f>IF(AND($G174='Povolené hodnoty'!$B$13,$H174=BD$4),SUM($J174,$M174,$P174,$S174),"")</f>
        <v/>
      </c>
      <c r="BE174" s="41" t="str">
        <f>IF(AND($G174='Povolené hodnoty'!$B$13,$H174=BE$4),SUM($J174,$M174,$P174,$S174),"")</f>
        <v/>
      </c>
      <c r="BF174" s="39" t="str">
        <f>IF(AND($G174='Povolené hodnoty'!$B$14,$H174=BF$4),SUM($J174,$M174,$P174,$S174),"")</f>
        <v/>
      </c>
      <c r="BG174" s="458" t="str">
        <f>IF(AND($G174='Povolené hodnoty'!$B$14,$H174=BG$4),SUM($J174,$M174,$P174,$S174),"")</f>
        <v/>
      </c>
      <c r="BH174" s="458" t="str">
        <f>IF(AND($G174='Povolené hodnoty'!$B$14,$H174=BH$4),SUM($J174,$M174,$P174,$S174),"")</f>
        <v/>
      </c>
      <c r="BI174" s="458" t="str">
        <f>IF(AND($G174='Povolené hodnoty'!$B$14,$H174=BI$4),SUM($J174,$M174,$P174,$S174),"")</f>
        <v/>
      </c>
      <c r="BJ174" s="458" t="str">
        <f>IF(AND($G174='Povolené hodnoty'!$B$14,$H174=BJ$4),SUM($J174,$M174,$P174,$S174),"")</f>
        <v/>
      </c>
      <c r="BK174" s="40" t="str">
        <f>IF(AND($G174='Povolené hodnoty'!$B$14,$H174=BK$4),SUM($J174,$M174,$P174,$S174),"")</f>
        <v/>
      </c>
      <c r="BL174" s="40" t="str">
        <f>IF(AND($G174='Povolené hodnoty'!$B$14,$H174=BL$4),SUM($J174,$M174,$P174,$S174),"")</f>
        <v/>
      </c>
      <c r="BM174" s="41" t="str">
        <f>IF(AND($G174='Povolené hodnoty'!$B$14,$H174=BM$4),SUM($J174,$M174,$P174,$S174),"")</f>
        <v/>
      </c>
      <c r="BO174" s="18" t="b">
        <f t="shared" si="106"/>
        <v>0</v>
      </c>
      <c r="BP174" s="18" t="b">
        <f t="shared" si="77"/>
        <v>0</v>
      </c>
      <c r="BQ174" s="18" t="b">
        <f>AND(E174&lt;&gt;'Povolené hodnoty'!$B$6,F174&lt;&gt;'Povolené hodnoty'!$D$7,F174&lt;&gt;'Povolené hodnoty'!$D$8,OR(SUM(I174,L174,O174,R174)&lt;&gt;SUM(W174:X174,AA174:AG174),SUM(J174,M174,P174,S174)&lt;&gt;SUM(Y174:Z174,AH174:AK174),COUNT(I174:J174,L174:M174,O174:P174,R174:S174)&lt;&gt;COUNT(W174:AK174)))</f>
        <v>0</v>
      </c>
      <c r="BR174" s="18" t="b">
        <f>OR(AND(E174='Povolené hodnoty'!$B$6,$BR$5),AND(E174='Povolené hodnoty'!$B$6,H174&lt;&gt;'Povolené hodnoty'!$E$26,H174&lt;&gt;'Povolené hodnoty'!$E$35),AND(E174&lt;&gt;'Povolené hodnoty'!$B$6,OR(H174='Povolené hodnoty'!$E$26,H174='Povolené hodnoty'!$E$35)))</f>
        <v>0</v>
      </c>
      <c r="BS174" s="18" t="b">
        <f>OR(AND(G174&lt;&gt;'Povolené hodnoty'!$B$13,OR(H174='Povolené hodnoty'!$E$21,H174='Povolené hodnoty'!$E$22,H174='Povolené hodnoty'!$E$23,H174='Povolené hodnoty'!$E$24,H174='Povolené hodnoty'!$E$26,H174='Povolené hodnoty'!$E$36)),COUNT(I174:J174,L174:M174,O174:P174,R174:S174)&lt;&gt;COUNT(AL174:BM174))</f>
        <v>0</v>
      </c>
      <c r="BT174" s="18" t="b">
        <f t="shared" si="78"/>
        <v>0</v>
      </c>
      <c r="BV174" s="39" t="str">
        <f t="shared" si="79"/>
        <v/>
      </c>
      <c r="BW174" s="458" t="str">
        <f t="shared" si="80"/>
        <v/>
      </c>
      <c r="BX174" s="458" t="str">
        <f t="shared" si="81"/>
        <v/>
      </c>
      <c r="BY174" s="458" t="str">
        <f t="shared" si="82"/>
        <v/>
      </c>
      <c r="BZ174" s="458" t="str">
        <f t="shared" si="83"/>
        <v/>
      </c>
      <c r="CA174" s="40" t="str">
        <f t="shared" si="84"/>
        <v/>
      </c>
      <c r="CB174" s="40" t="str">
        <f t="shared" si="85"/>
        <v/>
      </c>
      <c r="CC174" s="39" t="str">
        <f t="shared" si="86"/>
        <v/>
      </c>
      <c r="CD174" s="458" t="str">
        <f t="shared" si="87"/>
        <v/>
      </c>
      <c r="CE174" s="41" t="str">
        <f t="shared" si="88"/>
        <v/>
      </c>
      <c r="CF174" s="39" t="str">
        <f t="shared" si="89"/>
        <v/>
      </c>
      <c r="CG174" s="458" t="str">
        <f t="shared" si="90"/>
        <v/>
      </c>
      <c r="CH174" s="458" t="str">
        <f t="shared" si="91"/>
        <v/>
      </c>
      <c r="CI174" s="458" t="str">
        <f t="shared" si="92"/>
        <v/>
      </c>
      <c r="CJ174" s="458" t="str">
        <f t="shared" si="93"/>
        <v/>
      </c>
      <c r="CK174" s="40" t="str">
        <f t="shared" si="94"/>
        <v/>
      </c>
      <c r="CL174" s="40" t="str">
        <f t="shared" si="95"/>
        <v/>
      </c>
      <c r="CM174" s="40" t="str">
        <f t="shared" si="96"/>
        <v/>
      </c>
      <c r="CN174" s="39" t="str">
        <f t="shared" si="97"/>
        <v/>
      </c>
      <c r="CO174" s="458" t="str">
        <f t="shared" si="98"/>
        <v/>
      </c>
      <c r="CP174" s="458" t="str">
        <f t="shared" si="99"/>
        <v/>
      </c>
      <c r="CQ174" s="458" t="str">
        <f t="shared" si="100"/>
        <v/>
      </c>
      <c r="CR174" s="458" t="str">
        <f t="shared" si="101"/>
        <v/>
      </c>
      <c r="CS174" s="40" t="str">
        <f t="shared" si="102"/>
        <v/>
      </c>
      <c r="CT174" s="40" t="str">
        <f t="shared" si="103"/>
        <v/>
      </c>
      <c r="CU174" s="41" t="str">
        <f t="shared" si="104"/>
        <v/>
      </c>
    </row>
    <row r="175" spans="1:99" x14ac:dyDescent="0.2">
      <c r="A175" s="77">
        <f t="shared" si="105"/>
        <v>170</v>
      </c>
      <c r="B175" s="81"/>
      <c r="C175" s="82"/>
      <c r="D175" s="71"/>
      <c r="E175" s="72"/>
      <c r="F175" s="73"/>
      <c r="G175" s="443"/>
      <c r="H175" s="443"/>
      <c r="I175" s="74"/>
      <c r="J175" s="75"/>
      <c r="K175" s="41">
        <f t="shared" si="109"/>
        <v>3625</v>
      </c>
      <c r="L175" s="104"/>
      <c r="M175" s="105"/>
      <c r="N175" s="106">
        <f t="shared" si="110"/>
        <v>537.05999999999995</v>
      </c>
      <c r="O175" s="104"/>
      <c r="P175" s="105"/>
      <c r="Q175" s="106">
        <f t="shared" si="107"/>
        <v>10045.83</v>
      </c>
      <c r="R175" s="104"/>
      <c r="S175" s="105"/>
      <c r="T175" s="106">
        <f t="shared" si="108"/>
        <v>0</v>
      </c>
      <c r="U175" s="439"/>
      <c r="V175" s="42">
        <f t="shared" si="76"/>
        <v>170</v>
      </c>
      <c r="W175" s="39" t="str">
        <f>IF(AND(E175='Povolené hodnoty'!$B$4,F175=2),I175+L175+O175+R175,"")</f>
        <v/>
      </c>
      <c r="X175" s="41" t="str">
        <f>IF(AND(E175='Povolené hodnoty'!$B$4,F175=1),I175+L175+O175+R175,"")</f>
        <v/>
      </c>
      <c r="Y175" s="39" t="str">
        <f>IF(AND(E175='Povolené hodnoty'!$B$4,F175=10),J175+M175+P175+S175,"")</f>
        <v/>
      </c>
      <c r="Z175" s="41" t="str">
        <f>IF(AND(E175='Povolené hodnoty'!$B$4,F175=9),J175+M175+P175+S175,"")</f>
        <v/>
      </c>
      <c r="AA175" s="39" t="str">
        <f>IF(AND(E175&lt;&gt;'Povolené hodnoty'!$B$4,F175=2),I175+L175+O175+R175,"")</f>
        <v/>
      </c>
      <c r="AB175" s="40" t="str">
        <f>IF(AND(E175&lt;&gt;'Povolené hodnoty'!$B$4,F175=3),I175+L175+O175+R175,"")</f>
        <v/>
      </c>
      <c r="AC175" s="40" t="str">
        <f>IF(AND(E175&lt;&gt;'Povolené hodnoty'!$B$4,F175=4),I175+L175+O175+R175,"")</f>
        <v/>
      </c>
      <c r="AD175" s="40" t="str">
        <f>IF(AND(E175&lt;&gt;'Povolené hodnoty'!$B$4,F175="5a"),I175-J175+L175-M175+O175-P175+R175-S175,"")</f>
        <v/>
      </c>
      <c r="AE175" s="40" t="str">
        <f>IF(AND(E175&lt;&gt;'Povolené hodnoty'!$B$4,F175="5b"),I175-J175+L175-M175+O175-P175+R175-S175,"")</f>
        <v/>
      </c>
      <c r="AF175" s="40" t="str">
        <f>IF(AND(E175&lt;&gt;'Povolené hodnoty'!$B$4,F175=6),I175+L175+O175+R175,"")</f>
        <v/>
      </c>
      <c r="AG175" s="41" t="str">
        <f>IF(AND(E175&lt;&gt;'Povolené hodnoty'!$B$4,F175=7),I175+L175+O175+R175,"")</f>
        <v/>
      </c>
      <c r="AH175" s="39" t="str">
        <f>IF(AND(E175&lt;&gt;'Povolené hodnoty'!$B$4,F175=10),J175+M175+P175+S175,"")</f>
        <v/>
      </c>
      <c r="AI175" s="40" t="str">
        <f>IF(AND(E175&lt;&gt;'Povolené hodnoty'!$B$4,F175=11),J175+M175+P175+S175,"")</f>
        <v/>
      </c>
      <c r="AJ175" s="40" t="str">
        <f>IF(AND(E175&lt;&gt;'Povolené hodnoty'!$B$4,F175=12),J175+M175+P175+S175,"")</f>
        <v/>
      </c>
      <c r="AK175" s="41" t="str">
        <f>IF(AND(E175&lt;&gt;'Povolené hodnoty'!$B$4,F175=13),J175+M175+P175+S175,"")</f>
        <v/>
      </c>
      <c r="AL175" s="39" t="str">
        <f>IF(AND($G175='Povolené hodnoty'!$B$13,$H175=AL$4),SUM($I175,$L175,$O175,$R175),"")</f>
        <v/>
      </c>
      <c r="AM175" s="458" t="str">
        <f>IF(AND($G175='Povolené hodnoty'!$B$13,$H175=AM$4),SUM($I175,$L175,$O175,$R175),"")</f>
        <v/>
      </c>
      <c r="AN175" s="458" t="str">
        <f>IF(AND($G175='Povolené hodnoty'!$B$13,$H175=AN$4),SUM($I175,$L175,$O175,$R175),"")</f>
        <v/>
      </c>
      <c r="AO175" s="458" t="str">
        <f>IF(AND($G175='Povolené hodnoty'!$B$13,$H175=AO$4),SUM($I175,$L175,$O175,$R175),"")</f>
        <v/>
      </c>
      <c r="AP175" s="458" t="str">
        <f>IF(AND($G175='Povolené hodnoty'!$B$13,$H175=AP$4),SUM($I175,$L175,$O175,$R175),"")</f>
        <v/>
      </c>
      <c r="AQ175" s="40" t="str">
        <f>IF(AND($G175='Povolené hodnoty'!$B$13,OR($H175=AQ$4,$H175='Povolené hodnoty'!$E$36)),SUM($I175,-$J175,$L175,-$M175,$O175,-$P175,$R175,-$S175),"")</f>
        <v/>
      </c>
      <c r="AR175" s="40" t="str">
        <f>IF(AND($G175='Povolené hodnoty'!$B$13,$H175=AR$4),SUM($I175,$L175,$O175,$R175),"")</f>
        <v/>
      </c>
      <c r="AS175" s="41" t="str">
        <f>IF(AND($G175='Povolené hodnoty'!$B$13,$H175=AS$4),SUM($I175,$L175,$O175,$R175),"")</f>
        <v/>
      </c>
      <c r="AT175" s="39" t="str">
        <f>IF(AND($G175='Povolené hodnoty'!$B$14,$H175=AT$4),SUM($I175,$L175,$O175,$R175),"")</f>
        <v/>
      </c>
      <c r="AU175" s="458" t="str">
        <f>IF(AND($G175='Povolené hodnoty'!$B$14,$H175=AU$4),SUM($I175,$L175,$O175,$R175),"")</f>
        <v/>
      </c>
      <c r="AV175" s="41" t="str">
        <f>IF(AND($G175='Povolené hodnoty'!$B$14,$H175=AV$4),SUM($I175,$L175,$O175,$R175),"")</f>
        <v/>
      </c>
      <c r="AW175" s="39" t="str">
        <f>IF(AND($G175='Povolené hodnoty'!$B$13,$H175=AW$4),SUM($J175,$M175,$P175,$S175),"")</f>
        <v/>
      </c>
      <c r="AX175" s="458" t="str">
        <f>IF(AND($G175='Povolené hodnoty'!$B$13,$H175=AX$4),SUM($J175,$M175,$P175,$S175),"")</f>
        <v/>
      </c>
      <c r="AY175" s="458" t="str">
        <f>IF(AND($G175='Povolené hodnoty'!$B$13,$H175=AY$4),SUM($J175,$M175,$P175,$S175),"")</f>
        <v/>
      </c>
      <c r="AZ175" s="458" t="str">
        <f>IF(AND($G175='Povolené hodnoty'!$B$13,$H175=AZ$4),SUM($J175,$M175,$P175,$S175),"")</f>
        <v/>
      </c>
      <c r="BA175" s="458" t="str">
        <f>IF(AND($G175='Povolené hodnoty'!$B$13,$H175=BA$4),SUM($J175,$M175,$P175,$S175),"")</f>
        <v/>
      </c>
      <c r="BB175" s="40" t="str">
        <f>IF(AND($G175='Povolené hodnoty'!$B$13,$H175=BB$4),SUM($J175,$M175,$P175,$S175),"")</f>
        <v/>
      </c>
      <c r="BC175" s="40" t="str">
        <f>IF(AND($G175='Povolené hodnoty'!$B$13,$H175=BC$4),SUM($J175,$M175,$P175,$S175),"")</f>
        <v/>
      </c>
      <c r="BD175" s="40" t="str">
        <f>IF(AND($G175='Povolené hodnoty'!$B$13,$H175=BD$4),SUM($J175,$M175,$P175,$S175),"")</f>
        <v/>
      </c>
      <c r="BE175" s="41" t="str">
        <f>IF(AND($G175='Povolené hodnoty'!$B$13,$H175=BE$4),SUM($J175,$M175,$P175,$S175),"")</f>
        <v/>
      </c>
      <c r="BF175" s="39" t="str">
        <f>IF(AND($G175='Povolené hodnoty'!$B$14,$H175=BF$4),SUM($J175,$M175,$P175,$S175),"")</f>
        <v/>
      </c>
      <c r="BG175" s="458" t="str">
        <f>IF(AND($G175='Povolené hodnoty'!$B$14,$H175=BG$4),SUM($J175,$M175,$P175,$S175),"")</f>
        <v/>
      </c>
      <c r="BH175" s="458" t="str">
        <f>IF(AND($G175='Povolené hodnoty'!$B$14,$H175=BH$4),SUM($J175,$M175,$P175,$S175),"")</f>
        <v/>
      </c>
      <c r="BI175" s="458" t="str">
        <f>IF(AND($G175='Povolené hodnoty'!$B$14,$H175=BI$4),SUM($J175,$M175,$P175,$S175),"")</f>
        <v/>
      </c>
      <c r="BJ175" s="458" t="str">
        <f>IF(AND($G175='Povolené hodnoty'!$B$14,$H175=BJ$4),SUM($J175,$M175,$P175,$S175),"")</f>
        <v/>
      </c>
      <c r="BK175" s="40" t="str">
        <f>IF(AND($G175='Povolené hodnoty'!$B$14,$H175=BK$4),SUM($J175,$M175,$P175,$S175),"")</f>
        <v/>
      </c>
      <c r="BL175" s="40" t="str">
        <f>IF(AND($G175='Povolené hodnoty'!$B$14,$H175=BL$4),SUM($J175,$M175,$P175,$S175),"")</f>
        <v/>
      </c>
      <c r="BM175" s="41" t="str">
        <f>IF(AND($G175='Povolené hodnoty'!$B$14,$H175=BM$4),SUM($J175,$M175,$P175,$S175),"")</f>
        <v/>
      </c>
      <c r="BO175" s="18" t="b">
        <f t="shared" si="106"/>
        <v>0</v>
      </c>
      <c r="BP175" s="18" t="b">
        <f t="shared" si="77"/>
        <v>0</v>
      </c>
      <c r="BQ175" s="18" t="b">
        <f>AND(E175&lt;&gt;'Povolené hodnoty'!$B$6,F175&lt;&gt;'Povolené hodnoty'!$D$7,F175&lt;&gt;'Povolené hodnoty'!$D$8,OR(SUM(I175,L175,O175,R175)&lt;&gt;SUM(W175:X175,AA175:AG175),SUM(J175,M175,P175,S175)&lt;&gt;SUM(Y175:Z175,AH175:AK175),COUNT(I175:J175,L175:M175,O175:P175,R175:S175)&lt;&gt;COUNT(W175:AK175)))</f>
        <v>0</v>
      </c>
      <c r="BR175" s="18" t="b">
        <f>OR(AND(E175='Povolené hodnoty'!$B$6,$BR$5),AND(E175='Povolené hodnoty'!$B$6,H175&lt;&gt;'Povolené hodnoty'!$E$26,H175&lt;&gt;'Povolené hodnoty'!$E$35),AND(E175&lt;&gt;'Povolené hodnoty'!$B$6,OR(H175='Povolené hodnoty'!$E$26,H175='Povolené hodnoty'!$E$35)))</f>
        <v>0</v>
      </c>
      <c r="BS175" s="18" t="b">
        <f>OR(AND(G175&lt;&gt;'Povolené hodnoty'!$B$13,OR(H175='Povolené hodnoty'!$E$21,H175='Povolené hodnoty'!$E$22,H175='Povolené hodnoty'!$E$23,H175='Povolené hodnoty'!$E$24,H175='Povolené hodnoty'!$E$26,H175='Povolené hodnoty'!$E$36)),COUNT(I175:J175,L175:M175,O175:P175,R175:S175)&lt;&gt;COUNT(AL175:BM175))</f>
        <v>0</v>
      </c>
      <c r="BT175" s="18" t="b">
        <f t="shared" si="78"/>
        <v>0</v>
      </c>
      <c r="BV175" s="39" t="str">
        <f t="shared" si="79"/>
        <v/>
      </c>
      <c r="BW175" s="458" t="str">
        <f t="shared" si="80"/>
        <v/>
      </c>
      <c r="BX175" s="458" t="str">
        <f t="shared" si="81"/>
        <v/>
      </c>
      <c r="BY175" s="458" t="str">
        <f t="shared" si="82"/>
        <v/>
      </c>
      <c r="BZ175" s="458" t="str">
        <f t="shared" si="83"/>
        <v/>
      </c>
      <c r="CA175" s="40" t="str">
        <f t="shared" si="84"/>
        <v/>
      </c>
      <c r="CB175" s="40" t="str">
        <f t="shared" si="85"/>
        <v/>
      </c>
      <c r="CC175" s="39" t="str">
        <f t="shared" si="86"/>
        <v/>
      </c>
      <c r="CD175" s="458" t="str">
        <f t="shared" si="87"/>
        <v/>
      </c>
      <c r="CE175" s="41" t="str">
        <f t="shared" si="88"/>
        <v/>
      </c>
      <c r="CF175" s="39" t="str">
        <f t="shared" si="89"/>
        <v/>
      </c>
      <c r="CG175" s="458" t="str">
        <f t="shared" si="90"/>
        <v/>
      </c>
      <c r="CH175" s="458" t="str">
        <f t="shared" si="91"/>
        <v/>
      </c>
      <c r="CI175" s="458" t="str">
        <f t="shared" si="92"/>
        <v/>
      </c>
      <c r="CJ175" s="458" t="str">
        <f t="shared" si="93"/>
        <v/>
      </c>
      <c r="CK175" s="40" t="str">
        <f t="shared" si="94"/>
        <v/>
      </c>
      <c r="CL175" s="40" t="str">
        <f t="shared" si="95"/>
        <v/>
      </c>
      <c r="CM175" s="40" t="str">
        <f t="shared" si="96"/>
        <v/>
      </c>
      <c r="CN175" s="39" t="str">
        <f t="shared" si="97"/>
        <v/>
      </c>
      <c r="CO175" s="458" t="str">
        <f t="shared" si="98"/>
        <v/>
      </c>
      <c r="CP175" s="458" t="str">
        <f t="shared" si="99"/>
        <v/>
      </c>
      <c r="CQ175" s="458" t="str">
        <f t="shared" si="100"/>
        <v/>
      </c>
      <c r="CR175" s="458" t="str">
        <f t="shared" si="101"/>
        <v/>
      </c>
      <c r="CS175" s="40" t="str">
        <f t="shared" si="102"/>
        <v/>
      </c>
      <c r="CT175" s="40" t="str">
        <f t="shared" si="103"/>
        <v/>
      </c>
      <c r="CU175" s="41" t="str">
        <f t="shared" si="104"/>
        <v/>
      </c>
    </row>
    <row r="176" spans="1:99" x14ac:dyDescent="0.2">
      <c r="A176" s="77">
        <f t="shared" si="105"/>
        <v>171</v>
      </c>
      <c r="B176" s="81"/>
      <c r="C176" s="82"/>
      <c r="D176" s="71"/>
      <c r="E176" s="72"/>
      <c r="F176" s="73"/>
      <c r="G176" s="443"/>
      <c r="H176" s="443"/>
      <c r="I176" s="74"/>
      <c r="J176" s="75"/>
      <c r="K176" s="41">
        <f t="shared" si="109"/>
        <v>3625</v>
      </c>
      <c r="L176" s="104"/>
      <c r="M176" s="105"/>
      <c r="N176" s="106">
        <f t="shared" si="110"/>
        <v>537.05999999999995</v>
      </c>
      <c r="O176" s="104"/>
      <c r="P176" s="105"/>
      <c r="Q176" s="106">
        <f t="shared" si="107"/>
        <v>10045.83</v>
      </c>
      <c r="R176" s="104"/>
      <c r="S176" s="105"/>
      <c r="T176" s="106">
        <f t="shared" si="108"/>
        <v>0</v>
      </c>
      <c r="U176" s="439"/>
      <c r="V176" s="42">
        <f t="shared" si="76"/>
        <v>171</v>
      </c>
      <c r="W176" s="39" t="str">
        <f>IF(AND(E176='Povolené hodnoty'!$B$4,F176=2),I176+L176+O176+R176,"")</f>
        <v/>
      </c>
      <c r="X176" s="41" t="str">
        <f>IF(AND(E176='Povolené hodnoty'!$B$4,F176=1),I176+L176+O176+R176,"")</f>
        <v/>
      </c>
      <c r="Y176" s="39" t="str">
        <f>IF(AND(E176='Povolené hodnoty'!$B$4,F176=10),J176+M176+P176+S176,"")</f>
        <v/>
      </c>
      <c r="Z176" s="41" t="str">
        <f>IF(AND(E176='Povolené hodnoty'!$B$4,F176=9),J176+M176+P176+S176,"")</f>
        <v/>
      </c>
      <c r="AA176" s="39" t="str">
        <f>IF(AND(E176&lt;&gt;'Povolené hodnoty'!$B$4,F176=2),I176+L176+O176+R176,"")</f>
        <v/>
      </c>
      <c r="AB176" s="40" t="str">
        <f>IF(AND(E176&lt;&gt;'Povolené hodnoty'!$B$4,F176=3),I176+L176+O176+R176,"")</f>
        <v/>
      </c>
      <c r="AC176" s="40" t="str">
        <f>IF(AND(E176&lt;&gt;'Povolené hodnoty'!$B$4,F176=4),I176+L176+O176+R176,"")</f>
        <v/>
      </c>
      <c r="AD176" s="40" t="str">
        <f>IF(AND(E176&lt;&gt;'Povolené hodnoty'!$B$4,F176="5a"),I176-J176+L176-M176+O176-P176+R176-S176,"")</f>
        <v/>
      </c>
      <c r="AE176" s="40" t="str">
        <f>IF(AND(E176&lt;&gt;'Povolené hodnoty'!$B$4,F176="5b"),I176-J176+L176-M176+O176-P176+R176-S176,"")</f>
        <v/>
      </c>
      <c r="AF176" s="40" t="str">
        <f>IF(AND(E176&lt;&gt;'Povolené hodnoty'!$B$4,F176=6),I176+L176+O176+R176,"")</f>
        <v/>
      </c>
      <c r="AG176" s="41" t="str">
        <f>IF(AND(E176&lt;&gt;'Povolené hodnoty'!$B$4,F176=7),I176+L176+O176+R176,"")</f>
        <v/>
      </c>
      <c r="AH176" s="39" t="str">
        <f>IF(AND(E176&lt;&gt;'Povolené hodnoty'!$B$4,F176=10),J176+M176+P176+S176,"")</f>
        <v/>
      </c>
      <c r="AI176" s="40" t="str">
        <f>IF(AND(E176&lt;&gt;'Povolené hodnoty'!$B$4,F176=11),J176+M176+P176+S176,"")</f>
        <v/>
      </c>
      <c r="AJ176" s="40" t="str">
        <f>IF(AND(E176&lt;&gt;'Povolené hodnoty'!$B$4,F176=12),J176+M176+P176+S176,"")</f>
        <v/>
      </c>
      <c r="AK176" s="41" t="str">
        <f>IF(AND(E176&lt;&gt;'Povolené hodnoty'!$B$4,F176=13),J176+M176+P176+S176,"")</f>
        <v/>
      </c>
      <c r="AL176" s="39" t="str">
        <f>IF(AND($G176='Povolené hodnoty'!$B$13,$H176=AL$4),SUM($I176,$L176,$O176,$R176),"")</f>
        <v/>
      </c>
      <c r="AM176" s="458" t="str">
        <f>IF(AND($G176='Povolené hodnoty'!$B$13,$H176=AM$4),SUM($I176,$L176,$O176,$R176),"")</f>
        <v/>
      </c>
      <c r="AN176" s="458" t="str">
        <f>IF(AND($G176='Povolené hodnoty'!$B$13,$H176=AN$4),SUM($I176,$L176,$O176,$R176),"")</f>
        <v/>
      </c>
      <c r="AO176" s="458" t="str">
        <f>IF(AND($G176='Povolené hodnoty'!$B$13,$H176=AO$4),SUM($I176,$L176,$O176,$R176),"")</f>
        <v/>
      </c>
      <c r="AP176" s="458" t="str">
        <f>IF(AND($G176='Povolené hodnoty'!$B$13,$H176=AP$4),SUM($I176,$L176,$O176,$R176),"")</f>
        <v/>
      </c>
      <c r="AQ176" s="40" t="str">
        <f>IF(AND($G176='Povolené hodnoty'!$B$13,OR($H176=AQ$4,$H176='Povolené hodnoty'!$E$36)),SUM($I176,-$J176,$L176,-$M176,$O176,-$P176,$R176,-$S176),"")</f>
        <v/>
      </c>
      <c r="AR176" s="40" t="str">
        <f>IF(AND($G176='Povolené hodnoty'!$B$13,$H176=AR$4),SUM($I176,$L176,$O176,$R176),"")</f>
        <v/>
      </c>
      <c r="AS176" s="41" t="str">
        <f>IF(AND($G176='Povolené hodnoty'!$B$13,$H176=AS$4),SUM($I176,$L176,$O176,$R176),"")</f>
        <v/>
      </c>
      <c r="AT176" s="39" t="str">
        <f>IF(AND($G176='Povolené hodnoty'!$B$14,$H176=AT$4),SUM($I176,$L176,$O176,$R176),"")</f>
        <v/>
      </c>
      <c r="AU176" s="458" t="str">
        <f>IF(AND($G176='Povolené hodnoty'!$B$14,$H176=AU$4),SUM($I176,$L176,$O176,$R176),"")</f>
        <v/>
      </c>
      <c r="AV176" s="41" t="str">
        <f>IF(AND($G176='Povolené hodnoty'!$B$14,$H176=AV$4),SUM($I176,$L176,$O176,$R176),"")</f>
        <v/>
      </c>
      <c r="AW176" s="39" t="str">
        <f>IF(AND($G176='Povolené hodnoty'!$B$13,$H176=AW$4),SUM($J176,$M176,$P176,$S176),"")</f>
        <v/>
      </c>
      <c r="AX176" s="458" t="str">
        <f>IF(AND($G176='Povolené hodnoty'!$B$13,$H176=AX$4),SUM($J176,$M176,$P176,$S176),"")</f>
        <v/>
      </c>
      <c r="AY176" s="458" t="str">
        <f>IF(AND($G176='Povolené hodnoty'!$B$13,$H176=AY$4),SUM($J176,$M176,$P176,$S176),"")</f>
        <v/>
      </c>
      <c r="AZ176" s="458" t="str">
        <f>IF(AND($G176='Povolené hodnoty'!$B$13,$H176=AZ$4),SUM($J176,$M176,$P176,$S176),"")</f>
        <v/>
      </c>
      <c r="BA176" s="458" t="str">
        <f>IF(AND($G176='Povolené hodnoty'!$B$13,$H176=BA$4),SUM($J176,$M176,$P176,$S176),"")</f>
        <v/>
      </c>
      <c r="BB176" s="40" t="str">
        <f>IF(AND($G176='Povolené hodnoty'!$B$13,$H176=BB$4),SUM($J176,$M176,$P176,$S176),"")</f>
        <v/>
      </c>
      <c r="BC176" s="40" t="str">
        <f>IF(AND($G176='Povolené hodnoty'!$B$13,$H176=BC$4),SUM($J176,$M176,$P176,$S176),"")</f>
        <v/>
      </c>
      <c r="BD176" s="40" t="str">
        <f>IF(AND($G176='Povolené hodnoty'!$B$13,$H176=BD$4),SUM($J176,$M176,$P176,$S176),"")</f>
        <v/>
      </c>
      <c r="BE176" s="41" t="str">
        <f>IF(AND($G176='Povolené hodnoty'!$B$13,$H176=BE$4),SUM($J176,$M176,$P176,$S176),"")</f>
        <v/>
      </c>
      <c r="BF176" s="39" t="str">
        <f>IF(AND($G176='Povolené hodnoty'!$B$14,$H176=BF$4),SUM($J176,$M176,$P176,$S176),"")</f>
        <v/>
      </c>
      <c r="BG176" s="458" t="str">
        <f>IF(AND($G176='Povolené hodnoty'!$B$14,$H176=BG$4),SUM($J176,$M176,$P176,$S176),"")</f>
        <v/>
      </c>
      <c r="BH176" s="458" t="str">
        <f>IF(AND($G176='Povolené hodnoty'!$B$14,$H176=BH$4),SUM($J176,$M176,$P176,$S176),"")</f>
        <v/>
      </c>
      <c r="BI176" s="458" t="str">
        <f>IF(AND($G176='Povolené hodnoty'!$B$14,$H176=BI$4),SUM($J176,$M176,$P176,$S176),"")</f>
        <v/>
      </c>
      <c r="BJ176" s="458" t="str">
        <f>IF(AND($G176='Povolené hodnoty'!$B$14,$H176=BJ$4),SUM($J176,$M176,$P176,$S176),"")</f>
        <v/>
      </c>
      <c r="BK176" s="40" t="str">
        <f>IF(AND($G176='Povolené hodnoty'!$B$14,$H176=BK$4),SUM($J176,$M176,$P176,$S176),"")</f>
        <v/>
      </c>
      <c r="BL176" s="40" t="str">
        <f>IF(AND($G176='Povolené hodnoty'!$B$14,$H176=BL$4),SUM($J176,$M176,$P176,$S176),"")</f>
        <v/>
      </c>
      <c r="BM176" s="41" t="str">
        <f>IF(AND($G176='Povolené hodnoty'!$B$14,$H176=BM$4),SUM($J176,$M176,$P176,$S176),"")</f>
        <v/>
      </c>
      <c r="BO176" s="18" t="b">
        <f t="shared" si="106"/>
        <v>0</v>
      </c>
      <c r="BP176" s="18" t="b">
        <f t="shared" si="77"/>
        <v>0</v>
      </c>
      <c r="BQ176" s="18" t="b">
        <f>AND(E176&lt;&gt;'Povolené hodnoty'!$B$6,F176&lt;&gt;'Povolené hodnoty'!$D$7,F176&lt;&gt;'Povolené hodnoty'!$D$8,OR(SUM(I176,L176,O176,R176)&lt;&gt;SUM(W176:X176,AA176:AG176),SUM(J176,M176,P176,S176)&lt;&gt;SUM(Y176:Z176,AH176:AK176),COUNT(I176:J176,L176:M176,O176:P176,R176:S176)&lt;&gt;COUNT(W176:AK176)))</f>
        <v>0</v>
      </c>
      <c r="BR176" s="18" t="b">
        <f>OR(AND(E176='Povolené hodnoty'!$B$6,$BR$5),AND(E176='Povolené hodnoty'!$B$6,H176&lt;&gt;'Povolené hodnoty'!$E$26,H176&lt;&gt;'Povolené hodnoty'!$E$35),AND(E176&lt;&gt;'Povolené hodnoty'!$B$6,OR(H176='Povolené hodnoty'!$E$26,H176='Povolené hodnoty'!$E$35)))</f>
        <v>0</v>
      </c>
      <c r="BS176" s="18" t="b">
        <f>OR(AND(G176&lt;&gt;'Povolené hodnoty'!$B$13,OR(H176='Povolené hodnoty'!$E$21,H176='Povolené hodnoty'!$E$22,H176='Povolené hodnoty'!$E$23,H176='Povolené hodnoty'!$E$24,H176='Povolené hodnoty'!$E$26,H176='Povolené hodnoty'!$E$36)),COUNT(I176:J176,L176:M176,O176:P176,R176:S176)&lt;&gt;COUNT(AL176:BM176))</f>
        <v>0</v>
      </c>
      <c r="BT176" s="18" t="b">
        <f t="shared" si="78"/>
        <v>0</v>
      </c>
      <c r="BV176" s="39" t="str">
        <f t="shared" si="79"/>
        <v/>
      </c>
      <c r="BW176" s="458" t="str">
        <f t="shared" si="80"/>
        <v/>
      </c>
      <c r="BX176" s="458" t="str">
        <f t="shared" si="81"/>
        <v/>
      </c>
      <c r="BY176" s="458" t="str">
        <f t="shared" si="82"/>
        <v/>
      </c>
      <c r="BZ176" s="458" t="str">
        <f t="shared" si="83"/>
        <v/>
      </c>
      <c r="CA176" s="40" t="str">
        <f t="shared" si="84"/>
        <v/>
      </c>
      <c r="CB176" s="40" t="str">
        <f t="shared" si="85"/>
        <v/>
      </c>
      <c r="CC176" s="39" t="str">
        <f t="shared" si="86"/>
        <v/>
      </c>
      <c r="CD176" s="458" t="str">
        <f t="shared" si="87"/>
        <v/>
      </c>
      <c r="CE176" s="41" t="str">
        <f t="shared" si="88"/>
        <v/>
      </c>
      <c r="CF176" s="39" t="str">
        <f t="shared" si="89"/>
        <v/>
      </c>
      <c r="CG176" s="458" t="str">
        <f t="shared" si="90"/>
        <v/>
      </c>
      <c r="CH176" s="458" t="str">
        <f t="shared" si="91"/>
        <v/>
      </c>
      <c r="CI176" s="458" t="str">
        <f t="shared" si="92"/>
        <v/>
      </c>
      <c r="CJ176" s="458" t="str">
        <f t="shared" si="93"/>
        <v/>
      </c>
      <c r="CK176" s="40" t="str">
        <f t="shared" si="94"/>
        <v/>
      </c>
      <c r="CL176" s="40" t="str">
        <f t="shared" si="95"/>
        <v/>
      </c>
      <c r="CM176" s="40" t="str">
        <f t="shared" si="96"/>
        <v/>
      </c>
      <c r="CN176" s="39" t="str">
        <f t="shared" si="97"/>
        <v/>
      </c>
      <c r="CO176" s="458" t="str">
        <f t="shared" si="98"/>
        <v/>
      </c>
      <c r="CP176" s="458" t="str">
        <f t="shared" si="99"/>
        <v/>
      </c>
      <c r="CQ176" s="458" t="str">
        <f t="shared" si="100"/>
        <v/>
      </c>
      <c r="CR176" s="458" t="str">
        <f t="shared" si="101"/>
        <v/>
      </c>
      <c r="CS176" s="40" t="str">
        <f t="shared" si="102"/>
        <v/>
      </c>
      <c r="CT176" s="40" t="str">
        <f t="shared" si="103"/>
        <v/>
      </c>
      <c r="CU176" s="41" t="str">
        <f t="shared" si="104"/>
        <v/>
      </c>
    </row>
    <row r="177" spans="1:99" x14ac:dyDescent="0.2">
      <c r="A177" s="77">
        <f t="shared" si="105"/>
        <v>172</v>
      </c>
      <c r="B177" s="81"/>
      <c r="C177" s="82"/>
      <c r="D177" s="71"/>
      <c r="E177" s="72"/>
      <c r="F177" s="73"/>
      <c r="G177" s="443"/>
      <c r="H177" s="443"/>
      <c r="I177" s="74"/>
      <c r="J177" s="75"/>
      <c r="K177" s="41">
        <f t="shared" si="109"/>
        <v>3625</v>
      </c>
      <c r="L177" s="104"/>
      <c r="M177" s="105"/>
      <c r="N177" s="106">
        <f t="shared" si="110"/>
        <v>537.05999999999995</v>
      </c>
      <c r="O177" s="104"/>
      <c r="P177" s="105"/>
      <c r="Q177" s="106">
        <f t="shared" si="107"/>
        <v>10045.83</v>
      </c>
      <c r="R177" s="104"/>
      <c r="S177" s="105"/>
      <c r="T177" s="106">
        <f t="shared" si="108"/>
        <v>0</v>
      </c>
      <c r="U177" s="439"/>
      <c r="V177" s="42">
        <f t="shared" si="76"/>
        <v>172</v>
      </c>
      <c r="W177" s="39" t="str">
        <f>IF(AND(E177='Povolené hodnoty'!$B$4,F177=2),I177+L177+O177+R177,"")</f>
        <v/>
      </c>
      <c r="X177" s="41" t="str">
        <f>IF(AND(E177='Povolené hodnoty'!$B$4,F177=1),I177+L177+O177+R177,"")</f>
        <v/>
      </c>
      <c r="Y177" s="39" t="str">
        <f>IF(AND(E177='Povolené hodnoty'!$B$4,F177=10),J177+M177+P177+S177,"")</f>
        <v/>
      </c>
      <c r="Z177" s="41" t="str">
        <f>IF(AND(E177='Povolené hodnoty'!$B$4,F177=9),J177+M177+P177+S177,"")</f>
        <v/>
      </c>
      <c r="AA177" s="39" t="str">
        <f>IF(AND(E177&lt;&gt;'Povolené hodnoty'!$B$4,F177=2),I177+L177+O177+R177,"")</f>
        <v/>
      </c>
      <c r="AB177" s="40" t="str">
        <f>IF(AND(E177&lt;&gt;'Povolené hodnoty'!$B$4,F177=3),I177+L177+O177+R177,"")</f>
        <v/>
      </c>
      <c r="AC177" s="40" t="str">
        <f>IF(AND(E177&lt;&gt;'Povolené hodnoty'!$B$4,F177=4),I177+L177+O177+R177,"")</f>
        <v/>
      </c>
      <c r="AD177" s="40" t="str">
        <f>IF(AND(E177&lt;&gt;'Povolené hodnoty'!$B$4,F177="5a"),I177-J177+L177-M177+O177-P177+R177-S177,"")</f>
        <v/>
      </c>
      <c r="AE177" s="40" t="str">
        <f>IF(AND(E177&lt;&gt;'Povolené hodnoty'!$B$4,F177="5b"),I177-J177+L177-M177+O177-P177+R177-S177,"")</f>
        <v/>
      </c>
      <c r="AF177" s="40" t="str">
        <f>IF(AND(E177&lt;&gt;'Povolené hodnoty'!$B$4,F177=6),I177+L177+O177+R177,"")</f>
        <v/>
      </c>
      <c r="AG177" s="41" t="str">
        <f>IF(AND(E177&lt;&gt;'Povolené hodnoty'!$B$4,F177=7),I177+L177+O177+R177,"")</f>
        <v/>
      </c>
      <c r="AH177" s="39" t="str">
        <f>IF(AND(E177&lt;&gt;'Povolené hodnoty'!$B$4,F177=10),J177+M177+P177+S177,"")</f>
        <v/>
      </c>
      <c r="AI177" s="40" t="str">
        <f>IF(AND(E177&lt;&gt;'Povolené hodnoty'!$B$4,F177=11),J177+M177+P177+S177,"")</f>
        <v/>
      </c>
      <c r="AJ177" s="40" t="str">
        <f>IF(AND(E177&lt;&gt;'Povolené hodnoty'!$B$4,F177=12),J177+M177+P177+S177,"")</f>
        <v/>
      </c>
      <c r="AK177" s="41" t="str">
        <f>IF(AND(E177&lt;&gt;'Povolené hodnoty'!$B$4,F177=13),J177+M177+P177+S177,"")</f>
        <v/>
      </c>
      <c r="AL177" s="39" t="str">
        <f>IF(AND($G177='Povolené hodnoty'!$B$13,$H177=AL$4),SUM($I177,$L177,$O177,$R177),"")</f>
        <v/>
      </c>
      <c r="AM177" s="458" t="str">
        <f>IF(AND($G177='Povolené hodnoty'!$B$13,$H177=AM$4),SUM($I177,$L177,$O177,$R177),"")</f>
        <v/>
      </c>
      <c r="AN177" s="458" t="str">
        <f>IF(AND($G177='Povolené hodnoty'!$B$13,$H177=AN$4),SUM($I177,$L177,$O177,$R177),"")</f>
        <v/>
      </c>
      <c r="AO177" s="458" t="str">
        <f>IF(AND($G177='Povolené hodnoty'!$B$13,$H177=AO$4),SUM($I177,$L177,$O177,$R177),"")</f>
        <v/>
      </c>
      <c r="AP177" s="458" t="str">
        <f>IF(AND($G177='Povolené hodnoty'!$B$13,$H177=AP$4),SUM($I177,$L177,$O177,$R177),"")</f>
        <v/>
      </c>
      <c r="AQ177" s="40" t="str">
        <f>IF(AND($G177='Povolené hodnoty'!$B$13,OR($H177=AQ$4,$H177='Povolené hodnoty'!$E$36)),SUM($I177,-$J177,$L177,-$M177,$O177,-$P177,$R177,-$S177),"")</f>
        <v/>
      </c>
      <c r="AR177" s="40" t="str">
        <f>IF(AND($G177='Povolené hodnoty'!$B$13,$H177=AR$4),SUM($I177,$L177,$O177,$R177),"")</f>
        <v/>
      </c>
      <c r="AS177" s="41" t="str">
        <f>IF(AND($G177='Povolené hodnoty'!$B$13,$H177=AS$4),SUM($I177,$L177,$O177,$R177),"")</f>
        <v/>
      </c>
      <c r="AT177" s="39" t="str">
        <f>IF(AND($G177='Povolené hodnoty'!$B$14,$H177=AT$4),SUM($I177,$L177,$O177,$R177),"")</f>
        <v/>
      </c>
      <c r="AU177" s="458" t="str">
        <f>IF(AND($G177='Povolené hodnoty'!$B$14,$H177=AU$4),SUM($I177,$L177,$O177,$R177),"")</f>
        <v/>
      </c>
      <c r="AV177" s="41" t="str">
        <f>IF(AND($G177='Povolené hodnoty'!$B$14,$H177=AV$4),SUM($I177,$L177,$O177,$R177),"")</f>
        <v/>
      </c>
      <c r="AW177" s="39" t="str">
        <f>IF(AND($G177='Povolené hodnoty'!$B$13,$H177=AW$4),SUM($J177,$M177,$P177,$S177),"")</f>
        <v/>
      </c>
      <c r="AX177" s="458" t="str">
        <f>IF(AND($G177='Povolené hodnoty'!$B$13,$H177=AX$4),SUM($J177,$M177,$P177,$S177),"")</f>
        <v/>
      </c>
      <c r="AY177" s="458" t="str">
        <f>IF(AND($G177='Povolené hodnoty'!$B$13,$H177=AY$4),SUM($J177,$M177,$P177,$S177),"")</f>
        <v/>
      </c>
      <c r="AZ177" s="458" t="str">
        <f>IF(AND($G177='Povolené hodnoty'!$B$13,$H177=AZ$4),SUM($J177,$M177,$P177,$S177),"")</f>
        <v/>
      </c>
      <c r="BA177" s="458" t="str">
        <f>IF(AND($G177='Povolené hodnoty'!$B$13,$H177=BA$4),SUM($J177,$M177,$P177,$S177),"")</f>
        <v/>
      </c>
      <c r="BB177" s="40" t="str">
        <f>IF(AND($G177='Povolené hodnoty'!$B$13,$H177=BB$4),SUM($J177,$M177,$P177,$S177),"")</f>
        <v/>
      </c>
      <c r="BC177" s="40" t="str">
        <f>IF(AND($G177='Povolené hodnoty'!$B$13,$H177=BC$4),SUM($J177,$M177,$P177,$S177),"")</f>
        <v/>
      </c>
      <c r="BD177" s="40" t="str">
        <f>IF(AND($G177='Povolené hodnoty'!$B$13,$H177=BD$4),SUM($J177,$M177,$P177,$S177),"")</f>
        <v/>
      </c>
      <c r="BE177" s="41" t="str">
        <f>IF(AND($G177='Povolené hodnoty'!$B$13,$H177=BE$4),SUM($J177,$M177,$P177,$S177),"")</f>
        <v/>
      </c>
      <c r="BF177" s="39" t="str">
        <f>IF(AND($G177='Povolené hodnoty'!$B$14,$H177=BF$4),SUM($J177,$M177,$P177,$S177),"")</f>
        <v/>
      </c>
      <c r="BG177" s="458" t="str">
        <f>IF(AND($G177='Povolené hodnoty'!$B$14,$H177=BG$4),SUM($J177,$M177,$P177,$S177),"")</f>
        <v/>
      </c>
      <c r="BH177" s="458" t="str">
        <f>IF(AND($G177='Povolené hodnoty'!$B$14,$H177=BH$4),SUM($J177,$M177,$P177,$S177),"")</f>
        <v/>
      </c>
      <c r="BI177" s="458" t="str">
        <f>IF(AND($G177='Povolené hodnoty'!$B$14,$H177=BI$4),SUM($J177,$M177,$P177,$S177),"")</f>
        <v/>
      </c>
      <c r="BJ177" s="458" t="str">
        <f>IF(AND($G177='Povolené hodnoty'!$B$14,$H177=BJ$4),SUM($J177,$M177,$P177,$S177),"")</f>
        <v/>
      </c>
      <c r="BK177" s="40" t="str">
        <f>IF(AND($G177='Povolené hodnoty'!$B$14,$H177=BK$4),SUM($J177,$M177,$P177,$S177),"")</f>
        <v/>
      </c>
      <c r="BL177" s="40" t="str">
        <f>IF(AND($G177='Povolené hodnoty'!$B$14,$H177=BL$4),SUM($J177,$M177,$P177,$S177),"")</f>
        <v/>
      </c>
      <c r="BM177" s="41" t="str">
        <f>IF(AND($G177='Povolené hodnoty'!$B$14,$H177=BM$4),SUM($J177,$M177,$P177,$S177),"")</f>
        <v/>
      </c>
      <c r="BO177" s="18" t="b">
        <f t="shared" si="106"/>
        <v>0</v>
      </c>
      <c r="BP177" s="18" t="b">
        <f t="shared" si="77"/>
        <v>0</v>
      </c>
      <c r="BQ177" s="18" t="b">
        <f>AND(E177&lt;&gt;'Povolené hodnoty'!$B$6,F177&lt;&gt;'Povolené hodnoty'!$D$7,F177&lt;&gt;'Povolené hodnoty'!$D$8,OR(SUM(I177,L177,O177,R177)&lt;&gt;SUM(W177:X177,AA177:AG177),SUM(J177,M177,P177,S177)&lt;&gt;SUM(Y177:Z177,AH177:AK177),COUNT(I177:J177,L177:M177,O177:P177,R177:S177)&lt;&gt;COUNT(W177:AK177)))</f>
        <v>0</v>
      </c>
      <c r="BR177" s="18" t="b">
        <f>OR(AND(E177='Povolené hodnoty'!$B$6,$BR$5),AND(E177='Povolené hodnoty'!$B$6,H177&lt;&gt;'Povolené hodnoty'!$E$26,H177&lt;&gt;'Povolené hodnoty'!$E$35),AND(E177&lt;&gt;'Povolené hodnoty'!$B$6,OR(H177='Povolené hodnoty'!$E$26,H177='Povolené hodnoty'!$E$35)))</f>
        <v>0</v>
      </c>
      <c r="BS177" s="18" t="b">
        <f>OR(AND(G177&lt;&gt;'Povolené hodnoty'!$B$13,OR(H177='Povolené hodnoty'!$E$21,H177='Povolené hodnoty'!$E$22,H177='Povolené hodnoty'!$E$23,H177='Povolené hodnoty'!$E$24,H177='Povolené hodnoty'!$E$26,H177='Povolené hodnoty'!$E$36)),COUNT(I177:J177,L177:M177,O177:P177,R177:S177)&lt;&gt;COUNT(AL177:BM177))</f>
        <v>0</v>
      </c>
      <c r="BT177" s="18" t="b">
        <f t="shared" si="78"/>
        <v>0</v>
      </c>
      <c r="BV177" s="39" t="str">
        <f t="shared" si="79"/>
        <v/>
      </c>
      <c r="BW177" s="458" t="str">
        <f t="shared" si="80"/>
        <v/>
      </c>
      <c r="BX177" s="458" t="str">
        <f t="shared" si="81"/>
        <v/>
      </c>
      <c r="BY177" s="458" t="str">
        <f t="shared" si="82"/>
        <v/>
      </c>
      <c r="BZ177" s="458" t="str">
        <f t="shared" si="83"/>
        <v/>
      </c>
      <c r="CA177" s="40" t="str">
        <f t="shared" si="84"/>
        <v/>
      </c>
      <c r="CB177" s="40" t="str">
        <f t="shared" si="85"/>
        <v/>
      </c>
      <c r="CC177" s="39" t="str">
        <f t="shared" si="86"/>
        <v/>
      </c>
      <c r="CD177" s="458" t="str">
        <f t="shared" si="87"/>
        <v/>
      </c>
      <c r="CE177" s="41" t="str">
        <f t="shared" si="88"/>
        <v/>
      </c>
      <c r="CF177" s="39" t="str">
        <f t="shared" si="89"/>
        <v/>
      </c>
      <c r="CG177" s="458" t="str">
        <f t="shared" si="90"/>
        <v/>
      </c>
      <c r="CH177" s="458" t="str">
        <f t="shared" si="91"/>
        <v/>
      </c>
      <c r="CI177" s="458" t="str">
        <f t="shared" si="92"/>
        <v/>
      </c>
      <c r="CJ177" s="458" t="str">
        <f t="shared" si="93"/>
        <v/>
      </c>
      <c r="CK177" s="40" t="str">
        <f t="shared" si="94"/>
        <v/>
      </c>
      <c r="CL177" s="40" t="str">
        <f t="shared" si="95"/>
        <v/>
      </c>
      <c r="CM177" s="40" t="str">
        <f t="shared" si="96"/>
        <v/>
      </c>
      <c r="CN177" s="39" t="str">
        <f t="shared" si="97"/>
        <v/>
      </c>
      <c r="CO177" s="458" t="str">
        <f t="shared" si="98"/>
        <v/>
      </c>
      <c r="CP177" s="458" t="str">
        <f t="shared" si="99"/>
        <v/>
      </c>
      <c r="CQ177" s="458" t="str">
        <f t="shared" si="100"/>
        <v/>
      </c>
      <c r="CR177" s="458" t="str">
        <f t="shared" si="101"/>
        <v/>
      </c>
      <c r="CS177" s="40" t="str">
        <f t="shared" si="102"/>
        <v/>
      </c>
      <c r="CT177" s="40" t="str">
        <f t="shared" si="103"/>
        <v/>
      </c>
      <c r="CU177" s="41" t="str">
        <f t="shared" si="104"/>
        <v/>
      </c>
    </row>
    <row r="178" spans="1:99" x14ac:dyDescent="0.2">
      <c r="A178" s="77">
        <f t="shared" si="105"/>
        <v>173</v>
      </c>
      <c r="B178" s="81"/>
      <c r="C178" s="82"/>
      <c r="D178" s="71"/>
      <c r="E178" s="72"/>
      <c r="F178" s="73"/>
      <c r="G178" s="443"/>
      <c r="H178" s="443"/>
      <c r="I178" s="74"/>
      <c r="J178" s="75"/>
      <c r="K178" s="41">
        <f t="shared" si="109"/>
        <v>3625</v>
      </c>
      <c r="L178" s="104"/>
      <c r="M178" s="105"/>
      <c r="N178" s="106">
        <f t="shared" si="110"/>
        <v>537.05999999999995</v>
      </c>
      <c r="O178" s="104"/>
      <c r="P178" s="105"/>
      <c r="Q178" s="106">
        <f t="shared" si="107"/>
        <v>10045.83</v>
      </c>
      <c r="R178" s="104"/>
      <c r="S178" s="105"/>
      <c r="T178" s="106">
        <f t="shared" si="108"/>
        <v>0</v>
      </c>
      <c r="U178" s="439"/>
      <c r="V178" s="42">
        <f t="shared" si="76"/>
        <v>173</v>
      </c>
      <c r="W178" s="39" t="str">
        <f>IF(AND(E178='Povolené hodnoty'!$B$4,F178=2),I178+L178+O178+R178,"")</f>
        <v/>
      </c>
      <c r="X178" s="41" t="str">
        <f>IF(AND(E178='Povolené hodnoty'!$B$4,F178=1),I178+L178+O178+R178,"")</f>
        <v/>
      </c>
      <c r="Y178" s="39" t="str">
        <f>IF(AND(E178='Povolené hodnoty'!$B$4,F178=10),J178+M178+P178+S178,"")</f>
        <v/>
      </c>
      <c r="Z178" s="41" t="str">
        <f>IF(AND(E178='Povolené hodnoty'!$B$4,F178=9),J178+M178+P178+S178,"")</f>
        <v/>
      </c>
      <c r="AA178" s="39" t="str">
        <f>IF(AND(E178&lt;&gt;'Povolené hodnoty'!$B$4,F178=2),I178+L178+O178+R178,"")</f>
        <v/>
      </c>
      <c r="AB178" s="40" t="str">
        <f>IF(AND(E178&lt;&gt;'Povolené hodnoty'!$B$4,F178=3),I178+L178+O178+R178,"")</f>
        <v/>
      </c>
      <c r="AC178" s="40" t="str">
        <f>IF(AND(E178&lt;&gt;'Povolené hodnoty'!$B$4,F178=4),I178+L178+O178+R178,"")</f>
        <v/>
      </c>
      <c r="AD178" s="40" t="str">
        <f>IF(AND(E178&lt;&gt;'Povolené hodnoty'!$B$4,F178="5a"),I178-J178+L178-M178+O178-P178+R178-S178,"")</f>
        <v/>
      </c>
      <c r="AE178" s="40" t="str">
        <f>IF(AND(E178&lt;&gt;'Povolené hodnoty'!$B$4,F178="5b"),I178-J178+L178-M178+O178-P178+R178-S178,"")</f>
        <v/>
      </c>
      <c r="AF178" s="40" t="str">
        <f>IF(AND(E178&lt;&gt;'Povolené hodnoty'!$B$4,F178=6),I178+L178+O178+R178,"")</f>
        <v/>
      </c>
      <c r="AG178" s="41" t="str">
        <f>IF(AND(E178&lt;&gt;'Povolené hodnoty'!$B$4,F178=7),I178+L178+O178+R178,"")</f>
        <v/>
      </c>
      <c r="AH178" s="39" t="str">
        <f>IF(AND(E178&lt;&gt;'Povolené hodnoty'!$B$4,F178=10),J178+M178+P178+S178,"")</f>
        <v/>
      </c>
      <c r="AI178" s="40" t="str">
        <f>IF(AND(E178&lt;&gt;'Povolené hodnoty'!$B$4,F178=11),J178+M178+P178+S178,"")</f>
        <v/>
      </c>
      <c r="AJ178" s="40" t="str">
        <f>IF(AND(E178&lt;&gt;'Povolené hodnoty'!$B$4,F178=12),J178+M178+P178+S178,"")</f>
        <v/>
      </c>
      <c r="AK178" s="41" t="str">
        <f>IF(AND(E178&lt;&gt;'Povolené hodnoty'!$B$4,F178=13),J178+M178+P178+S178,"")</f>
        <v/>
      </c>
      <c r="AL178" s="39" t="str">
        <f>IF(AND($G178='Povolené hodnoty'!$B$13,$H178=AL$4),SUM($I178,$L178,$O178,$R178),"")</f>
        <v/>
      </c>
      <c r="AM178" s="458" t="str">
        <f>IF(AND($G178='Povolené hodnoty'!$B$13,$H178=AM$4),SUM($I178,$L178,$O178,$R178),"")</f>
        <v/>
      </c>
      <c r="AN178" s="458" t="str">
        <f>IF(AND($G178='Povolené hodnoty'!$B$13,$H178=AN$4),SUM($I178,$L178,$O178,$R178),"")</f>
        <v/>
      </c>
      <c r="AO178" s="458" t="str">
        <f>IF(AND($G178='Povolené hodnoty'!$B$13,$H178=AO$4),SUM($I178,$L178,$O178,$R178),"")</f>
        <v/>
      </c>
      <c r="AP178" s="458" t="str">
        <f>IF(AND($G178='Povolené hodnoty'!$B$13,$H178=AP$4),SUM($I178,$L178,$O178,$R178),"")</f>
        <v/>
      </c>
      <c r="AQ178" s="40" t="str">
        <f>IF(AND($G178='Povolené hodnoty'!$B$13,OR($H178=AQ$4,$H178='Povolené hodnoty'!$E$36)),SUM($I178,-$J178,$L178,-$M178,$O178,-$P178,$R178,-$S178),"")</f>
        <v/>
      </c>
      <c r="AR178" s="40" t="str">
        <f>IF(AND($G178='Povolené hodnoty'!$B$13,$H178=AR$4),SUM($I178,$L178,$O178,$R178),"")</f>
        <v/>
      </c>
      <c r="AS178" s="41" t="str">
        <f>IF(AND($G178='Povolené hodnoty'!$B$13,$H178=AS$4),SUM($I178,$L178,$O178,$R178),"")</f>
        <v/>
      </c>
      <c r="AT178" s="39" t="str">
        <f>IF(AND($G178='Povolené hodnoty'!$B$14,$H178=AT$4),SUM($I178,$L178,$O178,$R178),"")</f>
        <v/>
      </c>
      <c r="AU178" s="458" t="str">
        <f>IF(AND($G178='Povolené hodnoty'!$B$14,$H178=AU$4),SUM($I178,$L178,$O178,$R178),"")</f>
        <v/>
      </c>
      <c r="AV178" s="41" t="str">
        <f>IF(AND($G178='Povolené hodnoty'!$B$14,$H178=AV$4),SUM($I178,$L178,$O178,$R178),"")</f>
        <v/>
      </c>
      <c r="AW178" s="39" t="str">
        <f>IF(AND($G178='Povolené hodnoty'!$B$13,$H178=AW$4),SUM($J178,$M178,$P178,$S178),"")</f>
        <v/>
      </c>
      <c r="AX178" s="458" t="str">
        <f>IF(AND($G178='Povolené hodnoty'!$B$13,$H178=AX$4),SUM($J178,$M178,$P178,$S178),"")</f>
        <v/>
      </c>
      <c r="AY178" s="458" t="str">
        <f>IF(AND($G178='Povolené hodnoty'!$B$13,$H178=AY$4),SUM($J178,$M178,$P178,$S178),"")</f>
        <v/>
      </c>
      <c r="AZ178" s="458" t="str">
        <f>IF(AND($G178='Povolené hodnoty'!$B$13,$H178=AZ$4),SUM($J178,$M178,$P178,$S178),"")</f>
        <v/>
      </c>
      <c r="BA178" s="458" t="str">
        <f>IF(AND($G178='Povolené hodnoty'!$B$13,$H178=BA$4),SUM($J178,$M178,$P178,$S178),"")</f>
        <v/>
      </c>
      <c r="BB178" s="40" t="str">
        <f>IF(AND($G178='Povolené hodnoty'!$B$13,$H178=BB$4),SUM($J178,$M178,$P178,$S178),"")</f>
        <v/>
      </c>
      <c r="BC178" s="40" t="str">
        <f>IF(AND($G178='Povolené hodnoty'!$B$13,$H178=BC$4),SUM($J178,$M178,$P178,$S178),"")</f>
        <v/>
      </c>
      <c r="BD178" s="40" t="str">
        <f>IF(AND($G178='Povolené hodnoty'!$B$13,$H178=BD$4),SUM($J178,$M178,$P178,$S178),"")</f>
        <v/>
      </c>
      <c r="BE178" s="41" t="str">
        <f>IF(AND($G178='Povolené hodnoty'!$B$13,$H178=BE$4),SUM($J178,$M178,$P178,$S178),"")</f>
        <v/>
      </c>
      <c r="BF178" s="39" t="str">
        <f>IF(AND($G178='Povolené hodnoty'!$B$14,$H178=BF$4),SUM($J178,$M178,$P178,$S178),"")</f>
        <v/>
      </c>
      <c r="BG178" s="458" t="str">
        <f>IF(AND($G178='Povolené hodnoty'!$B$14,$H178=BG$4),SUM($J178,$M178,$P178,$S178),"")</f>
        <v/>
      </c>
      <c r="BH178" s="458" t="str">
        <f>IF(AND($G178='Povolené hodnoty'!$B$14,$H178=BH$4),SUM($J178,$M178,$P178,$S178),"")</f>
        <v/>
      </c>
      <c r="BI178" s="458" t="str">
        <f>IF(AND($G178='Povolené hodnoty'!$B$14,$H178=BI$4),SUM($J178,$M178,$P178,$S178),"")</f>
        <v/>
      </c>
      <c r="BJ178" s="458" t="str">
        <f>IF(AND($G178='Povolené hodnoty'!$B$14,$H178=BJ$4),SUM($J178,$M178,$P178,$S178),"")</f>
        <v/>
      </c>
      <c r="BK178" s="40" t="str">
        <f>IF(AND($G178='Povolené hodnoty'!$B$14,$H178=BK$4),SUM($J178,$M178,$P178,$S178),"")</f>
        <v/>
      </c>
      <c r="BL178" s="40" t="str">
        <f>IF(AND($G178='Povolené hodnoty'!$B$14,$H178=BL$4),SUM($J178,$M178,$P178,$S178),"")</f>
        <v/>
      </c>
      <c r="BM178" s="41" t="str">
        <f>IF(AND($G178='Povolené hodnoty'!$B$14,$H178=BM$4),SUM($J178,$M178,$P178,$S178),"")</f>
        <v/>
      </c>
      <c r="BO178" s="18" t="b">
        <f t="shared" si="106"/>
        <v>0</v>
      </c>
      <c r="BP178" s="18" t="b">
        <f t="shared" si="77"/>
        <v>0</v>
      </c>
      <c r="BQ178" s="18" t="b">
        <f>AND(E178&lt;&gt;'Povolené hodnoty'!$B$6,F178&lt;&gt;'Povolené hodnoty'!$D$7,F178&lt;&gt;'Povolené hodnoty'!$D$8,OR(SUM(I178,L178,O178,R178)&lt;&gt;SUM(W178:X178,AA178:AG178),SUM(J178,M178,P178,S178)&lt;&gt;SUM(Y178:Z178,AH178:AK178),COUNT(I178:J178,L178:M178,O178:P178,R178:S178)&lt;&gt;COUNT(W178:AK178)))</f>
        <v>0</v>
      </c>
      <c r="BR178" s="18" t="b">
        <f>OR(AND(E178='Povolené hodnoty'!$B$6,$BR$5),AND(E178='Povolené hodnoty'!$B$6,H178&lt;&gt;'Povolené hodnoty'!$E$26,H178&lt;&gt;'Povolené hodnoty'!$E$35),AND(E178&lt;&gt;'Povolené hodnoty'!$B$6,OR(H178='Povolené hodnoty'!$E$26,H178='Povolené hodnoty'!$E$35)))</f>
        <v>0</v>
      </c>
      <c r="BS178" s="18" t="b">
        <f>OR(AND(G178&lt;&gt;'Povolené hodnoty'!$B$13,OR(H178='Povolené hodnoty'!$E$21,H178='Povolené hodnoty'!$E$22,H178='Povolené hodnoty'!$E$23,H178='Povolené hodnoty'!$E$24,H178='Povolené hodnoty'!$E$26,H178='Povolené hodnoty'!$E$36)),COUNT(I178:J178,L178:M178,O178:P178,R178:S178)&lt;&gt;COUNT(AL178:BM178))</f>
        <v>0</v>
      </c>
      <c r="BT178" s="18" t="b">
        <f t="shared" si="78"/>
        <v>0</v>
      </c>
      <c r="BV178" s="39" t="str">
        <f t="shared" si="79"/>
        <v/>
      </c>
      <c r="BW178" s="458" t="str">
        <f t="shared" si="80"/>
        <v/>
      </c>
      <c r="BX178" s="458" t="str">
        <f t="shared" si="81"/>
        <v/>
      </c>
      <c r="BY178" s="458" t="str">
        <f t="shared" si="82"/>
        <v/>
      </c>
      <c r="BZ178" s="458" t="str">
        <f t="shared" si="83"/>
        <v/>
      </c>
      <c r="CA178" s="40" t="str">
        <f t="shared" si="84"/>
        <v/>
      </c>
      <c r="CB178" s="40" t="str">
        <f t="shared" si="85"/>
        <v/>
      </c>
      <c r="CC178" s="39" t="str">
        <f t="shared" si="86"/>
        <v/>
      </c>
      <c r="CD178" s="458" t="str">
        <f t="shared" si="87"/>
        <v/>
      </c>
      <c r="CE178" s="41" t="str">
        <f t="shared" si="88"/>
        <v/>
      </c>
      <c r="CF178" s="39" t="str">
        <f t="shared" si="89"/>
        <v/>
      </c>
      <c r="CG178" s="458" t="str">
        <f t="shared" si="90"/>
        <v/>
      </c>
      <c r="CH178" s="458" t="str">
        <f t="shared" si="91"/>
        <v/>
      </c>
      <c r="CI178" s="458" t="str">
        <f t="shared" si="92"/>
        <v/>
      </c>
      <c r="CJ178" s="458" t="str">
        <f t="shared" si="93"/>
        <v/>
      </c>
      <c r="CK178" s="40" t="str">
        <f t="shared" si="94"/>
        <v/>
      </c>
      <c r="CL178" s="40" t="str">
        <f t="shared" si="95"/>
        <v/>
      </c>
      <c r="CM178" s="40" t="str">
        <f t="shared" si="96"/>
        <v/>
      </c>
      <c r="CN178" s="39" t="str">
        <f t="shared" si="97"/>
        <v/>
      </c>
      <c r="CO178" s="458" t="str">
        <f t="shared" si="98"/>
        <v/>
      </c>
      <c r="CP178" s="458" t="str">
        <f t="shared" si="99"/>
        <v/>
      </c>
      <c r="CQ178" s="458" t="str">
        <f t="shared" si="100"/>
        <v/>
      </c>
      <c r="CR178" s="458" t="str">
        <f t="shared" si="101"/>
        <v/>
      </c>
      <c r="CS178" s="40" t="str">
        <f t="shared" si="102"/>
        <v/>
      </c>
      <c r="CT178" s="40" t="str">
        <f t="shared" si="103"/>
        <v/>
      </c>
      <c r="CU178" s="41" t="str">
        <f t="shared" si="104"/>
        <v/>
      </c>
    </row>
    <row r="179" spans="1:99" x14ac:dyDescent="0.2">
      <c r="A179" s="77">
        <f t="shared" si="105"/>
        <v>174</v>
      </c>
      <c r="B179" s="81"/>
      <c r="C179" s="82"/>
      <c r="D179" s="71"/>
      <c r="E179" s="72"/>
      <c r="F179" s="73"/>
      <c r="G179" s="443"/>
      <c r="H179" s="443"/>
      <c r="I179" s="74"/>
      <c r="J179" s="75"/>
      <c r="K179" s="41">
        <f t="shared" si="109"/>
        <v>3625</v>
      </c>
      <c r="L179" s="104"/>
      <c r="M179" s="105"/>
      <c r="N179" s="106">
        <f t="shared" si="110"/>
        <v>537.05999999999995</v>
      </c>
      <c r="O179" s="104"/>
      <c r="P179" s="105"/>
      <c r="Q179" s="106">
        <f t="shared" si="107"/>
        <v>10045.83</v>
      </c>
      <c r="R179" s="104"/>
      <c r="S179" s="105"/>
      <c r="T179" s="106">
        <f t="shared" si="108"/>
        <v>0</v>
      </c>
      <c r="U179" s="439"/>
      <c r="V179" s="42">
        <f t="shared" si="76"/>
        <v>174</v>
      </c>
      <c r="W179" s="39" t="str">
        <f>IF(AND(E179='Povolené hodnoty'!$B$4,F179=2),I179+L179+O179+R179,"")</f>
        <v/>
      </c>
      <c r="X179" s="41" t="str">
        <f>IF(AND(E179='Povolené hodnoty'!$B$4,F179=1),I179+L179+O179+R179,"")</f>
        <v/>
      </c>
      <c r="Y179" s="39" t="str">
        <f>IF(AND(E179='Povolené hodnoty'!$B$4,F179=10),J179+M179+P179+S179,"")</f>
        <v/>
      </c>
      <c r="Z179" s="41" t="str">
        <f>IF(AND(E179='Povolené hodnoty'!$B$4,F179=9),J179+M179+P179+S179,"")</f>
        <v/>
      </c>
      <c r="AA179" s="39" t="str">
        <f>IF(AND(E179&lt;&gt;'Povolené hodnoty'!$B$4,F179=2),I179+L179+O179+R179,"")</f>
        <v/>
      </c>
      <c r="AB179" s="40" t="str">
        <f>IF(AND(E179&lt;&gt;'Povolené hodnoty'!$B$4,F179=3),I179+L179+O179+R179,"")</f>
        <v/>
      </c>
      <c r="AC179" s="40" t="str">
        <f>IF(AND(E179&lt;&gt;'Povolené hodnoty'!$B$4,F179=4),I179+L179+O179+R179,"")</f>
        <v/>
      </c>
      <c r="AD179" s="40" t="str">
        <f>IF(AND(E179&lt;&gt;'Povolené hodnoty'!$B$4,F179="5a"),I179-J179+L179-M179+O179-P179+R179-S179,"")</f>
        <v/>
      </c>
      <c r="AE179" s="40" t="str">
        <f>IF(AND(E179&lt;&gt;'Povolené hodnoty'!$B$4,F179="5b"),I179-J179+L179-M179+O179-P179+R179-S179,"")</f>
        <v/>
      </c>
      <c r="AF179" s="40" t="str">
        <f>IF(AND(E179&lt;&gt;'Povolené hodnoty'!$B$4,F179=6),I179+L179+O179+R179,"")</f>
        <v/>
      </c>
      <c r="AG179" s="41" t="str">
        <f>IF(AND(E179&lt;&gt;'Povolené hodnoty'!$B$4,F179=7),I179+L179+O179+R179,"")</f>
        <v/>
      </c>
      <c r="AH179" s="39" t="str">
        <f>IF(AND(E179&lt;&gt;'Povolené hodnoty'!$B$4,F179=10),J179+M179+P179+S179,"")</f>
        <v/>
      </c>
      <c r="AI179" s="40" t="str">
        <f>IF(AND(E179&lt;&gt;'Povolené hodnoty'!$B$4,F179=11),J179+M179+P179+S179,"")</f>
        <v/>
      </c>
      <c r="AJ179" s="40" t="str">
        <f>IF(AND(E179&lt;&gt;'Povolené hodnoty'!$B$4,F179=12),J179+M179+P179+S179,"")</f>
        <v/>
      </c>
      <c r="AK179" s="41" t="str">
        <f>IF(AND(E179&lt;&gt;'Povolené hodnoty'!$B$4,F179=13),J179+M179+P179+S179,"")</f>
        <v/>
      </c>
      <c r="AL179" s="39" t="str">
        <f>IF(AND($G179='Povolené hodnoty'!$B$13,$H179=AL$4),SUM($I179,$L179,$O179,$R179),"")</f>
        <v/>
      </c>
      <c r="AM179" s="458" t="str">
        <f>IF(AND($G179='Povolené hodnoty'!$B$13,$H179=AM$4),SUM($I179,$L179,$O179,$R179),"")</f>
        <v/>
      </c>
      <c r="AN179" s="458" t="str">
        <f>IF(AND($G179='Povolené hodnoty'!$B$13,$H179=AN$4),SUM($I179,$L179,$O179,$R179),"")</f>
        <v/>
      </c>
      <c r="AO179" s="458" t="str">
        <f>IF(AND($G179='Povolené hodnoty'!$B$13,$H179=AO$4),SUM($I179,$L179,$O179,$R179),"")</f>
        <v/>
      </c>
      <c r="AP179" s="458" t="str">
        <f>IF(AND($G179='Povolené hodnoty'!$B$13,$H179=AP$4),SUM($I179,$L179,$O179,$R179),"")</f>
        <v/>
      </c>
      <c r="AQ179" s="40" t="str">
        <f>IF(AND($G179='Povolené hodnoty'!$B$13,OR($H179=AQ$4,$H179='Povolené hodnoty'!$E$36)),SUM($I179,-$J179,$L179,-$M179,$O179,-$P179,$R179,-$S179),"")</f>
        <v/>
      </c>
      <c r="AR179" s="40" t="str">
        <f>IF(AND($G179='Povolené hodnoty'!$B$13,$H179=AR$4),SUM($I179,$L179,$O179,$R179),"")</f>
        <v/>
      </c>
      <c r="AS179" s="41" t="str">
        <f>IF(AND($G179='Povolené hodnoty'!$B$13,$H179=AS$4),SUM($I179,$L179,$O179,$R179),"")</f>
        <v/>
      </c>
      <c r="AT179" s="39" t="str">
        <f>IF(AND($G179='Povolené hodnoty'!$B$14,$H179=AT$4),SUM($I179,$L179,$O179,$R179),"")</f>
        <v/>
      </c>
      <c r="AU179" s="458" t="str">
        <f>IF(AND($G179='Povolené hodnoty'!$B$14,$H179=AU$4),SUM($I179,$L179,$O179,$R179),"")</f>
        <v/>
      </c>
      <c r="AV179" s="41" t="str">
        <f>IF(AND($G179='Povolené hodnoty'!$B$14,$H179=AV$4),SUM($I179,$L179,$O179,$R179),"")</f>
        <v/>
      </c>
      <c r="AW179" s="39" t="str">
        <f>IF(AND($G179='Povolené hodnoty'!$B$13,$H179=AW$4),SUM($J179,$M179,$P179,$S179),"")</f>
        <v/>
      </c>
      <c r="AX179" s="458" t="str">
        <f>IF(AND($G179='Povolené hodnoty'!$B$13,$H179=AX$4),SUM($J179,$M179,$P179,$S179),"")</f>
        <v/>
      </c>
      <c r="AY179" s="458" t="str">
        <f>IF(AND($G179='Povolené hodnoty'!$B$13,$H179=AY$4),SUM($J179,$M179,$P179,$S179),"")</f>
        <v/>
      </c>
      <c r="AZ179" s="458" t="str">
        <f>IF(AND($G179='Povolené hodnoty'!$B$13,$H179=AZ$4),SUM($J179,$M179,$P179,$S179),"")</f>
        <v/>
      </c>
      <c r="BA179" s="458" t="str">
        <f>IF(AND($G179='Povolené hodnoty'!$B$13,$H179=BA$4),SUM($J179,$M179,$P179,$S179),"")</f>
        <v/>
      </c>
      <c r="BB179" s="40" t="str">
        <f>IF(AND($G179='Povolené hodnoty'!$B$13,$H179=BB$4),SUM($J179,$M179,$P179,$S179),"")</f>
        <v/>
      </c>
      <c r="BC179" s="40" t="str">
        <f>IF(AND($G179='Povolené hodnoty'!$B$13,$H179=BC$4),SUM($J179,$M179,$P179,$S179),"")</f>
        <v/>
      </c>
      <c r="BD179" s="40" t="str">
        <f>IF(AND($G179='Povolené hodnoty'!$B$13,$H179=BD$4),SUM($J179,$M179,$P179,$S179),"")</f>
        <v/>
      </c>
      <c r="BE179" s="41" t="str">
        <f>IF(AND($G179='Povolené hodnoty'!$B$13,$H179=BE$4),SUM($J179,$M179,$P179,$S179),"")</f>
        <v/>
      </c>
      <c r="BF179" s="39" t="str">
        <f>IF(AND($G179='Povolené hodnoty'!$B$14,$H179=BF$4),SUM($J179,$M179,$P179,$S179),"")</f>
        <v/>
      </c>
      <c r="BG179" s="458" t="str">
        <f>IF(AND($G179='Povolené hodnoty'!$B$14,$H179=BG$4),SUM($J179,$M179,$P179,$S179),"")</f>
        <v/>
      </c>
      <c r="BH179" s="458" t="str">
        <f>IF(AND($G179='Povolené hodnoty'!$B$14,$H179=BH$4),SUM($J179,$M179,$P179,$S179),"")</f>
        <v/>
      </c>
      <c r="BI179" s="458" t="str">
        <f>IF(AND($G179='Povolené hodnoty'!$B$14,$H179=BI$4),SUM($J179,$M179,$P179,$S179),"")</f>
        <v/>
      </c>
      <c r="BJ179" s="458" t="str">
        <f>IF(AND($G179='Povolené hodnoty'!$B$14,$H179=BJ$4),SUM($J179,$M179,$P179,$S179),"")</f>
        <v/>
      </c>
      <c r="BK179" s="40" t="str">
        <f>IF(AND($G179='Povolené hodnoty'!$B$14,$H179=BK$4),SUM($J179,$M179,$P179,$S179),"")</f>
        <v/>
      </c>
      <c r="BL179" s="40" t="str">
        <f>IF(AND($G179='Povolené hodnoty'!$B$14,$H179=BL$4),SUM($J179,$M179,$P179,$S179),"")</f>
        <v/>
      </c>
      <c r="BM179" s="41" t="str">
        <f>IF(AND($G179='Povolené hodnoty'!$B$14,$H179=BM$4),SUM($J179,$M179,$P179,$S179),"")</f>
        <v/>
      </c>
      <c r="BO179" s="18" t="b">
        <f t="shared" si="106"/>
        <v>0</v>
      </c>
      <c r="BP179" s="18" t="b">
        <f t="shared" si="77"/>
        <v>0</v>
      </c>
      <c r="BQ179" s="18" t="b">
        <f>AND(E179&lt;&gt;'Povolené hodnoty'!$B$6,F179&lt;&gt;'Povolené hodnoty'!$D$7,F179&lt;&gt;'Povolené hodnoty'!$D$8,OR(SUM(I179,L179,O179,R179)&lt;&gt;SUM(W179:X179,AA179:AG179),SUM(J179,M179,P179,S179)&lt;&gt;SUM(Y179:Z179,AH179:AK179),COUNT(I179:J179,L179:M179,O179:P179,R179:S179)&lt;&gt;COUNT(W179:AK179)))</f>
        <v>0</v>
      </c>
      <c r="BR179" s="18" t="b">
        <f>OR(AND(E179='Povolené hodnoty'!$B$6,$BR$5),AND(E179='Povolené hodnoty'!$B$6,H179&lt;&gt;'Povolené hodnoty'!$E$26,H179&lt;&gt;'Povolené hodnoty'!$E$35),AND(E179&lt;&gt;'Povolené hodnoty'!$B$6,OR(H179='Povolené hodnoty'!$E$26,H179='Povolené hodnoty'!$E$35)))</f>
        <v>0</v>
      </c>
      <c r="BS179" s="18" t="b">
        <f>OR(AND(G179&lt;&gt;'Povolené hodnoty'!$B$13,OR(H179='Povolené hodnoty'!$E$21,H179='Povolené hodnoty'!$E$22,H179='Povolené hodnoty'!$E$23,H179='Povolené hodnoty'!$E$24,H179='Povolené hodnoty'!$E$26,H179='Povolené hodnoty'!$E$36)),COUNT(I179:J179,L179:M179,O179:P179,R179:S179)&lt;&gt;COUNT(AL179:BM179))</f>
        <v>0</v>
      </c>
      <c r="BT179" s="18" t="b">
        <f t="shared" si="78"/>
        <v>0</v>
      </c>
      <c r="BV179" s="39" t="str">
        <f t="shared" si="79"/>
        <v/>
      </c>
      <c r="BW179" s="458" t="str">
        <f t="shared" si="80"/>
        <v/>
      </c>
      <c r="BX179" s="458" t="str">
        <f t="shared" si="81"/>
        <v/>
      </c>
      <c r="BY179" s="458" t="str">
        <f t="shared" si="82"/>
        <v/>
      </c>
      <c r="BZ179" s="458" t="str">
        <f t="shared" si="83"/>
        <v/>
      </c>
      <c r="CA179" s="40" t="str">
        <f t="shared" si="84"/>
        <v/>
      </c>
      <c r="CB179" s="40" t="str">
        <f t="shared" si="85"/>
        <v/>
      </c>
      <c r="CC179" s="39" t="str">
        <f t="shared" si="86"/>
        <v/>
      </c>
      <c r="CD179" s="458" t="str">
        <f t="shared" si="87"/>
        <v/>
      </c>
      <c r="CE179" s="41" t="str">
        <f t="shared" si="88"/>
        <v/>
      </c>
      <c r="CF179" s="39" t="str">
        <f t="shared" si="89"/>
        <v/>
      </c>
      <c r="CG179" s="458" t="str">
        <f t="shared" si="90"/>
        <v/>
      </c>
      <c r="CH179" s="458" t="str">
        <f t="shared" si="91"/>
        <v/>
      </c>
      <c r="CI179" s="458" t="str">
        <f t="shared" si="92"/>
        <v/>
      </c>
      <c r="CJ179" s="458" t="str">
        <f t="shared" si="93"/>
        <v/>
      </c>
      <c r="CK179" s="40" t="str">
        <f t="shared" si="94"/>
        <v/>
      </c>
      <c r="CL179" s="40" t="str">
        <f t="shared" si="95"/>
        <v/>
      </c>
      <c r="CM179" s="40" t="str">
        <f t="shared" si="96"/>
        <v/>
      </c>
      <c r="CN179" s="39" t="str">
        <f t="shared" si="97"/>
        <v/>
      </c>
      <c r="CO179" s="458" t="str">
        <f t="shared" si="98"/>
        <v/>
      </c>
      <c r="CP179" s="458" t="str">
        <f t="shared" si="99"/>
        <v/>
      </c>
      <c r="CQ179" s="458" t="str">
        <f t="shared" si="100"/>
        <v/>
      </c>
      <c r="CR179" s="458" t="str">
        <f t="shared" si="101"/>
        <v/>
      </c>
      <c r="CS179" s="40" t="str">
        <f t="shared" si="102"/>
        <v/>
      </c>
      <c r="CT179" s="40" t="str">
        <f t="shared" si="103"/>
        <v/>
      </c>
      <c r="CU179" s="41" t="str">
        <f t="shared" si="104"/>
        <v/>
      </c>
    </row>
    <row r="180" spans="1:99" x14ac:dyDescent="0.2">
      <c r="A180" s="77">
        <f t="shared" si="105"/>
        <v>175</v>
      </c>
      <c r="B180" s="81"/>
      <c r="C180" s="82"/>
      <c r="D180" s="71"/>
      <c r="E180" s="72"/>
      <c r="F180" s="73"/>
      <c r="G180" s="443"/>
      <c r="H180" s="443"/>
      <c r="I180" s="74"/>
      <c r="J180" s="75"/>
      <c r="K180" s="41">
        <f t="shared" si="109"/>
        <v>3625</v>
      </c>
      <c r="L180" s="104"/>
      <c r="M180" s="105"/>
      <c r="N180" s="106">
        <f t="shared" si="110"/>
        <v>537.05999999999995</v>
      </c>
      <c r="O180" s="104"/>
      <c r="P180" s="105"/>
      <c r="Q180" s="106">
        <f t="shared" si="107"/>
        <v>10045.83</v>
      </c>
      <c r="R180" s="104"/>
      <c r="S180" s="105"/>
      <c r="T180" s="106">
        <f t="shared" si="108"/>
        <v>0</v>
      </c>
      <c r="U180" s="439"/>
      <c r="V180" s="42">
        <f t="shared" si="76"/>
        <v>175</v>
      </c>
      <c r="W180" s="39" t="str">
        <f>IF(AND(E180='Povolené hodnoty'!$B$4,F180=2),I180+L180+O180+R180,"")</f>
        <v/>
      </c>
      <c r="X180" s="41" t="str">
        <f>IF(AND(E180='Povolené hodnoty'!$B$4,F180=1),I180+L180+O180+R180,"")</f>
        <v/>
      </c>
      <c r="Y180" s="39" t="str">
        <f>IF(AND(E180='Povolené hodnoty'!$B$4,F180=10),J180+M180+P180+S180,"")</f>
        <v/>
      </c>
      <c r="Z180" s="41" t="str">
        <f>IF(AND(E180='Povolené hodnoty'!$B$4,F180=9),J180+M180+P180+S180,"")</f>
        <v/>
      </c>
      <c r="AA180" s="39" t="str">
        <f>IF(AND(E180&lt;&gt;'Povolené hodnoty'!$B$4,F180=2),I180+L180+O180+R180,"")</f>
        <v/>
      </c>
      <c r="AB180" s="40" t="str">
        <f>IF(AND(E180&lt;&gt;'Povolené hodnoty'!$B$4,F180=3),I180+L180+O180+R180,"")</f>
        <v/>
      </c>
      <c r="AC180" s="40" t="str">
        <f>IF(AND(E180&lt;&gt;'Povolené hodnoty'!$B$4,F180=4),I180+L180+O180+R180,"")</f>
        <v/>
      </c>
      <c r="AD180" s="40" t="str">
        <f>IF(AND(E180&lt;&gt;'Povolené hodnoty'!$B$4,F180="5a"),I180-J180+L180-M180+O180-P180+R180-S180,"")</f>
        <v/>
      </c>
      <c r="AE180" s="40" t="str">
        <f>IF(AND(E180&lt;&gt;'Povolené hodnoty'!$B$4,F180="5b"),I180-J180+L180-M180+O180-P180+R180-S180,"")</f>
        <v/>
      </c>
      <c r="AF180" s="40" t="str">
        <f>IF(AND(E180&lt;&gt;'Povolené hodnoty'!$B$4,F180=6),I180+L180+O180+R180,"")</f>
        <v/>
      </c>
      <c r="AG180" s="41" t="str">
        <f>IF(AND(E180&lt;&gt;'Povolené hodnoty'!$B$4,F180=7),I180+L180+O180+R180,"")</f>
        <v/>
      </c>
      <c r="AH180" s="39" t="str">
        <f>IF(AND(E180&lt;&gt;'Povolené hodnoty'!$B$4,F180=10),J180+M180+P180+S180,"")</f>
        <v/>
      </c>
      <c r="AI180" s="40" t="str">
        <f>IF(AND(E180&lt;&gt;'Povolené hodnoty'!$B$4,F180=11),J180+M180+P180+S180,"")</f>
        <v/>
      </c>
      <c r="AJ180" s="40" t="str">
        <f>IF(AND(E180&lt;&gt;'Povolené hodnoty'!$B$4,F180=12),J180+M180+P180+S180,"")</f>
        <v/>
      </c>
      <c r="AK180" s="41" t="str">
        <f>IF(AND(E180&lt;&gt;'Povolené hodnoty'!$B$4,F180=13),J180+M180+P180+S180,"")</f>
        <v/>
      </c>
      <c r="AL180" s="39" t="str">
        <f>IF(AND($G180='Povolené hodnoty'!$B$13,$H180=AL$4),SUM($I180,$L180,$O180,$R180),"")</f>
        <v/>
      </c>
      <c r="AM180" s="458" t="str">
        <f>IF(AND($G180='Povolené hodnoty'!$B$13,$H180=AM$4),SUM($I180,$L180,$O180,$R180),"")</f>
        <v/>
      </c>
      <c r="AN180" s="458" t="str">
        <f>IF(AND($G180='Povolené hodnoty'!$B$13,$H180=AN$4),SUM($I180,$L180,$O180,$R180),"")</f>
        <v/>
      </c>
      <c r="AO180" s="458" t="str">
        <f>IF(AND($G180='Povolené hodnoty'!$B$13,$H180=AO$4),SUM($I180,$L180,$O180,$R180),"")</f>
        <v/>
      </c>
      <c r="AP180" s="458" t="str">
        <f>IF(AND($G180='Povolené hodnoty'!$B$13,$H180=AP$4),SUM($I180,$L180,$O180,$R180),"")</f>
        <v/>
      </c>
      <c r="AQ180" s="40" t="str">
        <f>IF(AND($G180='Povolené hodnoty'!$B$13,OR($H180=AQ$4,$H180='Povolené hodnoty'!$E$36)),SUM($I180,-$J180,$L180,-$M180,$O180,-$P180,$R180,-$S180),"")</f>
        <v/>
      </c>
      <c r="AR180" s="40" t="str">
        <f>IF(AND($G180='Povolené hodnoty'!$B$13,$H180=AR$4),SUM($I180,$L180,$O180,$R180),"")</f>
        <v/>
      </c>
      <c r="AS180" s="41" t="str">
        <f>IF(AND($G180='Povolené hodnoty'!$B$13,$H180=AS$4),SUM($I180,$L180,$O180,$R180),"")</f>
        <v/>
      </c>
      <c r="AT180" s="39" t="str">
        <f>IF(AND($G180='Povolené hodnoty'!$B$14,$H180=AT$4),SUM($I180,$L180,$O180,$R180),"")</f>
        <v/>
      </c>
      <c r="AU180" s="458" t="str">
        <f>IF(AND($G180='Povolené hodnoty'!$B$14,$H180=AU$4),SUM($I180,$L180,$O180,$R180),"")</f>
        <v/>
      </c>
      <c r="AV180" s="41" t="str">
        <f>IF(AND($G180='Povolené hodnoty'!$B$14,$H180=AV$4),SUM($I180,$L180,$O180,$R180),"")</f>
        <v/>
      </c>
      <c r="AW180" s="39" t="str">
        <f>IF(AND($G180='Povolené hodnoty'!$B$13,$H180=AW$4),SUM($J180,$M180,$P180,$S180),"")</f>
        <v/>
      </c>
      <c r="AX180" s="458" t="str">
        <f>IF(AND($G180='Povolené hodnoty'!$B$13,$H180=AX$4),SUM($J180,$M180,$P180,$S180),"")</f>
        <v/>
      </c>
      <c r="AY180" s="458" t="str">
        <f>IF(AND($G180='Povolené hodnoty'!$B$13,$H180=AY$4),SUM($J180,$M180,$P180,$S180),"")</f>
        <v/>
      </c>
      <c r="AZ180" s="458" t="str">
        <f>IF(AND($G180='Povolené hodnoty'!$B$13,$H180=AZ$4),SUM($J180,$M180,$P180,$S180),"")</f>
        <v/>
      </c>
      <c r="BA180" s="458" t="str">
        <f>IF(AND($G180='Povolené hodnoty'!$B$13,$H180=BA$4),SUM($J180,$M180,$P180,$S180),"")</f>
        <v/>
      </c>
      <c r="BB180" s="40" t="str">
        <f>IF(AND($G180='Povolené hodnoty'!$B$13,$H180=BB$4),SUM($J180,$M180,$P180,$S180),"")</f>
        <v/>
      </c>
      <c r="BC180" s="40" t="str">
        <f>IF(AND($G180='Povolené hodnoty'!$B$13,$H180=BC$4),SUM($J180,$M180,$P180,$S180),"")</f>
        <v/>
      </c>
      <c r="BD180" s="40" t="str">
        <f>IF(AND($G180='Povolené hodnoty'!$B$13,$H180=BD$4),SUM($J180,$M180,$P180,$S180),"")</f>
        <v/>
      </c>
      <c r="BE180" s="41" t="str">
        <f>IF(AND($G180='Povolené hodnoty'!$B$13,$H180=BE$4),SUM($J180,$M180,$P180,$S180),"")</f>
        <v/>
      </c>
      <c r="BF180" s="39" t="str">
        <f>IF(AND($G180='Povolené hodnoty'!$B$14,$H180=BF$4),SUM($J180,$M180,$P180,$S180),"")</f>
        <v/>
      </c>
      <c r="BG180" s="458" t="str">
        <f>IF(AND($G180='Povolené hodnoty'!$B$14,$H180=BG$4),SUM($J180,$M180,$P180,$S180),"")</f>
        <v/>
      </c>
      <c r="BH180" s="458" t="str">
        <f>IF(AND($G180='Povolené hodnoty'!$B$14,$H180=BH$4),SUM($J180,$M180,$P180,$S180),"")</f>
        <v/>
      </c>
      <c r="BI180" s="458" t="str">
        <f>IF(AND($G180='Povolené hodnoty'!$B$14,$H180=BI$4),SUM($J180,$M180,$P180,$S180),"")</f>
        <v/>
      </c>
      <c r="BJ180" s="458" t="str">
        <f>IF(AND($G180='Povolené hodnoty'!$B$14,$H180=BJ$4),SUM($J180,$M180,$P180,$S180),"")</f>
        <v/>
      </c>
      <c r="BK180" s="40" t="str">
        <f>IF(AND($G180='Povolené hodnoty'!$B$14,$H180=BK$4),SUM($J180,$M180,$P180,$S180),"")</f>
        <v/>
      </c>
      <c r="BL180" s="40" t="str">
        <f>IF(AND($G180='Povolené hodnoty'!$B$14,$H180=BL$4),SUM($J180,$M180,$P180,$S180),"")</f>
        <v/>
      </c>
      <c r="BM180" s="41" t="str">
        <f>IF(AND($G180='Povolené hodnoty'!$B$14,$H180=BM$4),SUM($J180,$M180,$P180,$S180),"")</f>
        <v/>
      </c>
      <c r="BO180" s="18" t="b">
        <f t="shared" si="106"/>
        <v>0</v>
      </c>
      <c r="BP180" s="18" t="b">
        <f t="shared" si="77"/>
        <v>0</v>
      </c>
      <c r="BQ180" s="18" t="b">
        <f>AND(E180&lt;&gt;'Povolené hodnoty'!$B$6,F180&lt;&gt;'Povolené hodnoty'!$D$7,F180&lt;&gt;'Povolené hodnoty'!$D$8,OR(SUM(I180,L180,O180,R180)&lt;&gt;SUM(W180:X180,AA180:AG180),SUM(J180,M180,P180,S180)&lt;&gt;SUM(Y180:Z180,AH180:AK180),COUNT(I180:J180,L180:M180,O180:P180,R180:S180)&lt;&gt;COUNT(W180:AK180)))</f>
        <v>0</v>
      </c>
      <c r="BR180" s="18" t="b">
        <f>OR(AND(E180='Povolené hodnoty'!$B$6,$BR$5),AND(E180='Povolené hodnoty'!$B$6,H180&lt;&gt;'Povolené hodnoty'!$E$26,H180&lt;&gt;'Povolené hodnoty'!$E$35),AND(E180&lt;&gt;'Povolené hodnoty'!$B$6,OR(H180='Povolené hodnoty'!$E$26,H180='Povolené hodnoty'!$E$35)))</f>
        <v>0</v>
      </c>
      <c r="BS180" s="18" t="b">
        <f>OR(AND(G180&lt;&gt;'Povolené hodnoty'!$B$13,OR(H180='Povolené hodnoty'!$E$21,H180='Povolené hodnoty'!$E$22,H180='Povolené hodnoty'!$E$23,H180='Povolené hodnoty'!$E$24,H180='Povolené hodnoty'!$E$26,H180='Povolené hodnoty'!$E$36)),COUNT(I180:J180,L180:M180,O180:P180,R180:S180)&lt;&gt;COUNT(AL180:BM180))</f>
        <v>0</v>
      </c>
      <c r="BT180" s="18" t="b">
        <f t="shared" si="78"/>
        <v>0</v>
      </c>
      <c r="BV180" s="39" t="str">
        <f t="shared" si="79"/>
        <v/>
      </c>
      <c r="BW180" s="458" t="str">
        <f t="shared" si="80"/>
        <v/>
      </c>
      <c r="BX180" s="458" t="str">
        <f t="shared" si="81"/>
        <v/>
      </c>
      <c r="BY180" s="458" t="str">
        <f t="shared" si="82"/>
        <v/>
      </c>
      <c r="BZ180" s="458" t="str">
        <f t="shared" si="83"/>
        <v/>
      </c>
      <c r="CA180" s="40" t="str">
        <f t="shared" si="84"/>
        <v/>
      </c>
      <c r="CB180" s="40" t="str">
        <f t="shared" si="85"/>
        <v/>
      </c>
      <c r="CC180" s="39" t="str">
        <f t="shared" si="86"/>
        <v/>
      </c>
      <c r="CD180" s="458" t="str">
        <f t="shared" si="87"/>
        <v/>
      </c>
      <c r="CE180" s="41" t="str">
        <f t="shared" si="88"/>
        <v/>
      </c>
      <c r="CF180" s="39" t="str">
        <f t="shared" si="89"/>
        <v/>
      </c>
      <c r="CG180" s="458" t="str">
        <f t="shared" si="90"/>
        <v/>
      </c>
      <c r="CH180" s="458" t="str">
        <f t="shared" si="91"/>
        <v/>
      </c>
      <c r="CI180" s="458" t="str">
        <f t="shared" si="92"/>
        <v/>
      </c>
      <c r="CJ180" s="458" t="str">
        <f t="shared" si="93"/>
        <v/>
      </c>
      <c r="CK180" s="40" t="str">
        <f t="shared" si="94"/>
        <v/>
      </c>
      <c r="CL180" s="40" t="str">
        <f t="shared" si="95"/>
        <v/>
      </c>
      <c r="CM180" s="40" t="str">
        <f t="shared" si="96"/>
        <v/>
      </c>
      <c r="CN180" s="39" t="str">
        <f t="shared" si="97"/>
        <v/>
      </c>
      <c r="CO180" s="458" t="str">
        <f t="shared" si="98"/>
        <v/>
      </c>
      <c r="CP180" s="458" t="str">
        <f t="shared" si="99"/>
        <v/>
      </c>
      <c r="CQ180" s="458" t="str">
        <f t="shared" si="100"/>
        <v/>
      </c>
      <c r="CR180" s="458" t="str">
        <f t="shared" si="101"/>
        <v/>
      </c>
      <c r="CS180" s="40" t="str">
        <f t="shared" si="102"/>
        <v/>
      </c>
      <c r="CT180" s="40" t="str">
        <f t="shared" si="103"/>
        <v/>
      </c>
      <c r="CU180" s="41" t="str">
        <f t="shared" si="104"/>
        <v/>
      </c>
    </row>
    <row r="181" spans="1:99" x14ac:dyDescent="0.2">
      <c r="A181" s="77">
        <f t="shared" si="105"/>
        <v>176</v>
      </c>
      <c r="B181" s="81"/>
      <c r="C181" s="82"/>
      <c r="D181" s="71"/>
      <c r="E181" s="72"/>
      <c r="F181" s="73"/>
      <c r="G181" s="443"/>
      <c r="H181" s="443"/>
      <c r="I181" s="74"/>
      <c r="J181" s="75"/>
      <c r="K181" s="41">
        <f t="shared" si="109"/>
        <v>3625</v>
      </c>
      <c r="L181" s="104"/>
      <c r="M181" s="105"/>
      <c r="N181" s="106">
        <f t="shared" si="110"/>
        <v>537.05999999999995</v>
      </c>
      <c r="O181" s="104"/>
      <c r="P181" s="105"/>
      <c r="Q181" s="106">
        <f t="shared" si="107"/>
        <v>10045.83</v>
      </c>
      <c r="R181" s="104"/>
      <c r="S181" s="105"/>
      <c r="T181" s="106">
        <f t="shared" si="108"/>
        <v>0</v>
      </c>
      <c r="U181" s="439"/>
      <c r="V181" s="42">
        <f t="shared" si="76"/>
        <v>176</v>
      </c>
      <c r="W181" s="39" t="str">
        <f>IF(AND(E181='Povolené hodnoty'!$B$4,F181=2),I181+L181+O181+R181,"")</f>
        <v/>
      </c>
      <c r="X181" s="41" t="str">
        <f>IF(AND(E181='Povolené hodnoty'!$B$4,F181=1),I181+L181+O181+R181,"")</f>
        <v/>
      </c>
      <c r="Y181" s="39" t="str">
        <f>IF(AND(E181='Povolené hodnoty'!$B$4,F181=10),J181+M181+P181+S181,"")</f>
        <v/>
      </c>
      <c r="Z181" s="41" t="str">
        <f>IF(AND(E181='Povolené hodnoty'!$B$4,F181=9),J181+M181+P181+S181,"")</f>
        <v/>
      </c>
      <c r="AA181" s="39" t="str">
        <f>IF(AND(E181&lt;&gt;'Povolené hodnoty'!$B$4,F181=2),I181+L181+O181+R181,"")</f>
        <v/>
      </c>
      <c r="AB181" s="40" t="str">
        <f>IF(AND(E181&lt;&gt;'Povolené hodnoty'!$B$4,F181=3),I181+L181+O181+R181,"")</f>
        <v/>
      </c>
      <c r="AC181" s="40" t="str">
        <f>IF(AND(E181&lt;&gt;'Povolené hodnoty'!$B$4,F181=4),I181+L181+O181+R181,"")</f>
        <v/>
      </c>
      <c r="AD181" s="40" t="str">
        <f>IF(AND(E181&lt;&gt;'Povolené hodnoty'!$B$4,F181="5a"),I181-J181+L181-M181+O181-P181+R181-S181,"")</f>
        <v/>
      </c>
      <c r="AE181" s="40" t="str">
        <f>IF(AND(E181&lt;&gt;'Povolené hodnoty'!$B$4,F181="5b"),I181-J181+L181-M181+O181-P181+R181-S181,"")</f>
        <v/>
      </c>
      <c r="AF181" s="40" t="str">
        <f>IF(AND(E181&lt;&gt;'Povolené hodnoty'!$B$4,F181=6),I181+L181+O181+R181,"")</f>
        <v/>
      </c>
      <c r="AG181" s="41" t="str">
        <f>IF(AND(E181&lt;&gt;'Povolené hodnoty'!$B$4,F181=7),I181+L181+O181+R181,"")</f>
        <v/>
      </c>
      <c r="AH181" s="39" t="str">
        <f>IF(AND(E181&lt;&gt;'Povolené hodnoty'!$B$4,F181=10),J181+M181+P181+S181,"")</f>
        <v/>
      </c>
      <c r="AI181" s="40" t="str">
        <f>IF(AND(E181&lt;&gt;'Povolené hodnoty'!$B$4,F181=11),J181+M181+P181+S181,"")</f>
        <v/>
      </c>
      <c r="AJ181" s="40" t="str">
        <f>IF(AND(E181&lt;&gt;'Povolené hodnoty'!$B$4,F181=12),J181+M181+P181+S181,"")</f>
        <v/>
      </c>
      <c r="AK181" s="41" t="str">
        <f>IF(AND(E181&lt;&gt;'Povolené hodnoty'!$B$4,F181=13),J181+M181+P181+S181,"")</f>
        <v/>
      </c>
      <c r="AL181" s="39" t="str">
        <f>IF(AND($G181='Povolené hodnoty'!$B$13,$H181=AL$4),SUM($I181,$L181,$O181,$R181),"")</f>
        <v/>
      </c>
      <c r="AM181" s="458" t="str">
        <f>IF(AND($G181='Povolené hodnoty'!$B$13,$H181=AM$4),SUM($I181,$L181,$O181,$R181),"")</f>
        <v/>
      </c>
      <c r="AN181" s="458" t="str">
        <f>IF(AND($G181='Povolené hodnoty'!$B$13,$H181=AN$4),SUM($I181,$L181,$O181,$R181),"")</f>
        <v/>
      </c>
      <c r="AO181" s="458" t="str">
        <f>IF(AND($G181='Povolené hodnoty'!$B$13,$H181=AO$4),SUM($I181,$L181,$O181,$R181),"")</f>
        <v/>
      </c>
      <c r="AP181" s="458" t="str">
        <f>IF(AND($G181='Povolené hodnoty'!$B$13,$H181=AP$4),SUM($I181,$L181,$O181,$R181),"")</f>
        <v/>
      </c>
      <c r="AQ181" s="40" t="str">
        <f>IF(AND($G181='Povolené hodnoty'!$B$13,OR($H181=AQ$4,$H181='Povolené hodnoty'!$E$36)),SUM($I181,-$J181,$L181,-$M181,$O181,-$P181,$R181,-$S181),"")</f>
        <v/>
      </c>
      <c r="AR181" s="40" t="str">
        <f>IF(AND($G181='Povolené hodnoty'!$B$13,$H181=AR$4),SUM($I181,$L181,$O181,$R181),"")</f>
        <v/>
      </c>
      <c r="AS181" s="41" t="str">
        <f>IF(AND($G181='Povolené hodnoty'!$B$13,$H181=AS$4),SUM($I181,$L181,$O181,$R181),"")</f>
        <v/>
      </c>
      <c r="AT181" s="39" t="str">
        <f>IF(AND($G181='Povolené hodnoty'!$B$14,$H181=AT$4),SUM($I181,$L181,$O181,$R181),"")</f>
        <v/>
      </c>
      <c r="AU181" s="458" t="str">
        <f>IF(AND($G181='Povolené hodnoty'!$B$14,$H181=AU$4),SUM($I181,$L181,$O181,$R181),"")</f>
        <v/>
      </c>
      <c r="AV181" s="41" t="str">
        <f>IF(AND($G181='Povolené hodnoty'!$B$14,$H181=AV$4),SUM($I181,$L181,$O181,$R181),"")</f>
        <v/>
      </c>
      <c r="AW181" s="39" t="str">
        <f>IF(AND($G181='Povolené hodnoty'!$B$13,$H181=AW$4),SUM($J181,$M181,$P181,$S181),"")</f>
        <v/>
      </c>
      <c r="AX181" s="458" t="str">
        <f>IF(AND($G181='Povolené hodnoty'!$B$13,$H181=AX$4),SUM($J181,$M181,$P181,$S181),"")</f>
        <v/>
      </c>
      <c r="AY181" s="458" t="str">
        <f>IF(AND($G181='Povolené hodnoty'!$B$13,$H181=AY$4),SUM($J181,$M181,$P181,$S181),"")</f>
        <v/>
      </c>
      <c r="AZ181" s="458" t="str">
        <f>IF(AND($G181='Povolené hodnoty'!$B$13,$H181=AZ$4),SUM($J181,$M181,$P181,$S181),"")</f>
        <v/>
      </c>
      <c r="BA181" s="458" t="str">
        <f>IF(AND($G181='Povolené hodnoty'!$B$13,$H181=BA$4),SUM($J181,$M181,$P181,$S181),"")</f>
        <v/>
      </c>
      <c r="BB181" s="40" t="str">
        <f>IF(AND($G181='Povolené hodnoty'!$B$13,$H181=BB$4),SUM($J181,$M181,$P181,$S181),"")</f>
        <v/>
      </c>
      <c r="BC181" s="40" t="str">
        <f>IF(AND($G181='Povolené hodnoty'!$B$13,$H181=BC$4),SUM($J181,$M181,$P181,$S181),"")</f>
        <v/>
      </c>
      <c r="BD181" s="40" t="str">
        <f>IF(AND($G181='Povolené hodnoty'!$B$13,$H181=BD$4),SUM($J181,$M181,$P181,$S181),"")</f>
        <v/>
      </c>
      <c r="BE181" s="41" t="str">
        <f>IF(AND($G181='Povolené hodnoty'!$B$13,$H181=BE$4),SUM($J181,$M181,$P181,$S181),"")</f>
        <v/>
      </c>
      <c r="BF181" s="39" t="str">
        <f>IF(AND($G181='Povolené hodnoty'!$B$14,$H181=BF$4),SUM($J181,$M181,$P181,$S181),"")</f>
        <v/>
      </c>
      <c r="BG181" s="458" t="str">
        <f>IF(AND($G181='Povolené hodnoty'!$B$14,$H181=BG$4),SUM($J181,$M181,$P181,$S181),"")</f>
        <v/>
      </c>
      <c r="BH181" s="458" t="str">
        <f>IF(AND($G181='Povolené hodnoty'!$B$14,$H181=BH$4),SUM($J181,$M181,$P181,$S181),"")</f>
        <v/>
      </c>
      <c r="BI181" s="458" t="str">
        <f>IF(AND($G181='Povolené hodnoty'!$B$14,$H181=BI$4),SUM($J181,$M181,$P181,$S181),"")</f>
        <v/>
      </c>
      <c r="BJ181" s="458" t="str">
        <f>IF(AND($G181='Povolené hodnoty'!$B$14,$H181=BJ$4),SUM($J181,$M181,$P181,$S181),"")</f>
        <v/>
      </c>
      <c r="BK181" s="40" t="str">
        <f>IF(AND($G181='Povolené hodnoty'!$B$14,$H181=BK$4),SUM($J181,$M181,$P181,$S181),"")</f>
        <v/>
      </c>
      <c r="BL181" s="40" t="str">
        <f>IF(AND($G181='Povolené hodnoty'!$B$14,$H181=BL$4),SUM($J181,$M181,$P181,$S181),"")</f>
        <v/>
      </c>
      <c r="BM181" s="41" t="str">
        <f>IF(AND($G181='Povolené hodnoty'!$B$14,$H181=BM$4),SUM($J181,$M181,$P181,$S181),"")</f>
        <v/>
      </c>
      <c r="BO181" s="18" t="b">
        <f t="shared" si="106"/>
        <v>0</v>
      </c>
      <c r="BP181" s="18" t="b">
        <f t="shared" si="77"/>
        <v>0</v>
      </c>
      <c r="BQ181" s="18" t="b">
        <f>AND(E181&lt;&gt;'Povolené hodnoty'!$B$6,F181&lt;&gt;'Povolené hodnoty'!$D$7,F181&lt;&gt;'Povolené hodnoty'!$D$8,OR(SUM(I181,L181,O181,R181)&lt;&gt;SUM(W181:X181,AA181:AG181),SUM(J181,M181,P181,S181)&lt;&gt;SUM(Y181:Z181,AH181:AK181),COUNT(I181:J181,L181:M181,O181:P181,R181:S181)&lt;&gt;COUNT(W181:AK181)))</f>
        <v>0</v>
      </c>
      <c r="BR181" s="18" t="b">
        <f>OR(AND(E181='Povolené hodnoty'!$B$6,$BR$5),AND(E181='Povolené hodnoty'!$B$6,H181&lt;&gt;'Povolené hodnoty'!$E$26,H181&lt;&gt;'Povolené hodnoty'!$E$35),AND(E181&lt;&gt;'Povolené hodnoty'!$B$6,OR(H181='Povolené hodnoty'!$E$26,H181='Povolené hodnoty'!$E$35)))</f>
        <v>0</v>
      </c>
      <c r="BS181" s="18" t="b">
        <f>OR(AND(G181&lt;&gt;'Povolené hodnoty'!$B$13,OR(H181='Povolené hodnoty'!$E$21,H181='Povolené hodnoty'!$E$22,H181='Povolené hodnoty'!$E$23,H181='Povolené hodnoty'!$E$24,H181='Povolené hodnoty'!$E$26,H181='Povolené hodnoty'!$E$36)),COUNT(I181:J181,L181:M181,O181:P181,R181:S181)&lt;&gt;COUNT(AL181:BM181))</f>
        <v>0</v>
      </c>
      <c r="BT181" s="18" t="b">
        <f t="shared" si="78"/>
        <v>0</v>
      </c>
      <c r="BV181" s="39" t="str">
        <f t="shared" si="79"/>
        <v/>
      </c>
      <c r="BW181" s="458" t="str">
        <f t="shared" si="80"/>
        <v/>
      </c>
      <c r="BX181" s="458" t="str">
        <f t="shared" si="81"/>
        <v/>
      </c>
      <c r="BY181" s="458" t="str">
        <f t="shared" si="82"/>
        <v/>
      </c>
      <c r="BZ181" s="458" t="str">
        <f t="shared" si="83"/>
        <v/>
      </c>
      <c r="CA181" s="40" t="str">
        <f t="shared" si="84"/>
        <v/>
      </c>
      <c r="CB181" s="40" t="str">
        <f t="shared" si="85"/>
        <v/>
      </c>
      <c r="CC181" s="39" t="str">
        <f t="shared" si="86"/>
        <v/>
      </c>
      <c r="CD181" s="458" t="str">
        <f t="shared" si="87"/>
        <v/>
      </c>
      <c r="CE181" s="41" t="str">
        <f t="shared" si="88"/>
        <v/>
      </c>
      <c r="CF181" s="39" t="str">
        <f t="shared" si="89"/>
        <v/>
      </c>
      <c r="CG181" s="458" t="str">
        <f t="shared" si="90"/>
        <v/>
      </c>
      <c r="CH181" s="458" t="str">
        <f t="shared" si="91"/>
        <v/>
      </c>
      <c r="CI181" s="458" t="str">
        <f t="shared" si="92"/>
        <v/>
      </c>
      <c r="CJ181" s="458" t="str">
        <f t="shared" si="93"/>
        <v/>
      </c>
      <c r="CK181" s="40" t="str">
        <f t="shared" si="94"/>
        <v/>
      </c>
      <c r="CL181" s="40" t="str">
        <f t="shared" si="95"/>
        <v/>
      </c>
      <c r="CM181" s="40" t="str">
        <f t="shared" si="96"/>
        <v/>
      </c>
      <c r="CN181" s="39" t="str">
        <f t="shared" si="97"/>
        <v/>
      </c>
      <c r="CO181" s="458" t="str">
        <f t="shared" si="98"/>
        <v/>
      </c>
      <c r="CP181" s="458" t="str">
        <f t="shared" si="99"/>
        <v/>
      </c>
      <c r="CQ181" s="458" t="str">
        <f t="shared" si="100"/>
        <v/>
      </c>
      <c r="CR181" s="458" t="str">
        <f t="shared" si="101"/>
        <v/>
      </c>
      <c r="CS181" s="40" t="str">
        <f t="shared" si="102"/>
        <v/>
      </c>
      <c r="CT181" s="40" t="str">
        <f t="shared" si="103"/>
        <v/>
      </c>
      <c r="CU181" s="41" t="str">
        <f t="shared" si="104"/>
        <v/>
      </c>
    </row>
    <row r="182" spans="1:99" x14ac:dyDescent="0.2">
      <c r="A182" s="77">
        <f t="shared" si="105"/>
        <v>177</v>
      </c>
      <c r="B182" s="81"/>
      <c r="C182" s="82"/>
      <c r="D182" s="71"/>
      <c r="E182" s="72"/>
      <c r="F182" s="73"/>
      <c r="G182" s="443"/>
      <c r="H182" s="443"/>
      <c r="I182" s="74"/>
      <c r="J182" s="75"/>
      <c r="K182" s="41">
        <f t="shared" si="109"/>
        <v>3625</v>
      </c>
      <c r="L182" s="104"/>
      <c r="M182" s="105"/>
      <c r="N182" s="106">
        <f t="shared" si="110"/>
        <v>537.05999999999995</v>
      </c>
      <c r="O182" s="104"/>
      <c r="P182" s="105"/>
      <c r="Q182" s="106">
        <f t="shared" si="107"/>
        <v>10045.83</v>
      </c>
      <c r="R182" s="104"/>
      <c r="S182" s="105"/>
      <c r="T182" s="106">
        <f t="shared" si="108"/>
        <v>0</v>
      </c>
      <c r="U182" s="439"/>
      <c r="V182" s="42">
        <f t="shared" si="76"/>
        <v>177</v>
      </c>
      <c r="W182" s="39" t="str">
        <f>IF(AND(E182='Povolené hodnoty'!$B$4,F182=2),I182+L182+O182+R182,"")</f>
        <v/>
      </c>
      <c r="X182" s="41" t="str">
        <f>IF(AND(E182='Povolené hodnoty'!$B$4,F182=1),I182+L182+O182+R182,"")</f>
        <v/>
      </c>
      <c r="Y182" s="39" t="str">
        <f>IF(AND(E182='Povolené hodnoty'!$B$4,F182=10),J182+M182+P182+S182,"")</f>
        <v/>
      </c>
      <c r="Z182" s="41" t="str">
        <f>IF(AND(E182='Povolené hodnoty'!$B$4,F182=9),J182+M182+P182+S182,"")</f>
        <v/>
      </c>
      <c r="AA182" s="39" t="str">
        <f>IF(AND(E182&lt;&gt;'Povolené hodnoty'!$B$4,F182=2),I182+L182+O182+R182,"")</f>
        <v/>
      </c>
      <c r="AB182" s="40" t="str">
        <f>IF(AND(E182&lt;&gt;'Povolené hodnoty'!$B$4,F182=3),I182+L182+O182+R182,"")</f>
        <v/>
      </c>
      <c r="AC182" s="40" t="str">
        <f>IF(AND(E182&lt;&gt;'Povolené hodnoty'!$B$4,F182=4),I182+L182+O182+R182,"")</f>
        <v/>
      </c>
      <c r="AD182" s="40" t="str">
        <f>IF(AND(E182&lt;&gt;'Povolené hodnoty'!$B$4,F182="5a"),I182-J182+L182-M182+O182-P182+R182-S182,"")</f>
        <v/>
      </c>
      <c r="AE182" s="40" t="str">
        <f>IF(AND(E182&lt;&gt;'Povolené hodnoty'!$B$4,F182="5b"),I182-J182+L182-M182+O182-P182+R182-S182,"")</f>
        <v/>
      </c>
      <c r="AF182" s="40" t="str">
        <f>IF(AND(E182&lt;&gt;'Povolené hodnoty'!$B$4,F182=6),I182+L182+O182+R182,"")</f>
        <v/>
      </c>
      <c r="AG182" s="41" t="str">
        <f>IF(AND(E182&lt;&gt;'Povolené hodnoty'!$B$4,F182=7),I182+L182+O182+R182,"")</f>
        <v/>
      </c>
      <c r="AH182" s="39" t="str">
        <f>IF(AND(E182&lt;&gt;'Povolené hodnoty'!$B$4,F182=10),J182+M182+P182+S182,"")</f>
        <v/>
      </c>
      <c r="AI182" s="40" t="str">
        <f>IF(AND(E182&lt;&gt;'Povolené hodnoty'!$B$4,F182=11),J182+M182+P182+S182,"")</f>
        <v/>
      </c>
      <c r="AJ182" s="40" t="str">
        <f>IF(AND(E182&lt;&gt;'Povolené hodnoty'!$B$4,F182=12),J182+M182+P182+S182,"")</f>
        <v/>
      </c>
      <c r="AK182" s="41" t="str">
        <f>IF(AND(E182&lt;&gt;'Povolené hodnoty'!$B$4,F182=13),J182+M182+P182+S182,"")</f>
        <v/>
      </c>
      <c r="AL182" s="39" t="str">
        <f>IF(AND($G182='Povolené hodnoty'!$B$13,$H182=AL$4),SUM($I182,$L182,$O182,$R182),"")</f>
        <v/>
      </c>
      <c r="AM182" s="458" t="str">
        <f>IF(AND($G182='Povolené hodnoty'!$B$13,$H182=AM$4),SUM($I182,$L182,$O182,$R182),"")</f>
        <v/>
      </c>
      <c r="AN182" s="458" t="str">
        <f>IF(AND($G182='Povolené hodnoty'!$B$13,$H182=AN$4),SUM($I182,$L182,$O182,$R182),"")</f>
        <v/>
      </c>
      <c r="AO182" s="458" t="str">
        <f>IF(AND($G182='Povolené hodnoty'!$B$13,$H182=AO$4),SUM($I182,$L182,$O182,$R182),"")</f>
        <v/>
      </c>
      <c r="AP182" s="458" t="str">
        <f>IF(AND($G182='Povolené hodnoty'!$B$13,$H182=AP$4),SUM($I182,$L182,$O182,$R182),"")</f>
        <v/>
      </c>
      <c r="AQ182" s="40" t="str">
        <f>IF(AND($G182='Povolené hodnoty'!$B$13,OR($H182=AQ$4,$H182='Povolené hodnoty'!$E$36)),SUM($I182,-$J182,$L182,-$M182,$O182,-$P182,$R182,-$S182),"")</f>
        <v/>
      </c>
      <c r="AR182" s="40" t="str">
        <f>IF(AND($G182='Povolené hodnoty'!$B$13,$H182=AR$4),SUM($I182,$L182,$O182,$R182),"")</f>
        <v/>
      </c>
      <c r="AS182" s="41" t="str">
        <f>IF(AND($G182='Povolené hodnoty'!$B$13,$H182=AS$4),SUM($I182,$L182,$O182,$R182),"")</f>
        <v/>
      </c>
      <c r="AT182" s="39" t="str">
        <f>IF(AND($G182='Povolené hodnoty'!$B$14,$H182=AT$4),SUM($I182,$L182,$O182,$R182),"")</f>
        <v/>
      </c>
      <c r="AU182" s="458" t="str">
        <f>IF(AND($G182='Povolené hodnoty'!$B$14,$H182=AU$4),SUM($I182,$L182,$O182,$R182),"")</f>
        <v/>
      </c>
      <c r="AV182" s="41" t="str">
        <f>IF(AND($G182='Povolené hodnoty'!$B$14,$H182=AV$4),SUM($I182,$L182,$O182,$R182),"")</f>
        <v/>
      </c>
      <c r="AW182" s="39" t="str">
        <f>IF(AND($G182='Povolené hodnoty'!$B$13,$H182=AW$4),SUM($J182,$M182,$P182,$S182),"")</f>
        <v/>
      </c>
      <c r="AX182" s="458" t="str">
        <f>IF(AND($G182='Povolené hodnoty'!$B$13,$H182=AX$4),SUM($J182,$M182,$P182,$S182),"")</f>
        <v/>
      </c>
      <c r="AY182" s="458" t="str">
        <f>IF(AND($G182='Povolené hodnoty'!$B$13,$H182=AY$4),SUM($J182,$M182,$P182,$S182),"")</f>
        <v/>
      </c>
      <c r="AZ182" s="458" t="str">
        <f>IF(AND($G182='Povolené hodnoty'!$B$13,$H182=AZ$4),SUM($J182,$M182,$P182,$S182),"")</f>
        <v/>
      </c>
      <c r="BA182" s="458" t="str">
        <f>IF(AND($G182='Povolené hodnoty'!$B$13,$H182=BA$4),SUM($J182,$M182,$P182,$S182),"")</f>
        <v/>
      </c>
      <c r="BB182" s="40" t="str">
        <f>IF(AND($G182='Povolené hodnoty'!$B$13,$H182=BB$4),SUM($J182,$M182,$P182,$S182),"")</f>
        <v/>
      </c>
      <c r="BC182" s="40" t="str">
        <f>IF(AND($G182='Povolené hodnoty'!$B$13,$H182=BC$4),SUM($J182,$M182,$P182,$S182),"")</f>
        <v/>
      </c>
      <c r="BD182" s="40" t="str">
        <f>IF(AND($G182='Povolené hodnoty'!$B$13,$H182=BD$4),SUM($J182,$M182,$P182,$S182),"")</f>
        <v/>
      </c>
      <c r="BE182" s="41" t="str">
        <f>IF(AND($G182='Povolené hodnoty'!$B$13,$H182=BE$4),SUM($J182,$M182,$P182,$S182),"")</f>
        <v/>
      </c>
      <c r="BF182" s="39" t="str">
        <f>IF(AND($G182='Povolené hodnoty'!$B$14,$H182=BF$4),SUM($J182,$M182,$P182,$S182),"")</f>
        <v/>
      </c>
      <c r="BG182" s="458" t="str">
        <f>IF(AND($G182='Povolené hodnoty'!$B$14,$H182=BG$4),SUM($J182,$M182,$P182,$S182),"")</f>
        <v/>
      </c>
      <c r="BH182" s="458" t="str">
        <f>IF(AND($G182='Povolené hodnoty'!$B$14,$H182=BH$4),SUM($J182,$M182,$P182,$S182),"")</f>
        <v/>
      </c>
      <c r="BI182" s="458" t="str">
        <f>IF(AND($G182='Povolené hodnoty'!$B$14,$H182=BI$4),SUM($J182,$M182,$P182,$S182),"")</f>
        <v/>
      </c>
      <c r="BJ182" s="458" t="str">
        <f>IF(AND($G182='Povolené hodnoty'!$B$14,$H182=BJ$4),SUM($J182,$M182,$P182,$S182),"")</f>
        <v/>
      </c>
      <c r="BK182" s="40" t="str">
        <f>IF(AND($G182='Povolené hodnoty'!$B$14,$H182=BK$4),SUM($J182,$M182,$P182,$S182),"")</f>
        <v/>
      </c>
      <c r="BL182" s="40" t="str">
        <f>IF(AND($G182='Povolené hodnoty'!$B$14,$H182=BL$4),SUM($J182,$M182,$P182,$S182),"")</f>
        <v/>
      </c>
      <c r="BM182" s="41" t="str">
        <f>IF(AND($G182='Povolené hodnoty'!$B$14,$H182=BM$4),SUM($J182,$M182,$P182,$S182),"")</f>
        <v/>
      </c>
      <c r="BO182" s="18" t="b">
        <f t="shared" si="106"/>
        <v>0</v>
      </c>
      <c r="BP182" s="18" t="b">
        <f t="shared" si="77"/>
        <v>0</v>
      </c>
      <c r="BQ182" s="18" t="b">
        <f>AND(E182&lt;&gt;'Povolené hodnoty'!$B$6,F182&lt;&gt;'Povolené hodnoty'!$D$7,F182&lt;&gt;'Povolené hodnoty'!$D$8,OR(SUM(I182,L182,O182,R182)&lt;&gt;SUM(W182:X182,AA182:AG182),SUM(J182,M182,P182,S182)&lt;&gt;SUM(Y182:Z182,AH182:AK182),COUNT(I182:J182,L182:M182,O182:P182,R182:S182)&lt;&gt;COUNT(W182:AK182)))</f>
        <v>0</v>
      </c>
      <c r="BR182" s="18" t="b">
        <f>OR(AND(E182='Povolené hodnoty'!$B$6,$BR$5),AND(E182='Povolené hodnoty'!$B$6,H182&lt;&gt;'Povolené hodnoty'!$E$26,H182&lt;&gt;'Povolené hodnoty'!$E$35),AND(E182&lt;&gt;'Povolené hodnoty'!$B$6,OR(H182='Povolené hodnoty'!$E$26,H182='Povolené hodnoty'!$E$35)))</f>
        <v>0</v>
      </c>
      <c r="BS182" s="18" t="b">
        <f>OR(AND(G182&lt;&gt;'Povolené hodnoty'!$B$13,OR(H182='Povolené hodnoty'!$E$21,H182='Povolené hodnoty'!$E$22,H182='Povolené hodnoty'!$E$23,H182='Povolené hodnoty'!$E$24,H182='Povolené hodnoty'!$E$26,H182='Povolené hodnoty'!$E$36)),COUNT(I182:J182,L182:M182,O182:P182,R182:S182)&lt;&gt;COUNT(AL182:BM182))</f>
        <v>0</v>
      </c>
      <c r="BT182" s="18" t="b">
        <f t="shared" si="78"/>
        <v>0</v>
      </c>
      <c r="BV182" s="39" t="str">
        <f t="shared" si="79"/>
        <v/>
      </c>
      <c r="BW182" s="458" t="str">
        <f t="shared" si="80"/>
        <v/>
      </c>
      <c r="BX182" s="458" t="str">
        <f t="shared" si="81"/>
        <v/>
      </c>
      <c r="BY182" s="458" t="str">
        <f t="shared" si="82"/>
        <v/>
      </c>
      <c r="BZ182" s="458" t="str">
        <f t="shared" si="83"/>
        <v/>
      </c>
      <c r="CA182" s="40" t="str">
        <f t="shared" si="84"/>
        <v/>
      </c>
      <c r="CB182" s="40" t="str">
        <f t="shared" si="85"/>
        <v/>
      </c>
      <c r="CC182" s="39" t="str">
        <f t="shared" si="86"/>
        <v/>
      </c>
      <c r="CD182" s="458" t="str">
        <f t="shared" si="87"/>
        <v/>
      </c>
      <c r="CE182" s="41" t="str">
        <f t="shared" si="88"/>
        <v/>
      </c>
      <c r="CF182" s="39" t="str">
        <f t="shared" si="89"/>
        <v/>
      </c>
      <c r="CG182" s="458" t="str">
        <f t="shared" si="90"/>
        <v/>
      </c>
      <c r="CH182" s="458" t="str">
        <f t="shared" si="91"/>
        <v/>
      </c>
      <c r="CI182" s="458" t="str">
        <f t="shared" si="92"/>
        <v/>
      </c>
      <c r="CJ182" s="458" t="str">
        <f t="shared" si="93"/>
        <v/>
      </c>
      <c r="CK182" s="40" t="str">
        <f t="shared" si="94"/>
        <v/>
      </c>
      <c r="CL182" s="40" t="str">
        <f t="shared" si="95"/>
        <v/>
      </c>
      <c r="CM182" s="40" t="str">
        <f t="shared" si="96"/>
        <v/>
      </c>
      <c r="CN182" s="39" t="str">
        <f t="shared" si="97"/>
        <v/>
      </c>
      <c r="CO182" s="458" t="str">
        <f t="shared" si="98"/>
        <v/>
      </c>
      <c r="CP182" s="458" t="str">
        <f t="shared" si="99"/>
        <v/>
      </c>
      <c r="CQ182" s="458" t="str">
        <f t="shared" si="100"/>
        <v/>
      </c>
      <c r="CR182" s="458" t="str">
        <f t="shared" si="101"/>
        <v/>
      </c>
      <c r="CS182" s="40" t="str">
        <f t="shared" si="102"/>
        <v/>
      </c>
      <c r="CT182" s="40" t="str">
        <f t="shared" si="103"/>
        <v/>
      </c>
      <c r="CU182" s="41" t="str">
        <f t="shared" si="104"/>
        <v/>
      </c>
    </row>
    <row r="183" spans="1:99" x14ac:dyDescent="0.2">
      <c r="A183" s="77">
        <f t="shared" si="105"/>
        <v>178</v>
      </c>
      <c r="B183" s="81"/>
      <c r="C183" s="82"/>
      <c r="D183" s="71"/>
      <c r="E183" s="72"/>
      <c r="F183" s="73"/>
      <c r="G183" s="443"/>
      <c r="H183" s="443"/>
      <c r="I183" s="74"/>
      <c r="J183" s="75"/>
      <c r="K183" s="41">
        <f t="shared" si="109"/>
        <v>3625</v>
      </c>
      <c r="L183" s="104"/>
      <c r="M183" s="105"/>
      <c r="N183" s="106">
        <f t="shared" si="110"/>
        <v>537.05999999999995</v>
      </c>
      <c r="O183" s="104"/>
      <c r="P183" s="105"/>
      <c r="Q183" s="106">
        <f t="shared" si="107"/>
        <v>10045.83</v>
      </c>
      <c r="R183" s="104"/>
      <c r="S183" s="105"/>
      <c r="T183" s="106">
        <f t="shared" si="108"/>
        <v>0</v>
      </c>
      <c r="U183" s="439"/>
      <c r="V183" s="42">
        <f t="shared" si="76"/>
        <v>178</v>
      </c>
      <c r="W183" s="39" t="str">
        <f>IF(AND(E183='Povolené hodnoty'!$B$4,F183=2),I183+L183+O183+R183,"")</f>
        <v/>
      </c>
      <c r="X183" s="41" t="str">
        <f>IF(AND(E183='Povolené hodnoty'!$B$4,F183=1),I183+L183+O183+R183,"")</f>
        <v/>
      </c>
      <c r="Y183" s="39" t="str">
        <f>IF(AND(E183='Povolené hodnoty'!$B$4,F183=10),J183+M183+P183+S183,"")</f>
        <v/>
      </c>
      <c r="Z183" s="41" t="str">
        <f>IF(AND(E183='Povolené hodnoty'!$B$4,F183=9),J183+M183+P183+S183,"")</f>
        <v/>
      </c>
      <c r="AA183" s="39" t="str">
        <f>IF(AND(E183&lt;&gt;'Povolené hodnoty'!$B$4,F183=2),I183+L183+O183+R183,"")</f>
        <v/>
      </c>
      <c r="AB183" s="40" t="str">
        <f>IF(AND(E183&lt;&gt;'Povolené hodnoty'!$B$4,F183=3),I183+L183+O183+R183,"")</f>
        <v/>
      </c>
      <c r="AC183" s="40" t="str">
        <f>IF(AND(E183&lt;&gt;'Povolené hodnoty'!$B$4,F183=4),I183+L183+O183+R183,"")</f>
        <v/>
      </c>
      <c r="AD183" s="40" t="str">
        <f>IF(AND(E183&lt;&gt;'Povolené hodnoty'!$B$4,F183="5a"),I183-J183+L183-M183+O183-P183+R183-S183,"")</f>
        <v/>
      </c>
      <c r="AE183" s="40" t="str">
        <f>IF(AND(E183&lt;&gt;'Povolené hodnoty'!$B$4,F183="5b"),I183-J183+L183-M183+O183-P183+R183-S183,"")</f>
        <v/>
      </c>
      <c r="AF183" s="40" t="str">
        <f>IF(AND(E183&lt;&gt;'Povolené hodnoty'!$B$4,F183=6),I183+L183+O183+R183,"")</f>
        <v/>
      </c>
      <c r="AG183" s="41" t="str">
        <f>IF(AND(E183&lt;&gt;'Povolené hodnoty'!$B$4,F183=7),I183+L183+O183+R183,"")</f>
        <v/>
      </c>
      <c r="AH183" s="39" t="str">
        <f>IF(AND(E183&lt;&gt;'Povolené hodnoty'!$B$4,F183=10),J183+M183+P183+S183,"")</f>
        <v/>
      </c>
      <c r="AI183" s="40" t="str">
        <f>IF(AND(E183&lt;&gt;'Povolené hodnoty'!$B$4,F183=11),J183+M183+P183+S183,"")</f>
        <v/>
      </c>
      <c r="AJ183" s="40" t="str">
        <f>IF(AND(E183&lt;&gt;'Povolené hodnoty'!$B$4,F183=12),J183+M183+P183+S183,"")</f>
        <v/>
      </c>
      <c r="AK183" s="41" t="str">
        <f>IF(AND(E183&lt;&gt;'Povolené hodnoty'!$B$4,F183=13),J183+M183+P183+S183,"")</f>
        <v/>
      </c>
      <c r="AL183" s="39" t="str">
        <f>IF(AND($G183='Povolené hodnoty'!$B$13,$H183=AL$4),SUM($I183,$L183,$O183,$R183),"")</f>
        <v/>
      </c>
      <c r="AM183" s="458" t="str">
        <f>IF(AND($G183='Povolené hodnoty'!$B$13,$H183=AM$4),SUM($I183,$L183,$O183,$R183),"")</f>
        <v/>
      </c>
      <c r="AN183" s="458" t="str">
        <f>IF(AND($G183='Povolené hodnoty'!$B$13,$H183=AN$4),SUM($I183,$L183,$O183,$R183),"")</f>
        <v/>
      </c>
      <c r="AO183" s="458" t="str">
        <f>IF(AND($G183='Povolené hodnoty'!$B$13,$H183=AO$4),SUM($I183,$L183,$O183,$R183),"")</f>
        <v/>
      </c>
      <c r="AP183" s="458" t="str">
        <f>IF(AND($G183='Povolené hodnoty'!$B$13,$H183=AP$4),SUM($I183,$L183,$O183,$R183),"")</f>
        <v/>
      </c>
      <c r="AQ183" s="40" t="str">
        <f>IF(AND($G183='Povolené hodnoty'!$B$13,OR($H183=AQ$4,$H183='Povolené hodnoty'!$E$36)),SUM($I183,-$J183,$L183,-$M183,$O183,-$P183,$R183,-$S183),"")</f>
        <v/>
      </c>
      <c r="AR183" s="40" t="str">
        <f>IF(AND($G183='Povolené hodnoty'!$B$13,$H183=AR$4),SUM($I183,$L183,$O183,$R183),"")</f>
        <v/>
      </c>
      <c r="AS183" s="41" t="str">
        <f>IF(AND($G183='Povolené hodnoty'!$B$13,$H183=AS$4),SUM($I183,$L183,$O183,$R183),"")</f>
        <v/>
      </c>
      <c r="AT183" s="39" t="str">
        <f>IF(AND($G183='Povolené hodnoty'!$B$14,$H183=AT$4),SUM($I183,$L183,$O183,$R183),"")</f>
        <v/>
      </c>
      <c r="AU183" s="458" t="str">
        <f>IF(AND($G183='Povolené hodnoty'!$B$14,$H183=AU$4),SUM($I183,$L183,$O183,$R183),"")</f>
        <v/>
      </c>
      <c r="AV183" s="41" t="str">
        <f>IF(AND($G183='Povolené hodnoty'!$B$14,$H183=AV$4),SUM($I183,$L183,$O183,$R183),"")</f>
        <v/>
      </c>
      <c r="AW183" s="39" t="str">
        <f>IF(AND($G183='Povolené hodnoty'!$B$13,$H183=AW$4),SUM($J183,$M183,$P183,$S183),"")</f>
        <v/>
      </c>
      <c r="AX183" s="458" t="str">
        <f>IF(AND($G183='Povolené hodnoty'!$B$13,$H183=AX$4),SUM($J183,$M183,$P183,$S183),"")</f>
        <v/>
      </c>
      <c r="AY183" s="458" t="str">
        <f>IF(AND($G183='Povolené hodnoty'!$B$13,$H183=AY$4),SUM($J183,$M183,$P183,$S183),"")</f>
        <v/>
      </c>
      <c r="AZ183" s="458" t="str">
        <f>IF(AND($G183='Povolené hodnoty'!$B$13,$H183=AZ$4),SUM($J183,$M183,$P183,$S183),"")</f>
        <v/>
      </c>
      <c r="BA183" s="458" t="str">
        <f>IF(AND($G183='Povolené hodnoty'!$B$13,$H183=BA$4),SUM($J183,$M183,$P183,$S183),"")</f>
        <v/>
      </c>
      <c r="BB183" s="40" t="str">
        <f>IF(AND($G183='Povolené hodnoty'!$B$13,$H183=BB$4),SUM($J183,$M183,$P183,$S183),"")</f>
        <v/>
      </c>
      <c r="BC183" s="40" t="str">
        <f>IF(AND($G183='Povolené hodnoty'!$B$13,$H183=BC$4),SUM($J183,$M183,$P183,$S183),"")</f>
        <v/>
      </c>
      <c r="BD183" s="40" t="str">
        <f>IF(AND($G183='Povolené hodnoty'!$B$13,$H183=BD$4),SUM($J183,$M183,$P183,$S183),"")</f>
        <v/>
      </c>
      <c r="BE183" s="41" t="str">
        <f>IF(AND($G183='Povolené hodnoty'!$B$13,$H183=BE$4),SUM($J183,$M183,$P183,$S183),"")</f>
        <v/>
      </c>
      <c r="BF183" s="39" t="str">
        <f>IF(AND($G183='Povolené hodnoty'!$B$14,$H183=BF$4),SUM($J183,$M183,$P183,$S183),"")</f>
        <v/>
      </c>
      <c r="BG183" s="458" t="str">
        <f>IF(AND($G183='Povolené hodnoty'!$B$14,$H183=BG$4),SUM($J183,$M183,$P183,$S183),"")</f>
        <v/>
      </c>
      <c r="BH183" s="458" t="str">
        <f>IF(AND($G183='Povolené hodnoty'!$B$14,$H183=BH$4),SUM($J183,$M183,$P183,$S183),"")</f>
        <v/>
      </c>
      <c r="BI183" s="458" t="str">
        <f>IF(AND($G183='Povolené hodnoty'!$B$14,$H183=BI$4),SUM($J183,$M183,$P183,$S183),"")</f>
        <v/>
      </c>
      <c r="BJ183" s="458" t="str">
        <f>IF(AND($G183='Povolené hodnoty'!$B$14,$H183=BJ$4),SUM($J183,$M183,$P183,$S183),"")</f>
        <v/>
      </c>
      <c r="BK183" s="40" t="str">
        <f>IF(AND($G183='Povolené hodnoty'!$B$14,$H183=BK$4),SUM($J183,$M183,$P183,$S183),"")</f>
        <v/>
      </c>
      <c r="BL183" s="40" t="str">
        <f>IF(AND($G183='Povolené hodnoty'!$B$14,$H183=BL$4),SUM($J183,$M183,$P183,$S183),"")</f>
        <v/>
      </c>
      <c r="BM183" s="41" t="str">
        <f>IF(AND($G183='Povolené hodnoty'!$B$14,$H183=BM$4),SUM($J183,$M183,$P183,$S183),"")</f>
        <v/>
      </c>
      <c r="BO183" s="18" t="b">
        <f t="shared" si="106"/>
        <v>0</v>
      </c>
      <c r="BP183" s="18" t="b">
        <f t="shared" si="77"/>
        <v>0</v>
      </c>
      <c r="BQ183" s="18" t="b">
        <f>AND(E183&lt;&gt;'Povolené hodnoty'!$B$6,F183&lt;&gt;'Povolené hodnoty'!$D$7,F183&lt;&gt;'Povolené hodnoty'!$D$8,OR(SUM(I183,L183,O183,R183)&lt;&gt;SUM(W183:X183,AA183:AG183),SUM(J183,M183,P183,S183)&lt;&gt;SUM(Y183:Z183,AH183:AK183),COUNT(I183:J183,L183:M183,O183:P183,R183:S183)&lt;&gt;COUNT(W183:AK183)))</f>
        <v>0</v>
      </c>
      <c r="BR183" s="18" t="b">
        <f>OR(AND(E183='Povolené hodnoty'!$B$6,$BR$5),AND(E183='Povolené hodnoty'!$B$6,H183&lt;&gt;'Povolené hodnoty'!$E$26,H183&lt;&gt;'Povolené hodnoty'!$E$35),AND(E183&lt;&gt;'Povolené hodnoty'!$B$6,OR(H183='Povolené hodnoty'!$E$26,H183='Povolené hodnoty'!$E$35)))</f>
        <v>0</v>
      </c>
      <c r="BS183" s="18" t="b">
        <f>OR(AND(G183&lt;&gt;'Povolené hodnoty'!$B$13,OR(H183='Povolené hodnoty'!$E$21,H183='Povolené hodnoty'!$E$22,H183='Povolené hodnoty'!$E$23,H183='Povolené hodnoty'!$E$24,H183='Povolené hodnoty'!$E$26,H183='Povolené hodnoty'!$E$36)),COUNT(I183:J183,L183:M183,O183:P183,R183:S183)&lt;&gt;COUNT(AL183:BM183))</f>
        <v>0</v>
      </c>
      <c r="BT183" s="18" t="b">
        <f t="shared" si="78"/>
        <v>0</v>
      </c>
      <c r="BV183" s="39" t="str">
        <f t="shared" si="79"/>
        <v/>
      </c>
      <c r="BW183" s="458" t="str">
        <f t="shared" si="80"/>
        <v/>
      </c>
      <c r="BX183" s="458" t="str">
        <f t="shared" si="81"/>
        <v/>
      </c>
      <c r="BY183" s="458" t="str">
        <f t="shared" si="82"/>
        <v/>
      </c>
      <c r="BZ183" s="458" t="str">
        <f t="shared" si="83"/>
        <v/>
      </c>
      <c r="CA183" s="40" t="str">
        <f t="shared" si="84"/>
        <v/>
      </c>
      <c r="CB183" s="40" t="str">
        <f t="shared" si="85"/>
        <v/>
      </c>
      <c r="CC183" s="39" t="str">
        <f t="shared" si="86"/>
        <v/>
      </c>
      <c r="CD183" s="458" t="str">
        <f t="shared" si="87"/>
        <v/>
      </c>
      <c r="CE183" s="41" t="str">
        <f t="shared" si="88"/>
        <v/>
      </c>
      <c r="CF183" s="39" t="str">
        <f t="shared" si="89"/>
        <v/>
      </c>
      <c r="CG183" s="458" t="str">
        <f t="shared" si="90"/>
        <v/>
      </c>
      <c r="CH183" s="458" t="str">
        <f t="shared" si="91"/>
        <v/>
      </c>
      <c r="CI183" s="458" t="str">
        <f t="shared" si="92"/>
        <v/>
      </c>
      <c r="CJ183" s="458" t="str">
        <f t="shared" si="93"/>
        <v/>
      </c>
      <c r="CK183" s="40" t="str">
        <f t="shared" si="94"/>
        <v/>
      </c>
      <c r="CL183" s="40" t="str">
        <f t="shared" si="95"/>
        <v/>
      </c>
      <c r="CM183" s="40" t="str">
        <f t="shared" si="96"/>
        <v/>
      </c>
      <c r="CN183" s="39" t="str">
        <f t="shared" si="97"/>
        <v/>
      </c>
      <c r="CO183" s="458" t="str">
        <f t="shared" si="98"/>
        <v/>
      </c>
      <c r="CP183" s="458" t="str">
        <f t="shared" si="99"/>
        <v/>
      </c>
      <c r="CQ183" s="458" t="str">
        <f t="shared" si="100"/>
        <v/>
      </c>
      <c r="CR183" s="458" t="str">
        <f t="shared" si="101"/>
        <v/>
      </c>
      <c r="CS183" s="40" t="str">
        <f t="shared" si="102"/>
        <v/>
      </c>
      <c r="CT183" s="40" t="str">
        <f t="shared" si="103"/>
        <v/>
      </c>
      <c r="CU183" s="41" t="str">
        <f t="shared" si="104"/>
        <v/>
      </c>
    </row>
    <row r="184" spans="1:99" x14ac:dyDescent="0.2">
      <c r="A184" s="77">
        <f t="shared" si="105"/>
        <v>179</v>
      </c>
      <c r="B184" s="81"/>
      <c r="C184" s="82"/>
      <c r="D184" s="71"/>
      <c r="E184" s="72"/>
      <c r="F184" s="73"/>
      <c r="G184" s="443"/>
      <c r="H184" s="443"/>
      <c r="I184" s="74"/>
      <c r="J184" s="75"/>
      <c r="K184" s="41">
        <f t="shared" si="109"/>
        <v>3625</v>
      </c>
      <c r="L184" s="104"/>
      <c r="M184" s="105"/>
      <c r="N184" s="106">
        <f t="shared" si="110"/>
        <v>537.05999999999995</v>
      </c>
      <c r="O184" s="104"/>
      <c r="P184" s="105"/>
      <c r="Q184" s="106">
        <f t="shared" si="107"/>
        <v>10045.83</v>
      </c>
      <c r="R184" s="104"/>
      <c r="S184" s="105"/>
      <c r="T184" s="106">
        <f t="shared" si="108"/>
        <v>0</v>
      </c>
      <c r="U184" s="439"/>
      <c r="V184" s="42">
        <f t="shared" si="76"/>
        <v>179</v>
      </c>
      <c r="W184" s="39" t="str">
        <f>IF(AND(E184='Povolené hodnoty'!$B$4,F184=2),I184+L184+O184+R184,"")</f>
        <v/>
      </c>
      <c r="X184" s="41" t="str">
        <f>IF(AND(E184='Povolené hodnoty'!$B$4,F184=1),I184+L184+O184+R184,"")</f>
        <v/>
      </c>
      <c r="Y184" s="39" t="str">
        <f>IF(AND(E184='Povolené hodnoty'!$B$4,F184=10),J184+M184+P184+S184,"")</f>
        <v/>
      </c>
      <c r="Z184" s="41" t="str">
        <f>IF(AND(E184='Povolené hodnoty'!$B$4,F184=9),J184+M184+P184+S184,"")</f>
        <v/>
      </c>
      <c r="AA184" s="39" t="str">
        <f>IF(AND(E184&lt;&gt;'Povolené hodnoty'!$B$4,F184=2),I184+L184+O184+R184,"")</f>
        <v/>
      </c>
      <c r="AB184" s="40" t="str">
        <f>IF(AND(E184&lt;&gt;'Povolené hodnoty'!$B$4,F184=3),I184+L184+O184+R184,"")</f>
        <v/>
      </c>
      <c r="AC184" s="40" t="str">
        <f>IF(AND(E184&lt;&gt;'Povolené hodnoty'!$B$4,F184=4),I184+L184+O184+R184,"")</f>
        <v/>
      </c>
      <c r="AD184" s="40" t="str">
        <f>IF(AND(E184&lt;&gt;'Povolené hodnoty'!$B$4,F184="5a"),I184-J184+L184-M184+O184-P184+R184-S184,"")</f>
        <v/>
      </c>
      <c r="AE184" s="40" t="str">
        <f>IF(AND(E184&lt;&gt;'Povolené hodnoty'!$B$4,F184="5b"),I184-J184+L184-M184+O184-P184+R184-S184,"")</f>
        <v/>
      </c>
      <c r="AF184" s="40" t="str">
        <f>IF(AND(E184&lt;&gt;'Povolené hodnoty'!$B$4,F184=6),I184+L184+O184+R184,"")</f>
        <v/>
      </c>
      <c r="AG184" s="41" t="str">
        <f>IF(AND(E184&lt;&gt;'Povolené hodnoty'!$B$4,F184=7),I184+L184+O184+R184,"")</f>
        <v/>
      </c>
      <c r="AH184" s="39" t="str">
        <f>IF(AND(E184&lt;&gt;'Povolené hodnoty'!$B$4,F184=10),J184+M184+P184+S184,"")</f>
        <v/>
      </c>
      <c r="AI184" s="40" t="str">
        <f>IF(AND(E184&lt;&gt;'Povolené hodnoty'!$B$4,F184=11),J184+M184+P184+S184,"")</f>
        <v/>
      </c>
      <c r="AJ184" s="40" t="str">
        <f>IF(AND(E184&lt;&gt;'Povolené hodnoty'!$B$4,F184=12),J184+M184+P184+S184,"")</f>
        <v/>
      </c>
      <c r="AK184" s="41" t="str">
        <f>IF(AND(E184&lt;&gt;'Povolené hodnoty'!$B$4,F184=13),J184+M184+P184+S184,"")</f>
        <v/>
      </c>
      <c r="AL184" s="39" t="str">
        <f>IF(AND($G184='Povolené hodnoty'!$B$13,$H184=AL$4),SUM($I184,$L184,$O184,$R184),"")</f>
        <v/>
      </c>
      <c r="AM184" s="458" t="str">
        <f>IF(AND($G184='Povolené hodnoty'!$B$13,$H184=AM$4),SUM($I184,$L184,$O184,$R184),"")</f>
        <v/>
      </c>
      <c r="AN184" s="458" t="str">
        <f>IF(AND($G184='Povolené hodnoty'!$B$13,$H184=AN$4),SUM($I184,$L184,$O184,$R184),"")</f>
        <v/>
      </c>
      <c r="AO184" s="458" t="str">
        <f>IF(AND($G184='Povolené hodnoty'!$B$13,$H184=AO$4),SUM($I184,$L184,$O184,$R184),"")</f>
        <v/>
      </c>
      <c r="AP184" s="458" t="str">
        <f>IF(AND($G184='Povolené hodnoty'!$B$13,$H184=AP$4),SUM($I184,$L184,$O184,$R184),"")</f>
        <v/>
      </c>
      <c r="AQ184" s="40" t="str">
        <f>IF(AND($G184='Povolené hodnoty'!$B$13,OR($H184=AQ$4,$H184='Povolené hodnoty'!$E$36)),SUM($I184,-$J184,$L184,-$M184,$O184,-$P184,$R184,-$S184),"")</f>
        <v/>
      </c>
      <c r="AR184" s="40" t="str">
        <f>IF(AND($G184='Povolené hodnoty'!$B$13,$H184=AR$4),SUM($I184,$L184,$O184,$R184),"")</f>
        <v/>
      </c>
      <c r="AS184" s="41" t="str">
        <f>IF(AND($G184='Povolené hodnoty'!$B$13,$H184=AS$4),SUM($I184,$L184,$O184,$R184),"")</f>
        <v/>
      </c>
      <c r="AT184" s="39" t="str">
        <f>IF(AND($G184='Povolené hodnoty'!$B$14,$H184=AT$4),SUM($I184,$L184,$O184,$R184),"")</f>
        <v/>
      </c>
      <c r="AU184" s="458" t="str">
        <f>IF(AND($G184='Povolené hodnoty'!$B$14,$H184=AU$4),SUM($I184,$L184,$O184,$R184),"")</f>
        <v/>
      </c>
      <c r="AV184" s="41" t="str">
        <f>IF(AND($G184='Povolené hodnoty'!$B$14,$H184=AV$4),SUM($I184,$L184,$O184,$R184),"")</f>
        <v/>
      </c>
      <c r="AW184" s="39" t="str">
        <f>IF(AND($G184='Povolené hodnoty'!$B$13,$H184=AW$4),SUM($J184,$M184,$P184,$S184),"")</f>
        <v/>
      </c>
      <c r="AX184" s="458" t="str">
        <f>IF(AND($G184='Povolené hodnoty'!$B$13,$H184=AX$4),SUM($J184,$M184,$P184,$S184),"")</f>
        <v/>
      </c>
      <c r="AY184" s="458" t="str">
        <f>IF(AND($G184='Povolené hodnoty'!$B$13,$H184=AY$4),SUM($J184,$M184,$P184,$S184),"")</f>
        <v/>
      </c>
      <c r="AZ184" s="458" t="str">
        <f>IF(AND($G184='Povolené hodnoty'!$B$13,$H184=AZ$4),SUM($J184,$M184,$P184,$S184),"")</f>
        <v/>
      </c>
      <c r="BA184" s="458" t="str">
        <f>IF(AND($G184='Povolené hodnoty'!$B$13,$H184=BA$4),SUM($J184,$M184,$P184,$S184),"")</f>
        <v/>
      </c>
      <c r="BB184" s="40" t="str">
        <f>IF(AND($G184='Povolené hodnoty'!$B$13,$H184=BB$4),SUM($J184,$M184,$P184,$S184),"")</f>
        <v/>
      </c>
      <c r="BC184" s="40" t="str">
        <f>IF(AND($G184='Povolené hodnoty'!$B$13,$H184=BC$4),SUM($J184,$M184,$P184,$S184),"")</f>
        <v/>
      </c>
      <c r="BD184" s="40" t="str">
        <f>IF(AND($G184='Povolené hodnoty'!$B$13,$H184=BD$4),SUM($J184,$M184,$P184,$S184),"")</f>
        <v/>
      </c>
      <c r="BE184" s="41" t="str">
        <f>IF(AND($G184='Povolené hodnoty'!$B$13,$H184=BE$4),SUM($J184,$M184,$P184,$S184),"")</f>
        <v/>
      </c>
      <c r="BF184" s="39" t="str">
        <f>IF(AND($G184='Povolené hodnoty'!$B$14,$H184=BF$4),SUM($J184,$M184,$P184,$S184),"")</f>
        <v/>
      </c>
      <c r="BG184" s="458" t="str">
        <f>IF(AND($G184='Povolené hodnoty'!$B$14,$H184=BG$4),SUM($J184,$M184,$P184,$S184),"")</f>
        <v/>
      </c>
      <c r="BH184" s="458" t="str">
        <f>IF(AND($G184='Povolené hodnoty'!$B$14,$H184=BH$4),SUM($J184,$M184,$P184,$S184),"")</f>
        <v/>
      </c>
      <c r="BI184" s="458" t="str">
        <f>IF(AND($G184='Povolené hodnoty'!$B$14,$H184=BI$4),SUM($J184,$M184,$P184,$S184),"")</f>
        <v/>
      </c>
      <c r="BJ184" s="458" t="str">
        <f>IF(AND($G184='Povolené hodnoty'!$B$14,$H184=BJ$4),SUM($J184,$M184,$P184,$S184),"")</f>
        <v/>
      </c>
      <c r="BK184" s="40" t="str">
        <f>IF(AND($G184='Povolené hodnoty'!$B$14,$H184=BK$4),SUM($J184,$M184,$P184,$S184),"")</f>
        <v/>
      </c>
      <c r="BL184" s="40" t="str">
        <f>IF(AND($G184='Povolené hodnoty'!$B$14,$H184=BL$4),SUM($J184,$M184,$P184,$S184),"")</f>
        <v/>
      </c>
      <c r="BM184" s="41" t="str">
        <f>IF(AND($G184='Povolené hodnoty'!$B$14,$H184=BM$4),SUM($J184,$M184,$P184,$S184),"")</f>
        <v/>
      </c>
      <c r="BO184" s="18" t="b">
        <f t="shared" si="106"/>
        <v>0</v>
      </c>
      <c r="BP184" s="18" t="b">
        <f t="shared" si="77"/>
        <v>0</v>
      </c>
      <c r="BQ184" s="18" t="b">
        <f>AND(E184&lt;&gt;'Povolené hodnoty'!$B$6,F184&lt;&gt;'Povolené hodnoty'!$D$7,F184&lt;&gt;'Povolené hodnoty'!$D$8,OR(SUM(I184,L184,O184,R184)&lt;&gt;SUM(W184:X184,AA184:AG184),SUM(J184,M184,P184,S184)&lt;&gt;SUM(Y184:Z184,AH184:AK184),COUNT(I184:J184,L184:M184,O184:P184,R184:S184)&lt;&gt;COUNT(W184:AK184)))</f>
        <v>0</v>
      </c>
      <c r="BR184" s="18" t="b">
        <f>OR(AND(E184='Povolené hodnoty'!$B$6,$BR$5),AND(E184='Povolené hodnoty'!$B$6,H184&lt;&gt;'Povolené hodnoty'!$E$26,H184&lt;&gt;'Povolené hodnoty'!$E$35),AND(E184&lt;&gt;'Povolené hodnoty'!$B$6,OR(H184='Povolené hodnoty'!$E$26,H184='Povolené hodnoty'!$E$35)))</f>
        <v>0</v>
      </c>
      <c r="BS184" s="18" t="b">
        <f>OR(AND(G184&lt;&gt;'Povolené hodnoty'!$B$13,OR(H184='Povolené hodnoty'!$E$21,H184='Povolené hodnoty'!$E$22,H184='Povolené hodnoty'!$E$23,H184='Povolené hodnoty'!$E$24,H184='Povolené hodnoty'!$E$26,H184='Povolené hodnoty'!$E$36)),COUNT(I184:J184,L184:M184,O184:P184,R184:S184)&lt;&gt;COUNT(AL184:BM184))</f>
        <v>0</v>
      </c>
      <c r="BT184" s="18" t="b">
        <f t="shared" si="78"/>
        <v>0</v>
      </c>
      <c r="BV184" s="39" t="str">
        <f t="shared" si="79"/>
        <v/>
      </c>
      <c r="BW184" s="458" t="str">
        <f t="shared" si="80"/>
        <v/>
      </c>
      <c r="BX184" s="458" t="str">
        <f t="shared" si="81"/>
        <v/>
      </c>
      <c r="BY184" s="458" t="str">
        <f t="shared" si="82"/>
        <v/>
      </c>
      <c r="BZ184" s="458" t="str">
        <f t="shared" si="83"/>
        <v/>
      </c>
      <c r="CA184" s="40" t="str">
        <f t="shared" si="84"/>
        <v/>
      </c>
      <c r="CB184" s="40" t="str">
        <f t="shared" si="85"/>
        <v/>
      </c>
      <c r="CC184" s="39" t="str">
        <f t="shared" si="86"/>
        <v/>
      </c>
      <c r="CD184" s="458" t="str">
        <f t="shared" si="87"/>
        <v/>
      </c>
      <c r="CE184" s="41" t="str">
        <f t="shared" si="88"/>
        <v/>
      </c>
      <c r="CF184" s="39" t="str">
        <f t="shared" si="89"/>
        <v/>
      </c>
      <c r="CG184" s="458" t="str">
        <f t="shared" si="90"/>
        <v/>
      </c>
      <c r="CH184" s="458" t="str">
        <f t="shared" si="91"/>
        <v/>
      </c>
      <c r="CI184" s="458" t="str">
        <f t="shared" si="92"/>
        <v/>
      </c>
      <c r="CJ184" s="458" t="str">
        <f t="shared" si="93"/>
        <v/>
      </c>
      <c r="CK184" s="40" t="str">
        <f t="shared" si="94"/>
        <v/>
      </c>
      <c r="CL184" s="40" t="str">
        <f t="shared" si="95"/>
        <v/>
      </c>
      <c r="CM184" s="40" t="str">
        <f t="shared" si="96"/>
        <v/>
      </c>
      <c r="CN184" s="39" t="str">
        <f t="shared" si="97"/>
        <v/>
      </c>
      <c r="CO184" s="458" t="str">
        <f t="shared" si="98"/>
        <v/>
      </c>
      <c r="CP184" s="458" t="str">
        <f t="shared" si="99"/>
        <v/>
      </c>
      <c r="CQ184" s="458" t="str">
        <f t="shared" si="100"/>
        <v/>
      </c>
      <c r="CR184" s="458" t="str">
        <f t="shared" si="101"/>
        <v/>
      </c>
      <c r="CS184" s="40" t="str">
        <f t="shared" si="102"/>
        <v/>
      </c>
      <c r="CT184" s="40" t="str">
        <f t="shared" si="103"/>
        <v/>
      </c>
      <c r="CU184" s="41" t="str">
        <f t="shared" si="104"/>
        <v/>
      </c>
    </row>
    <row r="185" spans="1:99" x14ac:dyDescent="0.2">
      <c r="A185" s="77">
        <f t="shared" si="105"/>
        <v>180</v>
      </c>
      <c r="B185" s="81"/>
      <c r="C185" s="82"/>
      <c r="D185" s="71"/>
      <c r="E185" s="72"/>
      <c r="F185" s="73"/>
      <c r="G185" s="443"/>
      <c r="H185" s="443"/>
      <c r="I185" s="74"/>
      <c r="J185" s="75"/>
      <c r="K185" s="41">
        <f t="shared" si="109"/>
        <v>3625</v>
      </c>
      <c r="L185" s="104"/>
      <c r="M185" s="105"/>
      <c r="N185" s="106">
        <f t="shared" si="110"/>
        <v>537.05999999999995</v>
      </c>
      <c r="O185" s="104"/>
      <c r="P185" s="105"/>
      <c r="Q185" s="106">
        <f t="shared" si="107"/>
        <v>10045.83</v>
      </c>
      <c r="R185" s="104"/>
      <c r="S185" s="105"/>
      <c r="T185" s="106">
        <f t="shared" si="108"/>
        <v>0</v>
      </c>
      <c r="U185" s="439"/>
      <c r="V185" s="42">
        <f t="shared" si="76"/>
        <v>180</v>
      </c>
      <c r="W185" s="39" t="str">
        <f>IF(AND(E185='Povolené hodnoty'!$B$4,F185=2),I185+L185+O185+R185,"")</f>
        <v/>
      </c>
      <c r="X185" s="41" t="str">
        <f>IF(AND(E185='Povolené hodnoty'!$B$4,F185=1),I185+L185+O185+R185,"")</f>
        <v/>
      </c>
      <c r="Y185" s="39" t="str">
        <f>IF(AND(E185='Povolené hodnoty'!$B$4,F185=10),J185+M185+P185+S185,"")</f>
        <v/>
      </c>
      <c r="Z185" s="41" t="str">
        <f>IF(AND(E185='Povolené hodnoty'!$B$4,F185=9),J185+M185+P185+S185,"")</f>
        <v/>
      </c>
      <c r="AA185" s="39" t="str">
        <f>IF(AND(E185&lt;&gt;'Povolené hodnoty'!$B$4,F185=2),I185+L185+O185+R185,"")</f>
        <v/>
      </c>
      <c r="AB185" s="40" t="str">
        <f>IF(AND(E185&lt;&gt;'Povolené hodnoty'!$B$4,F185=3),I185+L185+O185+R185,"")</f>
        <v/>
      </c>
      <c r="AC185" s="40" t="str">
        <f>IF(AND(E185&lt;&gt;'Povolené hodnoty'!$B$4,F185=4),I185+L185+O185+R185,"")</f>
        <v/>
      </c>
      <c r="AD185" s="40" t="str">
        <f>IF(AND(E185&lt;&gt;'Povolené hodnoty'!$B$4,F185="5a"),I185-J185+L185-M185+O185-P185+R185-S185,"")</f>
        <v/>
      </c>
      <c r="AE185" s="40" t="str">
        <f>IF(AND(E185&lt;&gt;'Povolené hodnoty'!$B$4,F185="5b"),I185-J185+L185-M185+O185-P185+R185-S185,"")</f>
        <v/>
      </c>
      <c r="AF185" s="40" t="str">
        <f>IF(AND(E185&lt;&gt;'Povolené hodnoty'!$B$4,F185=6),I185+L185+O185+R185,"")</f>
        <v/>
      </c>
      <c r="AG185" s="41" t="str">
        <f>IF(AND(E185&lt;&gt;'Povolené hodnoty'!$B$4,F185=7),I185+L185+O185+R185,"")</f>
        <v/>
      </c>
      <c r="AH185" s="39" t="str">
        <f>IF(AND(E185&lt;&gt;'Povolené hodnoty'!$B$4,F185=10),J185+M185+P185+S185,"")</f>
        <v/>
      </c>
      <c r="AI185" s="40" t="str">
        <f>IF(AND(E185&lt;&gt;'Povolené hodnoty'!$B$4,F185=11),J185+M185+P185+S185,"")</f>
        <v/>
      </c>
      <c r="AJ185" s="40" t="str">
        <f>IF(AND(E185&lt;&gt;'Povolené hodnoty'!$B$4,F185=12),J185+M185+P185+S185,"")</f>
        <v/>
      </c>
      <c r="AK185" s="41" t="str">
        <f>IF(AND(E185&lt;&gt;'Povolené hodnoty'!$B$4,F185=13),J185+M185+P185+S185,"")</f>
        <v/>
      </c>
      <c r="AL185" s="39" t="str">
        <f>IF(AND($G185='Povolené hodnoty'!$B$13,$H185=AL$4),SUM($I185,$L185,$O185,$R185),"")</f>
        <v/>
      </c>
      <c r="AM185" s="458" t="str">
        <f>IF(AND($G185='Povolené hodnoty'!$B$13,$H185=AM$4),SUM($I185,$L185,$O185,$R185),"")</f>
        <v/>
      </c>
      <c r="AN185" s="458" t="str">
        <f>IF(AND($G185='Povolené hodnoty'!$B$13,$H185=AN$4),SUM($I185,$L185,$O185,$R185),"")</f>
        <v/>
      </c>
      <c r="AO185" s="458" t="str">
        <f>IF(AND($G185='Povolené hodnoty'!$B$13,$H185=AO$4),SUM($I185,$L185,$O185,$R185),"")</f>
        <v/>
      </c>
      <c r="AP185" s="458" t="str">
        <f>IF(AND($G185='Povolené hodnoty'!$B$13,$H185=AP$4),SUM($I185,$L185,$O185,$R185),"")</f>
        <v/>
      </c>
      <c r="AQ185" s="40" t="str">
        <f>IF(AND($G185='Povolené hodnoty'!$B$13,OR($H185=AQ$4,$H185='Povolené hodnoty'!$E$36)),SUM($I185,-$J185,$L185,-$M185,$O185,-$P185,$R185,-$S185),"")</f>
        <v/>
      </c>
      <c r="AR185" s="40" t="str">
        <f>IF(AND($G185='Povolené hodnoty'!$B$13,$H185=AR$4),SUM($I185,$L185,$O185,$R185),"")</f>
        <v/>
      </c>
      <c r="AS185" s="41" t="str">
        <f>IF(AND($G185='Povolené hodnoty'!$B$13,$H185=AS$4),SUM($I185,$L185,$O185,$R185),"")</f>
        <v/>
      </c>
      <c r="AT185" s="39" t="str">
        <f>IF(AND($G185='Povolené hodnoty'!$B$14,$H185=AT$4),SUM($I185,$L185,$O185,$R185),"")</f>
        <v/>
      </c>
      <c r="AU185" s="458" t="str">
        <f>IF(AND($G185='Povolené hodnoty'!$B$14,$H185=AU$4),SUM($I185,$L185,$O185,$R185),"")</f>
        <v/>
      </c>
      <c r="AV185" s="41" t="str">
        <f>IF(AND($G185='Povolené hodnoty'!$B$14,$H185=AV$4),SUM($I185,$L185,$O185,$R185),"")</f>
        <v/>
      </c>
      <c r="AW185" s="39" t="str">
        <f>IF(AND($G185='Povolené hodnoty'!$B$13,$H185=AW$4),SUM($J185,$M185,$P185,$S185),"")</f>
        <v/>
      </c>
      <c r="AX185" s="458" t="str">
        <f>IF(AND($G185='Povolené hodnoty'!$B$13,$H185=AX$4),SUM($J185,$M185,$P185,$S185),"")</f>
        <v/>
      </c>
      <c r="AY185" s="458" t="str">
        <f>IF(AND($G185='Povolené hodnoty'!$B$13,$H185=AY$4),SUM($J185,$M185,$P185,$S185),"")</f>
        <v/>
      </c>
      <c r="AZ185" s="458" t="str">
        <f>IF(AND($G185='Povolené hodnoty'!$B$13,$H185=AZ$4),SUM($J185,$M185,$P185,$S185),"")</f>
        <v/>
      </c>
      <c r="BA185" s="458" t="str">
        <f>IF(AND($G185='Povolené hodnoty'!$B$13,$H185=BA$4),SUM($J185,$M185,$P185,$S185),"")</f>
        <v/>
      </c>
      <c r="BB185" s="40" t="str">
        <f>IF(AND($G185='Povolené hodnoty'!$B$13,$H185=BB$4),SUM($J185,$M185,$P185,$S185),"")</f>
        <v/>
      </c>
      <c r="BC185" s="40" t="str">
        <f>IF(AND($G185='Povolené hodnoty'!$B$13,$H185=BC$4),SUM($J185,$M185,$P185,$S185),"")</f>
        <v/>
      </c>
      <c r="BD185" s="40" t="str">
        <f>IF(AND($G185='Povolené hodnoty'!$B$13,$H185=BD$4),SUM($J185,$M185,$P185,$S185),"")</f>
        <v/>
      </c>
      <c r="BE185" s="41" t="str">
        <f>IF(AND($G185='Povolené hodnoty'!$B$13,$H185=BE$4),SUM($J185,$M185,$P185,$S185),"")</f>
        <v/>
      </c>
      <c r="BF185" s="39" t="str">
        <f>IF(AND($G185='Povolené hodnoty'!$B$14,$H185=BF$4),SUM($J185,$M185,$P185,$S185),"")</f>
        <v/>
      </c>
      <c r="BG185" s="458" t="str">
        <f>IF(AND($G185='Povolené hodnoty'!$B$14,$H185=BG$4),SUM($J185,$M185,$P185,$S185),"")</f>
        <v/>
      </c>
      <c r="BH185" s="458" t="str">
        <f>IF(AND($G185='Povolené hodnoty'!$B$14,$H185=BH$4),SUM($J185,$M185,$P185,$S185),"")</f>
        <v/>
      </c>
      <c r="BI185" s="458" t="str">
        <f>IF(AND($G185='Povolené hodnoty'!$B$14,$H185=BI$4),SUM($J185,$M185,$P185,$S185),"")</f>
        <v/>
      </c>
      <c r="BJ185" s="458" t="str">
        <f>IF(AND($G185='Povolené hodnoty'!$B$14,$H185=BJ$4),SUM($J185,$M185,$P185,$S185),"")</f>
        <v/>
      </c>
      <c r="BK185" s="40" t="str">
        <f>IF(AND($G185='Povolené hodnoty'!$B$14,$H185=BK$4),SUM($J185,$M185,$P185,$S185),"")</f>
        <v/>
      </c>
      <c r="BL185" s="40" t="str">
        <f>IF(AND($G185='Povolené hodnoty'!$B$14,$H185=BL$4),SUM($J185,$M185,$P185,$S185),"")</f>
        <v/>
      </c>
      <c r="BM185" s="41" t="str">
        <f>IF(AND($G185='Povolené hodnoty'!$B$14,$H185=BM$4),SUM($J185,$M185,$P185,$S185),"")</f>
        <v/>
      </c>
      <c r="BO185" s="18" t="b">
        <f t="shared" si="106"/>
        <v>0</v>
      </c>
      <c r="BP185" s="18" t="b">
        <f t="shared" si="77"/>
        <v>0</v>
      </c>
      <c r="BQ185" s="18" t="b">
        <f>AND(E185&lt;&gt;'Povolené hodnoty'!$B$6,F185&lt;&gt;'Povolené hodnoty'!$D$7,F185&lt;&gt;'Povolené hodnoty'!$D$8,OR(SUM(I185,L185,O185,R185)&lt;&gt;SUM(W185:X185,AA185:AG185),SUM(J185,M185,P185,S185)&lt;&gt;SUM(Y185:Z185,AH185:AK185),COUNT(I185:J185,L185:M185,O185:P185,R185:S185)&lt;&gt;COUNT(W185:AK185)))</f>
        <v>0</v>
      </c>
      <c r="BR185" s="18" t="b">
        <f>OR(AND(E185='Povolené hodnoty'!$B$6,$BR$5),AND(E185='Povolené hodnoty'!$B$6,H185&lt;&gt;'Povolené hodnoty'!$E$26,H185&lt;&gt;'Povolené hodnoty'!$E$35),AND(E185&lt;&gt;'Povolené hodnoty'!$B$6,OR(H185='Povolené hodnoty'!$E$26,H185='Povolené hodnoty'!$E$35)))</f>
        <v>0</v>
      </c>
      <c r="BS185" s="18" t="b">
        <f>OR(AND(G185&lt;&gt;'Povolené hodnoty'!$B$13,OR(H185='Povolené hodnoty'!$E$21,H185='Povolené hodnoty'!$E$22,H185='Povolené hodnoty'!$E$23,H185='Povolené hodnoty'!$E$24,H185='Povolené hodnoty'!$E$26,H185='Povolené hodnoty'!$E$36)),COUNT(I185:J185,L185:M185,O185:P185,R185:S185)&lt;&gt;COUNT(AL185:BM185))</f>
        <v>0</v>
      </c>
      <c r="BT185" s="18" t="b">
        <f t="shared" si="78"/>
        <v>0</v>
      </c>
      <c r="BV185" s="39" t="str">
        <f t="shared" si="79"/>
        <v/>
      </c>
      <c r="BW185" s="458" t="str">
        <f t="shared" si="80"/>
        <v/>
      </c>
      <c r="BX185" s="458" t="str">
        <f t="shared" si="81"/>
        <v/>
      </c>
      <c r="BY185" s="458" t="str">
        <f t="shared" si="82"/>
        <v/>
      </c>
      <c r="BZ185" s="458" t="str">
        <f t="shared" si="83"/>
        <v/>
      </c>
      <c r="CA185" s="40" t="str">
        <f t="shared" si="84"/>
        <v/>
      </c>
      <c r="CB185" s="40" t="str">
        <f t="shared" si="85"/>
        <v/>
      </c>
      <c r="CC185" s="39" t="str">
        <f t="shared" si="86"/>
        <v/>
      </c>
      <c r="CD185" s="458" t="str">
        <f t="shared" si="87"/>
        <v/>
      </c>
      <c r="CE185" s="41" t="str">
        <f t="shared" si="88"/>
        <v/>
      </c>
      <c r="CF185" s="39" t="str">
        <f t="shared" si="89"/>
        <v/>
      </c>
      <c r="CG185" s="458" t="str">
        <f t="shared" si="90"/>
        <v/>
      </c>
      <c r="CH185" s="458" t="str">
        <f t="shared" si="91"/>
        <v/>
      </c>
      <c r="CI185" s="458" t="str">
        <f t="shared" si="92"/>
        <v/>
      </c>
      <c r="CJ185" s="458" t="str">
        <f t="shared" si="93"/>
        <v/>
      </c>
      <c r="CK185" s="40" t="str">
        <f t="shared" si="94"/>
        <v/>
      </c>
      <c r="CL185" s="40" t="str">
        <f t="shared" si="95"/>
        <v/>
      </c>
      <c r="CM185" s="40" t="str">
        <f t="shared" si="96"/>
        <v/>
      </c>
      <c r="CN185" s="39" t="str">
        <f t="shared" si="97"/>
        <v/>
      </c>
      <c r="CO185" s="458" t="str">
        <f t="shared" si="98"/>
        <v/>
      </c>
      <c r="CP185" s="458" t="str">
        <f t="shared" si="99"/>
        <v/>
      </c>
      <c r="CQ185" s="458" t="str">
        <f t="shared" si="100"/>
        <v/>
      </c>
      <c r="CR185" s="458" t="str">
        <f t="shared" si="101"/>
        <v/>
      </c>
      <c r="CS185" s="40" t="str">
        <f t="shared" si="102"/>
        <v/>
      </c>
      <c r="CT185" s="40" t="str">
        <f t="shared" si="103"/>
        <v/>
      </c>
      <c r="CU185" s="41" t="str">
        <f t="shared" si="104"/>
        <v/>
      </c>
    </row>
    <row r="186" spans="1:99" x14ac:dyDescent="0.2">
      <c r="A186" s="77">
        <f t="shared" si="105"/>
        <v>181</v>
      </c>
      <c r="B186" s="81"/>
      <c r="C186" s="82"/>
      <c r="D186" s="71"/>
      <c r="E186" s="72"/>
      <c r="F186" s="73"/>
      <c r="G186" s="443"/>
      <c r="H186" s="443"/>
      <c r="I186" s="74"/>
      <c r="J186" s="75"/>
      <c r="K186" s="41">
        <f t="shared" si="109"/>
        <v>3625</v>
      </c>
      <c r="L186" s="104"/>
      <c r="M186" s="105"/>
      <c r="N186" s="106">
        <f t="shared" si="110"/>
        <v>537.05999999999995</v>
      </c>
      <c r="O186" s="104"/>
      <c r="P186" s="105"/>
      <c r="Q186" s="106">
        <f t="shared" si="107"/>
        <v>10045.83</v>
      </c>
      <c r="R186" s="104"/>
      <c r="S186" s="105"/>
      <c r="T186" s="106">
        <f t="shared" si="108"/>
        <v>0</v>
      </c>
      <c r="U186" s="439"/>
      <c r="V186" s="42">
        <f t="shared" si="76"/>
        <v>181</v>
      </c>
      <c r="W186" s="39" t="str">
        <f>IF(AND(E186='Povolené hodnoty'!$B$4,F186=2),I186+L186+O186+R186,"")</f>
        <v/>
      </c>
      <c r="X186" s="41" t="str">
        <f>IF(AND(E186='Povolené hodnoty'!$B$4,F186=1),I186+L186+O186+R186,"")</f>
        <v/>
      </c>
      <c r="Y186" s="39" t="str">
        <f>IF(AND(E186='Povolené hodnoty'!$B$4,F186=10),J186+M186+P186+S186,"")</f>
        <v/>
      </c>
      <c r="Z186" s="41" t="str">
        <f>IF(AND(E186='Povolené hodnoty'!$B$4,F186=9),J186+M186+P186+S186,"")</f>
        <v/>
      </c>
      <c r="AA186" s="39" t="str">
        <f>IF(AND(E186&lt;&gt;'Povolené hodnoty'!$B$4,F186=2),I186+L186+O186+R186,"")</f>
        <v/>
      </c>
      <c r="AB186" s="40" t="str">
        <f>IF(AND(E186&lt;&gt;'Povolené hodnoty'!$B$4,F186=3),I186+L186+O186+R186,"")</f>
        <v/>
      </c>
      <c r="AC186" s="40" t="str">
        <f>IF(AND(E186&lt;&gt;'Povolené hodnoty'!$B$4,F186=4),I186+L186+O186+R186,"")</f>
        <v/>
      </c>
      <c r="AD186" s="40" t="str">
        <f>IF(AND(E186&lt;&gt;'Povolené hodnoty'!$B$4,F186="5a"),I186-J186+L186-M186+O186-P186+R186-S186,"")</f>
        <v/>
      </c>
      <c r="AE186" s="40" t="str">
        <f>IF(AND(E186&lt;&gt;'Povolené hodnoty'!$B$4,F186="5b"),I186-J186+L186-M186+O186-P186+R186-S186,"")</f>
        <v/>
      </c>
      <c r="AF186" s="40" t="str">
        <f>IF(AND(E186&lt;&gt;'Povolené hodnoty'!$B$4,F186=6),I186+L186+O186+R186,"")</f>
        <v/>
      </c>
      <c r="AG186" s="41" t="str">
        <f>IF(AND(E186&lt;&gt;'Povolené hodnoty'!$B$4,F186=7),I186+L186+O186+R186,"")</f>
        <v/>
      </c>
      <c r="AH186" s="39" t="str">
        <f>IF(AND(E186&lt;&gt;'Povolené hodnoty'!$B$4,F186=10),J186+M186+P186+S186,"")</f>
        <v/>
      </c>
      <c r="AI186" s="40" t="str">
        <f>IF(AND(E186&lt;&gt;'Povolené hodnoty'!$B$4,F186=11),J186+M186+P186+S186,"")</f>
        <v/>
      </c>
      <c r="AJ186" s="40" t="str">
        <f>IF(AND(E186&lt;&gt;'Povolené hodnoty'!$B$4,F186=12),J186+M186+P186+S186,"")</f>
        <v/>
      </c>
      <c r="AK186" s="41" t="str">
        <f>IF(AND(E186&lt;&gt;'Povolené hodnoty'!$B$4,F186=13),J186+M186+P186+S186,"")</f>
        <v/>
      </c>
      <c r="AL186" s="39" t="str">
        <f>IF(AND($G186='Povolené hodnoty'!$B$13,$H186=AL$4),SUM($I186,$L186,$O186,$R186),"")</f>
        <v/>
      </c>
      <c r="AM186" s="458" t="str">
        <f>IF(AND($G186='Povolené hodnoty'!$B$13,$H186=AM$4),SUM($I186,$L186,$O186,$R186),"")</f>
        <v/>
      </c>
      <c r="AN186" s="458" t="str">
        <f>IF(AND($G186='Povolené hodnoty'!$B$13,$H186=AN$4),SUM($I186,$L186,$O186,$R186),"")</f>
        <v/>
      </c>
      <c r="AO186" s="458" t="str">
        <f>IF(AND($G186='Povolené hodnoty'!$B$13,$H186=AO$4),SUM($I186,$L186,$O186,$R186),"")</f>
        <v/>
      </c>
      <c r="AP186" s="458" t="str">
        <f>IF(AND($G186='Povolené hodnoty'!$B$13,$H186=AP$4),SUM($I186,$L186,$O186,$R186),"")</f>
        <v/>
      </c>
      <c r="AQ186" s="40" t="str">
        <f>IF(AND($G186='Povolené hodnoty'!$B$13,OR($H186=AQ$4,$H186='Povolené hodnoty'!$E$36)),SUM($I186,-$J186,$L186,-$M186,$O186,-$P186,$R186,-$S186),"")</f>
        <v/>
      </c>
      <c r="AR186" s="40" t="str">
        <f>IF(AND($G186='Povolené hodnoty'!$B$13,$H186=AR$4),SUM($I186,$L186,$O186,$R186),"")</f>
        <v/>
      </c>
      <c r="AS186" s="41" t="str">
        <f>IF(AND($G186='Povolené hodnoty'!$B$13,$H186=AS$4),SUM($I186,$L186,$O186,$R186),"")</f>
        <v/>
      </c>
      <c r="AT186" s="39" t="str">
        <f>IF(AND($G186='Povolené hodnoty'!$B$14,$H186=AT$4),SUM($I186,$L186,$O186,$R186),"")</f>
        <v/>
      </c>
      <c r="AU186" s="458" t="str">
        <f>IF(AND($G186='Povolené hodnoty'!$B$14,$H186=AU$4),SUM($I186,$L186,$O186,$R186),"")</f>
        <v/>
      </c>
      <c r="AV186" s="41" t="str">
        <f>IF(AND($G186='Povolené hodnoty'!$B$14,$H186=AV$4),SUM($I186,$L186,$O186,$R186),"")</f>
        <v/>
      </c>
      <c r="AW186" s="39" t="str">
        <f>IF(AND($G186='Povolené hodnoty'!$B$13,$H186=AW$4),SUM($J186,$M186,$P186,$S186),"")</f>
        <v/>
      </c>
      <c r="AX186" s="458" t="str">
        <f>IF(AND($G186='Povolené hodnoty'!$B$13,$H186=AX$4),SUM($J186,$M186,$P186,$S186),"")</f>
        <v/>
      </c>
      <c r="AY186" s="458" t="str">
        <f>IF(AND($G186='Povolené hodnoty'!$B$13,$H186=AY$4),SUM($J186,$M186,$P186,$S186),"")</f>
        <v/>
      </c>
      <c r="AZ186" s="458" t="str">
        <f>IF(AND($G186='Povolené hodnoty'!$B$13,$H186=AZ$4),SUM($J186,$M186,$P186,$S186),"")</f>
        <v/>
      </c>
      <c r="BA186" s="458" t="str">
        <f>IF(AND($G186='Povolené hodnoty'!$B$13,$H186=BA$4),SUM($J186,$M186,$P186,$S186),"")</f>
        <v/>
      </c>
      <c r="BB186" s="40" t="str">
        <f>IF(AND($G186='Povolené hodnoty'!$B$13,$H186=BB$4),SUM($J186,$M186,$P186,$S186),"")</f>
        <v/>
      </c>
      <c r="BC186" s="40" t="str">
        <f>IF(AND($G186='Povolené hodnoty'!$B$13,$H186=BC$4),SUM($J186,$M186,$P186,$S186),"")</f>
        <v/>
      </c>
      <c r="BD186" s="40" t="str">
        <f>IF(AND($G186='Povolené hodnoty'!$B$13,$H186=BD$4),SUM($J186,$M186,$P186,$S186),"")</f>
        <v/>
      </c>
      <c r="BE186" s="41" t="str">
        <f>IF(AND($G186='Povolené hodnoty'!$B$13,$H186=BE$4),SUM($J186,$M186,$P186,$S186),"")</f>
        <v/>
      </c>
      <c r="BF186" s="39" t="str">
        <f>IF(AND($G186='Povolené hodnoty'!$B$14,$H186=BF$4),SUM($J186,$M186,$P186,$S186),"")</f>
        <v/>
      </c>
      <c r="BG186" s="458" t="str">
        <f>IF(AND($G186='Povolené hodnoty'!$B$14,$H186=BG$4),SUM($J186,$M186,$P186,$S186),"")</f>
        <v/>
      </c>
      <c r="BH186" s="458" t="str">
        <f>IF(AND($G186='Povolené hodnoty'!$B$14,$H186=BH$4),SUM($J186,$M186,$P186,$S186),"")</f>
        <v/>
      </c>
      <c r="BI186" s="458" t="str">
        <f>IF(AND($G186='Povolené hodnoty'!$B$14,$H186=BI$4),SUM($J186,$M186,$P186,$S186),"")</f>
        <v/>
      </c>
      <c r="BJ186" s="458" t="str">
        <f>IF(AND($G186='Povolené hodnoty'!$B$14,$H186=BJ$4),SUM($J186,$M186,$P186,$S186),"")</f>
        <v/>
      </c>
      <c r="BK186" s="40" t="str">
        <f>IF(AND($G186='Povolené hodnoty'!$B$14,$H186=BK$4),SUM($J186,$M186,$P186,$S186),"")</f>
        <v/>
      </c>
      <c r="BL186" s="40" t="str">
        <f>IF(AND($G186='Povolené hodnoty'!$B$14,$H186=BL$4),SUM($J186,$M186,$P186,$S186),"")</f>
        <v/>
      </c>
      <c r="BM186" s="41" t="str">
        <f>IF(AND($G186='Povolené hodnoty'!$B$14,$H186=BM$4),SUM($J186,$M186,$P186,$S186),"")</f>
        <v/>
      </c>
      <c r="BO186" s="18" t="b">
        <f t="shared" si="106"/>
        <v>0</v>
      </c>
      <c r="BP186" s="18" t="b">
        <f t="shared" si="77"/>
        <v>0</v>
      </c>
      <c r="BQ186" s="18" t="b">
        <f>AND(E186&lt;&gt;'Povolené hodnoty'!$B$6,F186&lt;&gt;'Povolené hodnoty'!$D$7,F186&lt;&gt;'Povolené hodnoty'!$D$8,OR(SUM(I186,L186,O186,R186)&lt;&gt;SUM(W186:X186,AA186:AG186),SUM(J186,M186,P186,S186)&lt;&gt;SUM(Y186:Z186,AH186:AK186),COUNT(I186:J186,L186:M186,O186:P186,R186:S186)&lt;&gt;COUNT(W186:AK186)))</f>
        <v>0</v>
      </c>
      <c r="BR186" s="18" t="b">
        <f>OR(AND(E186='Povolené hodnoty'!$B$6,$BR$5),AND(E186='Povolené hodnoty'!$B$6,H186&lt;&gt;'Povolené hodnoty'!$E$26,H186&lt;&gt;'Povolené hodnoty'!$E$35),AND(E186&lt;&gt;'Povolené hodnoty'!$B$6,OR(H186='Povolené hodnoty'!$E$26,H186='Povolené hodnoty'!$E$35)))</f>
        <v>0</v>
      </c>
      <c r="BS186" s="18" t="b">
        <f>OR(AND(G186&lt;&gt;'Povolené hodnoty'!$B$13,OR(H186='Povolené hodnoty'!$E$21,H186='Povolené hodnoty'!$E$22,H186='Povolené hodnoty'!$E$23,H186='Povolené hodnoty'!$E$24,H186='Povolené hodnoty'!$E$26,H186='Povolené hodnoty'!$E$36)),COUNT(I186:J186,L186:M186,O186:P186,R186:S186)&lt;&gt;COUNT(AL186:BM186))</f>
        <v>0</v>
      </c>
      <c r="BT186" s="18" t="b">
        <f t="shared" si="78"/>
        <v>0</v>
      </c>
      <c r="BV186" s="39" t="str">
        <f t="shared" si="79"/>
        <v/>
      </c>
      <c r="BW186" s="458" t="str">
        <f t="shared" si="80"/>
        <v/>
      </c>
      <c r="BX186" s="458" t="str">
        <f t="shared" si="81"/>
        <v/>
      </c>
      <c r="BY186" s="458" t="str">
        <f t="shared" si="82"/>
        <v/>
      </c>
      <c r="BZ186" s="458" t="str">
        <f t="shared" si="83"/>
        <v/>
      </c>
      <c r="CA186" s="40" t="str">
        <f t="shared" si="84"/>
        <v/>
      </c>
      <c r="CB186" s="40" t="str">
        <f t="shared" si="85"/>
        <v/>
      </c>
      <c r="CC186" s="39" t="str">
        <f t="shared" si="86"/>
        <v/>
      </c>
      <c r="CD186" s="458" t="str">
        <f t="shared" si="87"/>
        <v/>
      </c>
      <c r="CE186" s="41" t="str">
        <f t="shared" si="88"/>
        <v/>
      </c>
      <c r="CF186" s="39" t="str">
        <f t="shared" si="89"/>
        <v/>
      </c>
      <c r="CG186" s="458" t="str">
        <f t="shared" si="90"/>
        <v/>
      </c>
      <c r="CH186" s="458" t="str">
        <f t="shared" si="91"/>
        <v/>
      </c>
      <c r="CI186" s="458" t="str">
        <f t="shared" si="92"/>
        <v/>
      </c>
      <c r="CJ186" s="458" t="str">
        <f t="shared" si="93"/>
        <v/>
      </c>
      <c r="CK186" s="40" t="str">
        <f t="shared" si="94"/>
        <v/>
      </c>
      <c r="CL186" s="40" t="str">
        <f t="shared" si="95"/>
        <v/>
      </c>
      <c r="CM186" s="40" t="str">
        <f t="shared" si="96"/>
        <v/>
      </c>
      <c r="CN186" s="39" t="str">
        <f t="shared" si="97"/>
        <v/>
      </c>
      <c r="CO186" s="458" t="str">
        <f t="shared" si="98"/>
        <v/>
      </c>
      <c r="CP186" s="458" t="str">
        <f t="shared" si="99"/>
        <v/>
      </c>
      <c r="CQ186" s="458" t="str">
        <f t="shared" si="100"/>
        <v/>
      </c>
      <c r="CR186" s="458" t="str">
        <f t="shared" si="101"/>
        <v/>
      </c>
      <c r="CS186" s="40" t="str">
        <f t="shared" si="102"/>
        <v/>
      </c>
      <c r="CT186" s="40" t="str">
        <f t="shared" si="103"/>
        <v/>
      </c>
      <c r="CU186" s="41" t="str">
        <f t="shared" si="104"/>
        <v/>
      </c>
    </row>
    <row r="187" spans="1:99" x14ac:dyDescent="0.2">
      <c r="A187" s="77">
        <f t="shared" si="105"/>
        <v>182</v>
      </c>
      <c r="B187" s="81"/>
      <c r="C187" s="82"/>
      <c r="D187" s="71"/>
      <c r="E187" s="72"/>
      <c r="F187" s="73"/>
      <c r="G187" s="443"/>
      <c r="H187" s="443"/>
      <c r="I187" s="74"/>
      <c r="J187" s="75"/>
      <c r="K187" s="41">
        <f t="shared" si="109"/>
        <v>3625</v>
      </c>
      <c r="L187" s="104"/>
      <c r="M187" s="105"/>
      <c r="N187" s="106">
        <f t="shared" si="110"/>
        <v>537.05999999999995</v>
      </c>
      <c r="O187" s="104"/>
      <c r="P187" s="105"/>
      <c r="Q187" s="106">
        <f t="shared" si="107"/>
        <v>10045.83</v>
      </c>
      <c r="R187" s="104"/>
      <c r="S187" s="105"/>
      <c r="T187" s="106">
        <f t="shared" si="108"/>
        <v>0</v>
      </c>
      <c r="U187" s="439"/>
      <c r="V187" s="42">
        <f t="shared" si="76"/>
        <v>182</v>
      </c>
      <c r="W187" s="39" t="str">
        <f>IF(AND(E187='Povolené hodnoty'!$B$4,F187=2),I187+L187+O187+R187,"")</f>
        <v/>
      </c>
      <c r="X187" s="41" t="str">
        <f>IF(AND(E187='Povolené hodnoty'!$B$4,F187=1),I187+L187+O187+R187,"")</f>
        <v/>
      </c>
      <c r="Y187" s="39" t="str">
        <f>IF(AND(E187='Povolené hodnoty'!$B$4,F187=10),J187+M187+P187+S187,"")</f>
        <v/>
      </c>
      <c r="Z187" s="41" t="str">
        <f>IF(AND(E187='Povolené hodnoty'!$B$4,F187=9),J187+M187+P187+S187,"")</f>
        <v/>
      </c>
      <c r="AA187" s="39" t="str">
        <f>IF(AND(E187&lt;&gt;'Povolené hodnoty'!$B$4,F187=2),I187+L187+O187+R187,"")</f>
        <v/>
      </c>
      <c r="AB187" s="40" t="str">
        <f>IF(AND(E187&lt;&gt;'Povolené hodnoty'!$B$4,F187=3),I187+L187+O187+R187,"")</f>
        <v/>
      </c>
      <c r="AC187" s="40" t="str">
        <f>IF(AND(E187&lt;&gt;'Povolené hodnoty'!$B$4,F187=4),I187+L187+O187+R187,"")</f>
        <v/>
      </c>
      <c r="AD187" s="40" t="str">
        <f>IF(AND(E187&lt;&gt;'Povolené hodnoty'!$B$4,F187="5a"),I187-J187+L187-M187+O187-P187+R187-S187,"")</f>
        <v/>
      </c>
      <c r="AE187" s="40" t="str">
        <f>IF(AND(E187&lt;&gt;'Povolené hodnoty'!$B$4,F187="5b"),I187-J187+L187-M187+O187-P187+R187-S187,"")</f>
        <v/>
      </c>
      <c r="AF187" s="40" t="str">
        <f>IF(AND(E187&lt;&gt;'Povolené hodnoty'!$B$4,F187=6),I187+L187+O187+R187,"")</f>
        <v/>
      </c>
      <c r="AG187" s="41" t="str">
        <f>IF(AND(E187&lt;&gt;'Povolené hodnoty'!$B$4,F187=7),I187+L187+O187+R187,"")</f>
        <v/>
      </c>
      <c r="AH187" s="39" t="str">
        <f>IF(AND(E187&lt;&gt;'Povolené hodnoty'!$B$4,F187=10),J187+M187+P187+S187,"")</f>
        <v/>
      </c>
      <c r="AI187" s="40" t="str">
        <f>IF(AND(E187&lt;&gt;'Povolené hodnoty'!$B$4,F187=11),J187+M187+P187+S187,"")</f>
        <v/>
      </c>
      <c r="AJ187" s="40" t="str">
        <f>IF(AND(E187&lt;&gt;'Povolené hodnoty'!$B$4,F187=12),J187+M187+P187+S187,"")</f>
        <v/>
      </c>
      <c r="AK187" s="41" t="str">
        <f>IF(AND(E187&lt;&gt;'Povolené hodnoty'!$B$4,F187=13),J187+M187+P187+S187,"")</f>
        <v/>
      </c>
      <c r="AL187" s="39" t="str">
        <f>IF(AND($G187='Povolené hodnoty'!$B$13,$H187=AL$4),SUM($I187,$L187,$O187,$R187),"")</f>
        <v/>
      </c>
      <c r="AM187" s="458" t="str">
        <f>IF(AND($G187='Povolené hodnoty'!$B$13,$H187=AM$4),SUM($I187,$L187,$O187,$R187),"")</f>
        <v/>
      </c>
      <c r="AN187" s="458" t="str">
        <f>IF(AND($G187='Povolené hodnoty'!$B$13,$H187=AN$4),SUM($I187,$L187,$O187,$R187),"")</f>
        <v/>
      </c>
      <c r="AO187" s="458" t="str">
        <f>IF(AND($G187='Povolené hodnoty'!$B$13,$H187=AO$4),SUM($I187,$L187,$O187,$R187),"")</f>
        <v/>
      </c>
      <c r="AP187" s="458" t="str">
        <f>IF(AND($G187='Povolené hodnoty'!$B$13,$H187=AP$4),SUM($I187,$L187,$O187,$R187),"")</f>
        <v/>
      </c>
      <c r="AQ187" s="40" t="str">
        <f>IF(AND($G187='Povolené hodnoty'!$B$13,OR($H187=AQ$4,$H187='Povolené hodnoty'!$E$36)),SUM($I187,-$J187,$L187,-$M187,$O187,-$P187,$R187,-$S187),"")</f>
        <v/>
      </c>
      <c r="AR187" s="40" t="str">
        <f>IF(AND($G187='Povolené hodnoty'!$B$13,$H187=AR$4),SUM($I187,$L187,$O187,$R187),"")</f>
        <v/>
      </c>
      <c r="AS187" s="41" t="str">
        <f>IF(AND($G187='Povolené hodnoty'!$B$13,$H187=AS$4),SUM($I187,$L187,$O187,$R187),"")</f>
        <v/>
      </c>
      <c r="AT187" s="39" t="str">
        <f>IF(AND($G187='Povolené hodnoty'!$B$14,$H187=AT$4),SUM($I187,$L187,$O187,$R187),"")</f>
        <v/>
      </c>
      <c r="AU187" s="458" t="str">
        <f>IF(AND($G187='Povolené hodnoty'!$B$14,$H187=AU$4),SUM($I187,$L187,$O187,$R187),"")</f>
        <v/>
      </c>
      <c r="AV187" s="41" t="str">
        <f>IF(AND($G187='Povolené hodnoty'!$B$14,$H187=AV$4),SUM($I187,$L187,$O187,$R187),"")</f>
        <v/>
      </c>
      <c r="AW187" s="39" t="str">
        <f>IF(AND($G187='Povolené hodnoty'!$B$13,$H187=AW$4),SUM($J187,$M187,$P187,$S187),"")</f>
        <v/>
      </c>
      <c r="AX187" s="458" t="str">
        <f>IF(AND($G187='Povolené hodnoty'!$B$13,$H187=AX$4),SUM($J187,$M187,$P187,$S187),"")</f>
        <v/>
      </c>
      <c r="AY187" s="458" t="str">
        <f>IF(AND($G187='Povolené hodnoty'!$B$13,$H187=AY$4),SUM($J187,$M187,$P187,$S187),"")</f>
        <v/>
      </c>
      <c r="AZ187" s="458" t="str">
        <f>IF(AND($G187='Povolené hodnoty'!$B$13,$H187=AZ$4),SUM($J187,$M187,$P187,$S187),"")</f>
        <v/>
      </c>
      <c r="BA187" s="458" t="str">
        <f>IF(AND($G187='Povolené hodnoty'!$B$13,$H187=BA$4),SUM($J187,$M187,$P187,$S187),"")</f>
        <v/>
      </c>
      <c r="BB187" s="40" t="str">
        <f>IF(AND($G187='Povolené hodnoty'!$B$13,$H187=BB$4),SUM($J187,$M187,$P187,$S187),"")</f>
        <v/>
      </c>
      <c r="BC187" s="40" t="str">
        <f>IF(AND($G187='Povolené hodnoty'!$B$13,$H187=BC$4),SUM($J187,$M187,$P187,$S187),"")</f>
        <v/>
      </c>
      <c r="BD187" s="40" t="str">
        <f>IF(AND($G187='Povolené hodnoty'!$B$13,$H187=BD$4),SUM($J187,$M187,$P187,$S187),"")</f>
        <v/>
      </c>
      <c r="BE187" s="41" t="str">
        <f>IF(AND($G187='Povolené hodnoty'!$B$13,$H187=BE$4),SUM($J187,$M187,$P187,$S187),"")</f>
        <v/>
      </c>
      <c r="BF187" s="39" t="str">
        <f>IF(AND($G187='Povolené hodnoty'!$B$14,$H187=BF$4),SUM($J187,$M187,$P187,$S187),"")</f>
        <v/>
      </c>
      <c r="BG187" s="458" t="str">
        <f>IF(AND($G187='Povolené hodnoty'!$B$14,$H187=BG$4),SUM($J187,$M187,$P187,$S187),"")</f>
        <v/>
      </c>
      <c r="BH187" s="458" t="str">
        <f>IF(AND($G187='Povolené hodnoty'!$B$14,$H187=BH$4),SUM($J187,$M187,$P187,$S187),"")</f>
        <v/>
      </c>
      <c r="BI187" s="458" t="str">
        <f>IF(AND($G187='Povolené hodnoty'!$B$14,$H187=BI$4),SUM($J187,$M187,$P187,$S187),"")</f>
        <v/>
      </c>
      <c r="BJ187" s="458" t="str">
        <f>IF(AND($G187='Povolené hodnoty'!$B$14,$H187=BJ$4),SUM($J187,$M187,$P187,$S187),"")</f>
        <v/>
      </c>
      <c r="BK187" s="40" t="str">
        <f>IF(AND($G187='Povolené hodnoty'!$B$14,$H187=BK$4),SUM($J187,$M187,$P187,$S187),"")</f>
        <v/>
      </c>
      <c r="BL187" s="40" t="str">
        <f>IF(AND($G187='Povolené hodnoty'!$B$14,$H187=BL$4),SUM($J187,$M187,$P187,$S187),"")</f>
        <v/>
      </c>
      <c r="BM187" s="41" t="str">
        <f>IF(AND($G187='Povolené hodnoty'!$B$14,$H187=BM$4),SUM($J187,$M187,$P187,$S187),"")</f>
        <v/>
      </c>
      <c r="BO187" s="18" t="b">
        <f t="shared" si="106"/>
        <v>0</v>
      </c>
      <c r="BP187" s="18" t="b">
        <f t="shared" si="77"/>
        <v>0</v>
      </c>
      <c r="BQ187" s="18" t="b">
        <f>AND(E187&lt;&gt;'Povolené hodnoty'!$B$6,F187&lt;&gt;'Povolené hodnoty'!$D$7,F187&lt;&gt;'Povolené hodnoty'!$D$8,OR(SUM(I187,L187,O187,R187)&lt;&gt;SUM(W187:X187,AA187:AG187),SUM(J187,M187,P187,S187)&lt;&gt;SUM(Y187:Z187,AH187:AK187),COUNT(I187:J187,L187:M187,O187:P187,R187:S187)&lt;&gt;COUNT(W187:AK187)))</f>
        <v>0</v>
      </c>
      <c r="BR187" s="18" t="b">
        <f>OR(AND(E187='Povolené hodnoty'!$B$6,$BR$5),AND(E187='Povolené hodnoty'!$B$6,H187&lt;&gt;'Povolené hodnoty'!$E$26,H187&lt;&gt;'Povolené hodnoty'!$E$35),AND(E187&lt;&gt;'Povolené hodnoty'!$B$6,OR(H187='Povolené hodnoty'!$E$26,H187='Povolené hodnoty'!$E$35)))</f>
        <v>0</v>
      </c>
      <c r="BS187" s="18" t="b">
        <f>OR(AND(G187&lt;&gt;'Povolené hodnoty'!$B$13,OR(H187='Povolené hodnoty'!$E$21,H187='Povolené hodnoty'!$E$22,H187='Povolené hodnoty'!$E$23,H187='Povolené hodnoty'!$E$24,H187='Povolené hodnoty'!$E$26,H187='Povolené hodnoty'!$E$36)),COUNT(I187:J187,L187:M187,O187:P187,R187:S187)&lt;&gt;COUNT(AL187:BM187))</f>
        <v>0</v>
      </c>
      <c r="BT187" s="18" t="b">
        <f t="shared" si="78"/>
        <v>0</v>
      </c>
      <c r="BV187" s="39" t="str">
        <f t="shared" si="79"/>
        <v/>
      </c>
      <c r="BW187" s="458" t="str">
        <f t="shared" si="80"/>
        <v/>
      </c>
      <c r="BX187" s="458" t="str">
        <f t="shared" si="81"/>
        <v/>
      </c>
      <c r="BY187" s="458" t="str">
        <f t="shared" si="82"/>
        <v/>
      </c>
      <c r="BZ187" s="458" t="str">
        <f t="shared" si="83"/>
        <v/>
      </c>
      <c r="CA187" s="40" t="str">
        <f t="shared" si="84"/>
        <v/>
      </c>
      <c r="CB187" s="40" t="str">
        <f t="shared" si="85"/>
        <v/>
      </c>
      <c r="CC187" s="39" t="str">
        <f t="shared" si="86"/>
        <v/>
      </c>
      <c r="CD187" s="458" t="str">
        <f t="shared" si="87"/>
        <v/>
      </c>
      <c r="CE187" s="41" t="str">
        <f t="shared" si="88"/>
        <v/>
      </c>
      <c r="CF187" s="39" t="str">
        <f t="shared" si="89"/>
        <v/>
      </c>
      <c r="CG187" s="458" t="str">
        <f t="shared" si="90"/>
        <v/>
      </c>
      <c r="CH187" s="458" t="str">
        <f t="shared" si="91"/>
        <v/>
      </c>
      <c r="CI187" s="458" t="str">
        <f t="shared" si="92"/>
        <v/>
      </c>
      <c r="CJ187" s="458" t="str">
        <f t="shared" si="93"/>
        <v/>
      </c>
      <c r="CK187" s="40" t="str">
        <f t="shared" si="94"/>
        <v/>
      </c>
      <c r="CL187" s="40" t="str">
        <f t="shared" si="95"/>
        <v/>
      </c>
      <c r="CM187" s="40" t="str">
        <f t="shared" si="96"/>
        <v/>
      </c>
      <c r="CN187" s="39" t="str">
        <f t="shared" si="97"/>
        <v/>
      </c>
      <c r="CO187" s="458" t="str">
        <f t="shared" si="98"/>
        <v/>
      </c>
      <c r="CP187" s="458" t="str">
        <f t="shared" si="99"/>
        <v/>
      </c>
      <c r="CQ187" s="458" t="str">
        <f t="shared" si="100"/>
        <v/>
      </c>
      <c r="CR187" s="458" t="str">
        <f t="shared" si="101"/>
        <v/>
      </c>
      <c r="CS187" s="40" t="str">
        <f t="shared" si="102"/>
        <v/>
      </c>
      <c r="CT187" s="40" t="str">
        <f t="shared" si="103"/>
        <v/>
      </c>
      <c r="CU187" s="41" t="str">
        <f t="shared" si="104"/>
        <v/>
      </c>
    </row>
    <row r="188" spans="1:99" x14ac:dyDescent="0.2">
      <c r="A188" s="77">
        <f t="shared" si="105"/>
        <v>183</v>
      </c>
      <c r="B188" s="81"/>
      <c r="C188" s="82"/>
      <c r="D188" s="71"/>
      <c r="E188" s="72"/>
      <c r="F188" s="73"/>
      <c r="G188" s="443"/>
      <c r="H188" s="443"/>
      <c r="I188" s="74"/>
      <c r="J188" s="75"/>
      <c r="K188" s="41">
        <f t="shared" si="109"/>
        <v>3625</v>
      </c>
      <c r="L188" s="104"/>
      <c r="M188" s="105"/>
      <c r="N188" s="106">
        <f t="shared" si="110"/>
        <v>537.05999999999995</v>
      </c>
      <c r="O188" s="104"/>
      <c r="P188" s="105"/>
      <c r="Q188" s="106">
        <f t="shared" si="107"/>
        <v>10045.83</v>
      </c>
      <c r="R188" s="104"/>
      <c r="S188" s="105"/>
      <c r="T188" s="106">
        <f t="shared" si="108"/>
        <v>0</v>
      </c>
      <c r="U188" s="439"/>
      <c r="V188" s="42">
        <f t="shared" si="76"/>
        <v>183</v>
      </c>
      <c r="W188" s="39" t="str">
        <f>IF(AND(E188='Povolené hodnoty'!$B$4,F188=2),I188+L188+O188+R188,"")</f>
        <v/>
      </c>
      <c r="X188" s="41" t="str">
        <f>IF(AND(E188='Povolené hodnoty'!$B$4,F188=1),I188+L188+O188+R188,"")</f>
        <v/>
      </c>
      <c r="Y188" s="39" t="str">
        <f>IF(AND(E188='Povolené hodnoty'!$B$4,F188=10),J188+M188+P188+S188,"")</f>
        <v/>
      </c>
      <c r="Z188" s="41" t="str">
        <f>IF(AND(E188='Povolené hodnoty'!$B$4,F188=9),J188+M188+P188+S188,"")</f>
        <v/>
      </c>
      <c r="AA188" s="39" t="str">
        <f>IF(AND(E188&lt;&gt;'Povolené hodnoty'!$B$4,F188=2),I188+L188+O188+R188,"")</f>
        <v/>
      </c>
      <c r="AB188" s="40" t="str">
        <f>IF(AND(E188&lt;&gt;'Povolené hodnoty'!$B$4,F188=3),I188+L188+O188+R188,"")</f>
        <v/>
      </c>
      <c r="AC188" s="40" t="str">
        <f>IF(AND(E188&lt;&gt;'Povolené hodnoty'!$B$4,F188=4),I188+L188+O188+R188,"")</f>
        <v/>
      </c>
      <c r="AD188" s="40" t="str">
        <f>IF(AND(E188&lt;&gt;'Povolené hodnoty'!$B$4,F188="5a"),I188-J188+L188-M188+O188-P188+R188-S188,"")</f>
        <v/>
      </c>
      <c r="AE188" s="40" t="str">
        <f>IF(AND(E188&lt;&gt;'Povolené hodnoty'!$B$4,F188="5b"),I188-J188+L188-M188+O188-P188+R188-S188,"")</f>
        <v/>
      </c>
      <c r="AF188" s="40" t="str">
        <f>IF(AND(E188&lt;&gt;'Povolené hodnoty'!$B$4,F188=6),I188+L188+O188+R188,"")</f>
        <v/>
      </c>
      <c r="AG188" s="41" t="str">
        <f>IF(AND(E188&lt;&gt;'Povolené hodnoty'!$B$4,F188=7),I188+L188+O188+R188,"")</f>
        <v/>
      </c>
      <c r="AH188" s="39" t="str">
        <f>IF(AND(E188&lt;&gt;'Povolené hodnoty'!$B$4,F188=10),J188+M188+P188+S188,"")</f>
        <v/>
      </c>
      <c r="AI188" s="40" t="str">
        <f>IF(AND(E188&lt;&gt;'Povolené hodnoty'!$B$4,F188=11),J188+M188+P188+S188,"")</f>
        <v/>
      </c>
      <c r="AJ188" s="40" t="str">
        <f>IF(AND(E188&lt;&gt;'Povolené hodnoty'!$B$4,F188=12),J188+M188+P188+S188,"")</f>
        <v/>
      </c>
      <c r="AK188" s="41" t="str">
        <f>IF(AND(E188&lt;&gt;'Povolené hodnoty'!$B$4,F188=13),J188+M188+P188+S188,"")</f>
        <v/>
      </c>
      <c r="AL188" s="39" t="str">
        <f>IF(AND($G188='Povolené hodnoty'!$B$13,$H188=AL$4),SUM($I188,$L188,$O188,$R188),"")</f>
        <v/>
      </c>
      <c r="AM188" s="458" t="str">
        <f>IF(AND($G188='Povolené hodnoty'!$B$13,$H188=AM$4),SUM($I188,$L188,$O188,$R188),"")</f>
        <v/>
      </c>
      <c r="AN188" s="458" t="str">
        <f>IF(AND($G188='Povolené hodnoty'!$B$13,$H188=AN$4),SUM($I188,$L188,$O188,$R188),"")</f>
        <v/>
      </c>
      <c r="AO188" s="458" t="str">
        <f>IF(AND($G188='Povolené hodnoty'!$B$13,$H188=AO$4),SUM($I188,$L188,$O188,$R188),"")</f>
        <v/>
      </c>
      <c r="AP188" s="458" t="str">
        <f>IF(AND($G188='Povolené hodnoty'!$B$13,$H188=AP$4),SUM($I188,$L188,$O188,$R188),"")</f>
        <v/>
      </c>
      <c r="AQ188" s="40" t="str">
        <f>IF(AND($G188='Povolené hodnoty'!$B$13,OR($H188=AQ$4,$H188='Povolené hodnoty'!$E$36)),SUM($I188,-$J188,$L188,-$M188,$O188,-$P188,$R188,-$S188),"")</f>
        <v/>
      </c>
      <c r="AR188" s="40" t="str">
        <f>IF(AND($G188='Povolené hodnoty'!$B$13,$H188=AR$4),SUM($I188,$L188,$O188,$R188),"")</f>
        <v/>
      </c>
      <c r="AS188" s="41" t="str">
        <f>IF(AND($G188='Povolené hodnoty'!$B$13,$H188=AS$4),SUM($I188,$L188,$O188,$R188),"")</f>
        <v/>
      </c>
      <c r="AT188" s="39" t="str">
        <f>IF(AND($G188='Povolené hodnoty'!$B$14,$H188=AT$4),SUM($I188,$L188,$O188,$R188),"")</f>
        <v/>
      </c>
      <c r="AU188" s="458" t="str">
        <f>IF(AND($G188='Povolené hodnoty'!$B$14,$H188=AU$4),SUM($I188,$L188,$O188,$R188),"")</f>
        <v/>
      </c>
      <c r="AV188" s="41" t="str">
        <f>IF(AND($G188='Povolené hodnoty'!$B$14,$H188=AV$4),SUM($I188,$L188,$O188,$R188),"")</f>
        <v/>
      </c>
      <c r="AW188" s="39" t="str">
        <f>IF(AND($G188='Povolené hodnoty'!$B$13,$H188=AW$4),SUM($J188,$M188,$P188,$S188),"")</f>
        <v/>
      </c>
      <c r="AX188" s="458" t="str">
        <f>IF(AND($G188='Povolené hodnoty'!$B$13,$H188=AX$4),SUM($J188,$M188,$P188,$S188),"")</f>
        <v/>
      </c>
      <c r="AY188" s="458" t="str">
        <f>IF(AND($G188='Povolené hodnoty'!$B$13,$H188=AY$4),SUM($J188,$M188,$P188,$S188),"")</f>
        <v/>
      </c>
      <c r="AZ188" s="458" t="str">
        <f>IF(AND($G188='Povolené hodnoty'!$B$13,$H188=AZ$4),SUM($J188,$M188,$P188,$S188),"")</f>
        <v/>
      </c>
      <c r="BA188" s="458" t="str">
        <f>IF(AND($G188='Povolené hodnoty'!$B$13,$H188=BA$4),SUM($J188,$M188,$P188,$S188),"")</f>
        <v/>
      </c>
      <c r="BB188" s="40" t="str">
        <f>IF(AND($G188='Povolené hodnoty'!$B$13,$H188=BB$4),SUM($J188,$M188,$P188,$S188),"")</f>
        <v/>
      </c>
      <c r="BC188" s="40" t="str">
        <f>IF(AND($G188='Povolené hodnoty'!$B$13,$H188=BC$4),SUM($J188,$M188,$P188,$S188),"")</f>
        <v/>
      </c>
      <c r="BD188" s="40" t="str">
        <f>IF(AND($G188='Povolené hodnoty'!$B$13,$H188=BD$4),SUM($J188,$M188,$P188,$S188),"")</f>
        <v/>
      </c>
      <c r="BE188" s="41" t="str">
        <f>IF(AND($G188='Povolené hodnoty'!$B$13,$H188=BE$4),SUM($J188,$M188,$P188,$S188),"")</f>
        <v/>
      </c>
      <c r="BF188" s="39" t="str">
        <f>IF(AND($G188='Povolené hodnoty'!$B$14,$H188=BF$4),SUM($J188,$M188,$P188,$S188),"")</f>
        <v/>
      </c>
      <c r="BG188" s="458" t="str">
        <f>IF(AND($G188='Povolené hodnoty'!$B$14,$H188=BG$4),SUM($J188,$M188,$P188,$S188),"")</f>
        <v/>
      </c>
      <c r="BH188" s="458" t="str">
        <f>IF(AND($G188='Povolené hodnoty'!$B$14,$H188=BH$4),SUM($J188,$M188,$P188,$S188),"")</f>
        <v/>
      </c>
      <c r="BI188" s="458" t="str">
        <f>IF(AND($G188='Povolené hodnoty'!$B$14,$H188=BI$4),SUM($J188,$M188,$P188,$S188),"")</f>
        <v/>
      </c>
      <c r="BJ188" s="458" t="str">
        <f>IF(AND($G188='Povolené hodnoty'!$B$14,$H188=BJ$4),SUM($J188,$M188,$P188,$S188),"")</f>
        <v/>
      </c>
      <c r="BK188" s="40" t="str">
        <f>IF(AND($G188='Povolené hodnoty'!$B$14,$H188=BK$4),SUM($J188,$M188,$P188,$S188),"")</f>
        <v/>
      </c>
      <c r="BL188" s="40" t="str">
        <f>IF(AND($G188='Povolené hodnoty'!$B$14,$H188=BL$4),SUM($J188,$M188,$P188,$S188),"")</f>
        <v/>
      </c>
      <c r="BM188" s="41" t="str">
        <f>IF(AND($G188='Povolené hodnoty'!$B$14,$H188=BM$4),SUM($J188,$M188,$P188,$S188),"")</f>
        <v/>
      </c>
      <c r="BO188" s="18" t="b">
        <f t="shared" si="106"/>
        <v>0</v>
      </c>
      <c r="BP188" s="18" t="b">
        <f t="shared" si="77"/>
        <v>0</v>
      </c>
      <c r="BQ188" s="18" t="b">
        <f>AND(E188&lt;&gt;'Povolené hodnoty'!$B$6,F188&lt;&gt;'Povolené hodnoty'!$D$7,F188&lt;&gt;'Povolené hodnoty'!$D$8,OR(SUM(I188,L188,O188,R188)&lt;&gt;SUM(W188:X188,AA188:AG188),SUM(J188,M188,P188,S188)&lt;&gt;SUM(Y188:Z188,AH188:AK188),COUNT(I188:J188,L188:M188,O188:P188,R188:S188)&lt;&gt;COUNT(W188:AK188)))</f>
        <v>0</v>
      </c>
      <c r="BR188" s="18" t="b">
        <f>OR(AND(E188='Povolené hodnoty'!$B$6,$BR$5),AND(E188='Povolené hodnoty'!$B$6,H188&lt;&gt;'Povolené hodnoty'!$E$26,H188&lt;&gt;'Povolené hodnoty'!$E$35),AND(E188&lt;&gt;'Povolené hodnoty'!$B$6,OR(H188='Povolené hodnoty'!$E$26,H188='Povolené hodnoty'!$E$35)))</f>
        <v>0</v>
      </c>
      <c r="BS188" s="18" t="b">
        <f>OR(AND(G188&lt;&gt;'Povolené hodnoty'!$B$13,OR(H188='Povolené hodnoty'!$E$21,H188='Povolené hodnoty'!$E$22,H188='Povolené hodnoty'!$E$23,H188='Povolené hodnoty'!$E$24,H188='Povolené hodnoty'!$E$26,H188='Povolené hodnoty'!$E$36)),COUNT(I188:J188,L188:M188,O188:P188,R188:S188)&lt;&gt;COUNT(AL188:BM188))</f>
        <v>0</v>
      </c>
      <c r="BT188" s="18" t="b">
        <f t="shared" si="78"/>
        <v>0</v>
      </c>
      <c r="BV188" s="39" t="str">
        <f t="shared" si="79"/>
        <v/>
      </c>
      <c r="BW188" s="458" t="str">
        <f t="shared" si="80"/>
        <v/>
      </c>
      <c r="BX188" s="458" t="str">
        <f t="shared" si="81"/>
        <v/>
      </c>
      <c r="BY188" s="458" t="str">
        <f t="shared" si="82"/>
        <v/>
      </c>
      <c r="BZ188" s="458" t="str">
        <f t="shared" si="83"/>
        <v/>
      </c>
      <c r="CA188" s="40" t="str">
        <f t="shared" si="84"/>
        <v/>
      </c>
      <c r="CB188" s="40" t="str">
        <f t="shared" si="85"/>
        <v/>
      </c>
      <c r="CC188" s="39" t="str">
        <f t="shared" si="86"/>
        <v/>
      </c>
      <c r="CD188" s="458" t="str">
        <f t="shared" si="87"/>
        <v/>
      </c>
      <c r="CE188" s="41" t="str">
        <f t="shared" si="88"/>
        <v/>
      </c>
      <c r="CF188" s="39" t="str">
        <f t="shared" si="89"/>
        <v/>
      </c>
      <c r="CG188" s="458" t="str">
        <f t="shared" si="90"/>
        <v/>
      </c>
      <c r="CH188" s="458" t="str">
        <f t="shared" si="91"/>
        <v/>
      </c>
      <c r="CI188" s="458" t="str">
        <f t="shared" si="92"/>
        <v/>
      </c>
      <c r="CJ188" s="458" t="str">
        <f t="shared" si="93"/>
        <v/>
      </c>
      <c r="CK188" s="40" t="str">
        <f t="shared" si="94"/>
        <v/>
      </c>
      <c r="CL188" s="40" t="str">
        <f t="shared" si="95"/>
        <v/>
      </c>
      <c r="CM188" s="40" t="str">
        <f t="shared" si="96"/>
        <v/>
      </c>
      <c r="CN188" s="39" t="str">
        <f t="shared" si="97"/>
        <v/>
      </c>
      <c r="CO188" s="458" t="str">
        <f t="shared" si="98"/>
        <v/>
      </c>
      <c r="CP188" s="458" t="str">
        <f t="shared" si="99"/>
        <v/>
      </c>
      <c r="CQ188" s="458" t="str">
        <f t="shared" si="100"/>
        <v/>
      </c>
      <c r="CR188" s="458" t="str">
        <f t="shared" si="101"/>
        <v/>
      </c>
      <c r="CS188" s="40" t="str">
        <f t="shared" si="102"/>
        <v/>
      </c>
      <c r="CT188" s="40" t="str">
        <f t="shared" si="103"/>
        <v/>
      </c>
      <c r="CU188" s="41" t="str">
        <f t="shared" si="104"/>
        <v/>
      </c>
    </row>
    <row r="189" spans="1:99" x14ac:dyDescent="0.2">
      <c r="A189" s="77">
        <f t="shared" si="105"/>
        <v>184</v>
      </c>
      <c r="B189" s="81"/>
      <c r="C189" s="82"/>
      <c r="D189" s="71"/>
      <c r="E189" s="72"/>
      <c r="F189" s="73"/>
      <c r="G189" s="443"/>
      <c r="H189" s="443"/>
      <c r="I189" s="74"/>
      <c r="J189" s="75"/>
      <c r="K189" s="41">
        <f t="shared" si="109"/>
        <v>3625</v>
      </c>
      <c r="L189" s="104"/>
      <c r="M189" s="105"/>
      <c r="N189" s="106">
        <f t="shared" si="110"/>
        <v>537.05999999999995</v>
      </c>
      <c r="O189" s="104"/>
      <c r="P189" s="105"/>
      <c r="Q189" s="106">
        <f t="shared" si="107"/>
        <v>10045.83</v>
      </c>
      <c r="R189" s="104"/>
      <c r="S189" s="105"/>
      <c r="T189" s="106">
        <f t="shared" si="108"/>
        <v>0</v>
      </c>
      <c r="U189" s="439"/>
      <c r="V189" s="42">
        <f t="shared" si="76"/>
        <v>184</v>
      </c>
      <c r="W189" s="39" t="str">
        <f>IF(AND(E189='Povolené hodnoty'!$B$4,F189=2),I189+L189+O189+R189,"")</f>
        <v/>
      </c>
      <c r="X189" s="41" t="str">
        <f>IF(AND(E189='Povolené hodnoty'!$B$4,F189=1),I189+L189+O189+R189,"")</f>
        <v/>
      </c>
      <c r="Y189" s="39" t="str">
        <f>IF(AND(E189='Povolené hodnoty'!$B$4,F189=10),J189+M189+P189+S189,"")</f>
        <v/>
      </c>
      <c r="Z189" s="41" t="str">
        <f>IF(AND(E189='Povolené hodnoty'!$B$4,F189=9),J189+M189+P189+S189,"")</f>
        <v/>
      </c>
      <c r="AA189" s="39" t="str">
        <f>IF(AND(E189&lt;&gt;'Povolené hodnoty'!$B$4,F189=2),I189+L189+O189+R189,"")</f>
        <v/>
      </c>
      <c r="AB189" s="40" t="str">
        <f>IF(AND(E189&lt;&gt;'Povolené hodnoty'!$B$4,F189=3),I189+L189+O189+R189,"")</f>
        <v/>
      </c>
      <c r="AC189" s="40" t="str">
        <f>IF(AND(E189&lt;&gt;'Povolené hodnoty'!$B$4,F189=4),I189+L189+O189+R189,"")</f>
        <v/>
      </c>
      <c r="AD189" s="40" t="str">
        <f>IF(AND(E189&lt;&gt;'Povolené hodnoty'!$B$4,F189="5a"),I189-J189+L189-M189+O189-P189+R189-S189,"")</f>
        <v/>
      </c>
      <c r="AE189" s="40" t="str">
        <f>IF(AND(E189&lt;&gt;'Povolené hodnoty'!$B$4,F189="5b"),I189-J189+L189-M189+O189-P189+R189-S189,"")</f>
        <v/>
      </c>
      <c r="AF189" s="40" t="str">
        <f>IF(AND(E189&lt;&gt;'Povolené hodnoty'!$B$4,F189=6),I189+L189+O189+R189,"")</f>
        <v/>
      </c>
      <c r="AG189" s="41" t="str">
        <f>IF(AND(E189&lt;&gt;'Povolené hodnoty'!$B$4,F189=7),I189+L189+O189+R189,"")</f>
        <v/>
      </c>
      <c r="AH189" s="39" t="str">
        <f>IF(AND(E189&lt;&gt;'Povolené hodnoty'!$B$4,F189=10),J189+M189+P189+S189,"")</f>
        <v/>
      </c>
      <c r="AI189" s="40" t="str">
        <f>IF(AND(E189&lt;&gt;'Povolené hodnoty'!$B$4,F189=11),J189+M189+P189+S189,"")</f>
        <v/>
      </c>
      <c r="AJ189" s="40" t="str">
        <f>IF(AND(E189&lt;&gt;'Povolené hodnoty'!$B$4,F189=12),J189+M189+P189+S189,"")</f>
        <v/>
      </c>
      <c r="AK189" s="41" t="str">
        <f>IF(AND(E189&lt;&gt;'Povolené hodnoty'!$B$4,F189=13),J189+M189+P189+S189,"")</f>
        <v/>
      </c>
      <c r="AL189" s="39" t="str">
        <f>IF(AND($G189='Povolené hodnoty'!$B$13,$H189=AL$4),SUM($I189,$L189,$O189,$R189),"")</f>
        <v/>
      </c>
      <c r="AM189" s="458" t="str">
        <f>IF(AND($G189='Povolené hodnoty'!$B$13,$H189=AM$4),SUM($I189,$L189,$O189,$R189),"")</f>
        <v/>
      </c>
      <c r="AN189" s="458" t="str">
        <f>IF(AND($G189='Povolené hodnoty'!$B$13,$H189=AN$4),SUM($I189,$L189,$O189,$R189),"")</f>
        <v/>
      </c>
      <c r="AO189" s="458" t="str">
        <f>IF(AND($G189='Povolené hodnoty'!$B$13,$H189=AO$4),SUM($I189,$L189,$O189,$R189),"")</f>
        <v/>
      </c>
      <c r="AP189" s="458" t="str">
        <f>IF(AND($G189='Povolené hodnoty'!$B$13,$H189=AP$4),SUM($I189,$L189,$O189,$R189),"")</f>
        <v/>
      </c>
      <c r="AQ189" s="40" t="str">
        <f>IF(AND($G189='Povolené hodnoty'!$B$13,OR($H189=AQ$4,$H189='Povolené hodnoty'!$E$36)),SUM($I189,-$J189,$L189,-$M189,$O189,-$P189,$R189,-$S189),"")</f>
        <v/>
      </c>
      <c r="AR189" s="40" t="str">
        <f>IF(AND($G189='Povolené hodnoty'!$B$13,$H189=AR$4),SUM($I189,$L189,$O189,$R189),"")</f>
        <v/>
      </c>
      <c r="AS189" s="41" t="str">
        <f>IF(AND($G189='Povolené hodnoty'!$B$13,$H189=AS$4),SUM($I189,$L189,$O189,$R189),"")</f>
        <v/>
      </c>
      <c r="AT189" s="39" t="str">
        <f>IF(AND($G189='Povolené hodnoty'!$B$14,$H189=AT$4),SUM($I189,$L189,$O189,$R189),"")</f>
        <v/>
      </c>
      <c r="AU189" s="458" t="str">
        <f>IF(AND($G189='Povolené hodnoty'!$B$14,$H189=AU$4),SUM($I189,$L189,$O189,$R189),"")</f>
        <v/>
      </c>
      <c r="AV189" s="41" t="str">
        <f>IF(AND($G189='Povolené hodnoty'!$B$14,$H189=AV$4),SUM($I189,$L189,$O189,$R189),"")</f>
        <v/>
      </c>
      <c r="AW189" s="39" t="str">
        <f>IF(AND($G189='Povolené hodnoty'!$B$13,$H189=AW$4),SUM($J189,$M189,$P189,$S189),"")</f>
        <v/>
      </c>
      <c r="AX189" s="458" t="str">
        <f>IF(AND($G189='Povolené hodnoty'!$B$13,$H189=AX$4),SUM($J189,$M189,$P189,$S189),"")</f>
        <v/>
      </c>
      <c r="AY189" s="458" t="str">
        <f>IF(AND($G189='Povolené hodnoty'!$B$13,$H189=AY$4),SUM($J189,$M189,$P189,$S189),"")</f>
        <v/>
      </c>
      <c r="AZ189" s="458" t="str">
        <f>IF(AND($G189='Povolené hodnoty'!$B$13,$H189=AZ$4),SUM($J189,$M189,$P189,$S189),"")</f>
        <v/>
      </c>
      <c r="BA189" s="458" t="str">
        <f>IF(AND($G189='Povolené hodnoty'!$B$13,$H189=BA$4),SUM($J189,$M189,$P189,$S189),"")</f>
        <v/>
      </c>
      <c r="BB189" s="40" t="str">
        <f>IF(AND($G189='Povolené hodnoty'!$B$13,$H189=BB$4),SUM($J189,$M189,$P189,$S189),"")</f>
        <v/>
      </c>
      <c r="BC189" s="40" t="str">
        <f>IF(AND($G189='Povolené hodnoty'!$B$13,$H189=BC$4),SUM($J189,$M189,$P189,$S189),"")</f>
        <v/>
      </c>
      <c r="BD189" s="40" t="str">
        <f>IF(AND($G189='Povolené hodnoty'!$B$13,$H189=BD$4),SUM($J189,$M189,$P189,$S189),"")</f>
        <v/>
      </c>
      <c r="BE189" s="41" t="str">
        <f>IF(AND($G189='Povolené hodnoty'!$B$13,$H189=BE$4),SUM($J189,$M189,$P189,$S189),"")</f>
        <v/>
      </c>
      <c r="BF189" s="39" t="str">
        <f>IF(AND($G189='Povolené hodnoty'!$B$14,$H189=BF$4),SUM($J189,$M189,$P189,$S189),"")</f>
        <v/>
      </c>
      <c r="BG189" s="458" t="str">
        <f>IF(AND($G189='Povolené hodnoty'!$B$14,$H189=BG$4),SUM($J189,$M189,$P189,$S189),"")</f>
        <v/>
      </c>
      <c r="BH189" s="458" t="str">
        <f>IF(AND($G189='Povolené hodnoty'!$B$14,$H189=BH$4),SUM($J189,$M189,$P189,$S189),"")</f>
        <v/>
      </c>
      <c r="BI189" s="458" t="str">
        <f>IF(AND($G189='Povolené hodnoty'!$B$14,$H189=BI$4),SUM($J189,$M189,$P189,$S189),"")</f>
        <v/>
      </c>
      <c r="BJ189" s="458" t="str">
        <f>IF(AND($G189='Povolené hodnoty'!$B$14,$H189=BJ$4),SUM($J189,$M189,$P189,$S189),"")</f>
        <v/>
      </c>
      <c r="BK189" s="40" t="str">
        <f>IF(AND($G189='Povolené hodnoty'!$B$14,$H189=BK$4),SUM($J189,$M189,$P189,$S189),"")</f>
        <v/>
      </c>
      <c r="BL189" s="40" t="str">
        <f>IF(AND($G189='Povolené hodnoty'!$B$14,$H189=BL$4),SUM($J189,$M189,$P189,$S189),"")</f>
        <v/>
      </c>
      <c r="BM189" s="41" t="str">
        <f>IF(AND($G189='Povolené hodnoty'!$B$14,$H189=BM$4),SUM($J189,$M189,$P189,$S189),"")</f>
        <v/>
      </c>
      <c r="BO189" s="18" t="b">
        <f t="shared" si="106"/>
        <v>0</v>
      </c>
      <c r="BP189" s="18" t="b">
        <f t="shared" si="77"/>
        <v>0</v>
      </c>
      <c r="BQ189" s="18" t="b">
        <f>AND(E189&lt;&gt;'Povolené hodnoty'!$B$6,F189&lt;&gt;'Povolené hodnoty'!$D$7,F189&lt;&gt;'Povolené hodnoty'!$D$8,OR(SUM(I189,L189,O189,R189)&lt;&gt;SUM(W189:X189,AA189:AG189),SUM(J189,M189,P189,S189)&lt;&gt;SUM(Y189:Z189,AH189:AK189),COUNT(I189:J189,L189:M189,O189:P189,R189:S189)&lt;&gt;COUNT(W189:AK189)))</f>
        <v>0</v>
      </c>
      <c r="BR189" s="18" t="b">
        <f>OR(AND(E189='Povolené hodnoty'!$B$6,$BR$5),AND(E189='Povolené hodnoty'!$B$6,H189&lt;&gt;'Povolené hodnoty'!$E$26,H189&lt;&gt;'Povolené hodnoty'!$E$35),AND(E189&lt;&gt;'Povolené hodnoty'!$B$6,OR(H189='Povolené hodnoty'!$E$26,H189='Povolené hodnoty'!$E$35)))</f>
        <v>0</v>
      </c>
      <c r="BS189" s="18" t="b">
        <f>OR(AND(G189&lt;&gt;'Povolené hodnoty'!$B$13,OR(H189='Povolené hodnoty'!$E$21,H189='Povolené hodnoty'!$E$22,H189='Povolené hodnoty'!$E$23,H189='Povolené hodnoty'!$E$24,H189='Povolené hodnoty'!$E$26,H189='Povolené hodnoty'!$E$36)),COUNT(I189:J189,L189:M189,O189:P189,R189:S189)&lt;&gt;COUNT(AL189:BM189))</f>
        <v>0</v>
      </c>
      <c r="BT189" s="18" t="b">
        <f t="shared" si="78"/>
        <v>0</v>
      </c>
      <c r="BV189" s="39" t="str">
        <f t="shared" si="79"/>
        <v/>
      </c>
      <c r="BW189" s="458" t="str">
        <f t="shared" si="80"/>
        <v/>
      </c>
      <c r="BX189" s="458" t="str">
        <f t="shared" si="81"/>
        <v/>
      </c>
      <c r="BY189" s="458" t="str">
        <f t="shared" si="82"/>
        <v/>
      </c>
      <c r="BZ189" s="458" t="str">
        <f t="shared" si="83"/>
        <v/>
      </c>
      <c r="CA189" s="40" t="str">
        <f t="shared" si="84"/>
        <v/>
      </c>
      <c r="CB189" s="40" t="str">
        <f t="shared" si="85"/>
        <v/>
      </c>
      <c r="CC189" s="39" t="str">
        <f t="shared" si="86"/>
        <v/>
      </c>
      <c r="CD189" s="458" t="str">
        <f t="shared" si="87"/>
        <v/>
      </c>
      <c r="CE189" s="41" t="str">
        <f t="shared" si="88"/>
        <v/>
      </c>
      <c r="CF189" s="39" t="str">
        <f t="shared" si="89"/>
        <v/>
      </c>
      <c r="CG189" s="458" t="str">
        <f t="shared" si="90"/>
        <v/>
      </c>
      <c r="CH189" s="458" t="str">
        <f t="shared" si="91"/>
        <v/>
      </c>
      <c r="CI189" s="458" t="str">
        <f t="shared" si="92"/>
        <v/>
      </c>
      <c r="CJ189" s="458" t="str">
        <f t="shared" si="93"/>
        <v/>
      </c>
      <c r="CK189" s="40" t="str">
        <f t="shared" si="94"/>
        <v/>
      </c>
      <c r="CL189" s="40" t="str">
        <f t="shared" si="95"/>
        <v/>
      </c>
      <c r="CM189" s="40" t="str">
        <f t="shared" si="96"/>
        <v/>
      </c>
      <c r="CN189" s="39" t="str">
        <f t="shared" si="97"/>
        <v/>
      </c>
      <c r="CO189" s="458" t="str">
        <f t="shared" si="98"/>
        <v/>
      </c>
      <c r="CP189" s="458" t="str">
        <f t="shared" si="99"/>
        <v/>
      </c>
      <c r="CQ189" s="458" t="str">
        <f t="shared" si="100"/>
        <v/>
      </c>
      <c r="CR189" s="458" t="str">
        <f t="shared" si="101"/>
        <v/>
      </c>
      <c r="CS189" s="40" t="str">
        <f t="shared" si="102"/>
        <v/>
      </c>
      <c r="CT189" s="40" t="str">
        <f t="shared" si="103"/>
        <v/>
      </c>
      <c r="CU189" s="41" t="str">
        <f t="shared" si="104"/>
        <v/>
      </c>
    </row>
    <row r="190" spans="1:99" x14ac:dyDescent="0.2">
      <c r="A190" s="77">
        <f t="shared" si="105"/>
        <v>185</v>
      </c>
      <c r="B190" s="81"/>
      <c r="C190" s="82"/>
      <c r="D190" s="71"/>
      <c r="E190" s="72"/>
      <c r="F190" s="73"/>
      <c r="G190" s="443"/>
      <c r="H190" s="443"/>
      <c r="I190" s="74"/>
      <c r="J190" s="75"/>
      <c r="K190" s="41">
        <f t="shared" si="109"/>
        <v>3625</v>
      </c>
      <c r="L190" s="104"/>
      <c r="M190" s="105"/>
      <c r="N190" s="106">
        <f t="shared" si="110"/>
        <v>537.05999999999995</v>
      </c>
      <c r="O190" s="104"/>
      <c r="P190" s="105"/>
      <c r="Q190" s="106">
        <f t="shared" si="107"/>
        <v>10045.83</v>
      </c>
      <c r="R190" s="104"/>
      <c r="S190" s="105"/>
      <c r="T190" s="106">
        <f t="shared" si="108"/>
        <v>0</v>
      </c>
      <c r="U190" s="439"/>
      <c r="V190" s="42">
        <f t="shared" si="76"/>
        <v>185</v>
      </c>
      <c r="W190" s="39" t="str">
        <f>IF(AND(E190='Povolené hodnoty'!$B$4,F190=2),I190+L190+O190+R190,"")</f>
        <v/>
      </c>
      <c r="X190" s="41" t="str">
        <f>IF(AND(E190='Povolené hodnoty'!$B$4,F190=1),I190+L190+O190+R190,"")</f>
        <v/>
      </c>
      <c r="Y190" s="39" t="str">
        <f>IF(AND(E190='Povolené hodnoty'!$B$4,F190=10),J190+M190+P190+S190,"")</f>
        <v/>
      </c>
      <c r="Z190" s="41" t="str">
        <f>IF(AND(E190='Povolené hodnoty'!$B$4,F190=9),J190+M190+P190+S190,"")</f>
        <v/>
      </c>
      <c r="AA190" s="39" t="str">
        <f>IF(AND(E190&lt;&gt;'Povolené hodnoty'!$B$4,F190=2),I190+L190+O190+R190,"")</f>
        <v/>
      </c>
      <c r="AB190" s="40" t="str">
        <f>IF(AND(E190&lt;&gt;'Povolené hodnoty'!$B$4,F190=3),I190+L190+O190+R190,"")</f>
        <v/>
      </c>
      <c r="AC190" s="40" t="str">
        <f>IF(AND(E190&lt;&gt;'Povolené hodnoty'!$B$4,F190=4),I190+L190+O190+R190,"")</f>
        <v/>
      </c>
      <c r="AD190" s="40" t="str">
        <f>IF(AND(E190&lt;&gt;'Povolené hodnoty'!$B$4,F190="5a"),I190-J190+L190-M190+O190-P190+R190-S190,"")</f>
        <v/>
      </c>
      <c r="AE190" s="40" t="str">
        <f>IF(AND(E190&lt;&gt;'Povolené hodnoty'!$B$4,F190="5b"),I190-J190+L190-M190+O190-P190+R190-S190,"")</f>
        <v/>
      </c>
      <c r="AF190" s="40" t="str">
        <f>IF(AND(E190&lt;&gt;'Povolené hodnoty'!$B$4,F190=6),I190+L190+O190+R190,"")</f>
        <v/>
      </c>
      <c r="AG190" s="41" t="str">
        <f>IF(AND(E190&lt;&gt;'Povolené hodnoty'!$B$4,F190=7),I190+L190+O190+R190,"")</f>
        <v/>
      </c>
      <c r="AH190" s="39" t="str">
        <f>IF(AND(E190&lt;&gt;'Povolené hodnoty'!$B$4,F190=10),J190+M190+P190+S190,"")</f>
        <v/>
      </c>
      <c r="AI190" s="40" t="str">
        <f>IF(AND(E190&lt;&gt;'Povolené hodnoty'!$B$4,F190=11),J190+M190+P190+S190,"")</f>
        <v/>
      </c>
      <c r="AJ190" s="40" t="str">
        <f>IF(AND(E190&lt;&gt;'Povolené hodnoty'!$B$4,F190=12),J190+M190+P190+S190,"")</f>
        <v/>
      </c>
      <c r="AK190" s="41" t="str">
        <f>IF(AND(E190&lt;&gt;'Povolené hodnoty'!$B$4,F190=13),J190+M190+P190+S190,"")</f>
        <v/>
      </c>
      <c r="AL190" s="39" t="str">
        <f>IF(AND($G190='Povolené hodnoty'!$B$13,$H190=AL$4),SUM($I190,$L190,$O190,$R190),"")</f>
        <v/>
      </c>
      <c r="AM190" s="458" t="str">
        <f>IF(AND($G190='Povolené hodnoty'!$B$13,$H190=AM$4),SUM($I190,$L190,$O190,$R190),"")</f>
        <v/>
      </c>
      <c r="AN190" s="458" t="str">
        <f>IF(AND($G190='Povolené hodnoty'!$B$13,$H190=AN$4),SUM($I190,$L190,$O190,$R190),"")</f>
        <v/>
      </c>
      <c r="AO190" s="458" t="str">
        <f>IF(AND($G190='Povolené hodnoty'!$B$13,$H190=AO$4),SUM($I190,$L190,$O190,$R190),"")</f>
        <v/>
      </c>
      <c r="AP190" s="458" t="str">
        <f>IF(AND($G190='Povolené hodnoty'!$B$13,$H190=AP$4),SUM($I190,$L190,$O190,$R190),"")</f>
        <v/>
      </c>
      <c r="AQ190" s="40" t="str">
        <f>IF(AND($G190='Povolené hodnoty'!$B$13,OR($H190=AQ$4,$H190='Povolené hodnoty'!$E$36)),SUM($I190,-$J190,$L190,-$M190,$O190,-$P190,$R190,-$S190),"")</f>
        <v/>
      </c>
      <c r="AR190" s="40" t="str">
        <f>IF(AND($G190='Povolené hodnoty'!$B$13,$H190=AR$4),SUM($I190,$L190,$O190,$R190),"")</f>
        <v/>
      </c>
      <c r="AS190" s="41" t="str">
        <f>IF(AND($G190='Povolené hodnoty'!$B$13,$H190=AS$4),SUM($I190,$L190,$O190,$R190),"")</f>
        <v/>
      </c>
      <c r="AT190" s="39" t="str">
        <f>IF(AND($G190='Povolené hodnoty'!$B$14,$H190=AT$4),SUM($I190,$L190,$O190,$R190),"")</f>
        <v/>
      </c>
      <c r="AU190" s="458" t="str">
        <f>IF(AND($G190='Povolené hodnoty'!$B$14,$H190=AU$4),SUM($I190,$L190,$O190,$R190),"")</f>
        <v/>
      </c>
      <c r="AV190" s="41" t="str">
        <f>IF(AND($G190='Povolené hodnoty'!$B$14,$H190=AV$4),SUM($I190,$L190,$O190,$R190),"")</f>
        <v/>
      </c>
      <c r="AW190" s="39" t="str">
        <f>IF(AND($G190='Povolené hodnoty'!$B$13,$H190=AW$4),SUM($J190,$M190,$P190,$S190),"")</f>
        <v/>
      </c>
      <c r="AX190" s="458" t="str">
        <f>IF(AND($G190='Povolené hodnoty'!$B$13,$H190=AX$4),SUM($J190,$M190,$P190,$S190),"")</f>
        <v/>
      </c>
      <c r="AY190" s="458" t="str">
        <f>IF(AND($G190='Povolené hodnoty'!$B$13,$H190=AY$4),SUM($J190,$M190,$P190,$S190),"")</f>
        <v/>
      </c>
      <c r="AZ190" s="458" t="str">
        <f>IF(AND($G190='Povolené hodnoty'!$B$13,$H190=AZ$4),SUM($J190,$M190,$P190,$S190),"")</f>
        <v/>
      </c>
      <c r="BA190" s="458" t="str">
        <f>IF(AND($G190='Povolené hodnoty'!$B$13,$H190=BA$4),SUM($J190,$M190,$P190,$S190),"")</f>
        <v/>
      </c>
      <c r="BB190" s="40" t="str">
        <f>IF(AND($G190='Povolené hodnoty'!$B$13,$H190=BB$4),SUM($J190,$M190,$P190,$S190),"")</f>
        <v/>
      </c>
      <c r="BC190" s="40" t="str">
        <f>IF(AND($G190='Povolené hodnoty'!$B$13,$H190=BC$4),SUM($J190,$M190,$P190,$S190),"")</f>
        <v/>
      </c>
      <c r="BD190" s="40" t="str">
        <f>IF(AND($G190='Povolené hodnoty'!$B$13,$H190=BD$4),SUM($J190,$M190,$P190,$S190),"")</f>
        <v/>
      </c>
      <c r="BE190" s="41" t="str">
        <f>IF(AND($G190='Povolené hodnoty'!$B$13,$H190=BE$4),SUM($J190,$M190,$P190,$S190),"")</f>
        <v/>
      </c>
      <c r="BF190" s="39" t="str">
        <f>IF(AND($G190='Povolené hodnoty'!$B$14,$H190=BF$4),SUM($J190,$M190,$P190,$S190),"")</f>
        <v/>
      </c>
      <c r="BG190" s="458" t="str">
        <f>IF(AND($G190='Povolené hodnoty'!$B$14,$H190=BG$4),SUM($J190,$M190,$P190,$S190),"")</f>
        <v/>
      </c>
      <c r="BH190" s="458" t="str">
        <f>IF(AND($G190='Povolené hodnoty'!$B$14,$H190=BH$4),SUM($J190,$M190,$P190,$S190),"")</f>
        <v/>
      </c>
      <c r="BI190" s="458" t="str">
        <f>IF(AND($G190='Povolené hodnoty'!$B$14,$H190=BI$4),SUM($J190,$M190,$P190,$S190),"")</f>
        <v/>
      </c>
      <c r="BJ190" s="458" t="str">
        <f>IF(AND($G190='Povolené hodnoty'!$B$14,$H190=BJ$4),SUM($J190,$M190,$P190,$S190),"")</f>
        <v/>
      </c>
      <c r="BK190" s="40" t="str">
        <f>IF(AND($G190='Povolené hodnoty'!$B$14,$H190=BK$4),SUM($J190,$M190,$P190,$S190),"")</f>
        <v/>
      </c>
      <c r="BL190" s="40" t="str">
        <f>IF(AND($G190='Povolené hodnoty'!$B$14,$H190=BL$4),SUM($J190,$M190,$P190,$S190),"")</f>
        <v/>
      </c>
      <c r="BM190" s="41" t="str">
        <f>IF(AND($G190='Povolené hodnoty'!$B$14,$H190=BM$4),SUM($J190,$M190,$P190,$S190),"")</f>
        <v/>
      </c>
      <c r="BO190" s="18" t="b">
        <f t="shared" si="106"/>
        <v>0</v>
      </c>
      <c r="BP190" s="18" t="b">
        <f t="shared" si="77"/>
        <v>0</v>
      </c>
      <c r="BQ190" s="18" t="b">
        <f>AND(E190&lt;&gt;'Povolené hodnoty'!$B$6,F190&lt;&gt;'Povolené hodnoty'!$D$7,F190&lt;&gt;'Povolené hodnoty'!$D$8,OR(SUM(I190,L190,O190,R190)&lt;&gt;SUM(W190:X190,AA190:AG190),SUM(J190,M190,P190,S190)&lt;&gt;SUM(Y190:Z190,AH190:AK190),COUNT(I190:J190,L190:M190,O190:P190,R190:S190)&lt;&gt;COUNT(W190:AK190)))</f>
        <v>0</v>
      </c>
      <c r="BR190" s="18" t="b">
        <f>OR(AND(E190='Povolené hodnoty'!$B$6,$BR$5),AND(E190='Povolené hodnoty'!$B$6,H190&lt;&gt;'Povolené hodnoty'!$E$26,H190&lt;&gt;'Povolené hodnoty'!$E$35),AND(E190&lt;&gt;'Povolené hodnoty'!$B$6,OR(H190='Povolené hodnoty'!$E$26,H190='Povolené hodnoty'!$E$35)))</f>
        <v>0</v>
      </c>
      <c r="BS190" s="18" t="b">
        <f>OR(AND(G190&lt;&gt;'Povolené hodnoty'!$B$13,OR(H190='Povolené hodnoty'!$E$21,H190='Povolené hodnoty'!$E$22,H190='Povolené hodnoty'!$E$23,H190='Povolené hodnoty'!$E$24,H190='Povolené hodnoty'!$E$26,H190='Povolené hodnoty'!$E$36)),COUNT(I190:J190,L190:M190,O190:P190,R190:S190)&lt;&gt;COUNT(AL190:BM190))</f>
        <v>0</v>
      </c>
      <c r="BT190" s="18" t="b">
        <f t="shared" si="78"/>
        <v>0</v>
      </c>
      <c r="BV190" s="39" t="str">
        <f t="shared" si="79"/>
        <v/>
      </c>
      <c r="BW190" s="458" t="str">
        <f t="shared" si="80"/>
        <v/>
      </c>
      <c r="BX190" s="458" t="str">
        <f t="shared" si="81"/>
        <v/>
      </c>
      <c r="BY190" s="458" t="str">
        <f t="shared" si="82"/>
        <v/>
      </c>
      <c r="BZ190" s="458" t="str">
        <f t="shared" si="83"/>
        <v/>
      </c>
      <c r="CA190" s="40" t="str">
        <f t="shared" si="84"/>
        <v/>
      </c>
      <c r="CB190" s="40" t="str">
        <f t="shared" si="85"/>
        <v/>
      </c>
      <c r="CC190" s="39" t="str">
        <f t="shared" si="86"/>
        <v/>
      </c>
      <c r="CD190" s="458" t="str">
        <f t="shared" si="87"/>
        <v/>
      </c>
      <c r="CE190" s="41" t="str">
        <f t="shared" si="88"/>
        <v/>
      </c>
      <c r="CF190" s="39" t="str">
        <f t="shared" si="89"/>
        <v/>
      </c>
      <c r="CG190" s="458" t="str">
        <f t="shared" si="90"/>
        <v/>
      </c>
      <c r="CH190" s="458" t="str">
        <f t="shared" si="91"/>
        <v/>
      </c>
      <c r="CI190" s="458" t="str">
        <f t="shared" si="92"/>
        <v/>
      </c>
      <c r="CJ190" s="458" t="str">
        <f t="shared" si="93"/>
        <v/>
      </c>
      <c r="CK190" s="40" t="str">
        <f t="shared" si="94"/>
        <v/>
      </c>
      <c r="CL190" s="40" t="str">
        <f t="shared" si="95"/>
        <v/>
      </c>
      <c r="CM190" s="40" t="str">
        <f t="shared" si="96"/>
        <v/>
      </c>
      <c r="CN190" s="39" t="str">
        <f t="shared" si="97"/>
        <v/>
      </c>
      <c r="CO190" s="458" t="str">
        <f t="shared" si="98"/>
        <v/>
      </c>
      <c r="CP190" s="458" t="str">
        <f t="shared" si="99"/>
        <v/>
      </c>
      <c r="CQ190" s="458" t="str">
        <f t="shared" si="100"/>
        <v/>
      </c>
      <c r="CR190" s="458" t="str">
        <f t="shared" si="101"/>
        <v/>
      </c>
      <c r="CS190" s="40" t="str">
        <f t="shared" si="102"/>
        <v/>
      </c>
      <c r="CT190" s="40" t="str">
        <f t="shared" si="103"/>
        <v/>
      </c>
      <c r="CU190" s="41" t="str">
        <f t="shared" si="104"/>
        <v/>
      </c>
    </row>
    <row r="191" spans="1:99" x14ac:dyDescent="0.2">
      <c r="A191" s="77">
        <f t="shared" si="105"/>
        <v>186</v>
      </c>
      <c r="B191" s="81"/>
      <c r="C191" s="82"/>
      <c r="D191" s="71"/>
      <c r="E191" s="72"/>
      <c r="F191" s="73"/>
      <c r="G191" s="443"/>
      <c r="H191" s="443"/>
      <c r="I191" s="74"/>
      <c r="J191" s="75"/>
      <c r="K191" s="41">
        <f t="shared" si="109"/>
        <v>3625</v>
      </c>
      <c r="L191" s="104"/>
      <c r="M191" s="105"/>
      <c r="N191" s="106">
        <f t="shared" si="110"/>
        <v>537.05999999999995</v>
      </c>
      <c r="O191" s="104"/>
      <c r="P191" s="105"/>
      <c r="Q191" s="106">
        <f t="shared" si="107"/>
        <v>10045.83</v>
      </c>
      <c r="R191" s="104"/>
      <c r="S191" s="105"/>
      <c r="T191" s="106">
        <f t="shared" si="108"/>
        <v>0</v>
      </c>
      <c r="U191" s="439"/>
      <c r="V191" s="42">
        <f t="shared" si="76"/>
        <v>186</v>
      </c>
      <c r="W191" s="39" t="str">
        <f>IF(AND(E191='Povolené hodnoty'!$B$4,F191=2),I191+L191+O191+R191,"")</f>
        <v/>
      </c>
      <c r="X191" s="41" t="str">
        <f>IF(AND(E191='Povolené hodnoty'!$B$4,F191=1),I191+L191+O191+R191,"")</f>
        <v/>
      </c>
      <c r="Y191" s="39" t="str">
        <f>IF(AND(E191='Povolené hodnoty'!$B$4,F191=10),J191+M191+P191+S191,"")</f>
        <v/>
      </c>
      <c r="Z191" s="41" t="str">
        <f>IF(AND(E191='Povolené hodnoty'!$B$4,F191=9),J191+M191+P191+S191,"")</f>
        <v/>
      </c>
      <c r="AA191" s="39" t="str">
        <f>IF(AND(E191&lt;&gt;'Povolené hodnoty'!$B$4,F191=2),I191+L191+O191+R191,"")</f>
        <v/>
      </c>
      <c r="AB191" s="40" t="str">
        <f>IF(AND(E191&lt;&gt;'Povolené hodnoty'!$B$4,F191=3),I191+L191+O191+R191,"")</f>
        <v/>
      </c>
      <c r="AC191" s="40" t="str">
        <f>IF(AND(E191&lt;&gt;'Povolené hodnoty'!$B$4,F191=4),I191+L191+O191+R191,"")</f>
        <v/>
      </c>
      <c r="AD191" s="40" t="str">
        <f>IF(AND(E191&lt;&gt;'Povolené hodnoty'!$B$4,F191="5a"),I191-J191+L191-M191+O191-P191+R191-S191,"")</f>
        <v/>
      </c>
      <c r="AE191" s="40" t="str">
        <f>IF(AND(E191&lt;&gt;'Povolené hodnoty'!$B$4,F191="5b"),I191-J191+L191-M191+O191-P191+R191-S191,"")</f>
        <v/>
      </c>
      <c r="AF191" s="40" t="str">
        <f>IF(AND(E191&lt;&gt;'Povolené hodnoty'!$B$4,F191=6),I191+L191+O191+R191,"")</f>
        <v/>
      </c>
      <c r="AG191" s="41" t="str">
        <f>IF(AND(E191&lt;&gt;'Povolené hodnoty'!$B$4,F191=7),I191+L191+O191+R191,"")</f>
        <v/>
      </c>
      <c r="AH191" s="39" t="str">
        <f>IF(AND(E191&lt;&gt;'Povolené hodnoty'!$B$4,F191=10),J191+M191+P191+S191,"")</f>
        <v/>
      </c>
      <c r="AI191" s="40" t="str">
        <f>IF(AND(E191&lt;&gt;'Povolené hodnoty'!$B$4,F191=11),J191+M191+P191+S191,"")</f>
        <v/>
      </c>
      <c r="AJ191" s="40" t="str">
        <f>IF(AND(E191&lt;&gt;'Povolené hodnoty'!$B$4,F191=12),J191+M191+P191+S191,"")</f>
        <v/>
      </c>
      <c r="AK191" s="41" t="str">
        <f>IF(AND(E191&lt;&gt;'Povolené hodnoty'!$B$4,F191=13),J191+M191+P191+S191,"")</f>
        <v/>
      </c>
      <c r="AL191" s="39" t="str">
        <f>IF(AND($G191='Povolené hodnoty'!$B$13,$H191=AL$4),SUM($I191,$L191,$O191,$R191),"")</f>
        <v/>
      </c>
      <c r="AM191" s="458" t="str">
        <f>IF(AND($G191='Povolené hodnoty'!$B$13,$H191=AM$4),SUM($I191,$L191,$O191,$R191),"")</f>
        <v/>
      </c>
      <c r="AN191" s="458" t="str">
        <f>IF(AND($G191='Povolené hodnoty'!$B$13,$H191=AN$4),SUM($I191,$L191,$O191,$R191),"")</f>
        <v/>
      </c>
      <c r="AO191" s="458" t="str">
        <f>IF(AND($G191='Povolené hodnoty'!$B$13,$H191=AO$4),SUM($I191,$L191,$O191,$R191),"")</f>
        <v/>
      </c>
      <c r="AP191" s="458" t="str">
        <f>IF(AND($G191='Povolené hodnoty'!$B$13,$H191=AP$4),SUM($I191,$L191,$O191,$R191),"")</f>
        <v/>
      </c>
      <c r="AQ191" s="40" t="str">
        <f>IF(AND($G191='Povolené hodnoty'!$B$13,OR($H191=AQ$4,$H191='Povolené hodnoty'!$E$36)),SUM($I191,-$J191,$L191,-$M191,$O191,-$P191,$R191,-$S191),"")</f>
        <v/>
      </c>
      <c r="AR191" s="40" t="str">
        <f>IF(AND($G191='Povolené hodnoty'!$B$13,$H191=AR$4),SUM($I191,$L191,$O191,$R191),"")</f>
        <v/>
      </c>
      <c r="AS191" s="41" t="str">
        <f>IF(AND($G191='Povolené hodnoty'!$B$13,$H191=AS$4),SUM($I191,$L191,$O191,$R191),"")</f>
        <v/>
      </c>
      <c r="AT191" s="39" t="str">
        <f>IF(AND($G191='Povolené hodnoty'!$B$14,$H191=AT$4),SUM($I191,$L191,$O191,$R191),"")</f>
        <v/>
      </c>
      <c r="AU191" s="458" t="str">
        <f>IF(AND($G191='Povolené hodnoty'!$B$14,$H191=AU$4),SUM($I191,$L191,$O191,$R191),"")</f>
        <v/>
      </c>
      <c r="AV191" s="41" t="str">
        <f>IF(AND($G191='Povolené hodnoty'!$B$14,$H191=AV$4),SUM($I191,$L191,$O191,$R191),"")</f>
        <v/>
      </c>
      <c r="AW191" s="39" t="str">
        <f>IF(AND($G191='Povolené hodnoty'!$B$13,$H191=AW$4),SUM($J191,$M191,$P191,$S191),"")</f>
        <v/>
      </c>
      <c r="AX191" s="458" t="str">
        <f>IF(AND($G191='Povolené hodnoty'!$B$13,$H191=AX$4),SUM($J191,$M191,$P191,$S191),"")</f>
        <v/>
      </c>
      <c r="AY191" s="458" t="str">
        <f>IF(AND($G191='Povolené hodnoty'!$B$13,$H191=AY$4),SUM($J191,$M191,$P191,$S191),"")</f>
        <v/>
      </c>
      <c r="AZ191" s="458" t="str">
        <f>IF(AND($G191='Povolené hodnoty'!$B$13,$H191=AZ$4),SUM($J191,$M191,$P191,$S191),"")</f>
        <v/>
      </c>
      <c r="BA191" s="458" t="str">
        <f>IF(AND($G191='Povolené hodnoty'!$B$13,$H191=BA$4),SUM($J191,$M191,$P191,$S191),"")</f>
        <v/>
      </c>
      <c r="BB191" s="40" t="str">
        <f>IF(AND($G191='Povolené hodnoty'!$B$13,$H191=BB$4),SUM($J191,$M191,$P191,$S191),"")</f>
        <v/>
      </c>
      <c r="BC191" s="40" t="str">
        <f>IF(AND($G191='Povolené hodnoty'!$B$13,$H191=BC$4),SUM($J191,$M191,$P191,$S191),"")</f>
        <v/>
      </c>
      <c r="BD191" s="40" t="str">
        <f>IF(AND($G191='Povolené hodnoty'!$B$13,$H191=BD$4),SUM($J191,$M191,$P191,$S191),"")</f>
        <v/>
      </c>
      <c r="BE191" s="41" t="str">
        <f>IF(AND($G191='Povolené hodnoty'!$B$13,$H191=BE$4),SUM($J191,$M191,$P191,$S191),"")</f>
        <v/>
      </c>
      <c r="BF191" s="39" t="str">
        <f>IF(AND($G191='Povolené hodnoty'!$B$14,$H191=BF$4),SUM($J191,$M191,$P191,$S191),"")</f>
        <v/>
      </c>
      <c r="BG191" s="458" t="str">
        <f>IF(AND($G191='Povolené hodnoty'!$B$14,$H191=BG$4),SUM($J191,$M191,$P191,$S191),"")</f>
        <v/>
      </c>
      <c r="BH191" s="458" t="str">
        <f>IF(AND($G191='Povolené hodnoty'!$B$14,$H191=BH$4),SUM($J191,$M191,$P191,$S191),"")</f>
        <v/>
      </c>
      <c r="BI191" s="458" t="str">
        <f>IF(AND($G191='Povolené hodnoty'!$B$14,$H191=BI$4),SUM($J191,$M191,$P191,$S191),"")</f>
        <v/>
      </c>
      <c r="BJ191" s="458" t="str">
        <f>IF(AND($G191='Povolené hodnoty'!$B$14,$H191=BJ$4),SUM($J191,$M191,$P191,$S191),"")</f>
        <v/>
      </c>
      <c r="BK191" s="40" t="str">
        <f>IF(AND($G191='Povolené hodnoty'!$B$14,$H191=BK$4),SUM($J191,$M191,$P191,$S191),"")</f>
        <v/>
      </c>
      <c r="BL191" s="40" t="str">
        <f>IF(AND($G191='Povolené hodnoty'!$B$14,$H191=BL$4),SUM($J191,$M191,$P191,$S191),"")</f>
        <v/>
      </c>
      <c r="BM191" s="41" t="str">
        <f>IF(AND($G191='Povolené hodnoty'!$B$14,$H191=BM$4),SUM($J191,$M191,$P191,$S191),"")</f>
        <v/>
      </c>
      <c r="BO191" s="18" t="b">
        <f t="shared" si="106"/>
        <v>0</v>
      </c>
      <c r="BP191" s="18" t="b">
        <f t="shared" si="77"/>
        <v>0</v>
      </c>
      <c r="BQ191" s="18" t="b">
        <f>AND(E191&lt;&gt;'Povolené hodnoty'!$B$6,F191&lt;&gt;'Povolené hodnoty'!$D$7,F191&lt;&gt;'Povolené hodnoty'!$D$8,OR(SUM(I191,L191,O191,R191)&lt;&gt;SUM(W191:X191,AA191:AG191),SUM(J191,M191,P191,S191)&lt;&gt;SUM(Y191:Z191,AH191:AK191),COUNT(I191:J191,L191:M191,O191:P191,R191:S191)&lt;&gt;COUNT(W191:AK191)))</f>
        <v>0</v>
      </c>
      <c r="BR191" s="18" t="b">
        <f>OR(AND(E191='Povolené hodnoty'!$B$6,$BR$5),AND(E191='Povolené hodnoty'!$B$6,H191&lt;&gt;'Povolené hodnoty'!$E$26,H191&lt;&gt;'Povolené hodnoty'!$E$35),AND(E191&lt;&gt;'Povolené hodnoty'!$B$6,OR(H191='Povolené hodnoty'!$E$26,H191='Povolené hodnoty'!$E$35)))</f>
        <v>0</v>
      </c>
      <c r="BS191" s="18" t="b">
        <f>OR(AND(G191&lt;&gt;'Povolené hodnoty'!$B$13,OR(H191='Povolené hodnoty'!$E$21,H191='Povolené hodnoty'!$E$22,H191='Povolené hodnoty'!$E$23,H191='Povolené hodnoty'!$E$24,H191='Povolené hodnoty'!$E$26,H191='Povolené hodnoty'!$E$36)),COUNT(I191:J191,L191:M191,O191:P191,R191:S191)&lt;&gt;COUNT(AL191:BM191))</f>
        <v>0</v>
      </c>
      <c r="BT191" s="18" t="b">
        <f t="shared" si="78"/>
        <v>0</v>
      </c>
      <c r="BV191" s="39" t="str">
        <f t="shared" si="79"/>
        <v/>
      </c>
      <c r="BW191" s="458" t="str">
        <f t="shared" si="80"/>
        <v/>
      </c>
      <c r="BX191" s="458" t="str">
        <f t="shared" si="81"/>
        <v/>
      </c>
      <c r="BY191" s="458" t="str">
        <f t="shared" si="82"/>
        <v/>
      </c>
      <c r="BZ191" s="458" t="str">
        <f t="shared" si="83"/>
        <v/>
      </c>
      <c r="CA191" s="40" t="str">
        <f t="shared" si="84"/>
        <v/>
      </c>
      <c r="CB191" s="40" t="str">
        <f t="shared" si="85"/>
        <v/>
      </c>
      <c r="CC191" s="39" t="str">
        <f t="shared" si="86"/>
        <v/>
      </c>
      <c r="CD191" s="458" t="str">
        <f t="shared" si="87"/>
        <v/>
      </c>
      <c r="CE191" s="41" t="str">
        <f t="shared" si="88"/>
        <v/>
      </c>
      <c r="CF191" s="39" t="str">
        <f t="shared" si="89"/>
        <v/>
      </c>
      <c r="CG191" s="458" t="str">
        <f t="shared" si="90"/>
        <v/>
      </c>
      <c r="CH191" s="458" t="str">
        <f t="shared" si="91"/>
        <v/>
      </c>
      <c r="CI191" s="458" t="str">
        <f t="shared" si="92"/>
        <v/>
      </c>
      <c r="CJ191" s="458" t="str">
        <f t="shared" si="93"/>
        <v/>
      </c>
      <c r="CK191" s="40" t="str">
        <f t="shared" si="94"/>
        <v/>
      </c>
      <c r="CL191" s="40" t="str">
        <f t="shared" si="95"/>
        <v/>
      </c>
      <c r="CM191" s="40" t="str">
        <f t="shared" si="96"/>
        <v/>
      </c>
      <c r="CN191" s="39" t="str">
        <f t="shared" si="97"/>
        <v/>
      </c>
      <c r="CO191" s="458" t="str">
        <f t="shared" si="98"/>
        <v/>
      </c>
      <c r="CP191" s="458" t="str">
        <f t="shared" si="99"/>
        <v/>
      </c>
      <c r="CQ191" s="458" t="str">
        <f t="shared" si="100"/>
        <v/>
      </c>
      <c r="CR191" s="458" t="str">
        <f t="shared" si="101"/>
        <v/>
      </c>
      <c r="CS191" s="40" t="str">
        <f t="shared" si="102"/>
        <v/>
      </c>
      <c r="CT191" s="40" t="str">
        <f t="shared" si="103"/>
        <v/>
      </c>
      <c r="CU191" s="41" t="str">
        <f t="shared" si="104"/>
        <v/>
      </c>
    </row>
    <row r="192" spans="1:99" x14ac:dyDescent="0.2">
      <c r="A192" s="77">
        <f t="shared" si="105"/>
        <v>187</v>
      </c>
      <c r="B192" s="81"/>
      <c r="C192" s="82"/>
      <c r="D192" s="71"/>
      <c r="E192" s="72"/>
      <c r="F192" s="73"/>
      <c r="G192" s="443"/>
      <c r="H192" s="443"/>
      <c r="I192" s="74"/>
      <c r="J192" s="75"/>
      <c r="K192" s="41">
        <f t="shared" si="109"/>
        <v>3625</v>
      </c>
      <c r="L192" s="104"/>
      <c r="M192" s="105"/>
      <c r="N192" s="106">
        <f t="shared" si="110"/>
        <v>537.05999999999995</v>
      </c>
      <c r="O192" s="104"/>
      <c r="P192" s="105"/>
      <c r="Q192" s="106">
        <f t="shared" si="107"/>
        <v>10045.83</v>
      </c>
      <c r="R192" s="104"/>
      <c r="S192" s="105"/>
      <c r="T192" s="106">
        <f t="shared" si="108"/>
        <v>0</v>
      </c>
      <c r="U192" s="439"/>
      <c r="V192" s="42">
        <f t="shared" si="76"/>
        <v>187</v>
      </c>
      <c r="W192" s="39" t="str">
        <f>IF(AND(E192='Povolené hodnoty'!$B$4,F192=2),I192+L192+O192+R192,"")</f>
        <v/>
      </c>
      <c r="X192" s="41" t="str">
        <f>IF(AND(E192='Povolené hodnoty'!$B$4,F192=1),I192+L192+O192+R192,"")</f>
        <v/>
      </c>
      <c r="Y192" s="39" t="str">
        <f>IF(AND(E192='Povolené hodnoty'!$B$4,F192=10),J192+M192+P192+S192,"")</f>
        <v/>
      </c>
      <c r="Z192" s="41" t="str">
        <f>IF(AND(E192='Povolené hodnoty'!$B$4,F192=9),J192+M192+P192+S192,"")</f>
        <v/>
      </c>
      <c r="AA192" s="39" t="str">
        <f>IF(AND(E192&lt;&gt;'Povolené hodnoty'!$B$4,F192=2),I192+L192+O192+R192,"")</f>
        <v/>
      </c>
      <c r="AB192" s="40" t="str">
        <f>IF(AND(E192&lt;&gt;'Povolené hodnoty'!$B$4,F192=3),I192+L192+O192+R192,"")</f>
        <v/>
      </c>
      <c r="AC192" s="40" t="str">
        <f>IF(AND(E192&lt;&gt;'Povolené hodnoty'!$B$4,F192=4),I192+L192+O192+R192,"")</f>
        <v/>
      </c>
      <c r="AD192" s="40" t="str">
        <f>IF(AND(E192&lt;&gt;'Povolené hodnoty'!$B$4,F192="5a"),I192-J192+L192-M192+O192-P192+R192-S192,"")</f>
        <v/>
      </c>
      <c r="AE192" s="40" t="str">
        <f>IF(AND(E192&lt;&gt;'Povolené hodnoty'!$B$4,F192="5b"),I192-J192+L192-M192+O192-P192+R192-S192,"")</f>
        <v/>
      </c>
      <c r="AF192" s="40" t="str">
        <f>IF(AND(E192&lt;&gt;'Povolené hodnoty'!$B$4,F192=6),I192+L192+O192+R192,"")</f>
        <v/>
      </c>
      <c r="AG192" s="41" t="str">
        <f>IF(AND(E192&lt;&gt;'Povolené hodnoty'!$B$4,F192=7),I192+L192+O192+R192,"")</f>
        <v/>
      </c>
      <c r="AH192" s="39" t="str">
        <f>IF(AND(E192&lt;&gt;'Povolené hodnoty'!$B$4,F192=10),J192+M192+P192+S192,"")</f>
        <v/>
      </c>
      <c r="AI192" s="40" t="str">
        <f>IF(AND(E192&lt;&gt;'Povolené hodnoty'!$B$4,F192=11),J192+M192+P192+S192,"")</f>
        <v/>
      </c>
      <c r="AJ192" s="40" t="str">
        <f>IF(AND(E192&lt;&gt;'Povolené hodnoty'!$B$4,F192=12),J192+M192+P192+S192,"")</f>
        <v/>
      </c>
      <c r="AK192" s="41" t="str">
        <f>IF(AND(E192&lt;&gt;'Povolené hodnoty'!$B$4,F192=13),J192+M192+P192+S192,"")</f>
        <v/>
      </c>
      <c r="AL192" s="39" t="str">
        <f>IF(AND($G192='Povolené hodnoty'!$B$13,$H192=AL$4),SUM($I192,$L192,$O192,$R192),"")</f>
        <v/>
      </c>
      <c r="AM192" s="458" t="str">
        <f>IF(AND($G192='Povolené hodnoty'!$B$13,$H192=AM$4),SUM($I192,$L192,$O192,$R192),"")</f>
        <v/>
      </c>
      <c r="AN192" s="458" t="str">
        <f>IF(AND($G192='Povolené hodnoty'!$B$13,$H192=AN$4),SUM($I192,$L192,$O192,$R192),"")</f>
        <v/>
      </c>
      <c r="AO192" s="458" t="str">
        <f>IF(AND($G192='Povolené hodnoty'!$B$13,$H192=AO$4),SUM($I192,$L192,$O192,$R192),"")</f>
        <v/>
      </c>
      <c r="AP192" s="458" t="str">
        <f>IF(AND($G192='Povolené hodnoty'!$B$13,$H192=AP$4),SUM($I192,$L192,$O192,$R192),"")</f>
        <v/>
      </c>
      <c r="AQ192" s="40" t="str">
        <f>IF(AND($G192='Povolené hodnoty'!$B$13,OR($H192=AQ$4,$H192='Povolené hodnoty'!$E$36)),SUM($I192,-$J192,$L192,-$M192,$O192,-$P192,$R192,-$S192),"")</f>
        <v/>
      </c>
      <c r="AR192" s="40" t="str">
        <f>IF(AND($G192='Povolené hodnoty'!$B$13,$H192=AR$4),SUM($I192,$L192,$O192,$R192),"")</f>
        <v/>
      </c>
      <c r="AS192" s="41" t="str">
        <f>IF(AND($G192='Povolené hodnoty'!$B$13,$H192=AS$4),SUM($I192,$L192,$O192,$R192),"")</f>
        <v/>
      </c>
      <c r="AT192" s="39" t="str">
        <f>IF(AND($G192='Povolené hodnoty'!$B$14,$H192=AT$4),SUM($I192,$L192,$O192,$R192),"")</f>
        <v/>
      </c>
      <c r="AU192" s="458" t="str">
        <f>IF(AND($G192='Povolené hodnoty'!$B$14,$H192=AU$4),SUM($I192,$L192,$O192,$R192),"")</f>
        <v/>
      </c>
      <c r="AV192" s="41" t="str">
        <f>IF(AND($G192='Povolené hodnoty'!$B$14,$H192=AV$4),SUM($I192,$L192,$O192,$R192),"")</f>
        <v/>
      </c>
      <c r="AW192" s="39" t="str">
        <f>IF(AND($G192='Povolené hodnoty'!$B$13,$H192=AW$4),SUM($J192,$M192,$P192,$S192),"")</f>
        <v/>
      </c>
      <c r="AX192" s="458" t="str">
        <f>IF(AND($G192='Povolené hodnoty'!$B$13,$H192=AX$4),SUM($J192,$M192,$P192,$S192),"")</f>
        <v/>
      </c>
      <c r="AY192" s="458" t="str">
        <f>IF(AND($G192='Povolené hodnoty'!$B$13,$H192=AY$4),SUM($J192,$M192,$P192,$S192),"")</f>
        <v/>
      </c>
      <c r="AZ192" s="458" t="str">
        <f>IF(AND($G192='Povolené hodnoty'!$B$13,$H192=AZ$4),SUM($J192,$M192,$P192,$S192),"")</f>
        <v/>
      </c>
      <c r="BA192" s="458" t="str">
        <f>IF(AND($G192='Povolené hodnoty'!$B$13,$H192=BA$4),SUM($J192,$M192,$P192,$S192),"")</f>
        <v/>
      </c>
      <c r="BB192" s="40" t="str">
        <f>IF(AND($G192='Povolené hodnoty'!$B$13,$H192=BB$4),SUM($J192,$M192,$P192,$S192),"")</f>
        <v/>
      </c>
      <c r="BC192" s="40" t="str">
        <f>IF(AND($G192='Povolené hodnoty'!$B$13,$H192=BC$4),SUM($J192,$M192,$P192,$S192),"")</f>
        <v/>
      </c>
      <c r="BD192" s="40" t="str">
        <f>IF(AND($G192='Povolené hodnoty'!$B$13,$H192=BD$4),SUM($J192,$M192,$P192,$S192),"")</f>
        <v/>
      </c>
      <c r="BE192" s="41" t="str">
        <f>IF(AND($G192='Povolené hodnoty'!$B$13,$H192=BE$4),SUM($J192,$M192,$P192,$S192),"")</f>
        <v/>
      </c>
      <c r="BF192" s="39" t="str">
        <f>IF(AND($G192='Povolené hodnoty'!$B$14,$H192=BF$4),SUM($J192,$M192,$P192,$S192),"")</f>
        <v/>
      </c>
      <c r="BG192" s="458" t="str">
        <f>IF(AND($G192='Povolené hodnoty'!$B$14,$H192=BG$4),SUM($J192,$M192,$P192,$S192),"")</f>
        <v/>
      </c>
      <c r="BH192" s="458" t="str">
        <f>IF(AND($G192='Povolené hodnoty'!$B$14,$H192=BH$4),SUM($J192,$M192,$P192,$S192),"")</f>
        <v/>
      </c>
      <c r="BI192" s="458" t="str">
        <f>IF(AND($G192='Povolené hodnoty'!$B$14,$H192=BI$4),SUM($J192,$M192,$P192,$S192),"")</f>
        <v/>
      </c>
      <c r="BJ192" s="458" t="str">
        <f>IF(AND($G192='Povolené hodnoty'!$B$14,$H192=BJ$4),SUM($J192,$M192,$P192,$S192),"")</f>
        <v/>
      </c>
      <c r="BK192" s="40" t="str">
        <f>IF(AND($G192='Povolené hodnoty'!$B$14,$H192=BK$4),SUM($J192,$M192,$P192,$S192),"")</f>
        <v/>
      </c>
      <c r="BL192" s="40" t="str">
        <f>IF(AND($G192='Povolené hodnoty'!$B$14,$H192=BL$4),SUM($J192,$M192,$P192,$S192),"")</f>
        <v/>
      </c>
      <c r="BM192" s="41" t="str">
        <f>IF(AND($G192='Povolené hodnoty'!$B$14,$H192=BM$4),SUM($J192,$M192,$P192,$S192),"")</f>
        <v/>
      </c>
      <c r="BO192" s="18" t="b">
        <f t="shared" si="106"/>
        <v>0</v>
      </c>
      <c r="BP192" s="18" t="b">
        <f t="shared" si="77"/>
        <v>0</v>
      </c>
      <c r="BQ192" s="18" t="b">
        <f>AND(E192&lt;&gt;'Povolené hodnoty'!$B$6,F192&lt;&gt;'Povolené hodnoty'!$D$7,F192&lt;&gt;'Povolené hodnoty'!$D$8,OR(SUM(I192,L192,O192,R192)&lt;&gt;SUM(W192:X192,AA192:AG192),SUM(J192,M192,P192,S192)&lt;&gt;SUM(Y192:Z192,AH192:AK192),COUNT(I192:J192,L192:M192,O192:P192,R192:S192)&lt;&gt;COUNT(W192:AK192)))</f>
        <v>0</v>
      </c>
      <c r="BR192" s="18" t="b">
        <f>OR(AND(E192='Povolené hodnoty'!$B$6,$BR$5),AND(E192='Povolené hodnoty'!$B$6,H192&lt;&gt;'Povolené hodnoty'!$E$26,H192&lt;&gt;'Povolené hodnoty'!$E$35),AND(E192&lt;&gt;'Povolené hodnoty'!$B$6,OR(H192='Povolené hodnoty'!$E$26,H192='Povolené hodnoty'!$E$35)))</f>
        <v>0</v>
      </c>
      <c r="BS192" s="18" t="b">
        <f>OR(AND(G192&lt;&gt;'Povolené hodnoty'!$B$13,OR(H192='Povolené hodnoty'!$E$21,H192='Povolené hodnoty'!$E$22,H192='Povolené hodnoty'!$E$23,H192='Povolené hodnoty'!$E$24,H192='Povolené hodnoty'!$E$26,H192='Povolené hodnoty'!$E$36)),COUNT(I192:J192,L192:M192,O192:P192,R192:S192)&lt;&gt;COUNT(AL192:BM192))</f>
        <v>0</v>
      </c>
      <c r="BT192" s="18" t="b">
        <f t="shared" si="78"/>
        <v>0</v>
      </c>
      <c r="BV192" s="39" t="str">
        <f t="shared" si="79"/>
        <v/>
      </c>
      <c r="BW192" s="458" t="str">
        <f t="shared" si="80"/>
        <v/>
      </c>
      <c r="BX192" s="458" t="str">
        <f t="shared" si="81"/>
        <v/>
      </c>
      <c r="BY192" s="458" t="str">
        <f t="shared" si="82"/>
        <v/>
      </c>
      <c r="BZ192" s="458" t="str">
        <f t="shared" si="83"/>
        <v/>
      </c>
      <c r="CA192" s="40" t="str">
        <f t="shared" si="84"/>
        <v/>
      </c>
      <c r="CB192" s="40" t="str">
        <f t="shared" si="85"/>
        <v/>
      </c>
      <c r="CC192" s="39" t="str">
        <f t="shared" si="86"/>
        <v/>
      </c>
      <c r="CD192" s="458" t="str">
        <f t="shared" si="87"/>
        <v/>
      </c>
      <c r="CE192" s="41" t="str">
        <f t="shared" si="88"/>
        <v/>
      </c>
      <c r="CF192" s="39" t="str">
        <f t="shared" si="89"/>
        <v/>
      </c>
      <c r="CG192" s="458" t="str">
        <f t="shared" si="90"/>
        <v/>
      </c>
      <c r="CH192" s="458" t="str">
        <f t="shared" si="91"/>
        <v/>
      </c>
      <c r="CI192" s="458" t="str">
        <f t="shared" si="92"/>
        <v/>
      </c>
      <c r="CJ192" s="458" t="str">
        <f t="shared" si="93"/>
        <v/>
      </c>
      <c r="CK192" s="40" t="str">
        <f t="shared" si="94"/>
        <v/>
      </c>
      <c r="CL192" s="40" t="str">
        <f t="shared" si="95"/>
        <v/>
      </c>
      <c r="CM192" s="40" t="str">
        <f t="shared" si="96"/>
        <v/>
      </c>
      <c r="CN192" s="39" t="str">
        <f t="shared" si="97"/>
        <v/>
      </c>
      <c r="CO192" s="458" t="str">
        <f t="shared" si="98"/>
        <v/>
      </c>
      <c r="CP192" s="458" t="str">
        <f t="shared" si="99"/>
        <v/>
      </c>
      <c r="CQ192" s="458" t="str">
        <f t="shared" si="100"/>
        <v/>
      </c>
      <c r="CR192" s="458" t="str">
        <f t="shared" si="101"/>
        <v/>
      </c>
      <c r="CS192" s="40" t="str">
        <f t="shared" si="102"/>
        <v/>
      </c>
      <c r="CT192" s="40" t="str">
        <f t="shared" si="103"/>
        <v/>
      </c>
      <c r="CU192" s="41" t="str">
        <f t="shared" si="104"/>
        <v/>
      </c>
    </row>
    <row r="193" spans="1:99" x14ac:dyDescent="0.2">
      <c r="A193" s="77">
        <f t="shared" si="105"/>
        <v>188</v>
      </c>
      <c r="B193" s="81"/>
      <c r="C193" s="82"/>
      <c r="D193" s="71"/>
      <c r="E193" s="72"/>
      <c r="F193" s="73"/>
      <c r="G193" s="443"/>
      <c r="H193" s="443"/>
      <c r="I193" s="74"/>
      <c r="J193" s="75"/>
      <c r="K193" s="41">
        <f t="shared" si="109"/>
        <v>3625</v>
      </c>
      <c r="L193" s="104"/>
      <c r="M193" s="105"/>
      <c r="N193" s="106">
        <f t="shared" si="110"/>
        <v>537.05999999999995</v>
      </c>
      <c r="O193" s="104"/>
      <c r="P193" s="105"/>
      <c r="Q193" s="106">
        <f t="shared" si="107"/>
        <v>10045.83</v>
      </c>
      <c r="R193" s="104"/>
      <c r="S193" s="105"/>
      <c r="T193" s="106">
        <f t="shared" si="108"/>
        <v>0</v>
      </c>
      <c r="U193" s="439"/>
      <c r="V193" s="42">
        <f t="shared" si="76"/>
        <v>188</v>
      </c>
      <c r="W193" s="39" t="str">
        <f>IF(AND(E193='Povolené hodnoty'!$B$4,F193=2),I193+L193+O193+R193,"")</f>
        <v/>
      </c>
      <c r="X193" s="41" t="str">
        <f>IF(AND(E193='Povolené hodnoty'!$B$4,F193=1),I193+L193+O193+R193,"")</f>
        <v/>
      </c>
      <c r="Y193" s="39" t="str">
        <f>IF(AND(E193='Povolené hodnoty'!$B$4,F193=10),J193+M193+P193+S193,"")</f>
        <v/>
      </c>
      <c r="Z193" s="41" t="str">
        <f>IF(AND(E193='Povolené hodnoty'!$B$4,F193=9),J193+M193+P193+S193,"")</f>
        <v/>
      </c>
      <c r="AA193" s="39" t="str">
        <f>IF(AND(E193&lt;&gt;'Povolené hodnoty'!$B$4,F193=2),I193+L193+O193+R193,"")</f>
        <v/>
      </c>
      <c r="AB193" s="40" t="str">
        <f>IF(AND(E193&lt;&gt;'Povolené hodnoty'!$B$4,F193=3),I193+L193+O193+R193,"")</f>
        <v/>
      </c>
      <c r="AC193" s="40" t="str">
        <f>IF(AND(E193&lt;&gt;'Povolené hodnoty'!$B$4,F193=4),I193+L193+O193+R193,"")</f>
        <v/>
      </c>
      <c r="AD193" s="40" t="str">
        <f>IF(AND(E193&lt;&gt;'Povolené hodnoty'!$B$4,F193="5a"),I193-J193+L193-M193+O193-P193+R193-S193,"")</f>
        <v/>
      </c>
      <c r="AE193" s="40" t="str">
        <f>IF(AND(E193&lt;&gt;'Povolené hodnoty'!$B$4,F193="5b"),I193-J193+L193-M193+O193-P193+R193-S193,"")</f>
        <v/>
      </c>
      <c r="AF193" s="40" t="str">
        <f>IF(AND(E193&lt;&gt;'Povolené hodnoty'!$B$4,F193=6),I193+L193+O193+R193,"")</f>
        <v/>
      </c>
      <c r="AG193" s="41" t="str">
        <f>IF(AND(E193&lt;&gt;'Povolené hodnoty'!$B$4,F193=7),I193+L193+O193+R193,"")</f>
        <v/>
      </c>
      <c r="AH193" s="39" t="str">
        <f>IF(AND(E193&lt;&gt;'Povolené hodnoty'!$B$4,F193=10),J193+M193+P193+S193,"")</f>
        <v/>
      </c>
      <c r="AI193" s="40" t="str">
        <f>IF(AND(E193&lt;&gt;'Povolené hodnoty'!$B$4,F193=11),J193+M193+P193+S193,"")</f>
        <v/>
      </c>
      <c r="AJ193" s="40" t="str">
        <f>IF(AND(E193&lt;&gt;'Povolené hodnoty'!$B$4,F193=12),J193+M193+P193+S193,"")</f>
        <v/>
      </c>
      <c r="AK193" s="41" t="str">
        <f>IF(AND(E193&lt;&gt;'Povolené hodnoty'!$B$4,F193=13),J193+M193+P193+S193,"")</f>
        <v/>
      </c>
      <c r="AL193" s="39" t="str">
        <f>IF(AND($G193='Povolené hodnoty'!$B$13,$H193=AL$4),SUM($I193,$L193,$O193,$R193),"")</f>
        <v/>
      </c>
      <c r="AM193" s="458" t="str">
        <f>IF(AND($G193='Povolené hodnoty'!$B$13,$H193=AM$4),SUM($I193,$L193,$O193,$R193),"")</f>
        <v/>
      </c>
      <c r="AN193" s="458" t="str">
        <f>IF(AND($G193='Povolené hodnoty'!$B$13,$H193=AN$4),SUM($I193,$L193,$O193,$R193),"")</f>
        <v/>
      </c>
      <c r="AO193" s="458" t="str">
        <f>IF(AND($G193='Povolené hodnoty'!$B$13,$H193=AO$4),SUM($I193,$L193,$O193,$R193),"")</f>
        <v/>
      </c>
      <c r="AP193" s="458" t="str">
        <f>IF(AND($G193='Povolené hodnoty'!$B$13,$H193=AP$4),SUM($I193,$L193,$O193,$R193),"")</f>
        <v/>
      </c>
      <c r="AQ193" s="40" t="str">
        <f>IF(AND($G193='Povolené hodnoty'!$B$13,OR($H193=AQ$4,$H193='Povolené hodnoty'!$E$36)),SUM($I193,-$J193,$L193,-$M193,$O193,-$P193,$R193,-$S193),"")</f>
        <v/>
      </c>
      <c r="AR193" s="40" t="str">
        <f>IF(AND($G193='Povolené hodnoty'!$B$13,$H193=AR$4),SUM($I193,$L193,$O193,$R193),"")</f>
        <v/>
      </c>
      <c r="AS193" s="41" t="str">
        <f>IF(AND($G193='Povolené hodnoty'!$B$13,$H193=AS$4),SUM($I193,$L193,$O193,$R193),"")</f>
        <v/>
      </c>
      <c r="AT193" s="39" t="str">
        <f>IF(AND($G193='Povolené hodnoty'!$B$14,$H193=AT$4),SUM($I193,$L193,$O193,$R193),"")</f>
        <v/>
      </c>
      <c r="AU193" s="458" t="str">
        <f>IF(AND($G193='Povolené hodnoty'!$B$14,$H193=AU$4),SUM($I193,$L193,$O193,$R193),"")</f>
        <v/>
      </c>
      <c r="AV193" s="41" t="str">
        <f>IF(AND($G193='Povolené hodnoty'!$B$14,$H193=AV$4),SUM($I193,$L193,$O193,$R193),"")</f>
        <v/>
      </c>
      <c r="AW193" s="39" t="str">
        <f>IF(AND($G193='Povolené hodnoty'!$B$13,$H193=AW$4),SUM($J193,$M193,$P193,$S193),"")</f>
        <v/>
      </c>
      <c r="AX193" s="458" t="str">
        <f>IF(AND($G193='Povolené hodnoty'!$B$13,$H193=AX$4),SUM($J193,$M193,$P193,$S193),"")</f>
        <v/>
      </c>
      <c r="AY193" s="458" t="str">
        <f>IF(AND($G193='Povolené hodnoty'!$B$13,$H193=AY$4),SUM($J193,$M193,$P193,$S193),"")</f>
        <v/>
      </c>
      <c r="AZ193" s="458" t="str">
        <f>IF(AND($G193='Povolené hodnoty'!$B$13,$H193=AZ$4),SUM($J193,$M193,$P193,$S193),"")</f>
        <v/>
      </c>
      <c r="BA193" s="458" t="str">
        <f>IF(AND($G193='Povolené hodnoty'!$B$13,$H193=BA$4),SUM($J193,$M193,$P193,$S193),"")</f>
        <v/>
      </c>
      <c r="BB193" s="40" t="str">
        <f>IF(AND($G193='Povolené hodnoty'!$B$13,$H193=BB$4),SUM($J193,$M193,$P193,$S193),"")</f>
        <v/>
      </c>
      <c r="BC193" s="40" t="str">
        <f>IF(AND($G193='Povolené hodnoty'!$B$13,$H193=BC$4),SUM($J193,$M193,$P193,$S193),"")</f>
        <v/>
      </c>
      <c r="BD193" s="40" t="str">
        <f>IF(AND($G193='Povolené hodnoty'!$B$13,$H193=BD$4),SUM($J193,$M193,$P193,$S193),"")</f>
        <v/>
      </c>
      <c r="BE193" s="41" t="str">
        <f>IF(AND($G193='Povolené hodnoty'!$B$13,$H193=BE$4),SUM($J193,$M193,$P193,$S193),"")</f>
        <v/>
      </c>
      <c r="BF193" s="39" t="str">
        <f>IF(AND($G193='Povolené hodnoty'!$B$14,$H193=BF$4),SUM($J193,$M193,$P193,$S193),"")</f>
        <v/>
      </c>
      <c r="BG193" s="458" t="str">
        <f>IF(AND($G193='Povolené hodnoty'!$B$14,$H193=BG$4),SUM($J193,$M193,$P193,$S193),"")</f>
        <v/>
      </c>
      <c r="BH193" s="458" t="str">
        <f>IF(AND($G193='Povolené hodnoty'!$B$14,$H193=BH$4),SUM($J193,$M193,$P193,$S193),"")</f>
        <v/>
      </c>
      <c r="BI193" s="458" t="str">
        <f>IF(AND($G193='Povolené hodnoty'!$B$14,$H193=BI$4),SUM($J193,$M193,$P193,$S193),"")</f>
        <v/>
      </c>
      <c r="BJ193" s="458" t="str">
        <f>IF(AND($G193='Povolené hodnoty'!$B$14,$H193=BJ$4),SUM($J193,$M193,$P193,$S193),"")</f>
        <v/>
      </c>
      <c r="BK193" s="40" t="str">
        <f>IF(AND($G193='Povolené hodnoty'!$B$14,$H193=BK$4),SUM($J193,$M193,$P193,$S193),"")</f>
        <v/>
      </c>
      <c r="BL193" s="40" t="str">
        <f>IF(AND($G193='Povolené hodnoty'!$B$14,$H193=BL$4),SUM($J193,$M193,$P193,$S193),"")</f>
        <v/>
      </c>
      <c r="BM193" s="41" t="str">
        <f>IF(AND($G193='Povolené hodnoty'!$B$14,$H193=BM$4),SUM($J193,$M193,$P193,$S193),"")</f>
        <v/>
      </c>
      <c r="BO193" s="18" t="b">
        <f t="shared" si="106"/>
        <v>0</v>
      </c>
      <c r="BP193" s="18" t="b">
        <f t="shared" si="77"/>
        <v>0</v>
      </c>
      <c r="BQ193" s="18" t="b">
        <f>AND(E193&lt;&gt;'Povolené hodnoty'!$B$6,F193&lt;&gt;'Povolené hodnoty'!$D$7,F193&lt;&gt;'Povolené hodnoty'!$D$8,OR(SUM(I193,L193,O193,R193)&lt;&gt;SUM(W193:X193,AA193:AG193),SUM(J193,M193,P193,S193)&lt;&gt;SUM(Y193:Z193,AH193:AK193),COUNT(I193:J193,L193:M193,O193:P193,R193:S193)&lt;&gt;COUNT(W193:AK193)))</f>
        <v>0</v>
      </c>
      <c r="BR193" s="18" t="b">
        <f>OR(AND(E193='Povolené hodnoty'!$B$6,$BR$5),AND(E193='Povolené hodnoty'!$B$6,H193&lt;&gt;'Povolené hodnoty'!$E$26,H193&lt;&gt;'Povolené hodnoty'!$E$35),AND(E193&lt;&gt;'Povolené hodnoty'!$B$6,OR(H193='Povolené hodnoty'!$E$26,H193='Povolené hodnoty'!$E$35)))</f>
        <v>0</v>
      </c>
      <c r="BS193" s="18" t="b">
        <f>OR(AND(G193&lt;&gt;'Povolené hodnoty'!$B$13,OR(H193='Povolené hodnoty'!$E$21,H193='Povolené hodnoty'!$E$22,H193='Povolené hodnoty'!$E$23,H193='Povolené hodnoty'!$E$24,H193='Povolené hodnoty'!$E$26,H193='Povolené hodnoty'!$E$36)),COUNT(I193:J193,L193:M193,O193:P193,R193:S193)&lt;&gt;COUNT(AL193:BM193))</f>
        <v>0</v>
      </c>
      <c r="BT193" s="18" t="b">
        <f t="shared" si="78"/>
        <v>0</v>
      </c>
      <c r="BV193" s="39" t="str">
        <f t="shared" si="79"/>
        <v/>
      </c>
      <c r="BW193" s="458" t="str">
        <f t="shared" si="80"/>
        <v/>
      </c>
      <c r="BX193" s="458" t="str">
        <f t="shared" si="81"/>
        <v/>
      </c>
      <c r="BY193" s="458" t="str">
        <f t="shared" si="82"/>
        <v/>
      </c>
      <c r="BZ193" s="458" t="str">
        <f t="shared" si="83"/>
        <v/>
      </c>
      <c r="CA193" s="40" t="str">
        <f t="shared" si="84"/>
        <v/>
      </c>
      <c r="CB193" s="40" t="str">
        <f t="shared" si="85"/>
        <v/>
      </c>
      <c r="CC193" s="39" t="str">
        <f t="shared" si="86"/>
        <v/>
      </c>
      <c r="CD193" s="458" t="str">
        <f t="shared" si="87"/>
        <v/>
      </c>
      <c r="CE193" s="41" t="str">
        <f t="shared" si="88"/>
        <v/>
      </c>
      <c r="CF193" s="39" t="str">
        <f t="shared" si="89"/>
        <v/>
      </c>
      <c r="CG193" s="458" t="str">
        <f t="shared" si="90"/>
        <v/>
      </c>
      <c r="CH193" s="458" t="str">
        <f t="shared" si="91"/>
        <v/>
      </c>
      <c r="CI193" s="458" t="str">
        <f t="shared" si="92"/>
        <v/>
      </c>
      <c r="CJ193" s="458" t="str">
        <f t="shared" si="93"/>
        <v/>
      </c>
      <c r="CK193" s="40" t="str">
        <f t="shared" si="94"/>
        <v/>
      </c>
      <c r="CL193" s="40" t="str">
        <f t="shared" si="95"/>
        <v/>
      </c>
      <c r="CM193" s="40" t="str">
        <f t="shared" si="96"/>
        <v/>
      </c>
      <c r="CN193" s="39" t="str">
        <f t="shared" si="97"/>
        <v/>
      </c>
      <c r="CO193" s="458" t="str">
        <f t="shared" si="98"/>
        <v/>
      </c>
      <c r="CP193" s="458" t="str">
        <f t="shared" si="99"/>
        <v/>
      </c>
      <c r="CQ193" s="458" t="str">
        <f t="shared" si="100"/>
        <v/>
      </c>
      <c r="CR193" s="458" t="str">
        <f t="shared" si="101"/>
        <v/>
      </c>
      <c r="CS193" s="40" t="str">
        <f t="shared" si="102"/>
        <v/>
      </c>
      <c r="CT193" s="40" t="str">
        <f t="shared" si="103"/>
        <v/>
      </c>
      <c r="CU193" s="41" t="str">
        <f t="shared" si="104"/>
        <v/>
      </c>
    </row>
    <row r="194" spans="1:99" x14ac:dyDescent="0.2">
      <c r="A194" s="77">
        <f t="shared" si="105"/>
        <v>189</v>
      </c>
      <c r="B194" s="81"/>
      <c r="C194" s="82"/>
      <c r="D194" s="71"/>
      <c r="E194" s="72"/>
      <c r="F194" s="73"/>
      <c r="G194" s="443"/>
      <c r="H194" s="443"/>
      <c r="I194" s="74"/>
      <c r="J194" s="75"/>
      <c r="K194" s="41">
        <f t="shared" si="109"/>
        <v>3625</v>
      </c>
      <c r="L194" s="104"/>
      <c r="M194" s="105"/>
      <c r="N194" s="106">
        <f t="shared" si="110"/>
        <v>537.05999999999995</v>
      </c>
      <c r="O194" s="104"/>
      <c r="P194" s="105"/>
      <c r="Q194" s="106">
        <f t="shared" si="107"/>
        <v>10045.83</v>
      </c>
      <c r="R194" s="104"/>
      <c r="S194" s="105"/>
      <c r="T194" s="106">
        <f t="shared" si="108"/>
        <v>0</v>
      </c>
      <c r="U194" s="439"/>
      <c r="V194" s="42">
        <f t="shared" si="76"/>
        <v>189</v>
      </c>
      <c r="W194" s="39" t="str">
        <f>IF(AND(E194='Povolené hodnoty'!$B$4,F194=2),I194+L194+O194+R194,"")</f>
        <v/>
      </c>
      <c r="X194" s="41" t="str">
        <f>IF(AND(E194='Povolené hodnoty'!$B$4,F194=1),I194+L194+O194+R194,"")</f>
        <v/>
      </c>
      <c r="Y194" s="39" t="str">
        <f>IF(AND(E194='Povolené hodnoty'!$B$4,F194=10),J194+M194+P194+S194,"")</f>
        <v/>
      </c>
      <c r="Z194" s="41" t="str">
        <f>IF(AND(E194='Povolené hodnoty'!$B$4,F194=9),J194+M194+P194+S194,"")</f>
        <v/>
      </c>
      <c r="AA194" s="39" t="str">
        <f>IF(AND(E194&lt;&gt;'Povolené hodnoty'!$B$4,F194=2),I194+L194+O194+R194,"")</f>
        <v/>
      </c>
      <c r="AB194" s="40" t="str">
        <f>IF(AND(E194&lt;&gt;'Povolené hodnoty'!$B$4,F194=3),I194+L194+O194+R194,"")</f>
        <v/>
      </c>
      <c r="AC194" s="40" t="str">
        <f>IF(AND(E194&lt;&gt;'Povolené hodnoty'!$B$4,F194=4),I194+L194+O194+R194,"")</f>
        <v/>
      </c>
      <c r="AD194" s="40" t="str">
        <f>IF(AND(E194&lt;&gt;'Povolené hodnoty'!$B$4,F194="5a"),I194-J194+L194-M194+O194-P194+R194-S194,"")</f>
        <v/>
      </c>
      <c r="AE194" s="40" t="str">
        <f>IF(AND(E194&lt;&gt;'Povolené hodnoty'!$B$4,F194="5b"),I194-J194+L194-M194+O194-P194+R194-S194,"")</f>
        <v/>
      </c>
      <c r="AF194" s="40" t="str">
        <f>IF(AND(E194&lt;&gt;'Povolené hodnoty'!$B$4,F194=6),I194+L194+O194+R194,"")</f>
        <v/>
      </c>
      <c r="AG194" s="41" t="str">
        <f>IF(AND(E194&lt;&gt;'Povolené hodnoty'!$B$4,F194=7),I194+L194+O194+R194,"")</f>
        <v/>
      </c>
      <c r="AH194" s="39" t="str">
        <f>IF(AND(E194&lt;&gt;'Povolené hodnoty'!$B$4,F194=10),J194+M194+P194+S194,"")</f>
        <v/>
      </c>
      <c r="AI194" s="40" t="str">
        <f>IF(AND(E194&lt;&gt;'Povolené hodnoty'!$B$4,F194=11),J194+M194+P194+S194,"")</f>
        <v/>
      </c>
      <c r="AJ194" s="40" t="str">
        <f>IF(AND(E194&lt;&gt;'Povolené hodnoty'!$B$4,F194=12),J194+M194+P194+S194,"")</f>
        <v/>
      </c>
      <c r="AK194" s="41" t="str">
        <f>IF(AND(E194&lt;&gt;'Povolené hodnoty'!$B$4,F194=13),J194+M194+P194+S194,"")</f>
        <v/>
      </c>
      <c r="AL194" s="39" t="str">
        <f>IF(AND($G194='Povolené hodnoty'!$B$13,$H194=AL$4),SUM($I194,$L194,$O194,$R194),"")</f>
        <v/>
      </c>
      <c r="AM194" s="458" t="str">
        <f>IF(AND($G194='Povolené hodnoty'!$B$13,$H194=AM$4),SUM($I194,$L194,$O194,$R194),"")</f>
        <v/>
      </c>
      <c r="AN194" s="458" t="str">
        <f>IF(AND($G194='Povolené hodnoty'!$B$13,$H194=AN$4),SUM($I194,$L194,$O194,$R194),"")</f>
        <v/>
      </c>
      <c r="AO194" s="458" t="str">
        <f>IF(AND($G194='Povolené hodnoty'!$B$13,$H194=AO$4),SUM($I194,$L194,$O194,$R194),"")</f>
        <v/>
      </c>
      <c r="AP194" s="458" t="str">
        <f>IF(AND($G194='Povolené hodnoty'!$B$13,$H194=AP$4),SUM($I194,$L194,$O194,$R194),"")</f>
        <v/>
      </c>
      <c r="AQ194" s="40" t="str">
        <f>IF(AND($G194='Povolené hodnoty'!$B$13,OR($H194=AQ$4,$H194='Povolené hodnoty'!$E$36)),SUM($I194,-$J194,$L194,-$M194,$O194,-$P194,$R194,-$S194),"")</f>
        <v/>
      </c>
      <c r="AR194" s="40" t="str">
        <f>IF(AND($G194='Povolené hodnoty'!$B$13,$H194=AR$4),SUM($I194,$L194,$O194,$R194),"")</f>
        <v/>
      </c>
      <c r="AS194" s="41" t="str">
        <f>IF(AND($G194='Povolené hodnoty'!$B$13,$H194=AS$4),SUM($I194,$L194,$O194,$R194),"")</f>
        <v/>
      </c>
      <c r="AT194" s="39" t="str">
        <f>IF(AND($G194='Povolené hodnoty'!$B$14,$H194=AT$4),SUM($I194,$L194,$O194,$R194),"")</f>
        <v/>
      </c>
      <c r="AU194" s="458" t="str">
        <f>IF(AND($G194='Povolené hodnoty'!$B$14,$H194=AU$4),SUM($I194,$L194,$O194,$R194),"")</f>
        <v/>
      </c>
      <c r="AV194" s="41" t="str">
        <f>IF(AND($G194='Povolené hodnoty'!$B$14,$H194=AV$4),SUM($I194,$L194,$O194,$R194),"")</f>
        <v/>
      </c>
      <c r="AW194" s="39" t="str">
        <f>IF(AND($G194='Povolené hodnoty'!$B$13,$H194=AW$4),SUM($J194,$M194,$P194,$S194),"")</f>
        <v/>
      </c>
      <c r="AX194" s="458" t="str">
        <f>IF(AND($G194='Povolené hodnoty'!$B$13,$H194=AX$4),SUM($J194,$M194,$P194,$S194),"")</f>
        <v/>
      </c>
      <c r="AY194" s="458" t="str">
        <f>IF(AND($G194='Povolené hodnoty'!$B$13,$H194=AY$4),SUM($J194,$M194,$P194,$S194),"")</f>
        <v/>
      </c>
      <c r="AZ194" s="458" t="str">
        <f>IF(AND($G194='Povolené hodnoty'!$B$13,$H194=AZ$4),SUM($J194,$M194,$P194,$S194),"")</f>
        <v/>
      </c>
      <c r="BA194" s="458" t="str">
        <f>IF(AND($G194='Povolené hodnoty'!$B$13,$H194=BA$4),SUM($J194,$M194,$P194,$S194),"")</f>
        <v/>
      </c>
      <c r="BB194" s="40" t="str">
        <f>IF(AND($G194='Povolené hodnoty'!$B$13,$H194=BB$4),SUM($J194,$M194,$P194,$S194),"")</f>
        <v/>
      </c>
      <c r="BC194" s="40" t="str">
        <f>IF(AND($G194='Povolené hodnoty'!$B$13,$H194=BC$4),SUM($J194,$M194,$P194,$S194),"")</f>
        <v/>
      </c>
      <c r="BD194" s="40" t="str">
        <f>IF(AND($G194='Povolené hodnoty'!$B$13,$H194=BD$4),SUM($J194,$M194,$P194,$S194),"")</f>
        <v/>
      </c>
      <c r="BE194" s="41" t="str">
        <f>IF(AND($G194='Povolené hodnoty'!$B$13,$H194=BE$4),SUM($J194,$M194,$P194,$S194),"")</f>
        <v/>
      </c>
      <c r="BF194" s="39" t="str">
        <f>IF(AND($G194='Povolené hodnoty'!$B$14,$H194=BF$4),SUM($J194,$M194,$P194,$S194),"")</f>
        <v/>
      </c>
      <c r="BG194" s="458" t="str">
        <f>IF(AND($G194='Povolené hodnoty'!$B$14,$H194=BG$4),SUM($J194,$M194,$P194,$S194),"")</f>
        <v/>
      </c>
      <c r="BH194" s="458" t="str">
        <f>IF(AND($G194='Povolené hodnoty'!$B$14,$H194=BH$4),SUM($J194,$M194,$P194,$S194),"")</f>
        <v/>
      </c>
      <c r="BI194" s="458" t="str">
        <f>IF(AND($G194='Povolené hodnoty'!$B$14,$H194=BI$4),SUM($J194,$M194,$P194,$S194),"")</f>
        <v/>
      </c>
      <c r="BJ194" s="458" t="str">
        <f>IF(AND($G194='Povolené hodnoty'!$B$14,$H194=BJ$4),SUM($J194,$M194,$P194,$S194),"")</f>
        <v/>
      </c>
      <c r="BK194" s="40" t="str">
        <f>IF(AND($G194='Povolené hodnoty'!$B$14,$H194=BK$4),SUM($J194,$M194,$P194,$S194),"")</f>
        <v/>
      </c>
      <c r="BL194" s="40" t="str">
        <f>IF(AND($G194='Povolené hodnoty'!$B$14,$H194=BL$4),SUM($J194,$M194,$P194,$S194),"")</f>
        <v/>
      </c>
      <c r="BM194" s="41" t="str">
        <f>IF(AND($G194='Povolené hodnoty'!$B$14,$H194=BM$4),SUM($J194,$M194,$P194,$S194),"")</f>
        <v/>
      </c>
      <c r="BO194" s="18" t="b">
        <f t="shared" si="106"/>
        <v>0</v>
      </c>
      <c r="BP194" s="18" t="b">
        <f t="shared" si="77"/>
        <v>0</v>
      </c>
      <c r="BQ194" s="18" t="b">
        <f>AND(E194&lt;&gt;'Povolené hodnoty'!$B$6,F194&lt;&gt;'Povolené hodnoty'!$D$7,F194&lt;&gt;'Povolené hodnoty'!$D$8,OR(SUM(I194,L194,O194,R194)&lt;&gt;SUM(W194:X194,AA194:AG194),SUM(J194,M194,P194,S194)&lt;&gt;SUM(Y194:Z194,AH194:AK194),COUNT(I194:J194,L194:M194,O194:P194,R194:S194)&lt;&gt;COUNT(W194:AK194)))</f>
        <v>0</v>
      </c>
      <c r="BR194" s="18" t="b">
        <f>OR(AND(E194='Povolené hodnoty'!$B$6,$BR$5),AND(E194='Povolené hodnoty'!$B$6,H194&lt;&gt;'Povolené hodnoty'!$E$26,H194&lt;&gt;'Povolené hodnoty'!$E$35),AND(E194&lt;&gt;'Povolené hodnoty'!$B$6,OR(H194='Povolené hodnoty'!$E$26,H194='Povolené hodnoty'!$E$35)))</f>
        <v>0</v>
      </c>
      <c r="BS194" s="18" t="b">
        <f>OR(AND(G194&lt;&gt;'Povolené hodnoty'!$B$13,OR(H194='Povolené hodnoty'!$E$21,H194='Povolené hodnoty'!$E$22,H194='Povolené hodnoty'!$E$23,H194='Povolené hodnoty'!$E$24,H194='Povolené hodnoty'!$E$26,H194='Povolené hodnoty'!$E$36)),COUNT(I194:J194,L194:M194,O194:P194,R194:S194)&lt;&gt;COUNT(AL194:BM194))</f>
        <v>0</v>
      </c>
      <c r="BT194" s="18" t="b">
        <f t="shared" si="78"/>
        <v>0</v>
      </c>
      <c r="BV194" s="39" t="str">
        <f t="shared" si="79"/>
        <v/>
      </c>
      <c r="BW194" s="458" t="str">
        <f t="shared" si="80"/>
        <v/>
      </c>
      <c r="BX194" s="458" t="str">
        <f t="shared" si="81"/>
        <v/>
      </c>
      <c r="BY194" s="458" t="str">
        <f t="shared" si="82"/>
        <v/>
      </c>
      <c r="BZ194" s="458" t="str">
        <f t="shared" si="83"/>
        <v/>
      </c>
      <c r="CA194" s="40" t="str">
        <f t="shared" si="84"/>
        <v/>
      </c>
      <c r="CB194" s="40" t="str">
        <f t="shared" si="85"/>
        <v/>
      </c>
      <c r="CC194" s="39" t="str">
        <f t="shared" si="86"/>
        <v/>
      </c>
      <c r="CD194" s="458" t="str">
        <f t="shared" si="87"/>
        <v/>
      </c>
      <c r="CE194" s="41" t="str">
        <f t="shared" si="88"/>
        <v/>
      </c>
      <c r="CF194" s="39" t="str">
        <f t="shared" si="89"/>
        <v/>
      </c>
      <c r="CG194" s="458" t="str">
        <f t="shared" si="90"/>
        <v/>
      </c>
      <c r="CH194" s="458" t="str">
        <f t="shared" si="91"/>
        <v/>
      </c>
      <c r="CI194" s="458" t="str">
        <f t="shared" si="92"/>
        <v/>
      </c>
      <c r="CJ194" s="458" t="str">
        <f t="shared" si="93"/>
        <v/>
      </c>
      <c r="CK194" s="40" t="str">
        <f t="shared" si="94"/>
        <v/>
      </c>
      <c r="CL194" s="40" t="str">
        <f t="shared" si="95"/>
        <v/>
      </c>
      <c r="CM194" s="40" t="str">
        <f t="shared" si="96"/>
        <v/>
      </c>
      <c r="CN194" s="39" t="str">
        <f t="shared" si="97"/>
        <v/>
      </c>
      <c r="CO194" s="458" t="str">
        <f t="shared" si="98"/>
        <v/>
      </c>
      <c r="CP194" s="458" t="str">
        <f t="shared" si="99"/>
        <v/>
      </c>
      <c r="CQ194" s="458" t="str">
        <f t="shared" si="100"/>
        <v/>
      </c>
      <c r="CR194" s="458" t="str">
        <f t="shared" si="101"/>
        <v/>
      </c>
      <c r="CS194" s="40" t="str">
        <f t="shared" si="102"/>
        <v/>
      </c>
      <c r="CT194" s="40" t="str">
        <f t="shared" si="103"/>
        <v/>
      </c>
      <c r="CU194" s="41" t="str">
        <f t="shared" si="104"/>
        <v/>
      </c>
    </row>
    <row r="195" spans="1:99" x14ac:dyDescent="0.2">
      <c r="A195" s="77">
        <f t="shared" si="105"/>
        <v>190</v>
      </c>
      <c r="B195" s="81"/>
      <c r="C195" s="82"/>
      <c r="D195" s="71"/>
      <c r="E195" s="72"/>
      <c r="F195" s="73"/>
      <c r="G195" s="443"/>
      <c r="H195" s="443"/>
      <c r="I195" s="74"/>
      <c r="J195" s="75"/>
      <c r="K195" s="41">
        <f t="shared" si="109"/>
        <v>3625</v>
      </c>
      <c r="L195" s="104"/>
      <c r="M195" s="105"/>
      <c r="N195" s="106">
        <f t="shared" si="110"/>
        <v>537.05999999999995</v>
      </c>
      <c r="O195" s="104"/>
      <c r="P195" s="105"/>
      <c r="Q195" s="106">
        <f t="shared" si="107"/>
        <v>10045.83</v>
      </c>
      <c r="R195" s="104"/>
      <c r="S195" s="105"/>
      <c r="T195" s="106">
        <f t="shared" si="108"/>
        <v>0</v>
      </c>
      <c r="U195" s="439"/>
      <c r="V195" s="42">
        <f t="shared" si="76"/>
        <v>190</v>
      </c>
      <c r="W195" s="39" t="str">
        <f>IF(AND(E195='Povolené hodnoty'!$B$4,F195=2),I195+L195+O195+R195,"")</f>
        <v/>
      </c>
      <c r="X195" s="41" t="str">
        <f>IF(AND(E195='Povolené hodnoty'!$B$4,F195=1),I195+L195+O195+R195,"")</f>
        <v/>
      </c>
      <c r="Y195" s="39" t="str">
        <f>IF(AND(E195='Povolené hodnoty'!$B$4,F195=10),J195+M195+P195+S195,"")</f>
        <v/>
      </c>
      <c r="Z195" s="41" t="str">
        <f>IF(AND(E195='Povolené hodnoty'!$B$4,F195=9),J195+M195+P195+S195,"")</f>
        <v/>
      </c>
      <c r="AA195" s="39" t="str">
        <f>IF(AND(E195&lt;&gt;'Povolené hodnoty'!$B$4,F195=2),I195+L195+O195+R195,"")</f>
        <v/>
      </c>
      <c r="AB195" s="40" t="str">
        <f>IF(AND(E195&lt;&gt;'Povolené hodnoty'!$B$4,F195=3),I195+L195+O195+R195,"")</f>
        <v/>
      </c>
      <c r="AC195" s="40" t="str">
        <f>IF(AND(E195&lt;&gt;'Povolené hodnoty'!$B$4,F195=4),I195+L195+O195+R195,"")</f>
        <v/>
      </c>
      <c r="AD195" s="40" t="str">
        <f>IF(AND(E195&lt;&gt;'Povolené hodnoty'!$B$4,F195="5a"),I195-J195+L195-M195+O195-P195+R195-S195,"")</f>
        <v/>
      </c>
      <c r="AE195" s="40" t="str">
        <f>IF(AND(E195&lt;&gt;'Povolené hodnoty'!$B$4,F195="5b"),I195-J195+L195-M195+O195-P195+R195-S195,"")</f>
        <v/>
      </c>
      <c r="AF195" s="40" t="str">
        <f>IF(AND(E195&lt;&gt;'Povolené hodnoty'!$B$4,F195=6),I195+L195+O195+R195,"")</f>
        <v/>
      </c>
      <c r="AG195" s="41" t="str">
        <f>IF(AND(E195&lt;&gt;'Povolené hodnoty'!$B$4,F195=7),I195+L195+O195+R195,"")</f>
        <v/>
      </c>
      <c r="AH195" s="39" t="str">
        <f>IF(AND(E195&lt;&gt;'Povolené hodnoty'!$B$4,F195=10),J195+M195+P195+S195,"")</f>
        <v/>
      </c>
      <c r="AI195" s="40" t="str">
        <f>IF(AND(E195&lt;&gt;'Povolené hodnoty'!$B$4,F195=11),J195+M195+P195+S195,"")</f>
        <v/>
      </c>
      <c r="AJ195" s="40" t="str">
        <f>IF(AND(E195&lt;&gt;'Povolené hodnoty'!$B$4,F195=12),J195+M195+P195+S195,"")</f>
        <v/>
      </c>
      <c r="AK195" s="41" t="str">
        <f>IF(AND(E195&lt;&gt;'Povolené hodnoty'!$B$4,F195=13),J195+M195+P195+S195,"")</f>
        <v/>
      </c>
      <c r="AL195" s="39" t="str">
        <f>IF(AND($G195='Povolené hodnoty'!$B$13,$H195=AL$4),SUM($I195,$L195,$O195,$R195),"")</f>
        <v/>
      </c>
      <c r="AM195" s="458" t="str">
        <f>IF(AND($G195='Povolené hodnoty'!$B$13,$H195=AM$4),SUM($I195,$L195,$O195,$R195),"")</f>
        <v/>
      </c>
      <c r="AN195" s="458" t="str">
        <f>IF(AND($G195='Povolené hodnoty'!$B$13,$H195=AN$4),SUM($I195,$L195,$O195,$R195),"")</f>
        <v/>
      </c>
      <c r="AO195" s="458" t="str">
        <f>IF(AND($G195='Povolené hodnoty'!$B$13,$H195=AO$4),SUM($I195,$L195,$O195,$R195),"")</f>
        <v/>
      </c>
      <c r="AP195" s="458" t="str">
        <f>IF(AND($G195='Povolené hodnoty'!$B$13,$H195=AP$4),SUM($I195,$L195,$O195,$R195),"")</f>
        <v/>
      </c>
      <c r="AQ195" s="40" t="str">
        <f>IF(AND($G195='Povolené hodnoty'!$B$13,OR($H195=AQ$4,$H195='Povolené hodnoty'!$E$36)),SUM($I195,-$J195,$L195,-$M195,$O195,-$P195,$R195,-$S195),"")</f>
        <v/>
      </c>
      <c r="AR195" s="40" t="str">
        <f>IF(AND($G195='Povolené hodnoty'!$B$13,$H195=AR$4),SUM($I195,$L195,$O195,$R195),"")</f>
        <v/>
      </c>
      <c r="AS195" s="41" t="str">
        <f>IF(AND($G195='Povolené hodnoty'!$B$13,$H195=AS$4),SUM($I195,$L195,$O195,$R195),"")</f>
        <v/>
      </c>
      <c r="AT195" s="39" t="str">
        <f>IF(AND($G195='Povolené hodnoty'!$B$14,$H195=AT$4),SUM($I195,$L195,$O195,$R195),"")</f>
        <v/>
      </c>
      <c r="AU195" s="458" t="str">
        <f>IF(AND($G195='Povolené hodnoty'!$B$14,$H195=AU$4),SUM($I195,$L195,$O195,$R195),"")</f>
        <v/>
      </c>
      <c r="AV195" s="41" t="str">
        <f>IF(AND($G195='Povolené hodnoty'!$B$14,$H195=AV$4),SUM($I195,$L195,$O195,$R195),"")</f>
        <v/>
      </c>
      <c r="AW195" s="39" t="str">
        <f>IF(AND($G195='Povolené hodnoty'!$B$13,$H195=AW$4),SUM($J195,$M195,$P195,$S195),"")</f>
        <v/>
      </c>
      <c r="AX195" s="458" t="str">
        <f>IF(AND($G195='Povolené hodnoty'!$B$13,$H195=AX$4),SUM($J195,$M195,$P195,$S195),"")</f>
        <v/>
      </c>
      <c r="AY195" s="458" t="str">
        <f>IF(AND($G195='Povolené hodnoty'!$B$13,$H195=AY$4),SUM($J195,$M195,$P195,$S195),"")</f>
        <v/>
      </c>
      <c r="AZ195" s="458" t="str">
        <f>IF(AND($G195='Povolené hodnoty'!$B$13,$H195=AZ$4),SUM($J195,$M195,$P195,$S195),"")</f>
        <v/>
      </c>
      <c r="BA195" s="458" t="str">
        <f>IF(AND($G195='Povolené hodnoty'!$B$13,$H195=BA$4),SUM($J195,$M195,$P195,$S195),"")</f>
        <v/>
      </c>
      <c r="BB195" s="40" t="str">
        <f>IF(AND($G195='Povolené hodnoty'!$B$13,$H195=BB$4),SUM($J195,$M195,$P195,$S195),"")</f>
        <v/>
      </c>
      <c r="BC195" s="40" t="str">
        <f>IF(AND($G195='Povolené hodnoty'!$B$13,$H195=BC$4),SUM($J195,$M195,$P195,$S195),"")</f>
        <v/>
      </c>
      <c r="BD195" s="40" t="str">
        <f>IF(AND($G195='Povolené hodnoty'!$B$13,$H195=BD$4),SUM($J195,$M195,$P195,$S195),"")</f>
        <v/>
      </c>
      <c r="BE195" s="41" t="str">
        <f>IF(AND($G195='Povolené hodnoty'!$B$13,$H195=BE$4),SUM($J195,$M195,$P195,$S195),"")</f>
        <v/>
      </c>
      <c r="BF195" s="39" t="str">
        <f>IF(AND($G195='Povolené hodnoty'!$B$14,$H195=BF$4),SUM($J195,$M195,$P195,$S195),"")</f>
        <v/>
      </c>
      <c r="BG195" s="458" t="str">
        <f>IF(AND($G195='Povolené hodnoty'!$B$14,$H195=BG$4),SUM($J195,$M195,$P195,$S195),"")</f>
        <v/>
      </c>
      <c r="BH195" s="458" t="str">
        <f>IF(AND($G195='Povolené hodnoty'!$B$14,$H195=BH$4),SUM($J195,$M195,$P195,$S195),"")</f>
        <v/>
      </c>
      <c r="BI195" s="458" t="str">
        <f>IF(AND($G195='Povolené hodnoty'!$B$14,$H195=BI$4),SUM($J195,$M195,$P195,$S195),"")</f>
        <v/>
      </c>
      <c r="BJ195" s="458" t="str">
        <f>IF(AND($G195='Povolené hodnoty'!$B$14,$H195=BJ$4),SUM($J195,$M195,$P195,$S195),"")</f>
        <v/>
      </c>
      <c r="BK195" s="40" t="str">
        <f>IF(AND($G195='Povolené hodnoty'!$B$14,$H195=BK$4),SUM($J195,$M195,$P195,$S195),"")</f>
        <v/>
      </c>
      <c r="BL195" s="40" t="str">
        <f>IF(AND($G195='Povolené hodnoty'!$B$14,$H195=BL$4),SUM($J195,$M195,$P195,$S195),"")</f>
        <v/>
      </c>
      <c r="BM195" s="41" t="str">
        <f>IF(AND($G195='Povolené hodnoty'!$B$14,$H195=BM$4),SUM($J195,$M195,$P195,$S195),"")</f>
        <v/>
      </c>
      <c r="BO195" s="18" t="b">
        <f t="shared" si="106"/>
        <v>0</v>
      </c>
      <c r="BP195" s="18" t="b">
        <f t="shared" si="77"/>
        <v>0</v>
      </c>
      <c r="BQ195" s="18" t="b">
        <f>AND(E195&lt;&gt;'Povolené hodnoty'!$B$6,F195&lt;&gt;'Povolené hodnoty'!$D$7,F195&lt;&gt;'Povolené hodnoty'!$D$8,OR(SUM(I195,L195,O195,R195)&lt;&gt;SUM(W195:X195,AA195:AG195),SUM(J195,M195,P195,S195)&lt;&gt;SUM(Y195:Z195,AH195:AK195),COUNT(I195:J195,L195:M195,O195:P195,R195:S195)&lt;&gt;COUNT(W195:AK195)))</f>
        <v>0</v>
      </c>
      <c r="BR195" s="18" t="b">
        <f>OR(AND(E195='Povolené hodnoty'!$B$6,$BR$5),AND(E195='Povolené hodnoty'!$B$6,H195&lt;&gt;'Povolené hodnoty'!$E$26,H195&lt;&gt;'Povolené hodnoty'!$E$35),AND(E195&lt;&gt;'Povolené hodnoty'!$B$6,OR(H195='Povolené hodnoty'!$E$26,H195='Povolené hodnoty'!$E$35)))</f>
        <v>0</v>
      </c>
      <c r="BS195" s="18" t="b">
        <f>OR(AND(G195&lt;&gt;'Povolené hodnoty'!$B$13,OR(H195='Povolené hodnoty'!$E$21,H195='Povolené hodnoty'!$E$22,H195='Povolené hodnoty'!$E$23,H195='Povolené hodnoty'!$E$24,H195='Povolené hodnoty'!$E$26,H195='Povolené hodnoty'!$E$36)),COUNT(I195:J195,L195:M195,O195:P195,R195:S195)&lt;&gt;COUNT(AL195:BM195))</f>
        <v>0</v>
      </c>
      <c r="BT195" s="18" t="b">
        <f t="shared" si="78"/>
        <v>0</v>
      </c>
      <c r="BV195" s="39" t="str">
        <f t="shared" si="79"/>
        <v/>
      </c>
      <c r="BW195" s="458" t="str">
        <f t="shared" si="80"/>
        <v/>
      </c>
      <c r="BX195" s="458" t="str">
        <f t="shared" si="81"/>
        <v/>
      </c>
      <c r="BY195" s="458" t="str">
        <f t="shared" si="82"/>
        <v/>
      </c>
      <c r="BZ195" s="458" t="str">
        <f t="shared" si="83"/>
        <v/>
      </c>
      <c r="CA195" s="40" t="str">
        <f t="shared" si="84"/>
        <v/>
      </c>
      <c r="CB195" s="40" t="str">
        <f t="shared" si="85"/>
        <v/>
      </c>
      <c r="CC195" s="39" t="str">
        <f t="shared" si="86"/>
        <v/>
      </c>
      <c r="CD195" s="458" t="str">
        <f t="shared" si="87"/>
        <v/>
      </c>
      <c r="CE195" s="41" t="str">
        <f t="shared" si="88"/>
        <v/>
      </c>
      <c r="CF195" s="39" t="str">
        <f t="shared" si="89"/>
        <v/>
      </c>
      <c r="CG195" s="458" t="str">
        <f t="shared" si="90"/>
        <v/>
      </c>
      <c r="CH195" s="458" t="str">
        <f t="shared" si="91"/>
        <v/>
      </c>
      <c r="CI195" s="458" t="str">
        <f t="shared" si="92"/>
        <v/>
      </c>
      <c r="CJ195" s="458" t="str">
        <f t="shared" si="93"/>
        <v/>
      </c>
      <c r="CK195" s="40" t="str">
        <f t="shared" si="94"/>
        <v/>
      </c>
      <c r="CL195" s="40" t="str">
        <f t="shared" si="95"/>
        <v/>
      </c>
      <c r="CM195" s="40" t="str">
        <f t="shared" si="96"/>
        <v/>
      </c>
      <c r="CN195" s="39" t="str">
        <f t="shared" si="97"/>
        <v/>
      </c>
      <c r="CO195" s="458" t="str">
        <f t="shared" si="98"/>
        <v/>
      </c>
      <c r="CP195" s="458" t="str">
        <f t="shared" si="99"/>
        <v/>
      </c>
      <c r="CQ195" s="458" t="str">
        <f t="shared" si="100"/>
        <v/>
      </c>
      <c r="CR195" s="458" t="str">
        <f t="shared" si="101"/>
        <v/>
      </c>
      <c r="CS195" s="40" t="str">
        <f t="shared" si="102"/>
        <v/>
      </c>
      <c r="CT195" s="40" t="str">
        <f t="shared" si="103"/>
        <v/>
      </c>
      <c r="CU195" s="41" t="str">
        <f t="shared" si="104"/>
        <v/>
      </c>
    </row>
    <row r="196" spans="1:99" x14ac:dyDescent="0.2">
      <c r="A196" s="77">
        <f t="shared" si="105"/>
        <v>191</v>
      </c>
      <c r="B196" s="81"/>
      <c r="C196" s="82"/>
      <c r="D196" s="71"/>
      <c r="E196" s="72"/>
      <c r="F196" s="73"/>
      <c r="G196" s="443"/>
      <c r="H196" s="443"/>
      <c r="I196" s="74"/>
      <c r="J196" s="75"/>
      <c r="K196" s="41">
        <f t="shared" si="109"/>
        <v>3625</v>
      </c>
      <c r="L196" s="104"/>
      <c r="M196" s="105"/>
      <c r="N196" s="106">
        <f t="shared" si="110"/>
        <v>537.05999999999995</v>
      </c>
      <c r="O196" s="104"/>
      <c r="P196" s="105"/>
      <c r="Q196" s="106">
        <f t="shared" si="107"/>
        <v>10045.83</v>
      </c>
      <c r="R196" s="104"/>
      <c r="S196" s="105"/>
      <c r="T196" s="106">
        <f t="shared" si="108"/>
        <v>0</v>
      </c>
      <c r="U196" s="439"/>
      <c r="V196" s="42">
        <f t="shared" si="76"/>
        <v>191</v>
      </c>
      <c r="W196" s="39" t="str">
        <f>IF(AND(E196='Povolené hodnoty'!$B$4,F196=2),I196+L196+O196+R196,"")</f>
        <v/>
      </c>
      <c r="X196" s="41" t="str">
        <f>IF(AND(E196='Povolené hodnoty'!$B$4,F196=1),I196+L196+O196+R196,"")</f>
        <v/>
      </c>
      <c r="Y196" s="39" t="str">
        <f>IF(AND(E196='Povolené hodnoty'!$B$4,F196=10),J196+M196+P196+S196,"")</f>
        <v/>
      </c>
      <c r="Z196" s="41" t="str">
        <f>IF(AND(E196='Povolené hodnoty'!$B$4,F196=9),J196+M196+P196+S196,"")</f>
        <v/>
      </c>
      <c r="AA196" s="39" t="str">
        <f>IF(AND(E196&lt;&gt;'Povolené hodnoty'!$B$4,F196=2),I196+L196+O196+R196,"")</f>
        <v/>
      </c>
      <c r="AB196" s="40" t="str">
        <f>IF(AND(E196&lt;&gt;'Povolené hodnoty'!$B$4,F196=3),I196+L196+O196+R196,"")</f>
        <v/>
      </c>
      <c r="AC196" s="40" t="str">
        <f>IF(AND(E196&lt;&gt;'Povolené hodnoty'!$B$4,F196=4),I196+L196+O196+R196,"")</f>
        <v/>
      </c>
      <c r="AD196" s="40" t="str">
        <f>IF(AND(E196&lt;&gt;'Povolené hodnoty'!$B$4,F196="5a"),I196-J196+L196-M196+O196-P196+R196-S196,"")</f>
        <v/>
      </c>
      <c r="AE196" s="40" t="str">
        <f>IF(AND(E196&lt;&gt;'Povolené hodnoty'!$B$4,F196="5b"),I196-J196+L196-M196+O196-P196+R196-S196,"")</f>
        <v/>
      </c>
      <c r="AF196" s="40" t="str">
        <f>IF(AND(E196&lt;&gt;'Povolené hodnoty'!$B$4,F196=6),I196+L196+O196+R196,"")</f>
        <v/>
      </c>
      <c r="AG196" s="41" t="str">
        <f>IF(AND(E196&lt;&gt;'Povolené hodnoty'!$B$4,F196=7),I196+L196+O196+R196,"")</f>
        <v/>
      </c>
      <c r="AH196" s="39" t="str">
        <f>IF(AND(E196&lt;&gt;'Povolené hodnoty'!$B$4,F196=10),J196+M196+P196+S196,"")</f>
        <v/>
      </c>
      <c r="AI196" s="40" t="str">
        <f>IF(AND(E196&lt;&gt;'Povolené hodnoty'!$B$4,F196=11),J196+M196+P196+S196,"")</f>
        <v/>
      </c>
      <c r="AJ196" s="40" t="str">
        <f>IF(AND(E196&lt;&gt;'Povolené hodnoty'!$B$4,F196=12),J196+M196+P196+S196,"")</f>
        <v/>
      </c>
      <c r="AK196" s="41" t="str">
        <f>IF(AND(E196&lt;&gt;'Povolené hodnoty'!$B$4,F196=13),J196+M196+P196+S196,"")</f>
        <v/>
      </c>
      <c r="AL196" s="39" t="str">
        <f>IF(AND($G196='Povolené hodnoty'!$B$13,$H196=AL$4),SUM($I196,$L196,$O196,$R196),"")</f>
        <v/>
      </c>
      <c r="AM196" s="458" t="str">
        <f>IF(AND($G196='Povolené hodnoty'!$B$13,$H196=AM$4),SUM($I196,$L196,$O196,$R196),"")</f>
        <v/>
      </c>
      <c r="AN196" s="458" t="str">
        <f>IF(AND($G196='Povolené hodnoty'!$B$13,$H196=AN$4),SUM($I196,$L196,$O196,$R196),"")</f>
        <v/>
      </c>
      <c r="AO196" s="458" t="str">
        <f>IF(AND($G196='Povolené hodnoty'!$B$13,$H196=AO$4),SUM($I196,$L196,$O196,$R196),"")</f>
        <v/>
      </c>
      <c r="AP196" s="458" t="str">
        <f>IF(AND($G196='Povolené hodnoty'!$B$13,$H196=AP$4),SUM($I196,$L196,$O196,$R196),"")</f>
        <v/>
      </c>
      <c r="AQ196" s="40" t="str">
        <f>IF(AND($G196='Povolené hodnoty'!$B$13,OR($H196=AQ$4,$H196='Povolené hodnoty'!$E$36)),SUM($I196,-$J196,$L196,-$M196,$O196,-$P196,$R196,-$S196),"")</f>
        <v/>
      </c>
      <c r="AR196" s="40" t="str">
        <f>IF(AND($G196='Povolené hodnoty'!$B$13,$H196=AR$4),SUM($I196,$L196,$O196,$R196),"")</f>
        <v/>
      </c>
      <c r="AS196" s="41" t="str">
        <f>IF(AND($G196='Povolené hodnoty'!$B$13,$H196=AS$4),SUM($I196,$L196,$O196,$R196),"")</f>
        <v/>
      </c>
      <c r="AT196" s="39" t="str">
        <f>IF(AND($G196='Povolené hodnoty'!$B$14,$H196=AT$4),SUM($I196,$L196,$O196,$R196),"")</f>
        <v/>
      </c>
      <c r="AU196" s="458" t="str">
        <f>IF(AND($G196='Povolené hodnoty'!$B$14,$H196=AU$4),SUM($I196,$L196,$O196,$R196),"")</f>
        <v/>
      </c>
      <c r="AV196" s="41" t="str">
        <f>IF(AND($G196='Povolené hodnoty'!$B$14,$H196=AV$4),SUM($I196,$L196,$O196,$R196),"")</f>
        <v/>
      </c>
      <c r="AW196" s="39" t="str">
        <f>IF(AND($G196='Povolené hodnoty'!$B$13,$H196=AW$4),SUM($J196,$M196,$P196,$S196),"")</f>
        <v/>
      </c>
      <c r="AX196" s="458" t="str">
        <f>IF(AND($G196='Povolené hodnoty'!$B$13,$H196=AX$4),SUM($J196,$M196,$P196,$S196),"")</f>
        <v/>
      </c>
      <c r="AY196" s="458" t="str">
        <f>IF(AND($G196='Povolené hodnoty'!$B$13,$H196=AY$4),SUM($J196,$M196,$P196,$S196),"")</f>
        <v/>
      </c>
      <c r="AZ196" s="458" t="str">
        <f>IF(AND($G196='Povolené hodnoty'!$B$13,$H196=AZ$4),SUM($J196,$M196,$P196,$S196),"")</f>
        <v/>
      </c>
      <c r="BA196" s="458" t="str">
        <f>IF(AND($G196='Povolené hodnoty'!$B$13,$H196=BA$4),SUM($J196,$M196,$P196,$S196),"")</f>
        <v/>
      </c>
      <c r="BB196" s="40" t="str">
        <f>IF(AND($G196='Povolené hodnoty'!$B$13,$H196=BB$4),SUM($J196,$M196,$P196,$S196),"")</f>
        <v/>
      </c>
      <c r="BC196" s="40" t="str">
        <f>IF(AND($G196='Povolené hodnoty'!$B$13,$H196=BC$4),SUM($J196,$M196,$P196,$S196),"")</f>
        <v/>
      </c>
      <c r="BD196" s="40" t="str">
        <f>IF(AND($G196='Povolené hodnoty'!$B$13,$H196=BD$4),SUM($J196,$M196,$P196,$S196),"")</f>
        <v/>
      </c>
      <c r="BE196" s="41" t="str">
        <f>IF(AND($G196='Povolené hodnoty'!$B$13,$H196=BE$4),SUM($J196,$M196,$P196,$S196),"")</f>
        <v/>
      </c>
      <c r="BF196" s="39" t="str">
        <f>IF(AND($G196='Povolené hodnoty'!$B$14,$H196=BF$4),SUM($J196,$M196,$P196,$S196),"")</f>
        <v/>
      </c>
      <c r="BG196" s="458" t="str">
        <f>IF(AND($G196='Povolené hodnoty'!$B$14,$H196=BG$4),SUM($J196,$M196,$P196,$S196),"")</f>
        <v/>
      </c>
      <c r="BH196" s="458" t="str">
        <f>IF(AND($G196='Povolené hodnoty'!$B$14,$H196=BH$4),SUM($J196,$M196,$P196,$S196),"")</f>
        <v/>
      </c>
      <c r="BI196" s="458" t="str">
        <f>IF(AND($G196='Povolené hodnoty'!$B$14,$H196=BI$4),SUM($J196,$M196,$P196,$S196),"")</f>
        <v/>
      </c>
      <c r="BJ196" s="458" t="str">
        <f>IF(AND($G196='Povolené hodnoty'!$B$14,$H196=BJ$4),SUM($J196,$M196,$P196,$S196),"")</f>
        <v/>
      </c>
      <c r="BK196" s="40" t="str">
        <f>IF(AND($G196='Povolené hodnoty'!$B$14,$H196=BK$4),SUM($J196,$M196,$P196,$S196),"")</f>
        <v/>
      </c>
      <c r="BL196" s="40" t="str">
        <f>IF(AND($G196='Povolené hodnoty'!$B$14,$H196=BL$4),SUM($J196,$M196,$P196,$S196),"")</f>
        <v/>
      </c>
      <c r="BM196" s="41" t="str">
        <f>IF(AND($G196='Povolené hodnoty'!$B$14,$H196=BM$4),SUM($J196,$M196,$P196,$S196),"")</f>
        <v/>
      </c>
      <c r="BO196" s="18" t="b">
        <f t="shared" si="106"/>
        <v>0</v>
      </c>
      <c r="BP196" s="18" t="b">
        <f t="shared" si="77"/>
        <v>0</v>
      </c>
      <c r="BQ196" s="18" t="b">
        <f>AND(E196&lt;&gt;'Povolené hodnoty'!$B$6,F196&lt;&gt;'Povolené hodnoty'!$D$7,F196&lt;&gt;'Povolené hodnoty'!$D$8,OR(SUM(I196,L196,O196,R196)&lt;&gt;SUM(W196:X196,AA196:AG196),SUM(J196,M196,P196,S196)&lt;&gt;SUM(Y196:Z196,AH196:AK196),COUNT(I196:J196,L196:M196,O196:P196,R196:S196)&lt;&gt;COUNT(W196:AK196)))</f>
        <v>0</v>
      </c>
      <c r="BR196" s="18" t="b">
        <f>OR(AND(E196='Povolené hodnoty'!$B$6,$BR$5),AND(E196='Povolené hodnoty'!$B$6,H196&lt;&gt;'Povolené hodnoty'!$E$26,H196&lt;&gt;'Povolené hodnoty'!$E$35),AND(E196&lt;&gt;'Povolené hodnoty'!$B$6,OR(H196='Povolené hodnoty'!$E$26,H196='Povolené hodnoty'!$E$35)))</f>
        <v>0</v>
      </c>
      <c r="BS196" s="18" t="b">
        <f>OR(AND(G196&lt;&gt;'Povolené hodnoty'!$B$13,OR(H196='Povolené hodnoty'!$E$21,H196='Povolené hodnoty'!$E$22,H196='Povolené hodnoty'!$E$23,H196='Povolené hodnoty'!$E$24,H196='Povolené hodnoty'!$E$26,H196='Povolené hodnoty'!$E$36)),COUNT(I196:J196,L196:M196,O196:P196,R196:S196)&lt;&gt;COUNT(AL196:BM196))</f>
        <v>0</v>
      </c>
      <c r="BT196" s="18" t="b">
        <f t="shared" si="78"/>
        <v>0</v>
      </c>
      <c r="BV196" s="39" t="str">
        <f t="shared" si="79"/>
        <v/>
      </c>
      <c r="BW196" s="458" t="str">
        <f t="shared" si="80"/>
        <v/>
      </c>
      <c r="BX196" s="458" t="str">
        <f t="shared" si="81"/>
        <v/>
      </c>
      <c r="BY196" s="458" t="str">
        <f t="shared" si="82"/>
        <v/>
      </c>
      <c r="BZ196" s="458" t="str">
        <f t="shared" si="83"/>
        <v/>
      </c>
      <c r="CA196" s="40" t="str">
        <f t="shared" si="84"/>
        <v/>
      </c>
      <c r="CB196" s="40" t="str">
        <f t="shared" si="85"/>
        <v/>
      </c>
      <c r="CC196" s="39" t="str">
        <f t="shared" si="86"/>
        <v/>
      </c>
      <c r="CD196" s="458" t="str">
        <f t="shared" si="87"/>
        <v/>
      </c>
      <c r="CE196" s="41" t="str">
        <f t="shared" si="88"/>
        <v/>
      </c>
      <c r="CF196" s="39" t="str">
        <f t="shared" si="89"/>
        <v/>
      </c>
      <c r="CG196" s="458" t="str">
        <f t="shared" si="90"/>
        <v/>
      </c>
      <c r="CH196" s="458" t="str">
        <f t="shared" si="91"/>
        <v/>
      </c>
      <c r="CI196" s="458" t="str">
        <f t="shared" si="92"/>
        <v/>
      </c>
      <c r="CJ196" s="458" t="str">
        <f t="shared" si="93"/>
        <v/>
      </c>
      <c r="CK196" s="40" t="str">
        <f t="shared" si="94"/>
        <v/>
      </c>
      <c r="CL196" s="40" t="str">
        <f t="shared" si="95"/>
        <v/>
      </c>
      <c r="CM196" s="40" t="str">
        <f t="shared" si="96"/>
        <v/>
      </c>
      <c r="CN196" s="39" t="str">
        <f t="shared" si="97"/>
        <v/>
      </c>
      <c r="CO196" s="458" t="str">
        <f t="shared" si="98"/>
        <v/>
      </c>
      <c r="CP196" s="458" t="str">
        <f t="shared" si="99"/>
        <v/>
      </c>
      <c r="CQ196" s="458" t="str">
        <f t="shared" si="100"/>
        <v/>
      </c>
      <c r="CR196" s="458" t="str">
        <f t="shared" si="101"/>
        <v/>
      </c>
      <c r="CS196" s="40" t="str">
        <f t="shared" si="102"/>
        <v/>
      </c>
      <c r="CT196" s="40" t="str">
        <f t="shared" si="103"/>
        <v/>
      </c>
      <c r="CU196" s="41" t="str">
        <f t="shared" si="104"/>
        <v/>
      </c>
    </row>
    <row r="197" spans="1:99" x14ac:dyDescent="0.2">
      <c r="A197" s="77">
        <f t="shared" si="105"/>
        <v>192</v>
      </c>
      <c r="B197" s="81"/>
      <c r="C197" s="82"/>
      <c r="D197" s="71"/>
      <c r="E197" s="72"/>
      <c r="F197" s="73"/>
      <c r="G197" s="443"/>
      <c r="H197" s="443"/>
      <c r="I197" s="74"/>
      <c r="J197" s="75"/>
      <c r="K197" s="41">
        <f t="shared" si="109"/>
        <v>3625</v>
      </c>
      <c r="L197" s="104"/>
      <c r="M197" s="105"/>
      <c r="N197" s="106">
        <f t="shared" si="110"/>
        <v>537.05999999999995</v>
      </c>
      <c r="O197" s="104"/>
      <c r="P197" s="105"/>
      <c r="Q197" s="106">
        <f t="shared" si="107"/>
        <v>10045.83</v>
      </c>
      <c r="R197" s="104"/>
      <c r="S197" s="105"/>
      <c r="T197" s="106">
        <f t="shared" si="108"/>
        <v>0</v>
      </c>
      <c r="U197" s="439"/>
      <c r="V197" s="42">
        <f t="shared" ref="V197:V260" si="111">A197</f>
        <v>192</v>
      </c>
      <c r="W197" s="39" t="str">
        <f>IF(AND(E197='Povolené hodnoty'!$B$4,F197=2),I197+L197+O197+R197,"")</f>
        <v/>
      </c>
      <c r="X197" s="41" t="str">
        <f>IF(AND(E197='Povolené hodnoty'!$B$4,F197=1),I197+L197+O197+R197,"")</f>
        <v/>
      </c>
      <c r="Y197" s="39" t="str">
        <f>IF(AND(E197='Povolené hodnoty'!$B$4,F197=10),J197+M197+P197+S197,"")</f>
        <v/>
      </c>
      <c r="Z197" s="41" t="str">
        <f>IF(AND(E197='Povolené hodnoty'!$B$4,F197=9),J197+M197+P197+S197,"")</f>
        <v/>
      </c>
      <c r="AA197" s="39" t="str">
        <f>IF(AND(E197&lt;&gt;'Povolené hodnoty'!$B$4,F197=2),I197+L197+O197+R197,"")</f>
        <v/>
      </c>
      <c r="AB197" s="40" t="str">
        <f>IF(AND(E197&lt;&gt;'Povolené hodnoty'!$B$4,F197=3),I197+L197+O197+R197,"")</f>
        <v/>
      </c>
      <c r="AC197" s="40" t="str">
        <f>IF(AND(E197&lt;&gt;'Povolené hodnoty'!$B$4,F197=4),I197+L197+O197+R197,"")</f>
        <v/>
      </c>
      <c r="AD197" s="40" t="str">
        <f>IF(AND(E197&lt;&gt;'Povolené hodnoty'!$B$4,F197="5a"),I197-J197+L197-M197+O197-P197+R197-S197,"")</f>
        <v/>
      </c>
      <c r="AE197" s="40" t="str">
        <f>IF(AND(E197&lt;&gt;'Povolené hodnoty'!$B$4,F197="5b"),I197-J197+L197-M197+O197-P197+R197-S197,"")</f>
        <v/>
      </c>
      <c r="AF197" s="40" t="str">
        <f>IF(AND(E197&lt;&gt;'Povolené hodnoty'!$B$4,F197=6),I197+L197+O197+R197,"")</f>
        <v/>
      </c>
      <c r="AG197" s="41" t="str">
        <f>IF(AND(E197&lt;&gt;'Povolené hodnoty'!$B$4,F197=7),I197+L197+O197+R197,"")</f>
        <v/>
      </c>
      <c r="AH197" s="39" t="str">
        <f>IF(AND(E197&lt;&gt;'Povolené hodnoty'!$B$4,F197=10),J197+M197+P197+S197,"")</f>
        <v/>
      </c>
      <c r="AI197" s="40" t="str">
        <f>IF(AND(E197&lt;&gt;'Povolené hodnoty'!$B$4,F197=11),J197+M197+P197+S197,"")</f>
        <v/>
      </c>
      <c r="AJ197" s="40" t="str">
        <f>IF(AND(E197&lt;&gt;'Povolené hodnoty'!$B$4,F197=12),J197+M197+P197+S197,"")</f>
        <v/>
      </c>
      <c r="AK197" s="41" t="str">
        <f>IF(AND(E197&lt;&gt;'Povolené hodnoty'!$B$4,F197=13),J197+M197+P197+S197,"")</f>
        <v/>
      </c>
      <c r="AL197" s="39" t="str">
        <f>IF(AND($G197='Povolené hodnoty'!$B$13,$H197=AL$4),SUM($I197,$L197,$O197,$R197),"")</f>
        <v/>
      </c>
      <c r="AM197" s="458" t="str">
        <f>IF(AND($G197='Povolené hodnoty'!$B$13,$H197=AM$4),SUM($I197,$L197,$O197,$R197),"")</f>
        <v/>
      </c>
      <c r="AN197" s="458" t="str">
        <f>IF(AND($G197='Povolené hodnoty'!$B$13,$H197=AN$4),SUM($I197,$L197,$O197,$R197),"")</f>
        <v/>
      </c>
      <c r="AO197" s="458" t="str">
        <f>IF(AND($G197='Povolené hodnoty'!$B$13,$H197=AO$4),SUM($I197,$L197,$O197,$R197),"")</f>
        <v/>
      </c>
      <c r="AP197" s="458" t="str">
        <f>IF(AND($G197='Povolené hodnoty'!$B$13,$H197=AP$4),SUM($I197,$L197,$O197,$R197),"")</f>
        <v/>
      </c>
      <c r="AQ197" s="40" t="str">
        <f>IF(AND($G197='Povolené hodnoty'!$B$13,OR($H197=AQ$4,$H197='Povolené hodnoty'!$E$36)),SUM($I197,-$J197,$L197,-$M197,$O197,-$P197,$R197,-$S197),"")</f>
        <v/>
      </c>
      <c r="AR197" s="40" t="str">
        <f>IF(AND($G197='Povolené hodnoty'!$B$13,$H197=AR$4),SUM($I197,$L197,$O197,$R197),"")</f>
        <v/>
      </c>
      <c r="AS197" s="41" t="str">
        <f>IF(AND($G197='Povolené hodnoty'!$B$13,$H197=AS$4),SUM($I197,$L197,$O197,$R197),"")</f>
        <v/>
      </c>
      <c r="AT197" s="39" t="str">
        <f>IF(AND($G197='Povolené hodnoty'!$B$14,$H197=AT$4),SUM($I197,$L197,$O197,$R197),"")</f>
        <v/>
      </c>
      <c r="AU197" s="458" t="str">
        <f>IF(AND($G197='Povolené hodnoty'!$B$14,$H197=AU$4),SUM($I197,$L197,$O197,$R197),"")</f>
        <v/>
      </c>
      <c r="AV197" s="41" t="str">
        <f>IF(AND($G197='Povolené hodnoty'!$B$14,$H197=AV$4),SUM($I197,$L197,$O197,$R197),"")</f>
        <v/>
      </c>
      <c r="AW197" s="39" t="str">
        <f>IF(AND($G197='Povolené hodnoty'!$B$13,$H197=AW$4),SUM($J197,$M197,$P197,$S197),"")</f>
        <v/>
      </c>
      <c r="AX197" s="458" t="str">
        <f>IF(AND($G197='Povolené hodnoty'!$B$13,$H197=AX$4),SUM($J197,$M197,$P197,$S197),"")</f>
        <v/>
      </c>
      <c r="AY197" s="458" t="str">
        <f>IF(AND($G197='Povolené hodnoty'!$B$13,$H197=AY$4),SUM($J197,$M197,$P197,$S197),"")</f>
        <v/>
      </c>
      <c r="AZ197" s="458" t="str">
        <f>IF(AND($G197='Povolené hodnoty'!$B$13,$H197=AZ$4),SUM($J197,$M197,$P197,$S197),"")</f>
        <v/>
      </c>
      <c r="BA197" s="458" t="str">
        <f>IF(AND($G197='Povolené hodnoty'!$B$13,$H197=BA$4),SUM($J197,$M197,$P197,$S197),"")</f>
        <v/>
      </c>
      <c r="BB197" s="40" t="str">
        <f>IF(AND($G197='Povolené hodnoty'!$B$13,$H197=BB$4),SUM($J197,$M197,$P197,$S197),"")</f>
        <v/>
      </c>
      <c r="BC197" s="40" t="str">
        <f>IF(AND($G197='Povolené hodnoty'!$B$13,$H197=BC$4),SUM($J197,$M197,$P197,$S197),"")</f>
        <v/>
      </c>
      <c r="BD197" s="40" t="str">
        <f>IF(AND($G197='Povolené hodnoty'!$B$13,$H197=BD$4),SUM($J197,$M197,$P197,$S197),"")</f>
        <v/>
      </c>
      <c r="BE197" s="41" t="str">
        <f>IF(AND($G197='Povolené hodnoty'!$B$13,$H197=BE$4),SUM($J197,$M197,$P197,$S197),"")</f>
        <v/>
      </c>
      <c r="BF197" s="39" t="str">
        <f>IF(AND($G197='Povolené hodnoty'!$B$14,$H197=BF$4),SUM($J197,$M197,$P197,$S197),"")</f>
        <v/>
      </c>
      <c r="BG197" s="458" t="str">
        <f>IF(AND($G197='Povolené hodnoty'!$B$14,$H197=BG$4),SUM($J197,$M197,$P197,$S197),"")</f>
        <v/>
      </c>
      <c r="BH197" s="458" t="str">
        <f>IF(AND($G197='Povolené hodnoty'!$B$14,$H197=BH$4),SUM($J197,$M197,$P197,$S197),"")</f>
        <v/>
      </c>
      <c r="BI197" s="458" t="str">
        <f>IF(AND($G197='Povolené hodnoty'!$B$14,$H197=BI$4),SUM($J197,$M197,$P197,$S197),"")</f>
        <v/>
      </c>
      <c r="BJ197" s="458" t="str">
        <f>IF(AND($G197='Povolené hodnoty'!$B$14,$H197=BJ$4),SUM($J197,$M197,$P197,$S197),"")</f>
        <v/>
      </c>
      <c r="BK197" s="40" t="str">
        <f>IF(AND($G197='Povolené hodnoty'!$B$14,$H197=BK$4),SUM($J197,$M197,$P197,$S197),"")</f>
        <v/>
      </c>
      <c r="BL197" s="40" t="str">
        <f>IF(AND($G197='Povolené hodnoty'!$B$14,$H197=BL$4),SUM($J197,$M197,$P197,$S197),"")</f>
        <v/>
      </c>
      <c r="BM197" s="41" t="str">
        <f>IF(AND($G197='Povolené hodnoty'!$B$14,$H197=BM$4),SUM($J197,$M197,$P197,$S197),"")</f>
        <v/>
      </c>
      <c r="BO197" s="18" t="b">
        <f t="shared" si="106"/>
        <v>0</v>
      </c>
      <c r="BP197" s="18" t="b">
        <f t="shared" si="77"/>
        <v>0</v>
      </c>
      <c r="BQ197" s="18" t="b">
        <f>AND(E197&lt;&gt;'Povolené hodnoty'!$B$6,F197&lt;&gt;'Povolené hodnoty'!$D$7,F197&lt;&gt;'Povolené hodnoty'!$D$8,OR(SUM(I197,L197,O197,R197)&lt;&gt;SUM(W197:X197,AA197:AG197),SUM(J197,M197,P197,S197)&lt;&gt;SUM(Y197:Z197,AH197:AK197),COUNT(I197:J197,L197:M197,O197:P197,R197:S197)&lt;&gt;COUNT(W197:AK197)))</f>
        <v>0</v>
      </c>
      <c r="BR197" s="18" t="b">
        <f>OR(AND(E197='Povolené hodnoty'!$B$6,$BR$5),AND(E197='Povolené hodnoty'!$B$6,H197&lt;&gt;'Povolené hodnoty'!$E$26,H197&lt;&gt;'Povolené hodnoty'!$E$35),AND(E197&lt;&gt;'Povolené hodnoty'!$B$6,OR(H197='Povolené hodnoty'!$E$26,H197='Povolené hodnoty'!$E$35)))</f>
        <v>0</v>
      </c>
      <c r="BS197" s="18" t="b">
        <f>OR(AND(G197&lt;&gt;'Povolené hodnoty'!$B$13,OR(H197='Povolené hodnoty'!$E$21,H197='Povolené hodnoty'!$E$22,H197='Povolené hodnoty'!$E$23,H197='Povolené hodnoty'!$E$24,H197='Povolené hodnoty'!$E$26,H197='Povolené hodnoty'!$E$36)),COUNT(I197:J197,L197:M197,O197:P197,R197:S197)&lt;&gt;COUNT(AL197:BM197))</f>
        <v>0</v>
      </c>
      <c r="BT197" s="18" t="b">
        <f t="shared" si="78"/>
        <v>0</v>
      </c>
      <c r="BV197" s="39" t="str">
        <f t="shared" si="79"/>
        <v/>
      </c>
      <c r="BW197" s="458" t="str">
        <f t="shared" si="80"/>
        <v/>
      </c>
      <c r="BX197" s="458" t="str">
        <f t="shared" si="81"/>
        <v/>
      </c>
      <c r="BY197" s="458" t="str">
        <f t="shared" si="82"/>
        <v/>
      </c>
      <c r="BZ197" s="458" t="str">
        <f t="shared" si="83"/>
        <v/>
      </c>
      <c r="CA197" s="40" t="str">
        <f t="shared" si="84"/>
        <v/>
      </c>
      <c r="CB197" s="40" t="str">
        <f t="shared" si="85"/>
        <v/>
      </c>
      <c r="CC197" s="39" t="str">
        <f t="shared" si="86"/>
        <v/>
      </c>
      <c r="CD197" s="458" t="str">
        <f t="shared" si="87"/>
        <v/>
      </c>
      <c r="CE197" s="41" t="str">
        <f t="shared" si="88"/>
        <v/>
      </c>
      <c r="CF197" s="39" t="str">
        <f t="shared" si="89"/>
        <v/>
      </c>
      <c r="CG197" s="458" t="str">
        <f t="shared" si="90"/>
        <v/>
      </c>
      <c r="CH197" s="458" t="str">
        <f t="shared" si="91"/>
        <v/>
      </c>
      <c r="CI197" s="458" t="str">
        <f t="shared" si="92"/>
        <v/>
      </c>
      <c r="CJ197" s="458" t="str">
        <f t="shared" si="93"/>
        <v/>
      </c>
      <c r="CK197" s="40" t="str">
        <f t="shared" si="94"/>
        <v/>
      </c>
      <c r="CL197" s="40" t="str">
        <f t="shared" si="95"/>
        <v/>
      </c>
      <c r="CM197" s="40" t="str">
        <f t="shared" si="96"/>
        <v/>
      </c>
      <c r="CN197" s="39" t="str">
        <f t="shared" si="97"/>
        <v/>
      </c>
      <c r="CO197" s="458" t="str">
        <f t="shared" si="98"/>
        <v/>
      </c>
      <c r="CP197" s="458" t="str">
        <f t="shared" si="99"/>
        <v/>
      </c>
      <c r="CQ197" s="458" t="str">
        <f t="shared" si="100"/>
        <v/>
      </c>
      <c r="CR197" s="458" t="str">
        <f t="shared" si="101"/>
        <v/>
      </c>
      <c r="CS197" s="40" t="str">
        <f t="shared" si="102"/>
        <v/>
      </c>
      <c r="CT197" s="40" t="str">
        <f t="shared" si="103"/>
        <v/>
      </c>
      <c r="CU197" s="41" t="str">
        <f t="shared" si="104"/>
        <v/>
      </c>
    </row>
    <row r="198" spans="1:99" x14ac:dyDescent="0.2">
      <c r="A198" s="77">
        <f t="shared" si="105"/>
        <v>193</v>
      </c>
      <c r="B198" s="81"/>
      <c r="C198" s="82"/>
      <c r="D198" s="71"/>
      <c r="E198" s="72"/>
      <c r="F198" s="73"/>
      <c r="G198" s="443"/>
      <c r="H198" s="443"/>
      <c r="I198" s="74"/>
      <c r="J198" s="75"/>
      <c r="K198" s="41">
        <f t="shared" si="109"/>
        <v>3625</v>
      </c>
      <c r="L198" s="104"/>
      <c r="M198" s="105"/>
      <c r="N198" s="106">
        <f t="shared" si="110"/>
        <v>537.05999999999995</v>
      </c>
      <c r="O198" s="104"/>
      <c r="P198" s="105"/>
      <c r="Q198" s="106">
        <f t="shared" si="107"/>
        <v>10045.83</v>
      </c>
      <c r="R198" s="104"/>
      <c r="S198" s="105"/>
      <c r="T198" s="106">
        <f t="shared" si="108"/>
        <v>0</v>
      </c>
      <c r="U198" s="439"/>
      <c r="V198" s="42">
        <f t="shared" si="111"/>
        <v>193</v>
      </c>
      <c r="W198" s="39" t="str">
        <f>IF(AND(E198='Povolené hodnoty'!$B$4,F198=2),I198+L198+O198+R198,"")</f>
        <v/>
      </c>
      <c r="X198" s="41" t="str">
        <f>IF(AND(E198='Povolené hodnoty'!$B$4,F198=1),I198+L198+O198+R198,"")</f>
        <v/>
      </c>
      <c r="Y198" s="39" t="str">
        <f>IF(AND(E198='Povolené hodnoty'!$B$4,F198=10),J198+M198+P198+S198,"")</f>
        <v/>
      </c>
      <c r="Z198" s="41" t="str">
        <f>IF(AND(E198='Povolené hodnoty'!$B$4,F198=9),J198+M198+P198+S198,"")</f>
        <v/>
      </c>
      <c r="AA198" s="39" t="str">
        <f>IF(AND(E198&lt;&gt;'Povolené hodnoty'!$B$4,F198=2),I198+L198+O198+R198,"")</f>
        <v/>
      </c>
      <c r="AB198" s="40" t="str">
        <f>IF(AND(E198&lt;&gt;'Povolené hodnoty'!$B$4,F198=3),I198+L198+O198+R198,"")</f>
        <v/>
      </c>
      <c r="AC198" s="40" t="str">
        <f>IF(AND(E198&lt;&gt;'Povolené hodnoty'!$B$4,F198=4),I198+L198+O198+R198,"")</f>
        <v/>
      </c>
      <c r="AD198" s="40" t="str">
        <f>IF(AND(E198&lt;&gt;'Povolené hodnoty'!$B$4,F198="5a"),I198-J198+L198-M198+O198-P198+R198-S198,"")</f>
        <v/>
      </c>
      <c r="AE198" s="40" t="str">
        <f>IF(AND(E198&lt;&gt;'Povolené hodnoty'!$B$4,F198="5b"),I198-J198+L198-M198+O198-P198+R198-S198,"")</f>
        <v/>
      </c>
      <c r="AF198" s="40" t="str">
        <f>IF(AND(E198&lt;&gt;'Povolené hodnoty'!$B$4,F198=6),I198+L198+O198+R198,"")</f>
        <v/>
      </c>
      <c r="AG198" s="41" t="str">
        <f>IF(AND(E198&lt;&gt;'Povolené hodnoty'!$B$4,F198=7),I198+L198+O198+R198,"")</f>
        <v/>
      </c>
      <c r="AH198" s="39" t="str">
        <f>IF(AND(E198&lt;&gt;'Povolené hodnoty'!$B$4,F198=10),J198+M198+P198+S198,"")</f>
        <v/>
      </c>
      <c r="AI198" s="40" t="str">
        <f>IF(AND(E198&lt;&gt;'Povolené hodnoty'!$B$4,F198=11),J198+M198+P198+S198,"")</f>
        <v/>
      </c>
      <c r="AJ198" s="40" t="str">
        <f>IF(AND(E198&lt;&gt;'Povolené hodnoty'!$B$4,F198=12),J198+M198+P198+S198,"")</f>
        <v/>
      </c>
      <c r="AK198" s="41" t="str">
        <f>IF(AND(E198&lt;&gt;'Povolené hodnoty'!$B$4,F198=13),J198+M198+P198+S198,"")</f>
        <v/>
      </c>
      <c r="AL198" s="39" t="str">
        <f>IF(AND($G198='Povolené hodnoty'!$B$13,$H198=AL$4),SUM($I198,$L198,$O198,$R198),"")</f>
        <v/>
      </c>
      <c r="AM198" s="458" t="str">
        <f>IF(AND($G198='Povolené hodnoty'!$B$13,$H198=AM$4),SUM($I198,$L198,$O198,$R198),"")</f>
        <v/>
      </c>
      <c r="AN198" s="458" t="str">
        <f>IF(AND($G198='Povolené hodnoty'!$B$13,$H198=AN$4),SUM($I198,$L198,$O198,$R198),"")</f>
        <v/>
      </c>
      <c r="AO198" s="458" t="str">
        <f>IF(AND($G198='Povolené hodnoty'!$B$13,$H198=AO$4),SUM($I198,$L198,$O198,$R198),"")</f>
        <v/>
      </c>
      <c r="AP198" s="458" t="str">
        <f>IF(AND($G198='Povolené hodnoty'!$B$13,$H198=AP$4),SUM($I198,$L198,$O198,$R198),"")</f>
        <v/>
      </c>
      <c r="AQ198" s="40" t="str">
        <f>IF(AND($G198='Povolené hodnoty'!$B$13,OR($H198=AQ$4,$H198='Povolené hodnoty'!$E$36)),SUM($I198,-$J198,$L198,-$M198,$O198,-$P198,$R198,-$S198),"")</f>
        <v/>
      </c>
      <c r="AR198" s="40" t="str">
        <f>IF(AND($G198='Povolené hodnoty'!$B$13,$H198=AR$4),SUM($I198,$L198,$O198,$R198),"")</f>
        <v/>
      </c>
      <c r="AS198" s="41" t="str">
        <f>IF(AND($G198='Povolené hodnoty'!$B$13,$H198=AS$4),SUM($I198,$L198,$O198,$R198),"")</f>
        <v/>
      </c>
      <c r="AT198" s="39" t="str">
        <f>IF(AND($G198='Povolené hodnoty'!$B$14,$H198=AT$4),SUM($I198,$L198,$O198,$R198),"")</f>
        <v/>
      </c>
      <c r="AU198" s="458" t="str">
        <f>IF(AND($G198='Povolené hodnoty'!$B$14,$H198=AU$4),SUM($I198,$L198,$O198,$R198),"")</f>
        <v/>
      </c>
      <c r="AV198" s="41" t="str">
        <f>IF(AND($G198='Povolené hodnoty'!$B$14,$H198=AV$4),SUM($I198,$L198,$O198,$R198),"")</f>
        <v/>
      </c>
      <c r="AW198" s="39" t="str">
        <f>IF(AND($G198='Povolené hodnoty'!$B$13,$H198=AW$4),SUM($J198,$M198,$P198,$S198),"")</f>
        <v/>
      </c>
      <c r="AX198" s="458" t="str">
        <f>IF(AND($G198='Povolené hodnoty'!$B$13,$H198=AX$4),SUM($J198,$M198,$P198,$S198),"")</f>
        <v/>
      </c>
      <c r="AY198" s="458" t="str">
        <f>IF(AND($G198='Povolené hodnoty'!$B$13,$H198=AY$4),SUM($J198,$M198,$P198,$S198),"")</f>
        <v/>
      </c>
      <c r="AZ198" s="458" t="str">
        <f>IF(AND($G198='Povolené hodnoty'!$B$13,$H198=AZ$4),SUM($J198,$M198,$P198,$S198),"")</f>
        <v/>
      </c>
      <c r="BA198" s="458" t="str">
        <f>IF(AND($G198='Povolené hodnoty'!$B$13,$H198=BA$4),SUM($J198,$M198,$P198,$S198),"")</f>
        <v/>
      </c>
      <c r="BB198" s="40" t="str">
        <f>IF(AND($G198='Povolené hodnoty'!$B$13,$H198=BB$4),SUM($J198,$M198,$P198,$S198),"")</f>
        <v/>
      </c>
      <c r="BC198" s="40" t="str">
        <f>IF(AND($G198='Povolené hodnoty'!$B$13,$H198=BC$4),SUM($J198,$M198,$P198,$S198),"")</f>
        <v/>
      </c>
      <c r="BD198" s="40" t="str">
        <f>IF(AND($G198='Povolené hodnoty'!$B$13,$H198=BD$4),SUM($J198,$M198,$P198,$S198),"")</f>
        <v/>
      </c>
      <c r="BE198" s="41" t="str">
        <f>IF(AND($G198='Povolené hodnoty'!$B$13,$H198=BE$4),SUM($J198,$M198,$P198,$S198),"")</f>
        <v/>
      </c>
      <c r="BF198" s="39" t="str">
        <f>IF(AND($G198='Povolené hodnoty'!$B$14,$H198=BF$4),SUM($J198,$M198,$P198,$S198),"")</f>
        <v/>
      </c>
      <c r="BG198" s="458" t="str">
        <f>IF(AND($G198='Povolené hodnoty'!$B$14,$H198=BG$4),SUM($J198,$M198,$P198,$S198),"")</f>
        <v/>
      </c>
      <c r="BH198" s="458" t="str">
        <f>IF(AND($G198='Povolené hodnoty'!$B$14,$H198=BH$4),SUM($J198,$M198,$P198,$S198),"")</f>
        <v/>
      </c>
      <c r="BI198" s="458" t="str">
        <f>IF(AND($G198='Povolené hodnoty'!$B$14,$H198=BI$4),SUM($J198,$M198,$P198,$S198),"")</f>
        <v/>
      </c>
      <c r="BJ198" s="458" t="str">
        <f>IF(AND($G198='Povolené hodnoty'!$B$14,$H198=BJ$4),SUM($J198,$M198,$P198,$S198),"")</f>
        <v/>
      </c>
      <c r="BK198" s="40" t="str">
        <f>IF(AND($G198='Povolené hodnoty'!$B$14,$H198=BK$4),SUM($J198,$M198,$P198,$S198),"")</f>
        <v/>
      </c>
      <c r="BL198" s="40" t="str">
        <f>IF(AND($G198='Povolené hodnoty'!$B$14,$H198=BL$4),SUM($J198,$M198,$P198,$S198),"")</f>
        <v/>
      </c>
      <c r="BM198" s="41" t="str">
        <f>IF(AND($G198='Povolené hodnoty'!$B$14,$H198=BM$4),SUM($J198,$M198,$P198,$S198),"")</f>
        <v/>
      </c>
      <c r="BO198" s="18" t="b">
        <f t="shared" si="106"/>
        <v>0</v>
      </c>
      <c r="BP198" s="18" t="b">
        <f t="shared" ref="BP198:BP261" si="112">COUNT(I198:J198,L198:M198,O198:P198,R198:S198)&gt;1</f>
        <v>0</v>
      </c>
      <c r="BQ198" s="18" t="b">
        <f>AND(E198&lt;&gt;'Povolené hodnoty'!$B$6,F198&lt;&gt;'Povolené hodnoty'!$D$7,F198&lt;&gt;'Povolené hodnoty'!$D$8,OR(SUM(I198,L198,O198,R198)&lt;&gt;SUM(W198:X198,AA198:AG198),SUM(J198,M198,P198,S198)&lt;&gt;SUM(Y198:Z198,AH198:AK198),COUNT(I198:J198,L198:M198,O198:P198,R198:S198)&lt;&gt;COUNT(W198:AK198)))</f>
        <v>0</v>
      </c>
      <c r="BR198" s="18" t="b">
        <f>OR(AND(E198='Povolené hodnoty'!$B$6,$BR$5),AND(E198='Povolené hodnoty'!$B$6,H198&lt;&gt;'Povolené hodnoty'!$E$26,H198&lt;&gt;'Povolené hodnoty'!$E$35),AND(E198&lt;&gt;'Povolené hodnoty'!$B$6,OR(H198='Povolené hodnoty'!$E$26,H198='Povolené hodnoty'!$E$35)))</f>
        <v>0</v>
      </c>
      <c r="BS198" s="18" t="b">
        <f>OR(AND(G198&lt;&gt;'Povolené hodnoty'!$B$13,OR(H198='Povolené hodnoty'!$E$21,H198='Povolené hodnoty'!$E$22,H198='Povolené hodnoty'!$E$23,H198='Povolené hodnoty'!$E$24,H198='Povolené hodnoty'!$E$26,H198='Povolené hodnoty'!$E$36)),COUNT(I198:J198,L198:M198,O198:P198,R198:S198)&lt;&gt;COUNT(AL198:BM198))</f>
        <v>0</v>
      </c>
      <c r="BT198" s="18" t="b">
        <f t="shared" ref="BT198:BT261" si="113">OR(AND(LEFT(H198,1)="V",COUNT(I198,L198,O198,R198)&gt;0),AND(LEFT(H198,1)="P",COUNT(J198,M198,P198,S198)&gt;0))</f>
        <v>0</v>
      </c>
      <c r="BV198" s="39" t="str">
        <f t="shared" ref="BV198:BV261" si="114">IF(SUM($W198:$X198)=AL198,AL198,"")</f>
        <v/>
      </c>
      <c r="BW198" s="458" t="str">
        <f t="shared" ref="BW198:BW261" si="115">IF(SUM($W198:$X198)=AM198,AM198,"")</f>
        <v/>
      </c>
      <c r="BX198" s="458" t="str">
        <f t="shared" ref="BX198:BX261" si="116">IF(SUM($W198:$X198)=AN198,AN198,"")</f>
        <v/>
      </c>
      <c r="BY198" s="458" t="str">
        <f t="shared" ref="BY198:BY261" si="117">IF(SUM($W198:$X198)=AO198,AO198,"")</f>
        <v/>
      </c>
      <c r="BZ198" s="458" t="str">
        <f t="shared" ref="BZ198:BZ261" si="118">IF(SUM($W198:$X198)=AP198,AP198,"")</f>
        <v/>
      </c>
      <c r="CA198" s="40" t="str">
        <f t="shared" ref="CA198:CA261" si="119">IF(SUM($W198:$X198)=AQ198,AQ198,"")</f>
        <v/>
      </c>
      <c r="CB198" s="40" t="str">
        <f t="shared" ref="CB198:CB261" si="120">IF(SUM($W198:$X198)=AR198,AR198,"")</f>
        <v/>
      </c>
      <c r="CC198" s="39" t="str">
        <f t="shared" ref="CC198:CC261" si="121">IF(SUM($W198:$X198)=AT198,AT198,"")</f>
        <v/>
      </c>
      <c r="CD198" s="458" t="str">
        <f t="shared" ref="CD198:CD261" si="122">IF(SUM($W198:$X198)=AU198,AU198,"")</f>
        <v/>
      </c>
      <c r="CE198" s="41" t="str">
        <f t="shared" ref="CE198:CE261" si="123">IF(SUM($W198:$X198)=AV198,AV198,"")</f>
        <v/>
      </c>
      <c r="CF198" s="39" t="str">
        <f t="shared" ref="CF198:CF261" si="124">IF(SUM($Y198:$Z198)=AW198,AW198,"")</f>
        <v/>
      </c>
      <c r="CG198" s="458" t="str">
        <f t="shared" ref="CG198:CG261" si="125">IF(SUM($Y198:$Z198)=AX198,AX198,"")</f>
        <v/>
      </c>
      <c r="CH198" s="458" t="str">
        <f t="shared" ref="CH198:CH261" si="126">IF(SUM($Y198:$Z198)=AY198,AY198,"")</f>
        <v/>
      </c>
      <c r="CI198" s="458" t="str">
        <f t="shared" ref="CI198:CI261" si="127">IF(SUM($Y198:$Z198)=AZ198,AZ198,"")</f>
        <v/>
      </c>
      <c r="CJ198" s="458" t="str">
        <f t="shared" ref="CJ198:CJ261" si="128">IF(SUM($Y198:$Z198)=BA198,BA198,"")</f>
        <v/>
      </c>
      <c r="CK198" s="40" t="str">
        <f t="shared" ref="CK198:CK261" si="129">IF(SUM($Y198:$Z198)=BB198,BB198,"")</f>
        <v/>
      </c>
      <c r="CL198" s="40" t="str">
        <f t="shared" ref="CL198:CL261" si="130">IF(SUM($Y198:$Z198)=BC198,BC198,"")</f>
        <v/>
      </c>
      <c r="CM198" s="40" t="str">
        <f t="shared" ref="CM198:CM261" si="131">IF(SUM($Y198:$Z198)=BD198,BD198,"")</f>
        <v/>
      </c>
      <c r="CN198" s="39" t="str">
        <f t="shared" ref="CN198:CN261" si="132">IF(SUM($Y198:$Z198)=BF198,BF198,"")</f>
        <v/>
      </c>
      <c r="CO198" s="458" t="str">
        <f t="shared" ref="CO198:CO261" si="133">IF(SUM($Y198:$Z198)=BG198,BG198,"")</f>
        <v/>
      </c>
      <c r="CP198" s="458" t="str">
        <f t="shared" ref="CP198:CP261" si="134">IF(SUM($Y198:$Z198)=BH198,BH198,"")</f>
        <v/>
      </c>
      <c r="CQ198" s="458" t="str">
        <f t="shared" ref="CQ198:CQ261" si="135">IF(SUM($Y198:$Z198)=BI198,BI198,"")</f>
        <v/>
      </c>
      <c r="CR198" s="458" t="str">
        <f t="shared" ref="CR198:CR261" si="136">IF(SUM($Y198:$Z198)=BJ198,BJ198,"")</f>
        <v/>
      </c>
      <c r="CS198" s="40" t="str">
        <f t="shared" ref="CS198:CS261" si="137">IF(SUM($Y198:$Z198)=BK198,BK198,"")</f>
        <v/>
      </c>
      <c r="CT198" s="40" t="str">
        <f t="shared" ref="CT198:CT261" si="138">IF(SUM($Y198:$Z198)=BL198,BL198,"")</f>
        <v/>
      </c>
      <c r="CU198" s="41" t="str">
        <f t="shared" ref="CU198:CU261" si="139">IF(SUM($Y198:$Z198)=BM198,BM198,"")</f>
        <v/>
      </c>
    </row>
    <row r="199" spans="1:99" x14ac:dyDescent="0.2">
      <c r="A199" s="77">
        <f t="shared" ref="A199:A262" si="140">A198+1</f>
        <v>194</v>
      </c>
      <c r="B199" s="81"/>
      <c r="C199" s="82"/>
      <c r="D199" s="71"/>
      <c r="E199" s="72"/>
      <c r="F199" s="73"/>
      <c r="G199" s="443"/>
      <c r="H199" s="443"/>
      <c r="I199" s="74"/>
      <c r="J199" s="75"/>
      <c r="K199" s="41">
        <f t="shared" si="109"/>
        <v>3625</v>
      </c>
      <c r="L199" s="104"/>
      <c r="M199" s="105"/>
      <c r="N199" s="106">
        <f t="shared" si="110"/>
        <v>537.05999999999995</v>
      </c>
      <c r="O199" s="104"/>
      <c r="P199" s="105"/>
      <c r="Q199" s="106">
        <f t="shared" si="107"/>
        <v>10045.83</v>
      </c>
      <c r="R199" s="104"/>
      <c r="S199" s="105"/>
      <c r="T199" s="106">
        <f t="shared" si="108"/>
        <v>0</v>
      </c>
      <c r="U199" s="439"/>
      <c r="V199" s="42">
        <f t="shared" si="111"/>
        <v>194</v>
      </c>
      <c r="W199" s="39" t="str">
        <f>IF(AND(E199='Povolené hodnoty'!$B$4,F199=2),I199+L199+O199+R199,"")</f>
        <v/>
      </c>
      <c r="X199" s="41" t="str">
        <f>IF(AND(E199='Povolené hodnoty'!$B$4,F199=1),I199+L199+O199+R199,"")</f>
        <v/>
      </c>
      <c r="Y199" s="39" t="str">
        <f>IF(AND(E199='Povolené hodnoty'!$B$4,F199=10),J199+M199+P199+S199,"")</f>
        <v/>
      </c>
      <c r="Z199" s="41" t="str">
        <f>IF(AND(E199='Povolené hodnoty'!$B$4,F199=9),J199+M199+P199+S199,"")</f>
        <v/>
      </c>
      <c r="AA199" s="39" t="str">
        <f>IF(AND(E199&lt;&gt;'Povolené hodnoty'!$B$4,F199=2),I199+L199+O199+R199,"")</f>
        <v/>
      </c>
      <c r="AB199" s="40" t="str">
        <f>IF(AND(E199&lt;&gt;'Povolené hodnoty'!$B$4,F199=3),I199+L199+O199+R199,"")</f>
        <v/>
      </c>
      <c r="AC199" s="40" t="str">
        <f>IF(AND(E199&lt;&gt;'Povolené hodnoty'!$B$4,F199=4),I199+L199+O199+R199,"")</f>
        <v/>
      </c>
      <c r="AD199" s="40" t="str">
        <f>IF(AND(E199&lt;&gt;'Povolené hodnoty'!$B$4,F199="5a"),I199-J199+L199-M199+O199-P199+R199-S199,"")</f>
        <v/>
      </c>
      <c r="AE199" s="40" t="str">
        <f>IF(AND(E199&lt;&gt;'Povolené hodnoty'!$B$4,F199="5b"),I199-J199+L199-M199+O199-P199+R199-S199,"")</f>
        <v/>
      </c>
      <c r="AF199" s="40" t="str">
        <f>IF(AND(E199&lt;&gt;'Povolené hodnoty'!$B$4,F199=6),I199+L199+O199+R199,"")</f>
        <v/>
      </c>
      <c r="AG199" s="41" t="str">
        <f>IF(AND(E199&lt;&gt;'Povolené hodnoty'!$B$4,F199=7),I199+L199+O199+R199,"")</f>
        <v/>
      </c>
      <c r="AH199" s="39" t="str">
        <f>IF(AND(E199&lt;&gt;'Povolené hodnoty'!$B$4,F199=10),J199+M199+P199+S199,"")</f>
        <v/>
      </c>
      <c r="AI199" s="40" t="str">
        <f>IF(AND(E199&lt;&gt;'Povolené hodnoty'!$B$4,F199=11),J199+M199+P199+S199,"")</f>
        <v/>
      </c>
      <c r="AJ199" s="40" t="str">
        <f>IF(AND(E199&lt;&gt;'Povolené hodnoty'!$B$4,F199=12),J199+M199+P199+S199,"")</f>
        <v/>
      </c>
      <c r="AK199" s="41" t="str">
        <f>IF(AND(E199&lt;&gt;'Povolené hodnoty'!$B$4,F199=13),J199+M199+P199+S199,"")</f>
        <v/>
      </c>
      <c r="AL199" s="39" t="str">
        <f>IF(AND($G199='Povolené hodnoty'!$B$13,$H199=AL$4),SUM($I199,$L199,$O199,$R199),"")</f>
        <v/>
      </c>
      <c r="AM199" s="458" t="str">
        <f>IF(AND($G199='Povolené hodnoty'!$B$13,$H199=AM$4),SUM($I199,$L199,$O199,$R199),"")</f>
        <v/>
      </c>
      <c r="AN199" s="458" t="str">
        <f>IF(AND($G199='Povolené hodnoty'!$B$13,$H199=AN$4),SUM($I199,$L199,$O199,$R199),"")</f>
        <v/>
      </c>
      <c r="AO199" s="458" t="str">
        <f>IF(AND($G199='Povolené hodnoty'!$B$13,$H199=AO$4),SUM($I199,$L199,$O199,$R199),"")</f>
        <v/>
      </c>
      <c r="AP199" s="458" t="str">
        <f>IF(AND($G199='Povolené hodnoty'!$B$13,$H199=AP$4),SUM($I199,$L199,$O199,$R199),"")</f>
        <v/>
      </c>
      <c r="AQ199" s="40" t="str">
        <f>IF(AND($G199='Povolené hodnoty'!$B$13,OR($H199=AQ$4,$H199='Povolené hodnoty'!$E$36)),SUM($I199,-$J199,$L199,-$M199,$O199,-$P199,$R199,-$S199),"")</f>
        <v/>
      </c>
      <c r="AR199" s="40" t="str">
        <f>IF(AND($G199='Povolené hodnoty'!$B$13,$H199=AR$4),SUM($I199,$L199,$O199,$R199),"")</f>
        <v/>
      </c>
      <c r="AS199" s="41" t="str">
        <f>IF(AND($G199='Povolené hodnoty'!$B$13,$H199=AS$4),SUM($I199,$L199,$O199,$R199),"")</f>
        <v/>
      </c>
      <c r="AT199" s="39" t="str">
        <f>IF(AND($G199='Povolené hodnoty'!$B$14,$H199=AT$4),SUM($I199,$L199,$O199,$R199),"")</f>
        <v/>
      </c>
      <c r="AU199" s="458" t="str">
        <f>IF(AND($G199='Povolené hodnoty'!$B$14,$H199=AU$4),SUM($I199,$L199,$O199,$R199),"")</f>
        <v/>
      </c>
      <c r="AV199" s="41" t="str">
        <f>IF(AND($G199='Povolené hodnoty'!$B$14,$H199=AV$4),SUM($I199,$L199,$O199,$R199),"")</f>
        <v/>
      </c>
      <c r="AW199" s="39" t="str">
        <f>IF(AND($G199='Povolené hodnoty'!$B$13,$H199=AW$4),SUM($J199,$M199,$P199,$S199),"")</f>
        <v/>
      </c>
      <c r="AX199" s="458" t="str">
        <f>IF(AND($G199='Povolené hodnoty'!$B$13,$H199=AX$4),SUM($J199,$M199,$P199,$S199),"")</f>
        <v/>
      </c>
      <c r="AY199" s="458" t="str">
        <f>IF(AND($G199='Povolené hodnoty'!$B$13,$H199=AY$4),SUM($J199,$M199,$P199,$S199),"")</f>
        <v/>
      </c>
      <c r="AZ199" s="458" t="str">
        <f>IF(AND($G199='Povolené hodnoty'!$B$13,$H199=AZ$4),SUM($J199,$M199,$P199,$S199),"")</f>
        <v/>
      </c>
      <c r="BA199" s="458" t="str">
        <f>IF(AND($G199='Povolené hodnoty'!$B$13,$H199=BA$4),SUM($J199,$M199,$P199,$S199),"")</f>
        <v/>
      </c>
      <c r="BB199" s="40" t="str">
        <f>IF(AND($G199='Povolené hodnoty'!$B$13,$H199=BB$4),SUM($J199,$M199,$P199,$S199),"")</f>
        <v/>
      </c>
      <c r="BC199" s="40" t="str">
        <f>IF(AND($G199='Povolené hodnoty'!$B$13,$H199=BC$4),SUM($J199,$M199,$P199,$S199),"")</f>
        <v/>
      </c>
      <c r="BD199" s="40" t="str">
        <f>IF(AND($G199='Povolené hodnoty'!$B$13,$H199=BD$4),SUM($J199,$M199,$P199,$S199),"")</f>
        <v/>
      </c>
      <c r="BE199" s="41" t="str">
        <f>IF(AND($G199='Povolené hodnoty'!$B$13,$H199=BE$4),SUM($J199,$M199,$P199,$S199),"")</f>
        <v/>
      </c>
      <c r="BF199" s="39" t="str">
        <f>IF(AND($G199='Povolené hodnoty'!$B$14,$H199=BF$4),SUM($J199,$M199,$P199,$S199),"")</f>
        <v/>
      </c>
      <c r="BG199" s="458" t="str">
        <f>IF(AND($G199='Povolené hodnoty'!$B$14,$H199=BG$4),SUM($J199,$M199,$P199,$S199),"")</f>
        <v/>
      </c>
      <c r="BH199" s="458" t="str">
        <f>IF(AND($G199='Povolené hodnoty'!$B$14,$H199=BH$4),SUM($J199,$M199,$P199,$S199),"")</f>
        <v/>
      </c>
      <c r="BI199" s="458" t="str">
        <f>IF(AND($G199='Povolené hodnoty'!$B$14,$H199=BI$4),SUM($J199,$M199,$P199,$S199),"")</f>
        <v/>
      </c>
      <c r="BJ199" s="458" t="str">
        <f>IF(AND($G199='Povolené hodnoty'!$B$14,$H199=BJ$4),SUM($J199,$M199,$P199,$S199),"")</f>
        <v/>
      </c>
      <c r="BK199" s="40" t="str">
        <f>IF(AND($G199='Povolené hodnoty'!$B$14,$H199=BK$4),SUM($J199,$M199,$P199,$S199),"")</f>
        <v/>
      </c>
      <c r="BL199" s="40" t="str">
        <f>IF(AND($G199='Povolené hodnoty'!$B$14,$H199=BL$4),SUM($J199,$M199,$P199,$S199),"")</f>
        <v/>
      </c>
      <c r="BM199" s="41" t="str">
        <f>IF(AND($G199='Povolené hodnoty'!$B$14,$H199=BM$4),SUM($J199,$M199,$P199,$S199),"")</f>
        <v/>
      </c>
      <c r="BO199" s="18" t="b">
        <f t="shared" ref="BO199:BO262" si="141">OR(BP199:BT199)</f>
        <v>0</v>
      </c>
      <c r="BP199" s="18" t="b">
        <f t="shared" si="112"/>
        <v>0</v>
      </c>
      <c r="BQ199" s="18" t="b">
        <f>AND(E199&lt;&gt;'Povolené hodnoty'!$B$6,F199&lt;&gt;'Povolené hodnoty'!$D$7,F199&lt;&gt;'Povolené hodnoty'!$D$8,OR(SUM(I199,L199,O199,R199)&lt;&gt;SUM(W199:X199,AA199:AG199),SUM(J199,M199,P199,S199)&lt;&gt;SUM(Y199:Z199,AH199:AK199),COUNT(I199:J199,L199:M199,O199:P199,R199:S199)&lt;&gt;COUNT(W199:AK199)))</f>
        <v>0</v>
      </c>
      <c r="BR199" s="18" t="b">
        <f>OR(AND(E199='Povolené hodnoty'!$B$6,$BR$5),AND(E199='Povolené hodnoty'!$B$6,H199&lt;&gt;'Povolené hodnoty'!$E$26,H199&lt;&gt;'Povolené hodnoty'!$E$35),AND(E199&lt;&gt;'Povolené hodnoty'!$B$6,OR(H199='Povolené hodnoty'!$E$26,H199='Povolené hodnoty'!$E$35)))</f>
        <v>0</v>
      </c>
      <c r="BS199" s="18" t="b">
        <f>OR(AND(G199&lt;&gt;'Povolené hodnoty'!$B$13,OR(H199='Povolené hodnoty'!$E$21,H199='Povolené hodnoty'!$E$22,H199='Povolené hodnoty'!$E$23,H199='Povolené hodnoty'!$E$24,H199='Povolené hodnoty'!$E$26,H199='Povolené hodnoty'!$E$36)),COUNT(I199:J199,L199:M199,O199:P199,R199:S199)&lt;&gt;COUNT(AL199:BM199))</f>
        <v>0</v>
      </c>
      <c r="BT199" s="18" t="b">
        <f t="shared" si="113"/>
        <v>0</v>
      </c>
      <c r="BV199" s="39" t="str">
        <f t="shared" si="114"/>
        <v/>
      </c>
      <c r="BW199" s="458" t="str">
        <f t="shared" si="115"/>
        <v/>
      </c>
      <c r="BX199" s="458" t="str">
        <f t="shared" si="116"/>
        <v/>
      </c>
      <c r="BY199" s="458" t="str">
        <f t="shared" si="117"/>
        <v/>
      </c>
      <c r="BZ199" s="458" t="str">
        <f t="shared" si="118"/>
        <v/>
      </c>
      <c r="CA199" s="40" t="str">
        <f t="shared" si="119"/>
        <v/>
      </c>
      <c r="CB199" s="40" t="str">
        <f t="shared" si="120"/>
        <v/>
      </c>
      <c r="CC199" s="39" t="str">
        <f t="shared" si="121"/>
        <v/>
      </c>
      <c r="CD199" s="458" t="str">
        <f t="shared" si="122"/>
        <v/>
      </c>
      <c r="CE199" s="41" t="str">
        <f t="shared" si="123"/>
        <v/>
      </c>
      <c r="CF199" s="39" t="str">
        <f t="shared" si="124"/>
        <v/>
      </c>
      <c r="CG199" s="458" t="str">
        <f t="shared" si="125"/>
        <v/>
      </c>
      <c r="CH199" s="458" t="str">
        <f t="shared" si="126"/>
        <v/>
      </c>
      <c r="CI199" s="458" t="str">
        <f t="shared" si="127"/>
        <v/>
      </c>
      <c r="CJ199" s="458" t="str">
        <f t="shared" si="128"/>
        <v/>
      </c>
      <c r="CK199" s="40" t="str">
        <f t="shared" si="129"/>
        <v/>
      </c>
      <c r="CL199" s="40" t="str">
        <f t="shared" si="130"/>
        <v/>
      </c>
      <c r="CM199" s="40" t="str">
        <f t="shared" si="131"/>
        <v/>
      </c>
      <c r="CN199" s="39" t="str">
        <f t="shared" si="132"/>
        <v/>
      </c>
      <c r="CO199" s="458" t="str">
        <f t="shared" si="133"/>
        <v/>
      </c>
      <c r="CP199" s="458" t="str">
        <f t="shared" si="134"/>
        <v/>
      </c>
      <c r="CQ199" s="458" t="str">
        <f t="shared" si="135"/>
        <v/>
      </c>
      <c r="CR199" s="458" t="str">
        <f t="shared" si="136"/>
        <v/>
      </c>
      <c r="CS199" s="40" t="str">
        <f t="shared" si="137"/>
        <v/>
      </c>
      <c r="CT199" s="40" t="str">
        <f t="shared" si="138"/>
        <v/>
      </c>
      <c r="CU199" s="41" t="str">
        <f t="shared" si="139"/>
        <v/>
      </c>
    </row>
    <row r="200" spans="1:99" x14ac:dyDescent="0.2">
      <c r="A200" s="77">
        <f t="shared" si="140"/>
        <v>195</v>
      </c>
      <c r="B200" s="81"/>
      <c r="C200" s="82"/>
      <c r="D200" s="71"/>
      <c r="E200" s="72"/>
      <c r="F200" s="73"/>
      <c r="G200" s="443"/>
      <c r="H200" s="443"/>
      <c r="I200" s="74"/>
      <c r="J200" s="75"/>
      <c r="K200" s="41">
        <f t="shared" si="109"/>
        <v>3625</v>
      </c>
      <c r="L200" s="104"/>
      <c r="M200" s="105"/>
      <c r="N200" s="106">
        <f t="shared" si="110"/>
        <v>537.05999999999995</v>
      </c>
      <c r="O200" s="104"/>
      <c r="P200" s="105"/>
      <c r="Q200" s="106">
        <f t="shared" ref="Q200:Q263" si="142">Q199+O200-P200</f>
        <v>10045.83</v>
      </c>
      <c r="R200" s="104"/>
      <c r="S200" s="105"/>
      <c r="T200" s="106">
        <f t="shared" ref="T200:T263" si="143">T199+R200-S200</f>
        <v>0</v>
      </c>
      <c r="U200" s="439"/>
      <c r="V200" s="42">
        <f t="shared" si="111"/>
        <v>195</v>
      </c>
      <c r="W200" s="39" t="str">
        <f>IF(AND(E200='Povolené hodnoty'!$B$4,F200=2),I200+L200+O200+R200,"")</f>
        <v/>
      </c>
      <c r="X200" s="41" t="str">
        <f>IF(AND(E200='Povolené hodnoty'!$B$4,F200=1),I200+L200+O200+R200,"")</f>
        <v/>
      </c>
      <c r="Y200" s="39" t="str">
        <f>IF(AND(E200='Povolené hodnoty'!$B$4,F200=10),J200+M200+P200+S200,"")</f>
        <v/>
      </c>
      <c r="Z200" s="41" t="str">
        <f>IF(AND(E200='Povolené hodnoty'!$B$4,F200=9),J200+M200+P200+S200,"")</f>
        <v/>
      </c>
      <c r="AA200" s="39" t="str">
        <f>IF(AND(E200&lt;&gt;'Povolené hodnoty'!$B$4,F200=2),I200+L200+O200+R200,"")</f>
        <v/>
      </c>
      <c r="AB200" s="40" t="str">
        <f>IF(AND(E200&lt;&gt;'Povolené hodnoty'!$B$4,F200=3),I200+L200+O200+R200,"")</f>
        <v/>
      </c>
      <c r="AC200" s="40" t="str">
        <f>IF(AND(E200&lt;&gt;'Povolené hodnoty'!$B$4,F200=4),I200+L200+O200+R200,"")</f>
        <v/>
      </c>
      <c r="AD200" s="40" t="str">
        <f>IF(AND(E200&lt;&gt;'Povolené hodnoty'!$B$4,F200="5a"),I200-J200+L200-M200+O200-P200+R200-S200,"")</f>
        <v/>
      </c>
      <c r="AE200" s="40" t="str">
        <f>IF(AND(E200&lt;&gt;'Povolené hodnoty'!$B$4,F200="5b"),I200-J200+L200-M200+O200-P200+R200-S200,"")</f>
        <v/>
      </c>
      <c r="AF200" s="40" t="str">
        <f>IF(AND(E200&lt;&gt;'Povolené hodnoty'!$B$4,F200=6),I200+L200+O200+R200,"")</f>
        <v/>
      </c>
      <c r="AG200" s="41" t="str">
        <f>IF(AND(E200&lt;&gt;'Povolené hodnoty'!$B$4,F200=7),I200+L200+O200+R200,"")</f>
        <v/>
      </c>
      <c r="AH200" s="39" t="str">
        <f>IF(AND(E200&lt;&gt;'Povolené hodnoty'!$B$4,F200=10),J200+M200+P200+S200,"")</f>
        <v/>
      </c>
      <c r="AI200" s="40" t="str">
        <f>IF(AND(E200&lt;&gt;'Povolené hodnoty'!$B$4,F200=11),J200+M200+P200+S200,"")</f>
        <v/>
      </c>
      <c r="AJ200" s="40" t="str">
        <f>IF(AND(E200&lt;&gt;'Povolené hodnoty'!$B$4,F200=12),J200+M200+P200+S200,"")</f>
        <v/>
      </c>
      <c r="AK200" s="41" t="str">
        <f>IF(AND(E200&lt;&gt;'Povolené hodnoty'!$B$4,F200=13),J200+M200+P200+S200,"")</f>
        <v/>
      </c>
      <c r="AL200" s="39" t="str">
        <f>IF(AND($G200='Povolené hodnoty'!$B$13,$H200=AL$4),SUM($I200,$L200,$O200,$R200),"")</f>
        <v/>
      </c>
      <c r="AM200" s="458" t="str">
        <f>IF(AND($G200='Povolené hodnoty'!$B$13,$H200=AM$4),SUM($I200,$L200,$O200,$R200),"")</f>
        <v/>
      </c>
      <c r="AN200" s="458" t="str">
        <f>IF(AND($G200='Povolené hodnoty'!$B$13,$H200=AN$4),SUM($I200,$L200,$O200,$R200),"")</f>
        <v/>
      </c>
      <c r="AO200" s="458" t="str">
        <f>IF(AND($G200='Povolené hodnoty'!$B$13,$H200=AO$4),SUM($I200,$L200,$O200,$R200),"")</f>
        <v/>
      </c>
      <c r="AP200" s="458" t="str">
        <f>IF(AND($G200='Povolené hodnoty'!$B$13,$H200=AP$4),SUM($I200,$L200,$O200,$R200),"")</f>
        <v/>
      </c>
      <c r="AQ200" s="40" t="str">
        <f>IF(AND($G200='Povolené hodnoty'!$B$13,OR($H200=AQ$4,$H200='Povolené hodnoty'!$E$36)),SUM($I200,-$J200,$L200,-$M200,$O200,-$P200,$R200,-$S200),"")</f>
        <v/>
      </c>
      <c r="AR200" s="40" t="str">
        <f>IF(AND($G200='Povolené hodnoty'!$B$13,$H200=AR$4),SUM($I200,$L200,$O200,$R200),"")</f>
        <v/>
      </c>
      <c r="AS200" s="41" t="str">
        <f>IF(AND($G200='Povolené hodnoty'!$B$13,$H200=AS$4),SUM($I200,$L200,$O200,$R200),"")</f>
        <v/>
      </c>
      <c r="AT200" s="39" t="str">
        <f>IF(AND($G200='Povolené hodnoty'!$B$14,$H200=AT$4),SUM($I200,$L200,$O200,$R200),"")</f>
        <v/>
      </c>
      <c r="AU200" s="458" t="str">
        <f>IF(AND($G200='Povolené hodnoty'!$B$14,$H200=AU$4),SUM($I200,$L200,$O200,$R200),"")</f>
        <v/>
      </c>
      <c r="AV200" s="41" t="str">
        <f>IF(AND($G200='Povolené hodnoty'!$B$14,$H200=AV$4),SUM($I200,$L200,$O200,$R200),"")</f>
        <v/>
      </c>
      <c r="AW200" s="39" t="str">
        <f>IF(AND($G200='Povolené hodnoty'!$B$13,$H200=AW$4),SUM($J200,$M200,$P200,$S200),"")</f>
        <v/>
      </c>
      <c r="AX200" s="458" t="str">
        <f>IF(AND($G200='Povolené hodnoty'!$B$13,$H200=AX$4),SUM($J200,$M200,$P200,$S200),"")</f>
        <v/>
      </c>
      <c r="AY200" s="458" t="str">
        <f>IF(AND($G200='Povolené hodnoty'!$B$13,$H200=AY$4),SUM($J200,$M200,$P200,$S200),"")</f>
        <v/>
      </c>
      <c r="AZ200" s="458" t="str">
        <f>IF(AND($G200='Povolené hodnoty'!$B$13,$H200=AZ$4),SUM($J200,$M200,$P200,$S200),"")</f>
        <v/>
      </c>
      <c r="BA200" s="458" t="str">
        <f>IF(AND($G200='Povolené hodnoty'!$B$13,$H200=BA$4),SUM($J200,$M200,$P200,$S200),"")</f>
        <v/>
      </c>
      <c r="BB200" s="40" t="str">
        <f>IF(AND($G200='Povolené hodnoty'!$B$13,$H200=BB$4),SUM($J200,$M200,$P200,$S200),"")</f>
        <v/>
      </c>
      <c r="BC200" s="40" t="str">
        <f>IF(AND($G200='Povolené hodnoty'!$B$13,$H200=BC$4),SUM($J200,$M200,$P200,$S200),"")</f>
        <v/>
      </c>
      <c r="BD200" s="40" t="str">
        <f>IF(AND($G200='Povolené hodnoty'!$B$13,$H200=BD$4),SUM($J200,$M200,$P200,$S200),"")</f>
        <v/>
      </c>
      <c r="BE200" s="41" t="str">
        <f>IF(AND($G200='Povolené hodnoty'!$B$13,$H200=BE$4),SUM($J200,$M200,$P200,$S200),"")</f>
        <v/>
      </c>
      <c r="BF200" s="39" t="str">
        <f>IF(AND($G200='Povolené hodnoty'!$B$14,$H200=BF$4),SUM($J200,$M200,$P200,$S200),"")</f>
        <v/>
      </c>
      <c r="BG200" s="458" t="str">
        <f>IF(AND($G200='Povolené hodnoty'!$B$14,$H200=BG$4),SUM($J200,$M200,$P200,$S200),"")</f>
        <v/>
      </c>
      <c r="BH200" s="458" t="str">
        <f>IF(AND($G200='Povolené hodnoty'!$B$14,$H200=BH$4),SUM($J200,$M200,$P200,$S200),"")</f>
        <v/>
      </c>
      <c r="BI200" s="458" t="str">
        <f>IF(AND($G200='Povolené hodnoty'!$B$14,$H200=BI$4),SUM($J200,$M200,$P200,$S200),"")</f>
        <v/>
      </c>
      <c r="BJ200" s="458" t="str">
        <f>IF(AND($G200='Povolené hodnoty'!$B$14,$H200=BJ$4),SUM($J200,$M200,$P200,$S200),"")</f>
        <v/>
      </c>
      <c r="BK200" s="40" t="str">
        <f>IF(AND($G200='Povolené hodnoty'!$B$14,$H200=BK$4),SUM($J200,$M200,$P200,$S200),"")</f>
        <v/>
      </c>
      <c r="BL200" s="40" t="str">
        <f>IF(AND($G200='Povolené hodnoty'!$B$14,$H200=BL$4),SUM($J200,$M200,$P200,$S200),"")</f>
        <v/>
      </c>
      <c r="BM200" s="41" t="str">
        <f>IF(AND($G200='Povolené hodnoty'!$B$14,$H200=BM$4),SUM($J200,$M200,$P200,$S200),"")</f>
        <v/>
      </c>
      <c r="BO200" s="18" t="b">
        <f t="shared" si="141"/>
        <v>0</v>
      </c>
      <c r="BP200" s="18" t="b">
        <f t="shared" si="112"/>
        <v>0</v>
      </c>
      <c r="BQ200" s="18" t="b">
        <f>AND(E200&lt;&gt;'Povolené hodnoty'!$B$6,F200&lt;&gt;'Povolené hodnoty'!$D$7,F200&lt;&gt;'Povolené hodnoty'!$D$8,OR(SUM(I200,L200,O200,R200)&lt;&gt;SUM(W200:X200,AA200:AG200),SUM(J200,M200,P200,S200)&lt;&gt;SUM(Y200:Z200,AH200:AK200),COUNT(I200:J200,L200:M200,O200:P200,R200:S200)&lt;&gt;COUNT(W200:AK200)))</f>
        <v>0</v>
      </c>
      <c r="BR200" s="18" t="b">
        <f>OR(AND(E200='Povolené hodnoty'!$B$6,$BR$5),AND(E200='Povolené hodnoty'!$B$6,H200&lt;&gt;'Povolené hodnoty'!$E$26,H200&lt;&gt;'Povolené hodnoty'!$E$35),AND(E200&lt;&gt;'Povolené hodnoty'!$B$6,OR(H200='Povolené hodnoty'!$E$26,H200='Povolené hodnoty'!$E$35)))</f>
        <v>0</v>
      </c>
      <c r="BS200" s="18" t="b">
        <f>OR(AND(G200&lt;&gt;'Povolené hodnoty'!$B$13,OR(H200='Povolené hodnoty'!$E$21,H200='Povolené hodnoty'!$E$22,H200='Povolené hodnoty'!$E$23,H200='Povolené hodnoty'!$E$24,H200='Povolené hodnoty'!$E$26,H200='Povolené hodnoty'!$E$36)),COUNT(I200:J200,L200:M200,O200:P200,R200:S200)&lt;&gt;COUNT(AL200:BM200))</f>
        <v>0</v>
      </c>
      <c r="BT200" s="18" t="b">
        <f t="shared" si="113"/>
        <v>0</v>
      </c>
      <c r="BV200" s="39" t="str">
        <f t="shared" si="114"/>
        <v/>
      </c>
      <c r="BW200" s="458" t="str">
        <f t="shared" si="115"/>
        <v/>
      </c>
      <c r="BX200" s="458" t="str">
        <f t="shared" si="116"/>
        <v/>
      </c>
      <c r="BY200" s="458" t="str">
        <f t="shared" si="117"/>
        <v/>
      </c>
      <c r="BZ200" s="458" t="str">
        <f t="shared" si="118"/>
        <v/>
      </c>
      <c r="CA200" s="40" t="str">
        <f t="shared" si="119"/>
        <v/>
      </c>
      <c r="CB200" s="40" t="str">
        <f t="shared" si="120"/>
        <v/>
      </c>
      <c r="CC200" s="39" t="str">
        <f t="shared" si="121"/>
        <v/>
      </c>
      <c r="CD200" s="458" t="str">
        <f t="shared" si="122"/>
        <v/>
      </c>
      <c r="CE200" s="41" t="str">
        <f t="shared" si="123"/>
        <v/>
      </c>
      <c r="CF200" s="39" t="str">
        <f t="shared" si="124"/>
        <v/>
      </c>
      <c r="CG200" s="458" t="str">
        <f t="shared" si="125"/>
        <v/>
      </c>
      <c r="CH200" s="458" t="str">
        <f t="shared" si="126"/>
        <v/>
      </c>
      <c r="CI200" s="458" t="str">
        <f t="shared" si="127"/>
        <v/>
      </c>
      <c r="CJ200" s="458" t="str">
        <f t="shared" si="128"/>
        <v/>
      </c>
      <c r="CK200" s="40" t="str">
        <f t="shared" si="129"/>
        <v/>
      </c>
      <c r="CL200" s="40" t="str">
        <f t="shared" si="130"/>
        <v/>
      </c>
      <c r="CM200" s="40" t="str">
        <f t="shared" si="131"/>
        <v/>
      </c>
      <c r="CN200" s="39" t="str">
        <f t="shared" si="132"/>
        <v/>
      </c>
      <c r="CO200" s="458" t="str">
        <f t="shared" si="133"/>
        <v/>
      </c>
      <c r="CP200" s="458" t="str">
        <f t="shared" si="134"/>
        <v/>
      </c>
      <c r="CQ200" s="458" t="str">
        <f t="shared" si="135"/>
        <v/>
      </c>
      <c r="CR200" s="458" t="str">
        <f t="shared" si="136"/>
        <v/>
      </c>
      <c r="CS200" s="40" t="str">
        <f t="shared" si="137"/>
        <v/>
      </c>
      <c r="CT200" s="40" t="str">
        <f t="shared" si="138"/>
        <v/>
      </c>
      <c r="CU200" s="41" t="str">
        <f t="shared" si="139"/>
        <v/>
      </c>
    </row>
    <row r="201" spans="1:99" x14ac:dyDescent="0.2">
      <c r="A201" s="77">
        <f t="shared" si="140"/>
        <v>196</v>
      </c>
      <c r="B201" s="81"/>
      <c r="C201" s="82"/>
      <c r="D201" s="71"/>
      <c r="E201" s="72"/>
      <c r="F201" s="73"/>
      <c r="G201" s="443"/>
      <c r="H201" s="443"/>
      <c r="I201" s="74"/>
      <c r="J201" s="75"/>
      <c r="K201" s="41">
        <f t="shared" si="109"/>
        <v>3625</v>
      </c>
      <c r="L201" s="104"/>
      <c r="M201" s="105"/>
      <c r="N201" s="106">
        <f t="shared" si="110"/>
        <v>537.05999999999995</v>
      </c>
      <c r="O201" s="104"/>
      <c r="P201" s="105"/>
      <c r="Q201" s="106">
        <f t="shared" si="142"/>
        <v>10045.83</v>
      </c>
      <c r="R201" s="104"/>
      <c r="S201" s="105"/>
      <c r="T201" s="106">
        <f t="shared" si="143"/>
        <v>0</v>
      </c>
      <c r="U201" s="439"/>
      <c r="V201" s="42">
        <f t="shared" si="111"/>
        <v>196</v>
      </c>
      <c r="W201" s="39" t="str">
        <f>IF(AND(E201='Povolené hodnoty'!$B$4,F201=2),I201+L201+O201+R201,"")</f>
        <v/>
      </c>
      <c r="X201" s="41" t="str">
        <f>IF(AND(E201='Povolené hodnoty'!$B$4,F201=1),I201+L201+O201+R201,"")</f>
        <v/>
      </c>
      <c r="Y201" s="39" t="str">
        <f>IF(AND(E201='Povolené hodnoty'!$B$4,F201=10),J201+M201+P201+S201,"")</f>
        <v/>
      </c>
      <c r="Z201" s="41" t="str">
        <f>IF(AND(E201='Povolené hodnoty'!$B$4,F201=9),J201+M201+P201+S201,"")</f>
        <v/>
      </c>
      <c r="AA201" s="39" t="str">
        <f>IF(AND(E201&lt;&gt;'Povolené hodnoty'!$B$4,F201=2),I201+L201+O201+R201,"")</f>
        <v/>
      </c>
      <c r="AB201" s="40" t="str">
        <f>IF(AND(E201&lt;&gt;'Povolené hodnoty'!$B$4,F201=3),I201+L201+O201+R201,"")</f>
        <v/>
      </c>
      <c r="AC201" s="40" t="str">
        <f>IF(AND(E201&lt;&gt;'Povolené hodnoty'!$B$4,F201=4),I201+L201+O201+R201,"")</f>
        <v/>
      </c>
      <c r="AD201" s="40" t="str">
        <f>IF(AND(E201&lt;&gt;'Povolené hodnoty'!$B$4,F201="5a"),I201-J201+L201-M201+O201-P201+R201-S201,"")</f>
        <v/>
      </c>
      <c r="AE201" s="40" t="str">
        <f>IF(AND(E201&lt;&gt;'Povolené hodnoty'!$B$4,F201="5b"),I201-J201+L201-M201+O201-P201+R201-S201,"")</f>
        <v/>
      </c>
      <c r="AF201" s="40" t="str">
        <f>IF(AND(E201&lt;&gt;'Povolené hodnoty'!$B$4,F201=6),I201+L201+O201+R201,"")</f>
        <v/>
      </c>
      <c r="AG201" s="41" t="str">
        <f>IF(AND(E201&lt;&gt;'Povolené hodnoty'!$B$4,F201=7),I201+L201+O201+R201,"")</f>
        <v/>
      </c>
      <c r="AH201" s="39" t="str">
        <f>IF(AND(E201&lt;&gt;'Povolené hodnoty'!$B$4,F201=10),J201+M201+P201+S201,"")</f>
        <v/>
      </c>
      <c r="AI201" s="40" t="str">
        <f>IF(AND(E201&lt;&gt;'Povolené hodnoty'!$B$4,F201=11),J201+M201+P201+S201,"")</f>
        <v/>
      </c>
      <c r="AJ201" s="40" t="str">
        <f>IF(AND(E201&lt;&gt;'Povolené hodnoty'!$B$4,F201=12),J201+M201+P201+S201,"")</f>
        <v/>
      </c>
      <c r="AK201" s="41" t="str">
        <f>IF(AND(E201&lt;&gt;'Povolené hodnoty'!$B$4,F201=13),J201+M201+P201+S201,"")</f>
        <v/>
      </c>
      <c r="AL201" s="39" t="str">
        <f>IF(AND($G201='Povolené hodnoty'!$B$13,$H201=AL$4),SUM($I201,$L201,$O201,$R201),"")</f>
        <v/>
      </c>
      <c r="AM201" s="458" t="str">
        <f>IF(AND($G201='Povolené hodnoty'!$B$13,$H201=AM$4),SUM($I201,$L201,$O201,$R201),"")</f>
        <v/>
      </c>
      <c r="AN201" s="458" t="str">
        <f>IF(AND($G201='Povolené hodnoty'!$B$13,$H201=AN$4),SUM($I201,$L201,$O201,$R201),"")</f>
        <v/>
      </c>
      <c r="AO201" s="458" t="str">
        <f>IF(AND($G201='Povolené hodnoty'!$B$13,$H201=AO$4),SUM($I201,$L201,$O201,$R201),"")</f>
        <v/>
      </c>
      <c r="AP201" s="458" t="str">
        <f>IF(AND($G201='Povolené hodnoty'!$B$13,$H201=AP$4),SUM($I201,$L201,$O201,$R201),"")</f>
        <v/>
      </c>
      <c r="AQ201" s="40" t="str">
        <f>IF(AND($G201='Povolené hodnoty'!$B$13,OR($H201=AQ$4,$H201='Povolené hodnoty'!$E$36)),SUM($I201,-$J201,$L201,-$M201,$O201,-$P201,$R201,-$S201),"")</f>
        <v/>
      </c>
      <c r="AR201" s="40" t="str">
        <f>IF(AND($G201='Povolené hodnoty'!$B$13,$H201=AR$4),SUM($I201,$L201,$O201,$R201),"")</f>
        <v/>
      </c>
      <c r="AS201" s="41" t="str">
        <f>IF(AND($G201='Povolené hodnoty'!$B$13,$H201=AS$4),SUM($I201,$L201,$O201,$R201),"")</f>
        <v/>
      </c>
      <c r="AT201" s="39" t="str">
        <f>IF(AND($G201='Povolené hodnoty'!$B$14,$H201=AT$4),SUM($I201,$L201,$O201,$R201),"")</f>
        <v/>
      </c>
      <c r="AU201" s="458" t="str">
        <f>IF(AND($G201='Povolené hodnoty'!$B$14,$H201=AU$4),SUM($I201,$L201,$O201,$R201),"")</f>
        <v/>
      </c>
      <c r="AV201" s="41" t="str">
        <f>IF(AND($G201='Povolené hodnoty'!$B$14,$H201=AV$4),SUM($I201,$L201,$O201,$R201),"")</f>
        <v/>
      </c>
      <c r="AW201" s="39" t="str">
        <f>IF(AND($G201='Povolené hodnoty'!$B$13,$H201=AW$4),SUM($J201,$M201,$P201,$S201),"")</f>
        <v/>
      </c>
      <c r="AX201" s="458" t="str">
        <f>IF(AND($G201='Povolené hodnoty'!$B$13,$H201=AX$4),SUM($J201,$M201,$P201,$S201),"")</f>
        <v/>
      </c>
      <c r="AY201" s="458" t="str">
        <f>IF(AND($G201='Povolené hodnoty'!$B$13,$H201=AY$4),SUM($J201,$M201,$P201,$S201),"")</f>
        <v/>
      </c>
      <c r="AZ201" s="458" t="str">
        <f>IF(AND($G201='Povolené hodnoty'!$B$13,$H201=AZ$4),SUM($J201,$M201,$P201,$S201),"")</f>
        <v/>
      </c>
      <c r="BA201" s="458" t="str">
        <f>IF(AND($G201='Povolené hodnoty'!$B$13,$H201=BA$4),SUM($J201,$M201,$P201,$S201),"")</f>
        <v/>
      </c>
      <c r="BB201" s="40" t="str">
        <f>IF(AND($G201='Povolené hodnoty'!$B$13,$H201=BB$4),SUM($J201,$M201,$P201,$S201),"")</f>
        <v/>
      </c>
      <c r="BC201" s="40" t="str">
        <f>IF(AND($G201='Povolené hodnoty'!$B$13,$H201=BC$4),SUM($J201,$M201,$P201,$S201),"")</f>
        <v/>
      </c>
      <c r="BD201" s="40" t="str">
        <f>IF(AND($G201='Povolené hodnoty'!$B$13,$H201=BD$4),SUM($J201,$M201,$P201,$S201),"")</f>
        <v/>
      </c>
      <c r="BE201" s="41" t="str">
        <f>IF(AND($G201='Povolené hodnoty'!$B$13,$H201=BE$4),SUM($J201,$M201,$P201,$S201),"")</f>
        <v/>
      </c>
      <c r="BF201" s="39" t="str">
        <f>IF(AND($G201='Povolené hodnoty'!$B$14,$H201=BF$4),SUM($J201,$M201,$P201,$S201),"")</f>
        <v/>
      </c>
      <c r="BG201" s="458" t="str">
        <f>IF(AND($G201='Povolené hodnoty'!$B$14,$H201=BG$4),SUM($J201,$M201,$P201,$S201),"")</f>
        <v/>
      </c>
      <c r="BH201" s="458" t="str">
        <f>IF(AND($G201='Povolené hodnoty'!$B$14,$H201=BH$4),SUM($J201,$M201,$P201,$S201),"")</f>
        <v/>
      </c>
      <c r="BI201" s="458" t="str">
        <f>IF(AND($G201='Povolené hodnoty'!$B$14,$H201=BI$4),SUM($J201,$M201,$P201,$S201),"")</f>
        <v/>
      </c>
      <c r="BJ201" s="458" t="str">
        <f>IF(AND($G201='Povolené hodnoty'!$B$14,$H201=BJ$4),SUM($J201,$M201,$P201,$S201),"")</f>
        <v/>
      </c>
      <c r="BK201" s="40" t="str">
        <f>IF(AND($G201='Povolené hodnoty'!$B$14,$H201=BK$4),SUM($J201,$M201,$P201,$S201),"")</f>
        <v/>
      </c>
      <c r="BL201" s="40" t="str">
        <f>IF(AND($G201='Povolené hodnoty'!$B$14,$H201=BL$4),SUM($J201,$M201,$P201,$S201),"")</f>
        <v/>
      </c>
      <c r="BM201" s="41" t="str">
        <f>IF(AND($G201='Povolené hodnoty'!$B$14,$H201=BM$4),SUM($J201,$M201,$P201,$S201),"")</f>
        <v/>
      </c>
      <c r="BO201" s="18" t="b">
        <f t="shared" si="141"/>
        <v>0</v>
      </c>
      <c r="BP201" s="18" t="b">
        <f t="shared" si="112"/>
        <v>0</v>
      </c>
      <c r="BQ201" s="18" t="b">
        <f>AND(E201&lt;&gt;'Povolené hodnoty'!$B$6,F201&lt;&gt;'Povolené hodnoty'!$D$7,F201&lt;&gt;'Povolené hodnoty'!$D$8,OR(SUM(I201,L201,O201,R201)&lt;&gt;SUM(W201:X201,AA201:AG201),SUM(J201,M201,P201,S201)&lt;&gt;SUM(Y201:Z201,AH201:AK201),COUNT(I201:J201,L201:M201,O201:P201,R201:S201)&lt;&gt;COUNT(W201:AK201)))</f>
        <v>0</v>
      </c>
      <c r="BR201" s="18" t="b">
        <f>OR(AND(E201='Povolené hodnoty'!$B$6,$BR$5),AND(E201='Povolené hodnoty'!$B$6,H201&lt;&gt;'Povolené hodnoty'!$E$26,H201&lt;&gt;'Povolené hodnoty'!$E$35),AND(E201&lt;&gt;'Povolené hodnoty'!$B$6,OR(H201='Povolené hodnoty'!$E$26,H201='Povolené hodnoty'!$E$35)))</f>
        <v>0</v>
      </c>
      <c r="BS201" s="18" t="b">
        <f>OR(AND(G201&lt;&gt;'Povolené hodnoty'!$B$13,OR(H201='Povolené hodnoty'!$E$21,H201='Povolené hodnoty'!$E$22,H201='Povolené hodnoty'!$E$23,H201='Povolené hodnoty'!$E$24,H201='Povolené hodnoty'!$E$26,H201='Povolené hodnoty'!$E$36)),COUNT(I201:J201,L201:M201,O201:P201,R201:S201)&lt;&gt;COUNT(AL201:BM201))</f>
        <v>0</v>
      </c>
      <c r="BT201" s="18" t="b">
        <f t="shared" si="113"/>
        <v>0</v>
      </c>
      <c r="BV201" s="39" t="str">
        <f t="shared" si="114"/>
        <v/>
      </c>
      <c r="BW201" s="458" t="str">
        <f t="shared" si="115"/>
        <v/>
      </c>
      <c r="BX201" s="458" t="str">
        <f t="shared" si="116"/>
        <v/>
      </c>
      <c r="BY201" s="458" t="str">
        <f t="shared" si="117"/>
        <v/>
      </c>
      <c r="BZ201" s="458" t="str">
        <f t="shared" si="118"/>
        <v/>
      </c>
      <c r="CA201" s="40" t="str">
        <f t="shared" si="119"/>
        <v/>
      </c>
      <c r="CB201" s="40" t="str">
        <f t="shared" si="120"/>
        <v/>
      </c>
      <c r="CC201" s="39" t="str">
        <f t="shared" si="121"/>
        <v/>
      </c>
      <c r="CD201" s="458" t="str">
        <f t="shared" si="122"/>
        <v/>
      </c>
      <c r="CE201" s="41" t="str">
        <f t="shared" si="123"/>
        <v/>
      </c>
      <c r="CF201" s="39" t="str">
        <f t="shared" si="124"/>
        <v/>
      </c>
      <c r="CG201" s="458" t="str">
        <f t="shared" si="125"/>
        <v/>
      </c>
      <c r="CH201" s="458" t="str">
        <f t="shared" si="126"/>
        <v/>
      </c>
      <c r="CI201" s="458" t="str">
        <f t="shared" si="127"/>
        <v/>
      </c>
      <c r="CJ201" s="458" t="str">
        <f t="shared" si="128"/>
        <v/>
      </c>
      <c r="CK201" s="40" t="str">
        <f t="shared" si="129"/>
        <v/>
      </c>
      <c r="CL201" s="40" t="str">
        <f t="shared" si="130"/>
        <v/>
      </c>
      <c r="CM201" s="40" t="str">
        <f t="shared" si="131"/>
        <v/>
      </c>
      <c r="CN201" s="39" t="str">
        <f t="shared" si="132"/>
        <v/>
      </c>
      <c r="CO201" s="458" t="str">
        <f t="shared" si="133"/>
        <v/>
      </c>
      <c r="CP201" s="458" t="str">
        <f t="shared" si="134"/>
        <v/>
      </c>
      <c r="CQ201" s="458" t="str">
        <f t="shared" si="135"/>
        <v/>
      </c>
      <c r="CR201" s="458" t="str">
        <f t="shared" si="136"/>
        <v/>
      </c>
      <c r="CS201" s="40" t="str">
        <f t="shared" si="137"/>
        <v/>
      </c>
      <c r="CT201" s="40" t="str">
        <f t="shared" si="138"/>
        <v/>
      </c>
      <c r="CU201" s="41" t="str">
        <f t="shared" si="139"/>
        <v/>
      </c>
    </row>
    <row r="202" spans="1:99" x14ac:dyDescent="0.2">
      <c r="A202" s="77">
        <f t="shared" si="140"/>
        <v>197</v>
      </c>
      <c r="B202" s="81"/>
      <c r="C202" s="82"/>
      <c r="D202" s="71"/>
      <c r="E202" s="72"/>
      <c r="F202" s="73"/>
      <c r="G202" s="443"/>
      <c r="H202" s="443"/>
      <c r="I202" s="74"/>
      <c r="J202" s="75"/>
      <c r="K202" s="41">
        <f t="shared" si="109"/>
        <v>3625</v>
      </c>
      <c r="L202" s="104"/>
      <c r="M202" s="105"/>
      <c r="N202" s="106">
        <f t="shared" si="110"/>
        <v>537.05999999999995</v>
      </c>
      <c r="O202" s="104"/>
      <c r="P202" s="105"/>
      <c r="Q202" s="106">
        <f t="shared" si="142"/>
        <v>10045.83</v>
      </c>
      <c r="R202" s="104"/>
      <c r="S202" s="105"/>
      <c r="T202" s="106">
        <f t="shared" si="143"/>
        <v>0</v>
      </c>
      <c r="U202" s="439"/>
      <c r="V202" s="42">
        <f t="shared" si="111"/>
        <v>197</v>
      </c>
      <c r="W202" s="39" t="str">
        <f>IF(AND(E202='Povolené hodnoty'!$B$4,F202=2),I202+L202+O202+R202,"")</f>
        <v/>
      </c>
      <c r="X202" s="41" t="str">
        <f>IF(AND(E202='Povolené hodnoty'!$B$4,F202=1),I202+L202+O202+R202,"")</f>
        <v/>
      </c>
      <c r="Y202" s="39" t="str">
        <f>IF(AND(E202='Povolené hodnoty'!$B$4,F202=10),J202+M202+P202+S202,"")</f>
        <v/>
      </c>
      <c r="Z202" s="41" t="str">
        <f>IF(AND(E202='Povolené hodnoty'!$B$4,F202=9),J202+M202+P202+S202,"")</f>
        <v/>
      </c>
      <c r="AA202" s="39" t="str">
        <f>IF(AND(E202&lt;&gt;'Povolené hodnoty'!$B$4,F202=2),I202+L202+O202+R202,"")</f>
        <v/>
      </c>
      <c r="AB202" s="40" t="str">
        <f>IF(AND(E202&lt;&gt;'Povolené hodnoty'!$B$4,F202=3),I202+L202+O202+R202,"")</f>
        <v/>
      </c>
      <c r="AC202" s="40" t="str">
        <f>IF(AND(E202&lt;&gt;'Povolené hodnoty'!$B$4,F202=4),I202+L202+O202+R202,"")</f>
        <v/>
      </c>
      <c r="AD202" s="40" t="str">
        <f>IF(AND(E202&lt;&gt;'Povolené hodnoty'!$B$4,F202="5a"),I202-J202+L202-M202+O202-P202+R202-S202,"")</f>
        <v/>
      </c>
      <c r="AE202" s="40" t="str">
        <f>IF(AND(E202&lt;&gt;'Povolené hodnoty'!$B$4,F202="5b"),I202-J202+L202-M202+O202-P202+R202-S202,"")</f>
        <v/>
      </c>
      <c r="AF202" s="40" t="str">
        <f>IF(AND(E202&lt;&gt;'Povolené hodnoty'!$B$4,F202=6),I202+L202+O202+R202,"")</f>
        <v/>
      </c>
      <c r="AG202" s="41" t="str">
        <f>IF(AND(E202&lt;&gt;'Povolené hodnoty'!$B$4,F202=7),I202+L202+O202+R202,"")</f>
        <v/>
      </c>
      <c r="AH202" s="39" t="str">
        <f>IF(AND(E202&lt;&gt;'Povolené hodnoty'!$B$4,F202=10),J202+M202+P202+S202,"")</f>
        <v/>
      </c>
      <c r="AI202" s="40" t="str">
        <f>IF(AND(E202&lt;&gt;'Povolené hodnoty'!$B$4,F202=11),J202+M202+P202+S202,"")</f>
        <v/>
      </c>
      <c r="AJ202" s="40" t="str">
        <f>IF(AND(E202&lt;&gt;'Povolené hodnoty'!$B$4,F202=12),J202+M202+P202+S202,"")</f>
        <v/>
      </c>
      <c r="AK202" s="41" t="str">
        <f>IF(AND(E202&lt;&gt;'Povolené hodnoty'!$B$4,F202=13),J202+M202+P202+S202,"")</f>
        <v/>
      </c>
      <c r="AL202" s="39" t="str">
        <f>IF(AND($G202='Povolené hodnoty'!$B$13,$H202=AL$4),SUM($I202,$L202,$O202,$R202),"")</f>
        <v/>
      </c>
      <c r="AM202" s="458" t="str">
        <f>IF(AND($G202='Povolené hodnoty'!$B$13,$H202=AM$4),SUM($I202,$L202,$O202,$R202),"")</f>
        <v/>
      </c>
      <c r="AN202" s="458" t="str">
        <f>IF(AND($G202='Povolené hodnoty'!$B$13,$H202=AN$4),SUM($I202,$L202,$O202,$R202),"")</f>
        <v/>
      </c>
      <c r="AO202" s="458" t="str">
        <f>IF(AND($G202='Povolené hodnoty'!$B$13,$H202=AO$4),SUM($I202,$L202,$O202,$R202),"")</f>
        <v/>
      </c>
      <c r="AP202" s="458" t="str">
        <f>IF(AND($G202='Povolené hodnoty'!$B$13,$H202=AP$4),SUM($I202,$L202,$O202,$R202),"")</f>
        <v/>
      </c>
      <c r="AQ202" s="40" t="str">
        <f>IF(AND($G202='Povolené hodnoty'!$B$13,OR($H202=AQ$4,$H202='Povolené hodnoty'!$E$36)),SUM($I202,-$J202,$L202,-$M202,$O202,-$P202,$R202,-$S202),"")</f>
        <v/>
      </c>
      <c r="AR202" s="40" t="str">
        <f>IF(AND($G202='Povolené hodnoty'!$B$13,$H202=AR$4),SUM($I202,$L202,$O202,$R202),"")</f>
        <v/>
      </c>
      <c r="AS202" s="41" t="str">
        <f>IF(AND($G202='Povolené hodnoty'!$B$13,$H202=AS$4),SUM($I202,$L202,$O202,$R202),"")</f>
        <v/>
      </c>
      <c r="AT202" s="39" t="str">
        <f>IF(AND($G202='Povolené hodnoty'!$B$14,$H202=AT$4),SUM($I202,$L202,$O202,$R202),"")</f>
        <v/>
      </c>
      <c r="AU202" s="458" t="str">
        <f>IF(AND($G202='Povolené hodnoty'!$B$14,$H202=AU$4),SUM($I202,$L202,$O202,$R202),"")</f>
        <v/>
      </c>
      <c r="AV202" s="41" t="str">
        <f>IF(AND($G202='Povolené hodnoty'!$B$14,$H202=AV$4),SUM($I202,$L202,$O202,$R202),"")</f>
        <v/>
      </c>
      <c r="AW202" s="39" t="str">
        <f>IF(AND($G202='Povolené hodnoty'!$B$13,$H202=AW$4),SUM($J202,$M202,$P202,$S202),"")</f>
        <v/>
      </c>
      <c r="AX202" s="458" t="str">
        <f>IF(AND($G202='Povolené hodnoty'!$B$13,$H202=AX$4),SUM($J202,$M202,$P202,$S202),"")</f>
        <v/>
      </c>
      <c r="AY202" s="458" t="str">
        <f>IF(AND($G202='Povolené hodnoty'!$B$13,$H202=AY$4),SUM($J202,$M202,$P202,$S202),"")</f>
        <v/>
      </c>
      <c r="AZ202" s="458" t="str">
        <f>IF(AND($G202='Povolené hodnoty'!$B$13,$H202=AZ$4),SUM($J202,$M202,$P202,$S202),"")</f>
        <v/>
      </c>
      <c r="BA202" s="458" t="str">
        <f>IF(AND($G202='Povolené hodnoty'!$B$13,$H202=BA$4),SUM($J202,$M202,$P202,$S202),"")</f>
        <v/>
      </c>
      <c r="BB202" s="40" t="str">
        <f>IF(AND($G202='Povolené hodnoty'!$B$13,$H202=BB$4),SUM($J202,$M202,$P202,$S202),"")</f>
        <v/>
      </c>
      <c r="BC202" s="40" t="str">
        <f>IF(AND($G202='Povolené hodnoty'!$B$13,$H202=BC$4),SUM($J202,$M202,$P202,$S202),"")</f>
        <v/>
      </c>
      <c r="BD202" s="40" t="str">
        <f>IF(AND($G202='Povolené hodnoty'!$B$13,$H202=BD$4),SUM($J202,$M202,$P202,$S202),"")</f>
        <v/>
      </c>
      <c r="BE202" s="41" t="str">
        <f>IF(AND($G202='Povolené hodnoty'!$B$13,$H202=BE$4),SUM($J202,$M202,$P202,$S202),"")</f>
        <v/>
      </c>
      <c r="BF202" s="39" t="str">
        <f>IF(AND($G202='Povolené hodnoty'!$B$14,$H202=BF$4),SUM($J202,$M202,$P202,$S202),"")</f>
        <v/>
      </c>
      <c r="BG202" s="458" t="str">
        <f>IF(AND($G202='Povolené hodnoty'!$B$14,$H202=BG$4),SUM($J202,$M202,$P202,$S202),"")</f>
        <v/>
      </c>
      <c r="BH202" s="458" t="str">
        <f>IF(AND($G202='Povolené hodnoty'!$B$14,$H202=BH$4),SUM($J202,$M202,$P202,$S202),"")</f>
        <v/>
      </c>
      <c r="BI202" s="458" t="str">
        <f>IF(AND($G202='Povolené hodnoty'!$B$14,$H202=BI$4),SUM($J202,$M202,$P202,$S202),"")</f>
        <v/>
      </c>
      <c r="BJ202" s="458" t="str">
        <f>IF(AND($G202='Povolené hodnoty'!$B$14,$H202=BJ$4),SUM($J202,$M202,$P202,$S202),"")</f>
        <v/>
      </c>
      <c r="BK202" s="40" t="str">
        <f>IF(AND($G202='Povolené hodnoty'!$B$14,$H202=BK$4),SUM($J202,$M202,$P202,$S202),"")</f>
        <v/>
      </c>
      <c r="BL202" s="40" t="str">
        <f>IF(AND($G202='Povolené hodnoty'!$B$14,$H202=BL$4),SUM($J202,$M202,$P202,$S202),"")</f>
        <v/>
      </c>
      <c r="BM202" s="41" t="str">
        <f>IF(AND($G202='Povolené hodnoty'!$B$14,$H202=BM$4),SUM($J202,$M202,$P202,$S202),"")</f>
        <v/>
      </c>
      <c r="BO202" s="18" t="b">
        <f t="shared" si="141"/>
        <v>0</v>
      </c>
      <c r="BP202" s="18" t="b">
        <f t="shared" si="112"/>
        <v>0</v>
      </c>
      <c r="BQ202" s="18" t="b">
        <f>AND(E202&lt;&gt;'Povolené hodnoty'!$B$6,F202&lt;&gt;'Povolené hodnoty'!$D$7,F202&lt;&gt;'Povolené hodnoty'!$D$8,OR(SUM(I202,L202,O202,R202)&lt;&gt;SUM(W202:X202,AA202:AG202),SUM(J202,M202,P202,S202)&lt;&gt;SUM(Y202:Z202,AH202:AK202),COUNT(I202:J202,L202:M202,O202:P202,R202:S202)&lt;&gt;COUNT(W202:AK202)))</f>
        <v>0</v>
      </c>
      <c r="BR202" s="18" t="b">
        <f>OR(AND(E202='Povolené hodnoty'!$B$6,$BR$5),AND(E202='Povolené hodnoty'!$B$6,H202&lt;&gt;'Povolené hodnoty'!$E$26,H202&lt;&gt;'Povolené hodnoty'!$E$35),AND(E202&lt;&gt;'Povolené hodnoty'!$B$6,OR(H202='Povolené hodnoty'!$E$26,H202='Povolené hodnoty'!$E$35)))</f>
        <v>0</v>
      </c>
      <c r="BS202" s="18" t="b">
        <f>OR(AND(G202&lt;&gt;'Povolené hodnoty'!$B$13,OR(H202='Povolené hodnoty'!$E$21,H202='Povolené hodnoty'!$E$22,H202='Povolené hodnoty'!$E$23,H202='Povolené hodnoty'!$E$24,H202='Povolené hodnoty'!$E$26,H202='Povolené hodnoty'!$E$36)),COUNT(I202:J202,L202:M202,O202:P202,R202:S202)&lt;&gt;COUNT(AL202:BM202))</f>
        <v>0</v>
      </c>
      <c r="BT202" s="18" t="b">
        <f t="shared" si="113"/>
        <v>0</v>
      </c>
      <c r="BV202" s="39" t="str">
        <f t="shared" si="114"/>
        <v/>
      </c>
      <c r="BW202" s="458" t="str">
        <f t="shared" si="115"/>
        <v/>
      </c>
      <c r="BX202" s="458" t="str">
        <f t="shared" si="116"/>
        <v/>
      </c>
      <c r="BY202" s="458" t="str">
        <f t="shared" si="117"/>
        <v/>
      </c>
      <c r="BZ202" s="458" t="str">
        <f t="shared" si="118"/>
        <v/>
      </c>
      <c r="CA202" s="40" t="str">
        <f t="shared" si="119"/>
        <v/>
      </c>
      <c r="CB202" s="40" t="str">
        <f t="shared" si="120"/>
        <v/>
      </c>
      <c r="CC202" s="39" t="str">
        <f t="shared" si="121"/>
        <v/>
      </c>
      <c r="CD202" s="458" t="str">
        <f t="shared" si="122"/>
        <v/>
      </c>
      <c r="CE202" s="41" t="str">
        <f t="shared" si="123"/>
        <v/>
      </c>
      <c r="CF202" s="39" t="str">
        <f t="shared" si="124"/>
        <v/>
      </c>
      <c r="CG202" s="458" t="str">
        <f t="shared" si="125"/>
        <v/>
      </c>
      <c r="CH202" s="458" t="str">
        <f t="shared" si="126"/>
        <v/>
      </c>
      <c r="CI202" s="458" t="str">
        <f t="shared" si="127"/>
        <v/>
      </c>
      <c r="CJ202" s="458" t="str">
        <f t="shared" si="128"/>
        <v/>
      </c>
      <c r="CK202" s="40" t="str">
        <f t="shared" si="129"/>
        <v/>
      </c>
      <c r="CL202" s="40" t="str">
        <f t="shared" si="130"/>
        <v/>
      </c>
      <c r="CM202" s="40" t="str">
        <f t="shared" si="131"/>
        <v/>
      </c>
      <c r="CN202" s="39" t="str">
        <f t="shared" si="132"/>
        <v/>
      </c>
      <c r="CO202" s="458" t="str">
        <f t="shared" si="133"/>
        <v/>
      </c>
      <c r="CP202" s="458" t="str">
        <f t="shared" si="134"/>
        <v/>
      </c>
      <c r="CQ202" s="458" t="str">
        <f t="shared" si="135"/>
        <v/>
      </c>
      <c r="CR202" s="458" t="str">
        <f t="shared" si="136"/>
        <v/>
      </c>
      <c r="CS202" s="40" t="str">
        <f t="shared" si="137"/>
        <v/>
      </c>
      <c r="CT202" s="40" t="str">
        <f t="shared" si="138"/>
        <v/>
      </c>
      <c r="CU202" s="41" t="str">
        <f t="shared" si="139"/>
        <v/>
      </c>
    </row>
    <row r="203" spans="1:99" x14ac:dyDescent="0.2">
      <c r="A203" s="77">
        <f t="shared" si="140"/>
        <v>198</v>
      </c>
      <c r="B203" s="81"/>
      <c r="C203" s="82"/>
      <c r="D203" s="71"/>
      <c r="E203" s="72"/>
      <c r="F203" s="73"/>
      <c r="G203" s="443"/>
      <c r="H203" s="443"/>
      <c r="I203" s="74"/>
      <c r="J203" s="75"/>
      <c r="K203" s="41">
        <f t="shared" si="109"/>
        <v>3625</v>
      </c>
      <c r="L203" s="104"/>
      <c r="M203" s="105"/>
      <c r="N203" s="106">
        <f t="shared" si="110"/>
        <v>537.05999999999995</v>
      </c>
      <c r="O203" s="104"/>
      <c r="P203" s="105"/>
      <c r="Q203" s="106">
        <f t="shared" si="142"/>
        <v>10045.83</v>
      </c>
      <c r="R203" s="104"/>
      <c r="S203" s="105"/>
      <c r="T203" s="106">
        <f t="shared" si="143"/>
        <v>0</v>
      </c>
      <c r="U203" s="439"/>
      <c r="V203" s="42">
        <f t="shared" si="111"/>
        <v>198</v>
      </c>
      <c r="W203" s="39" t="str">
        <f>IF(AND(E203='Povolené hodnoty'!$B$4,F203=2),I203+L203+O203+R203,"")</f>
        <v/>
      </c>
      <c r="X203" s="41" t="str">
        <f>IF(AND(E203='Povolené hodnoty'!$B$4,F203=1),I203+L203+O203+R203,"")</f>
        <v/>
      </c>
      <c r="Y203" s="39" t="str">
        <f>IF(AND(E203='Povolené hodnoty'!$B$4,F203=10),J203+M203+P203+S203,"")</f>
        <v/>
      </c>
      <c r="Z203" s="41" t="str">
        <f>IF(AND(E203='Povolené hodnoty'!$B$4,F203=9),J203+M203+P203+S203,"")</f>
        <v/>
      </c>
      <c r="AA203" s="39" t="str">
        <f>IF(AND(E203&lt;&gt;'Povolené hodnoty'!$B$4,F203=2),I203+L203+O203+R203,"")</f>
        <v/>
      </c>
      <c r="AB203" s="40" t="str">
        <f>IF(AND(E203&lt;&gt;'Povolené hodnoty'!$B$4,F203=3),I203+L203+O203+R203,"")</f>
        <v/>
      </c>
      <c r="AC203" s="40" t="str">
        <f>IF(AND(E203&lt;&gt;'Povolené hodnoty'!$B$4,F203=4),I203+L203+O203+R203,"")</f>
        <v/>
      </c>
      <c r="AD203" s="40" t="str">
        <f>IF(AND(E203&lt;&gt;'Povolené hodnoty'!$B$4,F203="5a"),I203-J203+L203-M203+O203-P203+R203-S203,"")</f>
        <v/>
      </c>
      <c r="AE203" s="40" t="str">
        <f>IF(AND(E203&lt;&gt;'Povolené hodnoty'!$B$4,F203="5b"),I203-J203+L203-M203+O203-P203+R203-S203,"")</f>
        <v/>
      </c>
      <c r="AF203" s="40" t="str">
        <f>IF(AND(E203&lt;&gt;'Povolené hodnoty'!$B$4,F203=6),I203+L203+O203+R203,"")</f>
        <v/>
      </c>
      <c r="AG203" s="41" t="str">
        <f>IF(AND(E203&lt;&gt;'Povolené hodnoty'!$B$4,F203=7),I203+L203+O203+R203,"")</f>
        <v/>
      </c>
      <c r="AH203" s="39" t="str">
        <f>IF(AND(E203&lt;&gt;'Povolené hodnoty'!$B$4,F203=10),J203+M203+P203+S203,"")</f>
        <v/>
      </c>
      <c r="AI203" s="40" t="str">
        <f>IF(AND(E203&lt;&gt;'Povolené hodnoty'!$B$4,F203=11),J203+M203+P203+S203,"")</f>
        <v/>
      </c>
      <c r="AJ203" s="40" t="str">
        <f>IF(AND(E203&lt;&gt;'Povolené hodnoty'!$B$4,F203=12),J203+M203+P203+S203,"")</f>
        <v/>
      </c>
      <c r="AK203" s="41" t="str">
        <f>IF(AND(E203&lt;&gt;'Povolené hodnoty'!$B$4,F203=13),J203+M203+P203+S203,"")</f>
        <v/>
      </c>
      <c r="AL203" s="39" t="str">
        <f>IF(AND($G203='Povolené hodnoty'!$B$13,$H203=AL$4),SUM($I203,$L203,$O203,$R203),"")</f>
        <v/>
      </c>
      <c r="AM203" s="458" t="str">
        <f>IF(AND($G203='Povolené hodnoty'!$B$13,$H203=AM$4),SUM($I203,$L203,$O203,$R203),"")</f>
        <v/>
      </c>
      <c r="AN203" s="458" t="str">
        <f>IF(AND($G203='Povolené hodnoty'!$B$13,$H203=AN$4),SUM($I203,$L203,$O203,$R203),"")</f>
        <v/>
      </c>
      <c r="AO203" s="458" t="str">
        <f>IF(AND($G203='Povolené hodnoty'!$B$13,$H203=AO$4),SUM($I203,$L203,$O203,$R203),"")</f>
        <v/>
      </c>
      <c r="AP203" s="458" t="str">
        <f>IF(AND($G203='Povolené hodnoty'!$B$13,$H203=AP$4),SUM($I203,$L203,$O203,$R203),"")</f>
        <v/>
      </c>
      <c r="AQ203" s="40" t="str">
        <f>IF(AND($G203='Povolené hodnoty'!$B$13,OR($H203=AQ$4,$H203='Povolené hodnoty'!$E$36)),SUM($I203,-$J203,$L203,-$M203,$O203,-$P203,$R203,-$S203),"")</f>
        <v/>
      </c>
      <c r="AR203" s="40" t="str">
        <f>IF(AND($G203='Povolené hodnoty'!$B$13,$H203=AR$4),SUM($I203,$L203,$O203,$R203),"")</f>
        <v/>
      </c>
      <c r="AS203" s="41" t="str">
        <f>IF(AND($G203='Povolené hodnoty'!$B$13,$H203=AS$4),SUM($I203,$L203,$O203,$R203),"")</f>
        <v/>
      </c>
      <c r="AT203" s="39" t="str">
        <f>IF(AND($G203='Povolené hodnoty'!$B$14,$H203=AT$4),SUM($I203,$L203,$O203,$R203),"")</f>
        <v/>
      </c>
      <c r="AU203" s="458" t="str">
        <f>IF(AND($G203='Povolené hodnoty'!$B$14,$H203=AU$4),SUM($I203,$L203,$O203,$R203),"")</f>
        <v/>
      </c>
      <c r="AV203" s="41" t="str">
        <f>IF(AND($G203='Povolené hodnoty'!$B$14,$H203=AV$4),SUM($I203,$L203,$O203,$R203),"")</f>
        <v/>
      </c>
      <c r="AW203" s="39" t="str">
        <f>IF(AND($G203='Povolené hodnoty'!$B$13,$H203=AW$4),SUM($J203,$M203,$P203,$S203),"")</f>
        <v/>
      </c>
      <c r="AX203" s="458" t="str">
        <f>IF(AND($G203='Povolené hodnoty'!$B$13,$H203=AX$4),SUM($J203,$M203,$P203,$S203),"")</f>
        <v/>
      </c>
      <c r="AY203" s="458" t="str">
        <f>IF(AND($G203='Povolené hodnoty'!$B$13,$H203=AY$4),SUM($J203,$M203,$P203,$S203),"")</f>
        <v/>
      </c>
      <c r="AZ203" s="458" t="str">
        <f>IF(AND($G203='Povolené hodnoty'!$B$13,$H203=AZ$4),SUM($J203,$M203,$P203,$S203),"")</f>
        <v/>
      </c>
      <c r="BA203" s="458" t="str">
        <f>IF(AND($G203='Povolené hodnoty'!$B$13,$H203=BA$4),SUM($J203,$M203,$P203,$S203),"")</f>
        <v/>
      </c>
      <c r="BB203" s="40" t="str">
        <f>IF(AND($G203='Povolené hodnoty'!$B$13,$H203=BB$4),SUM($J203,$M203,$P203,$S203),"")</f>
        <v/>
      </c>
      <c r="BC203" s="40" t="str">
        <f>IF(AND($G203='Povolené hodnoty'!$B$13,$H203=BC$4),SUM($J203,$M203,$P203,$S203),"")</f>
        <v/>
      </c>
      <c r="BD203" s="40" t="str">
        <f>IF(AND($G203='Povolené hodnoty'!$B$13,$H203=BD$4),SUM($J203,$M203,$P203,$S203),"")</f>
        <v/>
      </c>
      <c r="BE203" s="41" t="str">
        <f>IF(AND($G203='Povolené hodnoty'!$B$13,$H203=BE$4),SUM($J203,$M203,$P203,$S203),"")</f>
        <v/>
      </c>
      <c r="BF203" s="39" t="str">
        <f>IF(AND($G203='Povolené hodnoty'!$B$14,$H203=BF$4),SUM($J203,$M203,$P203,$S203),"")</f>
        <v/>
      </c>
      <c r="BG203" s="458" t="str">
        <f>IF(AND($G203='Povolené hodnoty'!$B$14,$H203=BG$4),SUM($J203,$M203,$P203,$S203),"")</f>
        <v/>
      </c>
      <c r="BH203" s="458" t="str">
        <f>IF(AND($G203='Povolené hodnoty'!$B$14,$H203=BH$4),SUM($J203,$M203,$P203,$S203),"")</f>
        <v/>
      </c>
      <c r="BI203" s="458" t="str">
        <f>IF(AND($G203='Povolené hodnoty'!$B$14,$H203=BI$4),SUM($J203,$M203,$P203,$S203),"")</f>
        <v/>
      </c>
      <c r="BJ203" s="458" t="str">
        <f>IF(AND($G203='Povolené hodnoty'!$B$14,$H203=BJ$4),SUM($J203,$M203,$P203,$S203),"")</f>
        <v/>
      </c>
      <c r="BK203" s="40" t="str">
        <f>IF(AND($G203='Povolené hodnoty'!$B$14,$H203=BK$4),SUM($J203,$M203,$P203,$S203),"")</f>
        <v/>
      </c>
      <c r="BL203" s="40" t="str">
        <f>IF(AND($G203='Povolené hodnoty'!$B$14,$H203=BL$4),SUM($J203,$M203,$P203,$S203),"")</f>
        <v/>
      </c>
      <c r="BM203" s="41" t="str">
        <f>IF(AND($G203='Povolené hodnoty'!$B$14,$H203=BM$4),SUM($J203,$M203,$P203,$S203),"")</f>
        <v/>
      </c>
      <c r="BO203" s="18" t="b">
        <f t="shared" si="141"/>
        <v>0</v>
      </c>
      <c r="BP203" s="18" t="b">
        <f t="shared" si="112"/>
        <v>0</v>
      </c>
      <c r="BQ203" s="18" t="b">
        <f>AND(E203&lt;&gt;'Povolené hodnoty'!$B$6,F203&lt;&gt;'Povolené hodnoty'!$D$7,F203&lt;&gt;'Povolené hodnoty'!$D$8,OR(SUM(I203,L203,O203,R203)&lt;&gt;SUM(W203:X203,AA203:AG203),SUM(J203,M203,P203,S203)&lt;&gt;SUM(Y203:Z203,AH203:AK203),COUNT(I203:J203,L203:M203,O203:P203,R203:S203)&lt;&gt;COUNT(W203:AK203)))</f>
        <v>0</v>
      </c>
      <c r="BR203" s="18" t="b">
        <f>OR(AND(E203='Povolené hodnoty'!$B$6,$BR$5),AND(E203='Povolené hodnoty'!$B$6,H203&lt;&gt;'Povolené hodnoty'!$E$26,H203&lt;&gt;'Povolené hodnoty'!$E$35),AND(E203&lt;&gt;'Povolené hodnoty'!$B$6,OR(H203='Povolené hodnoty'!$E$26,H203='Povolené hodnoty'!$E$35)))</f>
        <v>0</v>
      </c>
      <c r="BS203" s="18" t="b">
        <f>OR(AND(G203&lt;&gt;'Povolené hodnoty'!$B$13,OR(H203='Povolené hodnoty'!$E$21,H203='Povolené hodnoty'!$E$22,H203='Povolené hodnoty'!$E$23,H203='Povolené hodnoty'!$E$24,H203='Povolené hodnoty'!$E$26,H203='Povolené hodnoty'!$E$36)),COUNT(I203:J203,L203:M203,O203:P203,R203:S203)&lt;&gt;COUNT(AL203:BM203))</f>
        <v>0</v>
      </c>
      <c r="BT203" s="18" t="b">
        <f t="shared" si="113"/>
        <v>0</v>
      </c>
      <c r="BV203" s="39" t="str">
        <f t="shared" si="114"/>
        <v/>
      </c>
      <c r="BW203" s="458" t="str">
        <f t="shared" si="115"/>
        <v/>
      </c>
      <c r="BX203" s="458" t="str">
        <f t="shared" si="116"/>
        <v/>
      </c>
      <c r="BY203" s="458" t="str">
        <f t="shared" si="117"/>
        <v/>
      </c>
      <c r="BZ203" s="458" t="str">
        <f t="shared" si="118"/>
        <v/>
      </c>
      <c r="CA203" s="40" t="str">
        <f t="shared" si="119"/>
        <v/>
      </c>
      <c r="CB203" s="40" t="str">
        <f t="shared" si="120"/>
        <v/>
      </c>
      <c r="CC203" s="39" t="str">
        <f t="shared" si="121"/>
        <v/>
      </c>
      <c r="CD203" s="458" t="str">
        <f t="shared" si="122"/>
        <v/>
      </c>
      <c r="CE203" s="41" t="str">
        <f t="shared" si="123"/>
        <v/>
      </c>
      <c r="CF203" s="39" t="str">
        <f t="shared" si="124"/>
        <v/>
      </c>
      <c r="CG203" s="458" t="str">
        <f t="shared" si="125"/>
        <v/>
      </c>
      <c r="CH203" s="458" t="str">
        <f t="shared" si="126"/>
        <v/>
      </c>
      <c r="CI203" s="458" t="str">
        <f t="shared" si="127"/>
        <v/>
      </c>
      <c r="CJ203" s="458" t="str">
        <f t="shared" si="128"/>
        <v/>
      </c>
      <c r="CK203" s="40" t="str">
        <f t="shared" si="129"/>
        <v/>
      </c>
      <c r="CL203" s="40" t="str">
        <f t="shared" si="130"/>
        <v/>
      </c>
      <c r="CM203" s="40" t="str">
        <f t="shared" si="131"/>
        <v/>
      </c>
      <c r="CN203" s="39" t="str">
        <f t="shared" si="132"/>
        <v/>
      </c>
      <c r="CO203" s="458" t="str">
        <f t="shared" si="133"/>
        <v/>
      </c>
      <c r="CP203" s="458" t="str">
        <f t="shared" si="134"/>
        <v/>
      </c>
      <c r="CQ203" s="458" t="str">
        <f t="shared" si="135"/>
        <v/>
      </c>
      <c r="CR203" s="458" t="str">
        <f t="shared" si="136"/>
        <v/>
      </c>
      <c r="CS203" s="40" t="str">
        <f t="shared" si="137"/>
        <v/>
      </c>
      <c r="CT203" s="40" t="str">
        <f t="shared" si="138"/>
        <v/>
      </c>
      <c r="CU203" s="41" t="str">
        <f t="shared" si="139"/>
        <v/>
      </c>
    </row>
    <row r="204" spans="1:99" x14ac:dyDescent="0.2">
      <c r="A204" s="77">
        <f t="shared" si="140"/>
        <v>199</v>
      </c>
      <c r="B204" s="81"/>
      <c r="C204" s="82"/>
      <c r="D204" s="71"/>
      <c r="E204" s="72"/>
      <c r="F204" s="73"/>
      <c r="G204" s="443"/>
      <c r="H204" s="443"/>
      <c r="I204" s="74"/>
      <c r="J204" s="75"/>
      <c r="K204" s="41">
        <f t="shared" si="109"/>
        <v>3625</v>
      </c>
      <c r="L204" s="104"/>
      <c r="M204" s="105"/>
      <c r="N204" s="106">
        <f t="shared" si="110"/>
        <v>537.05999999999995</v>
      </c>
      <c r="O204" s="104"/>
      <c r="P204" s="105"/>
      <c r="Q204" s="106">
        <f t="shared" si="142"/>
        <v>10045.83</v>
      </c>
      <c r="R204" s="104"/>
      <c r="S204" s="105"/>
      <c r="T204" s="106">
        <f t="shared" si="143"/>
        <v>0</v>
      </c>
      <c r="U204" s="439"/>
      <c r="V204" s="42">
        <f t="shared" si="111"/>
        <v>199</v>
      </c>
      <c r="W204" s="39" t="str">
        <f>IF(AND(E204='Povolené hodnoty'!$B$4,F204=2),I204+L204+O204+R204,"")</f>
        <v/>
      </c>
      <c r="X204" s="41" t="str">
        <f>IF(AND(E204='Povolené hodnoty'!$B$4,F204=1),I204+L204+O204+R204,"")</f>
        <v/>
      </c>
      <c r="Y204" s="39" t="str">
        <f>IF(AND(E204='Povolené hodnoty'!$B$4,F204=10),J204+M204+P204+S204,"")</f>
        <v/>
      </c>
      <c r="Z204" s="41" t="str">
        <f>IF(AND(E204='Povolené hodnoty'!$B$4,F204=9),J204+M204+P204+S204,"")</f>
        <v/>
      </c>
      <c r="AA204" s="39" t="str">
        <f>IF(AND(E204&lt;&gt;'Povolené hodnoty'!$B$4,F204=2),I204+L204+O204+R204,"")</f>
        <v/>
      </c>
      <c r="AB204" s="40" t="str">
        <f>IF(AND(E204&lt;&gt;'Povolené hodnoty'!$B$4,F204=3),I204+L204+O204+R204,"")</f>
        <v/>
      </c>
      <c r="AC204" s="40" t="str">
        <f>IF(AND(E204&lt;&gt;'Povolené hodnoty'!$B$4,F204=4),I204+L204+O204+R204,"")</f>
        <v/>
      </c>
      <c r="AD204" s="40" t="str">
        <f>IF(AND(E204&lt;&gt;'Povolené hodnoty'!$B$4,F204="5a"),I204-J204+L204-M204+O204-P204+R204-S204,"")</f>
        <v/>
      </c>
      <c r="AE204" s="40" t="str">
        <f>IF(AND(E204&lt;&gt;'Povolené hodnoty'!$B$4,F204="5b"),I204-J204+L204-M204+O204-P204+R204-S204,"")</f>
        <v/>
      </c>
      <c r="AF204" s="40" t="str">
        <f>IF(AND(E204&lt;&gt;'Povolené hodnoty'!$B$4,F204=6),I204+L204+O204+R204,"")</f>
        <v/>
      </c>
      <c r="AG204" s="41" t="str">
        <f>IF(AND(E204&lt;&gt;'Povolené hodnoty'!$B$4,F204=7),I204+L204+O204+R204,"")</f>
        <v/>
      </c>
      <c r="AH204" s="39" t="str">
        <f>IF(AND(E204&lt;&gt;'Povolené hodnoty'!$B$4,F204=10),J204+M204+P204+S204,"")</f>
        <v/>
      </c>
      <c r="AI204" s="40" t="str">
        <f>IF(AND(E204&lt;&gt;'Povolené hodnoty'!$B$4,F204=11),J204+M204+P204+S204,"")</f>
        <v/>
      </c>
      <c r="AJ204" s="40" t="str">
        <f>IF(AND(E204&lt;&gt;'Povolené hodnoty'!$B$4,F204=12),J204+M204+P204+S204,"")</f>
        <v/>
      </c>
      <c r="AK204" s="41" t="str">
        <f>IF(AND(E204&lt;&gt;'Povolené hodnoty'!$B$4,F204=13),J204+M204+P204+S204,"")</f>
        <v/>
      </c>
      <c r="AL204" s="39" t="str">
        <f>IF(AND($G204='Povolené hodnoty'!$B$13,$H204=AL$4),SUM($I204,$L204,$O204,$R204),"")</f>
        <v/>
      </c>
      <c r="AM204" s="458" t="str">
        <f>IF(AND($G204='Povolené hodnoty'!$B$13,$H204=AM$4),SUM($I204,$L204,$O204,$R204),"")</f>
        <v/>
      </c>
      <c r="AN204" s="458" t="str">
        <f>IF(AND($G204='Povolené hodnoty'!$B$13,$H204=AN$4),SUM($I204,$L204,$O204,$R204),"")</f>
        <v/>
      </c>
      <c r="AO204" s="458" t="str">
        <f>IF(AND($G204='Povolené hodnoty'!$B$13,$H204=AO$4),SUM($I204,$L204,$O204,$R204),"")</f>
        <v/>
      </c>
      <c r="AP204" s="458" t="str">
        <f>IF(AND($G204='Povolené hodnoty'!$B$13,$H204=AP$4),SUM($I204,$L204,$O204,$R204),"")</f>
        <v/>
      </c>
      <c r="AQ204" s="40" t="str">
        <f>IF(AND($G204='Povolené hodnoty'!$B$13,OR($H204=AQ$4,$H204='Povolené hodnoty'!$E$36)),SUM($I204,-$J204,$L204,-$M204,$O204,-$P204,$R204,-$S204),"")</f>
        <v/>
      </c>
      <c r="AR204" s="40" t="str">
        <f>IF(AND($G204='Povolené hodnoty'!$B$13,$H204=AR$4),SUM($I204,$L204,$O204,$R204),"")</f>
        <v/>
      </c>
      <c r="AS204" s="41" t="str">
        <f>IF(AND($G204='Povolené hodnoty'!$B$13,$H204=AS$4),SUM($I204,$L204,$O204,$R204),"")</f>
        <v/>
      </c>
      <c r="AT204" s="39" t="str">
        <f>IF(AND($G204='Povolené hodnoty'!$B$14,$H204=AT$4),SUM($I204,$L204,$O204,$R204),"")</f>
        <v/>
      </c>
      <c r="AU204" s="458" t="str">
        <f>IF(AND($G204='Povolené hodnoty'!$B$14,$H204=AU$4),SUM($I204,$L204,$O204,$R204),"")</f>
        <v/>
      </c>
      <c r="AV204" s="41" t="str">
        <f>IF(AND($G204='Povolené hodnoty'!$B$14,$H204=AV$4),SUM($I204,$L204,$O204,$R204),"")</f>
        <v/>
      </c>
      <c r="AW204" s="39" t="str">
        <f>IF(AND($G204='Povolené hodnoty'!$B$13,$H204=AW$4),SUM($J204,$M204,$P204,$S204),"")</f>
        <v/>
      </c>
      <c r="AX204" s="458" t="str">
        <f>IF(AND($G204='Povolené hodnoty'!$B$13,$H204=AX$4),SUM($J204,$M204,$P204,$S204),"")</f>
        <v/>
      </c>
      <c r="AY204" s="458" t="str">
        <f>IF(AND($G204='Povolené hodnoty'!$B$13,$H204=AY$4),SUM($J204,$M204,$P204,$S204),"")</f>
        <v/>
      </c>
      <c r="AZ204" s="458" t="str">
        <f>IF(AND($G204='Povolené hodnoty'!$B$13,$H204=AZ$4),SUM($J204,$M204,$P204,$S204),"")</f>
        <v/>
      </c>
      <c r="BA204" s="458" t="str">
        <f>IF(AND($G204='Povolené hodnoty'!$B$13,$H204=BA$4),SUM($J204,$M204,$P204,$S204),"")</f>
        <v/>
      </c>
      <c r="BB204" s="40" t="str">
        <f>IF(AND($G204='Povolené hodnoty'!$B$13,$H204=BB$4),SUM($J204,$M204,$P204,$S204),"")</f>
        <v/>
      </c>
      <c r="BC204" s="40" t="str">
        <f>IF(AND($G204='Povolené hodnoty'!$B$13,$H204=BC$4),SUM($J204,$M204,$P204,$S204),"")</f>
        <v/>
      </c>
      <c r="BD204" s="40" t="str">
        <f>IF(AND($G204='Povolené hodnoty'!$B$13,$H204=BD$4),SUM($J204,$M204,$P204,$S204),"")</f>
        <v/>
      </c>
      <c r="BE204" s="41" t="str">
        <f>IF(AND($G204='Povolené hodnoty'!$B$13,$H204=BE$4),SUM($J204,$M204,$P204,$S204),"")</f>
        <v/>
      </c>
      <c r="BF204" s="39" t="str">
        <f>IF(AND($G204='Povolené hodnoty'!$B$14,$H204=BF$4),SUM($J204,$M204,$P204,$S204),"")</f>
        <v/>
      </c>
      <c r="BG204" s="458" t="str">
        <f>IF(AND($G204='Povolené hodnoty'!$B$14,$H204=BG$4),SUM($J204,$M204,$P204,$S204),"")</f>
        <v/>
      </c>
      <c r="BH204" s="458" t="str">
        <f>IF(AND($G204='Povolené hodnoty'!$B$14,$H204=BH$4),SUM($J204,$M204,$P204,$S204),"")</f>
        <v/>
      </c>
      <c r="BI204" s="458" t="str">
        <f>IF(AND($G204='Povolené hodnoty'!$B$14,$H204=BI$4),SUM($J204,$M204,$P204,$S204),"")</f>
        <v/>
      </c>
      <c r="BJ204" s="458" t="str">
        <f>IF(AND($G204='Povolené hodnoty'!$B$14,$H204=BJ$4),SUM($J204,$M204,$P204,$S204),"")</f>
        <v/>
      </c>
      <c r="BK204" s="40" t="str">
        <f>IF(AND($G204='Povolené hodnoty'!$B$14,$H204=BK$4),SUM($J204,$M204,$P204,$S204),"")</f>
        <v/>
      </c>
      <c r="BL204" s="40" t="str">
        <f>IF(AND($G204='Povolené hodnoty'!$B$14,$H204=BL$4),SUM($J204,$M204,$P204,$S204),"")</f>
        <v/>
      </c>
      <c r="BM204" s="41" t="str">
        <f>IF(AND($G204='Povolené hodnoty'!$B$14,$H204=BM$4),SUM($J204,$M204,$P204,$S204),"")</f>
        <v/>
      </c>
      <c r="BO204" s="18" t="b">
        <f t="shared" si="141"/>
        <v>0</v>
      </c>
      <c r="BP204" s="18" t="b">
        <f t="shared" si="112"/>
        <v>0</v>
      </c>
      <c r="BQ204" s="18" t="b">
        <f>AND(E204&lt;&gt;'Povolené hodnoty'!$B$6,F204&lt;&gt;'Povolené hodnoty'!$D$7,F204&lt;&gt;'Povolené hodnoty'!$D$8,OR(SUM(I204,L204,O204,R204)&lt;&gt;SUM(W204:X204,AA204:AG204),SUM(J204,M204,P204,S204)&lt;&gt;SUM(Y204:Z204,AH204:AK204),COUNT(I204:J204,L204:M204,O204:P204,R204:S204)&lt;&gt;COUNT(W204:AK204)))</f>
        <v>0</v>
      </c>
      <c r="BR204" s="18" t="b">
        <f>OR(AND(E204='Povolené hodnoty'!$B$6,$BR$5),AND(E204='Povolené hodnoty'!$B$6,H204&lt;&gt;'Povolené hodnoty'!$E$26,H204&lt;&gt;'Povolené hodnoty'!$E$35),AND(E204&lt;&gt;'Povolené hodnoty'!$B$6,OR(H204='Povolené hodnoty'!$E$26,H204='Povolené hodnoty'!$E$35)))</f>
        <v>0</v>
      </c>
      <c r="BS204" s="18" t="b">
        <f>OR(AND(G204&lt;&gt;'Povolené hodnoty'!$B$13,OR(H204='Povolené hodnoty'!$E$21,H204='Povolené hodnoty'!$E$22,H204='Povolené hodnoty'!$E$23,H204='Povolené hodnoty'!$E$24,H204='Povolené hodnoty'!$E$26,H204='Povolené hodnoty'!$E$36)),COUNT(I204:J204,L204:M204,O204:P204,R204:S204)&lt;&gt;COUNT(AL204:BM204))</f>
        <v>0</v>
      </c>
      <c r="BT204" s="18" t="b">
        <f t="shared" si="113"/>
        <v>0</v>
      </c>
      <c r="BV204" s="39" t="str">
        <f t="shared" si="114"/>
        <v/>
      </c>
      <c r="BW204" s="458" t="str">
        <f t="shared" si="115"/>
        <v/>
      </c>
      <c r="BX204" s="458" t="str">
        <f t="shared" si="116"/>
        <v/>
      </c>
      <c r="BY204" s="458" t="str">
        <f t="shared" si="117"/>
        <v/>
      </c>
      <c r="BZ204" s="458" t="str">
        <f t="shared" si="118"/>
        <v/>
      </c>
      <c r="CA204" s="40" t="str">
        <f t="shared" si="119"/>
        <v/>
      </c>
      <c r="CB204" s="40" t="str">
        <f t="shared" si="120"/>
        <v/>
      </c>
      <c r="CC204" s="39" t="str">
        <f t="shared" si="121"/>
        <v/>
      </c>
      <c r="CD204" s="458" t="str">
        <f t="shared" si="122"/>
        <v/>
      </c>
      <c r="CE204" s="41" t="str">
        <f t="shared" si="123"/>
        <v/>
      </c>
      <c r="CF204" s="39" t="str">
        <f t="shared" si="124"/>
        <v/>
      </c>
      <c r="CG204" s="458" t="str">
        <f t="shared" si="125"/>
        <v/>
      </c>
      <c r="CH204" s="458" t="str">
        <f t="shared" si="126"/>
        <v/>
      </c>
      <c r="CI204" s="458" t="str">
        <f t="shared" si="127"/>
        <v/>
      </c>
      <c r="CJ204" s="458" t="str">
        <f t="shared" si="128"/>
        <v/>
      </c>
      <c r="CK204" s="40" t="str">
        <f t="shared" si="129"/>
        <v/>
      </c>
      <c r="CL204" s="40" t="str">
        <f t="shared" si="130"/>
        <v/>
      </c>
      <c r="CM204" s="40" t="str">
        <f t="shared" si="131"/>
        <v/>
      </c>
      <c r="CN204" s="39" t="str">
        <f t="shared" si="132"/>
        <v/>
      </c>
      <c r="CO204" s="458" t="str">
        <f t="shared" si="133"/>
        <v/>
      </c>
      <c r="CP204" s="458" t="str">
        <f t="shared" si="134"/>
        <v/>
      </c>
      <c r="CQ204" s="458" t="str">
        <f t="shared" si="135"/>
        <v/>
      </c>
      <c r="CR204" s="458" t="str">
        <f t="shared" si="136"/>
        <v/>
      </c>
      <c r="CS204" s="40" t="str">
        <f t="shared" si="137"/>
        <v/>
      </c>
      <c r="CT204" s="40" t="str">
        <f t="shared" si="138"/>
        <v/>
      </c>
      <c r="CU204" s="41" t="str">
        <f t="shared" si="139"/>
        <v/>
      </c>
    </row>
    <row r="205" spans="1:99" x14ac:dyDescent="0.2">
      <c r="A205" s="77">
        <f t="shared" si="140"/>
        <v>200</v>
      </c>
      <c r="B205" s="81"/>
      <c r="C205" s="82"/>
      <c r="D205" s="71"/>
      <c r="E205" s="72"/>
      <c r="F205" s="73"/>
      <c r="G205" s="443"/>
      <c r="H205" s="443"/>
      <c r="I205" s="74"/>
      <c r="J205" s="75"/>
      <c r="K205" s="41">
        <f t="shared" si="109"/>
        <v>3625</v>
      </c>
      <c r="L205" s="104"/>
      <c r="M205" s="105"/>
      <c r="N205" s="106">
        <f t="shared" si="110"/>
        <v>537.05999999999995</v>
      </c>
      <c r="O205" s="104"/>
      <c r="P205" s="105"/>
      <c r="Q205" s="106">
        <f t="shared" si="142"/>
        <v>10045.83</v>
      </c>
      <c r="R205" s="104"/>
      <c r="S205" s="105"/>
      <c r="T205" s="106">
        <f t="shared" si="143"/>
        <v>0</v>
      </c>
      <c r="U205" s="439"/>
      <c r="V205" s="42">
        <f t="shared" si="111"/>
        <v>200</v>
      </c>
      <c r="W205" s="39" t="str">
        <f>IF(AND(E205='Povolené hodnoty'!$B$4,F205=2),I205+L205+O205+R205,"")</f>
        <v/>
      </c>
      <c r="X205" s="41" t="str">
        <f>IF(AND(E205='Povolené hodnoty'!$B$4,F205=1),I205+L205+O205+R205,"")</f>
        <v/>
      </c>
      <c r="Y205" s="39" t="str">
        <f>IF(AND(E205='Povolené hodnoty'!$B$4,F205=10),J205+M205+P205+S205,"")</f>
        <v/>
      </c>
      <c r="Z205" s="41" t="str">
        <f>IF(AND(E205='Povolené hodnoty'!$B$4,F205=9),J205+M205+P205+S205,"")</f>
        <v/>
      </c>
      <c r="AA205" s="39" t="str">
        <f>IF(AND(E205&lt;&gt;'Povolené hodnoty'!$B$4,F205=2),I205+L205+O205+R205,"")</f>
        <v/>
      </c>
      <c r="AB205" s="40" t="str">
        <f>IF(AND(E205&lt;&gt;'Povolené hodnoty'!$B$4,F205=3),I205+L205+O205+R205,"")</f>
        <v/>
      </c>
      <c r="AC205" s="40" t="str">
        <f>IF(AND(E205&lt;&gt;'Povolené hodnoty'!$B$4,F205=4),I205+L205+O205+R205,"")</f>
        <v/>
      </c>
      <c r="AD205" s="40" t="str">
        <f>IF(AND(E205&lt;&gt;'Povolené hodnoty'!$B$4,F205="5a"),I205-J205+L205-M205+O205-P205+R205-S205,"")</f>
        <v/>
      </c>
      <c r="AE205" s="40" t="str">
        <f>IF(AND(E205&lt;&gt;'Povolené hodnoty'!$B$4,F205="5b"),I205-J205+L205-M205+O205-P205+R205-S205,"")</f>
        <v/>
      </c>
      <c r="AF205" s="40" t="str">
        <f>IF(AND(E205&lt;&gt;'Povolené hodnoty'!$B$4,F205=6),I205+L205+O205+R205,"")</f>
        <v/>
      </c>
      <c r="AG205" s="41" t="str">
        <f>IF(AND(E205&lt;&gt;'Povolené hodnoty'!$B$4,F205=7),I205+L205+O205+R205,"")</f>
        <v/>
      </c>
      <c r="AH205" s="39" t="str">
        <f>IF(AND(E205&lt;&gt;'Povolené hodnoty'!$B$4,F205=10),J205+M205+P205+S205,"")</f>
        <v/>
      </c>
      <c r="AI205" s="40" t="str">
        <f>IF(AND(E205&lt;&gt;'Povolené hodnoty'!$B$4,F205=11),J205+M205+P205+S205,"")</f>
        <v/>
      </c>
      <c r="AJ205" s="40" t="str">
        <f>IF(AND(E205&lt;&gt;'Povolené hodnoty'!$B$4,F205=12),J205+M205+P205+S205,"")</f>
        <v/>
      </c>
      <c r="AK205" s="41" t="str">
        <f>IF(AND(E205&lt;&gt;'Povolené hodnoty'!$B$4,F205=13),J205+M205+P205+S205,"")</f>
        <v/>
      </c>
      <c r="AL205" s="39" t="str">
        <f>IF(AND($G205='Povolené hodnoty'!$B$13,$H205=AL$4),SUM($I205,$L205,$O205,$R205),"")</f>
        <v/>
      </c>
      <c r="AM205" s="458" t="str">
        <f>IF(AND($G205='Povolené hodnoty'!$B$13,$H205=AM$4),SUM($I205,$L205,$O205,$R205),"")</f>
        <v/>
      </c>
      <c r="AN205" s="458" t="str">
        <f>IF(AND($G205='Povolené hodnoty'!$B$13,$H205=AN$4),SUM($I205,$L205,$O205,$R205),"")</f>
        <v/>
      </c>
      <c r="AO205" s="458" t="str">
        <f>IF(AND($G205='Povolené hodnoty'!$B$13,$H205=AO$4),SUM($I205,$L205,$O205,$R205),"")</f>
        <v/>
      </c>
      <c r="AP205" s="458" t="str">
        <f>IF(AND($G205='Povolené hodnoty'!$B$13,$H205=AP$4),SUM($I205,$L205,$O205,$R205),"")</f>
        <v/>
      </c>
      <c r="AQ205" s="40" t="str">
        <f>IF(AND($G205='Povolené hodnoty'!$B$13,OR($H205=AQ$4,$H205='Povolené hodnoty'!$E$36)),SUM($I205,-$J205,$L205,-$M205,$O205,-$P205,$R205,-$S205),"")</f>
        <v/>
      </c>
      <c r="AR205" s="40" t="str">
        <f>IF(AND($G205='Povolené hodnoty'!$B$13,$H205=AR$4),SUM($I205,$L205,$O205,$R205),"")</f>
        <v/>
      </c>
      <c r="AS205" s="41" t="str">
        <f>IF(AND($G205='Povolené hodnoty'!$B$13,$H205=AS$4),SUM($I205,$L205,$O205,$R205),"")</f>
        <v/>
      </c>
      <c r="AT205" s="39" t="str">
        <f>IF(AND($G205='Povolené hodnoty'!$B$14,$H205=AT$4),SUM($I205,$L205,$O205,$R205),"")</f>
        <v/>
      </c>
      <c r="AU205" s="458" t="str">
        <f>IF(AND($G205='Povolené hodnoty'!$B$14,$H205=AU$4),SUM($I205,$L205,$O205,$R205),"")</f>
        <v/>
      </c>
      <c r="AV205" s="41" t="str">
        <f>IF(AND($G205='Povolené hodnoty'!$B$14,$H205=AV$4),SUM($I205,$L205,$O205,$R205),"")</f>
        <v/>
      </c>
      <c r="AW205" s="39" t="str">
        <f>IF(AND($G205='Povolené hodnoty'!$B$13,$H205=AW$4),SUM($J205,$M205,$P205,$S205),"")</f>
        <v/>
      </c>
      <c r="AX205" s="458" t="str">
        <f>IF(AND($G205='Povolené hodnoty'!$B$13,$H205=AX$4),SUM($J205,$M205,$P205,$S205),"")</f>
        <v/>
      </c>
      <c r="AY205" s="458" t="str">
        <f>IF(AND($G205='Povolené hodnoty'!$B$13,$H205=AY$4),SUM($J205,$M205,$P205,$S205),"")</f>
        <v/>
      </c>
      <c r="AZ205" s="458" t="str">
        <f>IF(AND($G205='Povolené hodnoty'!$B$13,$H205=AZ$4),SUM($J205,$M205,$P205,$S205),"")</f>
        <v/>
      </c>
      <c r="BA205" s="458" t="str">
        <f>IF(AND($G205='Povolené hodnoty'!$B$13,$H205=BA$4),SUM($J205,$M205,$P205,$S205),"")</f>
        <v/>
      </c>
      <c r="BB205" s="40" t="str">
        <f>IF(AND($G205='Povolené hodnoty'!$B$13,$H205=BB$4),SUM($J205,$M205,$P205,$S205),"")</f>
        <v/>
      </c>
      <c r="BC205" s="40" t="str">
        <f>IF(AND($G205='Povolené hodnoty'!$B$13,$H205=BC$4),SUM($J205,$M205,$P205,$S205),"")</f>
        <v/>
      </c>
      <c r="BD205" s="40" t="str">
        <f>IF(AND($G205='Povolené hodnoty'!$B$13,$H205=BD$4),SUM($J205,$M205,$P205,$S205),"")</f>
        <v/>
      </c>
      <c r="BE205" s="41" t="str">
        <f>IF(AND($G205='Povolené hodnoty'!$B$13,$H205=BE$4),SUM($J205,$M205,$P205,$S205),"")</f>
        <v/>
      </c>
      <c r="BF205" s="39" t="str">
        <f>IF(AND($G205='Povolené hodnoty'!$B$14,$H205=BF$4),SUM($J205,$M205,$P205,$S205),"")</f>
        <v/>
      </c>
      <c r="BG205" s="458" t="str">
        <f>IF(AND($G205='Povolené hodnoty'!$B$14,$H205=BG$4),SUM($J205,$M205,$P205,$S205),"")</f>
        <v/>
      </c>
      <c r="BH205" s="458" t="str">
        <f>IF(AND($G205='Povolené hodnoty'!$B$14,$H205=BH$4),SUM($J205,$M205,$P205,$S205),"")</f>
        <v/>
      </c>
      <c r="BI205" s="458" t="str">
        <f>IF(AND($G205='Povolené hodnoty'!$B$14,$H205=BI$4),SUM($J205,$M205,$P205,$S205),"")</f>
        <v/>
      </c>
      <c r="BJ205" s="458" t="str">
        <f>IF(AND($G205='Povolené hodnoty'!$B$14,$H205=BJ$4),SUM($J205,$M205,$P205,$S205),"")</f>
        <v/>
      </c>
      <c r="BK205" s="40" t="str">
        <f>IF(AND($G205='Povolené hodnoty'!$B$14,$H205=BK$4),SUM($J205,$M205,$P205,$S205),"")</f>
        <v/>
      </c>
      <c r="BL205" s="40" t="str">
        <f>IF(AND($G205='Povolené hodnoty'!$B$14,$H205=BL$4),SUM($J205,$M205,$P205,$S205),"")</f>
        <v/>
      </c>
      <c r="BM205" s="41" t="str">
        <f>IF(AND($G205='Povolené hodnoty'!$B$14,$H205=BM$4),SUM($J205,$M205,$P205,$S205),"")</f>
        <v/>
      </c>
      <c r="BO205" s="18" t="b">
        <f t="shared" si="141"/>
        <v>0</v>
      </c>
      <c r="BP205" s="18" t="b">
        <f t="shared" si="112"/>
        <v>0</v>
      </c>
      <c r="BQ205" s="18" t="b">
        <f>AND(E205&lt;&gt;'Povolené hodnoty'!$B$6,F205&lt;&gt;'Povolené hodnoty'!$D$7,F205&lt;&gt;'Povolené hodnoty'!$D$8,OR(SUM(I205,L205,O205,R205)&lt;&gt;SUM(W205:X205,AA205:AG205),SUM(J205,M205,P205,S205)&lt;&gt;SUM(Y205:Z205,AH205:AK205),COUNT(I205:J205,L205:M205,O205:P205,R205:S205)&lt;&gt;COUNT(W205:AK205)))</f>
        <v>0</v>
      </c>
      <c r="BR205" s="18" t="b">
        <f>OR(AND(E205='Povolené hodnoty'!$B$6,$BR$5),AND(E205='Povolené hodnoty'!$B$6,H205&lt;&gt;'Povolené hodnoty'!$E$26,H205&lt;&gt;'Povolené hodnoty'!$E$35),AND(E205&lt;&gt;'Povolené hodnoty'!$B$6,OR(H205='Povolené hodnoty'!$E$26,H205='Povolené hodnoty'!$E$35)))</f>
        <v>0</v>
      </c>
      <c r="BS205" s="18" t="b">
        <f>OR(AND(G205&lt;&gt;'Povolené hodnoty'!$B$13,OR(H205='Povolené hodnoty'!$E$21,H205='Povolené hodnoty'!$E$22,H205='Povolené hodnoty'!$E$23,H205='Povolené hodnoty'!$E$24,H205='Povolené hodnoty'!$E$26,H205='Povolené hodnoty'!$E$36)),COUNT(I205:J205,L205:M205,O205:P205,R205:S205)&lt;&gt;COUNT(AL205:BM205))</f>
        <v>0</v>
      </c>
      <c r="BT205" s="18" t="b">
        <f t="shared" si="113"/>
        <v>0</v>
      </c>
      <c r="BV205" s="39" t="str">
        <f t="shared" si="114"/>
        <v/>
      </c>
      <c r="BW205" s="458" t="str">
        <f t="shared" si="115"/>
        <v/>
      </c>
      <c r="BX205" s="458" t="str">
        <f t="shared" si="116"/>
        <v/>
      </c>
      <c r="BY205" s="458" t="str">
        <f t="shared" si="117"/>
        <v/>
      </c>
      <c r="BZ205" s="458" t="str">
        <f t="shared" si="118"/>
        <v/>
      </c>
      <c r="CA205" s="40" t="str">
        <f t="shared" si="119"/>
        <v/>
      </c>
      <c r="CB205" s="40" t="str">
        <f t="shared" si="120"/>
        <v/>
      </c>
      <c r="CC205" s="39" t="str">
        <f t="shared" si="121"/>
        <v/>
      </c>
      <c r="CD205" s="458" t="str">
        <f t="shared" si="122"/>
        <v/>
      </c>
      <c r="CE205" s="41" t="str">
        <f t="shared" si="123"/>
        <v/>
      </c>
      <c r="CF205" s="39" t="str">
        <f t="shared" si="124"/>
        <v/>
      </c>
      <c r="CG205" s="458" t="str">
        <f t="shared" si="125"/>
        <v/>
      </c>
      <c r="CH205" s="458" t="str">
        <f t="shared" si="126"/>
        <v/>
      </c>
      <c r="CI205" s="458" t="str">
        <f t="shared" si="127"/>
        <v/>
      </c>
      <c r="CJ205" s="458" t="str">
        <f t="shared" si="128"/>
        <v/>
      </c>
      <c r="CK205" s="40" t="str">
        <f t="shared" si="129"/>
        <v/>
      </c>
      <c r="CL205" s="40" t="str">
        <f t="shared" si="130"/>
        <v/>
      </c>
      <c r="CM205" s="40" t="str">
        <f t="shared" si="131"/>
        <v/>
      </c>
      <c r="CN205" s="39" t="str">
        <f t="shared" si="132"/>
        <v/>
      </c>
      <c r="CO205" s="458" t="str">
        <f t="shared" si="133"/>
        <v/>
      </c>
      <c r="CP205" s="458" t="str">
        <f t="shared" si="134"/>
        <v/>
      </c>
      <c r="CQ205" s="458" t="str">
        <f t="shared" si="135"/>
        <v/>
      </c>
      <c r="CR205" s="458" t="str">
        <f t="shared" si="136"/>
        <v/>
      </c>
      <c r="CS205" s="40" t="str">
        <f t="shared" si="137"/>
        <v/>
      </c>
      <c r="CT205" s="40" t="str">
        <f t="shared" si="138"/>
        <v/>
      </c>
      <c r="CU205" s="41" t="str">
        <f t="shared" si="139"/>
        <v/>
      </c>
    </row>
    <row r="206" spans="1:99" x14ac:dyDescent="0.2">
      <c r="A206" s="77">
        <f t="shared" si="140"/>
        <v>201</v>
      </c>
      <c r="B206" s="81"/>
      <c r="C206" s="82"/>
      <c r="D206" s="71"/>
      <c r="E206" s="72"/>
      <c r="F206" s="73"/>
      <c r="G206" s="443"/>
      <c r="H206" s="443"/>
      <c r="I206" s="74"/>
      <c r="J206" s="75"/>
      <c r="K206" s="41">
        <f t="shared" si="109"/>
        <v>3625</v>
      </c>
      <c r="L206" s="104"/>
      <c r="M206" s="105"/>
      <c r="N206" s="106">
        <f t="shared" si="110"/>
        <v>537.05999999999995</v>
      </c>
      <c r="O206" s="104"/>
      <c r="P206" s="105"/>
      <c r="Q206" s="106">
        <f t="shared" si="142"/>
        <v>10045.83</v>
      </c>
      <c r="R206" s="104"/>
      <c r="S206" s="105"/>
      <c r="T206" s="106">
        <f t="shared" si="143"/>
        <v>0</v>
      </c>
      <c r="U206" s="439"/>
      <c r="V206" s="42">
        <f t="shared" si="111"/>
        <v>201</v>
      </c>
      <c r="W206" s="39" t="str">
        <f>IF(AND(E206='Povolené hodnoty'!$B$4,F206=2),I206+L206+O206+R206,"")</f>
        <v/>
      </c>
      <c r="X206" s="41" t="str">
        <f>IF(AND(E206='Povolené hodnoty'!$B$4,F206=1),I206+L206+O206+R206,"")</f>
        <v/>
      </c>
      <c r="Y206" s="39" t="str">
        <f>IF(AND(E206='Povolené hodnoty'!$B$4,F206=10),J206+M206+P206+S206,"")</f>
        <v/>
      </c>
      <c r="Z206" s="41" t="str">
        <f>IF(AND(E206='Povolené hodnoty'!$B$4,F206=9),J206+M206+P206+S206,"")</f>
        <v/>
      </c>
      <c r="AA206" s="39" t="str">
        <f>IF(AND(E206&lt;&gt;'Povolené hodnoty'!$B$4,F206=2),I206+L206+O206+R206,"")</f>
        <v/>
      </c>
      <c r="AB206" s="40" t="str">
        <f>IF(AND(E206&lt;&gt;'Povolené hodnoty'!$B$4,F206=3),I206+L206+O206+R206,"")</f>
        <v/>
      </c>
      <c r="AC206" s="40" t="str">
        <f>IF(AND(E206&lt;&gt;'Povolené hodnoty'!$B$4,F206=4),I206+L206+O206+R206,"")</f>
        <v/>
      </c>
      <c r="AD206" s="40" t="str">
        <f>IF(AND(E206&lt;&gt;'Povolené hodnoty'!$B$4,F206="5a"),I206-J206+L206-M206+O206-P206+R206-S206,"")</f>
        <v/>
      </c>
      <c r="AE206" s="40" t="str">
        <f>IF(AND(E206&lt;&gt;'Povolené hodnoty'!$B$4,F206="5b"),I206-J206+L206-M206+O206-P206+R206-S206,"")</f>
        <v/>
      </c>
      <c r="AF206" s="40" t="str">
        <f>IF(AND(E206&lt;&gt;'Povolené hodnoty'!$B$4,F206=6),I206+L206+O206+R206,"")</f>
        <v/>
      </c>
      <c r="AG206" s="41" t="str">
        <f>IF(AND(E206&lt;&gt;'Povolené hodnoty'!$B$4,F206=7),I206+L206+O206+R206,"")</f>
        <v/>
      </c>
      <c r="AH206" s="39" t="str">
        <f>IF(AND(E206&lt;&gt;'Povolené hodnoty'!$B$4,F206=10),J206+M206+P206+S206,"")</f>
        <v/>
      </c>
      <c r="AI206" s="40" t="str">
        <f>IF(AND(E206&lt;&gt;'Povolené hodnoty'!$B$4,F206=11),J206+M206+P206+S206,"")</f>
        <v/>
      </c>
      <c r="AJ206" s="40" t="str">
        <f>IF(AND(E206&lt;&gt;'Povolené hodnoty'!$B$4,F206=12),J206+M206+P206+S206,"")</f>
        <v/>
      </c>
      <c r="AK206" s="41" t="str">
        <f>IF(AND(E206&lt;&gt;'Povolené hodnoty'!$B$4,F206=13),J206+M206+P206+S206,"")</f>
        <v/>
      </c>
      <c r="AL206" s="39" t="str">
        <f>IF(AND($G206='Povolené hodnoty'!$B$13,$H206=AL$4),SUM($I206,$L206,$O206,$R206),"")</f>
        <v/>
      </c>
      <c r="AM206" s="458" t="str">
        <f>IF(AND($G206='Povolené hodnoty'!$B$13,$H206=AM$4),SUM($I206,$L206,$O206,$R206),"")</f>
        <v/>
      </c>
      <c r="AN206" s="458" t="str">
        <f>IF(AND($G206='Povolené hodnoty'!$B$13,$H206=AN$4),SUM($I206,$L206,$O206,$R206),"")</f>
        <v/>
      </c>
      <c r="AO206" s="458" t="str">
        <f>IF(AND($G206='Povolené hodnoty'!$B$13,$H206=AO$4),SUM($I206,$L206,$O206,$R206),"")</f>
        <v/>
      </c>
      <c r="AP206" s="458" t="str">
        <f>IF(AND($G206='Povolené hodnoty'!$B$13,$H206=AP$4),SUM($I206,$L206,$O206,$R206),"")</f>
        <v/>
      </c>
      <c r="AQ206" s="40" t="str">
        <f>IF(AND($G206='Povolené hodnoty'!$B$13,OR($H206=AQ$4,$H206='Povolené hodnoty'!$E$36)),SUM($I206,-$J206,$L206,-$M206,$O206,-$P206,$R206,-$S206),"")</f>
        <v/>
      </c>
      <c r="AR206" s="40" t="str">
        <f>IF(AND($G206='Povolené hodnoty'!$B$13,$H206=AR$4),SUM($I206,$L206,$O206,$R206),"")</f>
        <v/>
      </c>
      <c r="AS206" s="41" t="str">
        <f>IF(AND($G206='Povolené hodnoty'!$B$13,$H206=AS$4),SUM($I206,$L206,$O206,$R206),"")</f>
        <v/>
      </c>
      <c r="AT206" s="39" t="str">
        <f>IF(AND($G206='Povolené hodnoty'!$B$14,$H206=AT$4),SUM($I206,$L206,$O206,$R206),"")</f>
        <v/>
      </c>
      <c r="AU206" s="458" t="str">
        <f>IF(AND($G206='Povolené hodnoty'!$B$14,$H206=AU$4),SUM($I206,$L206,$O206,$R206),"")</f>
        <v/>
      </c>
      <c r="AV206" s="41" t="str">
        <f>IF(AND($G206='Povolené hodnoty'!$B$14,$H206=AV$4),SUM($I206,$L206,$O206,$R206),"")</f>
        <v/>
      </c>
      <c r="AW206" s="39" t="str">
        <f>IF(AND($G206='Povolené hodnoty'!$B$13,$H206=AW$4),SUM($J206,$M206,$P206,$S206),"")</f>
        <v/>
      </c>
      <c r="AX206" s="458" t="str">
        <f>IF(AND($G206='Povolené hodnoty'!$B$13,$H206=AX$4),SUM($J206,$M206,$P206,$S206),"")</f>
        <v/>
      </c>
      <c r="AY206" s="458" t="str">
        <f>IF(AND($G206='Povolené hodnoty'!$B$13,$H206=AY$4),SUM($J206,$M206,$P206,$S206),"")</f>
        <v/>
      </c>
      <c r="AZ206" s="458" t="str">
        <f>IF(AND($G206='Povolené hodnoty'!$B$13,$H206=AZ$4),SUM($J206,$M206,$P206,$S206),"")</f>
        <v/>
      </c>
      <c r="BA206" s="458" t="str">
        <f>IF(AND($G206='Povolené hodnoty'!$B$13,$H206=BA$4),SUM($J206,$M206,$P206,$S206),"")</f>
        <v/>
      </c>
      <c r="BB206" s="40" t="str">
        <f>IF(AND($G206='Povolené hodnoty'!$B$13,$H206=BB$4),SUM($J206,$M206,$P206,$S206),"")</f>
        <v/>
      </c>
      <c r="BC206" s="40" t="str">
        <f>IF(AND($G206='Povolené hodnoty'!$B$13,$H206=BC$4),SUM($J206,$M206,$P206,$S206),"")</f>
        <v/>
      </c>
      <c r="BD206" s="40" t="str">
        <f>IF(AND($G206='Povolené hodnoty'!$B$13,$H206=BD$4),SUM($J206,$M206,$P206,$S206),"")</f>
        <v/>
      </c>
      <c r="BE206" s="41" t="str">
        <f>IF(AND($G206='Povolené hodnoty'!$B$13,$H206=BE$4),SUM($J206,$M206,$P206,$S206),"")</f>
        <v/>
      </c>
      <c r="BF206" s="39" t="str">
        <f>IF(AND($G206='Povolené hodnoty'!$B$14,$H206=BF$4),SUM($J206,$M206,$P206,$S206),"")</f>
        <v/>
      </c>
      <c r="BG206" s="458" t="str">
        <f>IF(AND($G206='Povolené hodnoty'!$B$14,$H206=BG$4),SUM($J206,$M206,$P206,$S206),"")</f>
        <v/>
      </c>
      <c r="BH206" s="458" t="str">
        <f>IF(AND($G206='Povolené hodnoty'!$B$14,$H206=BH$4),SUM($J206,$M206,$P206,$S206),"")</f>
        <v/>
      </c>
      <c r="BI206" s="458" t="str">
        <f>IF(AND($G206='Povolené hodnoty'!$B$14,$H206=BI$4),SUM($J206,$M206,$P206,$S206),"")</f>
        <v/>
      </c>
      <c r="BJ206" s="458" t="str">
        <f>IF(AND($G206='Povolené hodnoty'!$B$14,$H206=BJ$4),SUM($J206,$M206,$P206,$S206),"")</f>
        <v/>
      </c>
      <c r="BK206" s="40" t="str">
        <f>IF(AND($G206='Povolené hodnoty'!$B$14,$H206=BK$4),SUM($J206,$M206,$P206,$S206),"")</f>
        <v/>
      </c>
      <c r="BL206" s="40" t="str">
        <f>IF(AND($G206='Povolené hodnoty'!$B$14,$H206=BL$4),SUM($J206,$M206,$P206,$S206),"")</f>
        <v/>
      </c>
      <c r="BM206" s="41" t="str">
        <f>IF(AND($G206='Povolené hodnoty'!$B$14,$H206=BM$4),SUM($J206,$M206,$P206,$S206),"")</f>
        <v/>
      </c>
      <c r="BO206" s="18" t="b">
        <f t="shared" si="141"/>
        <v>0</v>
      </c>
      <c r="BP206" s="18" t="b">
        <f t="shared" si="112"/>
        <v>0</v>
      </c>
      <c r="BQ206" s="18" t="b">
        <f>AND(E206&lt;&gt;'Povolené hodnoty'!$B$6,F206&lt;&gt;'Povolené hodnoty'!$D$7,F206&lt;&gt;'Povolené hodnoty'!$D$8,OR(SUM(I206,L206,O206,R206)&lt;&gt;SUM(W206:X206,AA206:AG206),SUM(J206,M206,P206,S206)&lt;&gt;SUM(Y206:Z206,AH206:AK206),COUNT(I206:J206,L206:M206,O206:P206,R206:S206)&lt;&gt;COUNT(W206:AK206)))</f>
        <v>0</v>
      </c>
      <c r="BR206" s="18" t="b">
        <f>OR(AND(E206='Povolené hodnoty'!$B$6,$BR$5),AND(E206='Povolené hodnoty'!$B$6,H206&lt;&gt;'Povolené hodnoty'!$E$26,H206&lt;&gt;'Povolené hodnoty'!$E$35),AND(E206&lt;&gt;'Povolené hodnoty'!$B$6,OR(H206='Povolené hodnoty'!$E$26,H206='Povolené hodnoty'!$E$35)))</f>
        <v>0</v>
      </c>
      <c r="BS206" s="18" t="b">
        <f>OR(AND(G206&lt;&gt;'Povolené hodnoty'!$B$13,OR(H206='Povolené hodnoty'!$E$21,H206='Povolené hodnoty'!$E$22,H206='Povolené hodnoty'!$E$23,H206='Povolené hodnoty'!$E$24,H206='Povolené hodnoty'!$E$26,H206='Povolené hodnoty'!$E$36)),COUNT(I206:J206,L206:M206,O206:P206,R206:S206)&lt;&gt;COUNT(AL206:BM206))</f>
        <v>0</v>
      </c>
      <c r="BT206" s="18" t="b">
        <f t="shared" si="113"/>
        <v>0</v>
      </c>
      <c r="BV206" s="39" t="str">
        <f t="shared" si="114"/>
        <v/>
      </c>
      <c r="BW206" s="458" t="str">
        <f t="shared" si="115"/>
        <v/>
      </c>
      <c r="BX206" s="458" t="str">
        <f t="shared" si="116"/>
        <v/>
      </c>
      <c r="BY206" s="458" t="str">
        <f t="shared" si="117"/>
        <v/>
      </c>
      <c r="BZ206" s="458" t="str">
        <f t="shared" si="118"/>
        <v/>
      </c>
      <c r="CA206" s="40" t="str">
        <f t="shared" si="119"/>
        <v/>
      </c>
      <c r="CB206" s="40" t="str">
        <f t="shared" si="120"/>
        <v/>
      </c>
      <c r="CC206" s="39" t="str">
        <f t="shared" si="121"/>
        <v/>
      </c>
      <c r="CD206" s="458" t="str">
        <f t="shared" si="122"/>
        <v/>
      </c>
      <c r="CE206" s="41" t="str">
        <f t="shared" si="123"/>
        <v/>
      </c>
      <c r="CF206" s="39" t="str">
        <f t="shared" si="124"/>
        <v/>
      </c>
      <c r="CG206" s="458" t="str">
        <f t="shared" si="125"/>
        <v/>
      </c>
      <c r="CH206" s="458" t="str">
        <f t="shared" si="126"/>
        <v/>
      </c>
      <c r="CI206" s="458" t="str">
        <f t="shared" si="127"/>
        <v/>
      </c>
      <c r="CJ206" s="458" t="str">
        <f t="shared" si="128"/>
        <v/>
      </c>
      <c r="CK206" s="40" t="str">
        <f t="shared" si="129"/>
        <v/>
      </c>
      <c r="CL206" s="40" t="str">
        <f t="shared" si="130"/>
        <v/>
      </c>
      <c r="CM206" s="40" t="str">
        <f t="shared" si="131"/>
        <v/>
      </c>
      <c r="CN206" s="39" t="str">
        <f t="shared" si="132"/>
        <v/>
      </c>
      <c r="CO206" s="458" t="str">
        <f t="shared" si="133"/>
        <v/>
      </c>
      <c r="CP206" s="458" t="str">
        <f t="shared" si="134"/>
        <v/>
      </c>
      <c r="CQ206" s="458" t="str">
        <f t="shared" si="135"/>
        <v/>
      </c>
      <c r="CR206" s="458" t="str">
        <f t="shared" si="136"/>
        <v/>
      </c>
      <c r="CS206" s="40" t="str">
        <f t="shared" si="137"/>
        <v/>
      </c>
      <c r="CT206" s="40" t="str">
        <f t="shared" si="138"/>
        <v/>
      </c>
      <c r="CU206" s="41" t="str">
        <f t="shared" si="139"/>
        <v/>
      </c>
    </row>
    <row r="207" spans="1:99" x14ac:dyDescent="0.2">
      <c r="A207" s="77">
        <f t="shared" si="140"/>
        <v>202</v>
      </c>
      <c r="B207" s="81"/>
      <c r="C207" s="82"/>
      <c r="D207" s="71"/>
      <c r="E207" s="72"/>
      <c r="F207" s="73"/>
      <c r="G207" s="443"/>
      <c r="H207" s="443"/>
      <c r="I207" s="74"/>
      <c r="J207" s="75"/>
      <c r="K207" s="41">
        <f t="shared" si="109"/>
        <v>3625</v>
      </c>
      <c r="L207" s="104"/>
      <c r="M207" s="105"/>
      <c r="N207" s="106">
        <f t="shared" si="110"/>
        <v>537.05999999999995</v>
      </c>
      <c r="O207" s="104"/>
      <c r="P207" s="105"/>
      <c r="Q207" s="106">
        <f t="shared" si="142"/>
        <v>10045.83</v>
      </c>
      <c r="R207" s="104"/>
      <c r="S207" s="105"/>
      <c r="T207" s="106">
        <f t="shared" si="143"/>
        <v>0</v>
      </c>
      <c r="U207" s="439"/>
      <c r="V207" s="42">
        <f t="shared" si="111"/>
        <v>202</v>
      </c>
      <c r="W207" s="39" t="str">
        <f>IF(AND(E207='Povolené hodnoty'!$B$4,F207=2),I207+L207+O207+R207,"")</f>
        <v/>
      </c>
      <c r="X207" s="41" t="str">
        <f>IF(AND(E207='Povolené hodnoty'!$B$4,F207=1),I207+L207+O207+R207,"")</f>
        <v/>
      </c>
      <c r="Y207" s="39" t="str">
        <f>IF(AND(E207='Povolené hodnoty'!$B$4,F207=10),J207+M207+P207+S207,"")</f>
        <v/>
      </c>
      <c r="Z207" s="41" t="str">
        <f>IF(AND(E207='Povolené hodnoty'!$B$4,F207=9),J207+M207+P207+S207,"")</f>
        <v/>
      </c>
      <c r="AA207" s="39" t="str">
        <f>IF(AND(E207&lt;&gt;'Povolené hodnoty'!$B$4,F207=2),I207+L207+O207+R207,"")</f>
        <v/>
      </c>
      <c r="AB207" s="40" t="str">
        <f>IF(AND(E207&lt;&gt;'Povolené hodnoty'!$B$4,F207=3),I207+L207+O207+R207,"")</f>
        <v/>
      </c>
      <c r="AC207" s="40" t="str">
        <f>IF(AND(E207&lt;&gt;'Povolené hodnoty'!$B$4,F207=4),I207+L207+O207+R207,"")</f>
        <v/>
      </c>
      <c r="AD207" s="40" t="str">
        <f>IF(AND(E207&lt;&gt;'Povolené hodnoty'!$B$4,F207="5a"),I207-J207+L207-M207+O207-P207+R207-S207,"")</f>
        <v/>
      </c>
      <c r="AE207" s="40" t="str">
        <f>IF(AND(E207&lt;&gt;'Povolené hodnoty'!$B$4,F207="5b"),I207-J207+L207-M207+O207-P207+R207-S207,"")</f>
        <v/>
      </c>
      <c r="AF207" s="40" t="str">
        <f>IF(AND(E207&lt;&gt;'Povolené hodnoty'!$B$4,F207=6),I207+L207+O207+R207,"")</f>
        <v/>
      </c>
      <c r="AG207" s="41" t="str">
        <f>IF(AND(E207&lt;&gt;'Povolené hodnoty'!$B$4,F207=7),I207+L207+O207+R207,"")</f>
        <v/>
      </c>
      <c r="AH207" s="39" t="str">
        <f>IF(AND(E207&lt;&gt;'Povolené hodnoty'!$B$4,F207=10),J207+M207+P207+S207,"")</f>
        <v/>
      </c>
      <c r="AI207" s="40" t="str">
        <f>IF(AND(E207&lt;&gt;'Povolené hodnoty'!$B$4,F207=11),J207+M207+P207+S207,"")</f>
        <v/>
      </c>
      <c r="AJ207" s="40" t="str">
        <f>IF(AND(E207&lt;&gt;'Povolené hodnoty'!$B$4,F207=12),J207+M207+P207+S207,"")</f>
        <v/>
      </c>
      <c r="AK207" s="41" t="str">
        <f>IF(AND(E207&lt;&gt;'Povolené hodnoty'!$B$4,F207=13),J207+M207+P207+S207,"")</f>
        <v/>
      </c>
      <c r="AL207" s="39" t="str">
        <f>IF(AND($G207='Povolené hodnoty'!$B$13,$H207=AL$4),SUM($I207,$L207,$O207,$R207),"")</f>
        <v/>
      </c>
      <c r="AM207" s="458" t="str">
        <f>IF(AND($G207='Povolené hodnoty'!$B$13,$H207=AM$4),SUM($I207,$L207,$O207,$R207),"")</f>
        <v/>
      </c>
      <c r="AN207" s="458" t="str">
        <f>IF(AND($G207='Povolené hodnoty'!$B$13,$H207=AN$4),SUM($I207,$L207,$O207,$R207),"")</f>
        <v/>
      </c>
      <c r="AO207" s="458" t="str">
        <f>IF(AND($G207='Povolené hodnoty'!$B$13,$H207=AO$4),SUM($I207,$L207,$O207,$R207),"")</f>
        <v/>
      </c>
      <c r="AP207" s="458" t="str">
        <f>IF(AND($G207='Povolené hodnoty'!$B$13,$H207=AP$4),SUM($I207,$L207,$O207,$R207),"")</f>
        <v/>
      </c>
      <c r="AQ207" s="40" t="str">
        <f>IF(AND($G207='Povolené hodnoty'!$B$13,OR($H207=AQ$4,$H207='Povolené hodnoty'!$E$36)),SUM($I207,-$J207,$L207,-$M207,$O207,-$P207,$R207,-$S207),"")</f>
        <v/>
      </c>
      <c r="AR207" s="40" t="str">
        <f>IF(AND($G207='Povolené hodnoty'!$B$13,$H207=AR$4),SUM($I207,$L207,$O207,$R207),"")</f>
        <v/>
      </c>
      <c r="AS207" s="41" t="str">
        <f>IF(AND($G207='Povolené hodnoty'!$B$13,$H207=AS$4),SUM($I207,$L207,$O207,$R207),"")</f>
        <v/>
      </c>
      <c r="AT207" s="39" t="str">
        <f>IF(AND($G207='Povolené hodnoty'!$B$14,$H207=AT$4),SUM($I207,$L207,$O207,$R207),"")</f>
        <v/>
      </c>
      <c r="AU207" s="458" t="str">
        <f>IF(AND($G207='Povolené hodnoty'!$B$14,$H207=AU$4),SUM($I207,$L207,$O207,$R207),"")</f>
        <v/>
      </c>
      <c r="AV207" s="41" t="str">
        <f>IF(AND($G207='Povolené hodnoty'!$B$14,$H207=AV$4),SUM($I207,$L207,$O207,$R207),"")</f>
        <v/>
      </c>
      <c r="AW207" s="39" t="str">
        <f>IF(AND($G207='Povolené hodnoty'!$B$13,$H207=AW$4),SUM($J207,$M207,$P207,$S207),"")</f>
        <v/>
      </c>
      <c r="AX207" s="458" t="str">
        <f>IF(AND($G207='Povolené hodnoty'!$B$13,$H207=AX$4),SUM($J207,$M207,$P207,$S207),"")</f>
        <v/>
      </c>
      <c r="AY207" s="458" t="str">
        <f>IF(AND($G207='Povolené hodnoty'!$B$13,$H207=AY$4),SUM($J207,$M207,$P207,$S207),"")</f>
        <v/>
      </c>
      <c r="AZ207" s="458" t="str">
        <f>IF(AND($G207='Povolené hodnoty'!$B$13,$H207=AZ$4),SUM($J207,$M207,$P207,$S207),"")</f>
        <v/>
      </c>
      <c r="BA207" s="458" t="str">
        <f>IF(AND($G207='Povolené hodnoty'!$B$13,$H207=BA$4),SUM($J207,$M207,$P207,$S207),"")</f>
        <v/>
      </c>
      <c r="BB207" s="40" t="str">
        <f>IF(AND($G207='Povolené hodnoty'!$B$13,$H207=BB$4),SUM($J207,$M207,$P207,$S207),"")</f>
        <v/>
      </c>
      <c r="BC207" s="40" t="str">
        <f>IF(AND($G207='Povolené hodnoty'!$B$13,$H207=BC$4),SUM($J207,$M207,$P207,$S207),"")</f>
        <v/>
      </c>
      <c r="BD207" s="40" t="str">
        <f>IF(AND($G207='Povolené hodnoty'!$B$13,$H207=BD$4),SUM($J207,$M207,$P207,$S207),"")</f>
        <v/>
      </c>
      <c r="BE207" s="41" t="str">
        <f>IF(AND($G207='Povolené hodnoty'!$B$13,$H207=BE$4),SUM($J207,$M207,$P207,$S207),"")</f>
        <v/>
      </c>
      <c r="BF207" s="39" t="str">
        <f>IF(AND($G207='Povolené hodnoty'!$B$14,$H207=BF$4),SUM($J207,$M207,$P207,$S207),"")</f>
        <v/>
      </c>
      <c r="BG207" s="458" t="str">
        <f>IF(AND($G207='Povolené hodnoty'!$B$14,$H207=BG$4),SUM($J207,$M207,$P207,$S207),"")</f>
        <v/>
      </c>
      <c r="BH207" s="458" t="str">
        <f>IF(AND($G207='Povolené hodnoty'!$B$14,$H207=BH$4),SUM($J207,$M207,$P207,$S207),"")</f>
        <v/>
      </c>
      <c r="BI207" s="458" t="str">
        <f>IF(AND($G207='Povolené hodnoty'!$B$14,$H207=BI$4),SUM($J207,$M207,$P207,$S207),"")</f>
        <v/>
      </c>
      <c r="BJ207" s="458" t="str">
        <f>IF(AND($G207='Povolené hodnoty'!$B$14,$H207=BJ$4),SUM($J207,$M207,$P207,$S207),"")</f>
        <v/>
      </c>
      <c r="BK207" s="40" t="str">
        <f>IF(AND($G207='Povolené hodnoty'!$B$14,$H207=BK$4),SUM($J207,$M207,$P207,$S207),"")</f>
        <v/>
      </c>
      <c r="BL207" s="40" t="str">
        <f>IF(AND($G207='Povolené hodnoty'!$B$14,$H207=BL$4),SUM($J207,$M207,$P207,$S207),"")</f>
        <v/>
      </c>
      <c r="BM207" s="41" t="str">
        <f>IF(AND($G207='Povolené hodnoty'!$B$14,$H207=BM$4),SUM($J207,$M207,$P207,$S207),"")</f>
        <v/>
      </c>
      <c r="BO207" s="18" t="b">
        <f t="shared" si="141"/>
        <v>0</v>
      </c>
      <c r="BP207" s="18" t="b">
        <f t="shared" si="112"/>
        <v>0</v>
      </c>
      <c r="BQ207" s="18" t="b">
        <f>AND(E207&lt;&gt;'Povolené hodnoty'!$B$6,F207&lt;&gt;'Povolené hodnoty'!$D$7,F207&lt;&gt;'Povolené hodnoty'!$D$8,OR(SUM(I207,L207,O207,R207)&lt;&gt;SUM(W207:X207,AA207:AG207),SUM(J207,M207,P207,S207)&lt;&gt;SUM(Y207:Z207,AH207:AK207),COUNT(I207:J207,L207:M207,O207:P207,R207:S207)&lt;&gt;COUNT(W207:AK207)))</f>
        <v>0</v>
      </c>
      <c r="BR207" s="18" t="b">
        <f>OR(AND(E207='Povolené hodnoty'!$B$6,$BR$5),AND(E207='Povolené hodnoty'!$B$6,H207&lt;&gt;'Povolené hodnoty'!$E$26,H207&lt;&gt;'Povolené hodnoty'!$E$35),AND(E207&lt;&gt;'Povolené hodnoty'!$B$6,OR(H207='Povolené hodnoty'!$E$26,H207='Povolené hodnoty'!$E$35)))</f>
        <v>0</v>
      </c>
      <c r="BS207" s="18" t="b">
        <f>OR(AND(G207&lt;&gt;'Povolené hodnoty'!$B$13,OR(H207='Povolené hodnoty'!$E$21,H207='Povolené hodnoty'!$E$22,H207='Povolené hodnoty'!$E$23,H207='Povolené hodnoty'!$E$24,H207='Povolené hodnoty'!$E$26,H207='Povolené hodnoty'!$E$36)),COUNT(I207:J207,L207:M207,O207:P207,R207:S207)&lt;&gt;COUNT(AL207:BM207))</f>
        <v>0</v>
      </c>
      <c r="BT207" s="18" t="b">
        <f t="shared" si="113"/>
        <v>0</v>
      </c>
      <c r="BV207" s="39" t="str">
        <f t="shared" si="114"/>
        <v/>
      </c>
      <c r="BW207" s="458" t="str">
        <f t="shared" si="115"/>
        <v/>
      </c>
      <c r="BX207" s="458" t="str">
        <f t="shared" si="116"/>
        <v/>
      </c>
      <c r="BY207" s="458" t="str">
        <f t="shared" si="117"/>
        <v/>
      </c>
      <c r="BZ207" s="458" t="str">
        <f t="shared" si="118"/>
        <v/>
      </c>
      <c r="CA207" s="40" t="str">
        <f t="shared" si="119"/>
        <v/>
      </c>
      <c r="CB207" s="40" t="str">
        <f t="shared" si="120"/>
        <v/>
      </c>
      <c r="CC207" s="39" t="str">
        <f t="shared" si="121"/>
        <v/>
      </c>
      <c r="CD207" s="458" t="str">
        <f t="shared" si="122"/>
        <v/>
      </c>
      <c r="CE207" s="41" t="str">
        <f t="shared" si="123"/>
        <v/>
      </c>
      <c r="CF207" s="39" t="str">
        <f t="shared" si="124"/>
        <v/>
      </c>
      <c r="CG207" s="458" t="str">
        <f t="shared" si="125"/>
        <v/>
      </c>
      <c r="CH207" s="458" t="str">
        <f t="shared" si="126"/>
        <v/>
      </c>
      <c r="CI207" s="458" t="str">
        <f t="shared" si="127"/>
        <v/>
      </c>
      <c r="CJ207" s="458" t="str">
        <f t="shared" si="128"/>
        <v/>
      </c>
      <c r="CK207" s="40" t="str">
        <f t="shared" si="129"/>
        <v/>
      </c>
      <c r="CL207" s="40" t="str">
        <f t="shared" si="130"/>
        <v/>
      </c>
      <c r="CM207" s="40" t="str">
        <f t="shared" si="131"/>
        <v/>
      </c>
      <c r="CN207" s="39" t="str">
        <f t="shared" si="132"/>
        <v/>
      </c>
      <c r="CO207" s="458" t="str">
        <f t="shared" si="133"/>
        <v/>
      </c>
      <c r="CP207" s="458" t="str">
        <f t="shared" si="134"/>
        <v/>
      </c>
      <c r="CQ207" s="458" t="str">
        <f t="shared" si="135"/>
        <v/>
      </c>
      <c r="CR207" s="458" t="str">
        <f t="shared" si="136"/>
        <v/>
      </c>
      <c r="CS207" s="40" t="str">
        <f t="shared" si="137"/>
        <v/>
      </c>
      <c r="CT207" s="40" t="str">
        <f t="shared" si="138"/>
        <v/>
      </c>
      <c r="CU207" s="41" t="str">
        <f t="shared" si="139"/>
        <v/>
      </c>
    </row>
    <row r="208" spans="1:99" x14ac:dyDescent="0.2">
      <c r="A208" s="77">
        <f t="shared" si="140"/>
        <v>203</v>
      </c>
      <c r="B208" s="81"/>
      <c r="C208" s="82"/>
      <c r="D208" s="71"/>
      <c r="E208" s="72"/>
      <c r="F208" s="73"/>
      <c r="G208" s="443"/>
      <c r="H208" s="443"/>
      <c r="I208" s="74"/>
      <c r="J208" s="75"/>
      <c r="K208" s="41">
        <f t="shared" si="109"/>
        <v>3625</v>
      </c>
      <c r="L208" s="104"/>
      <c r="M208" s="105"/>
      <c r="N208" s="106">
        <f t="shared" si="110"/>
        <v>537.05999999999995</v>
      </c>
      <c r="O208" s="104"/>
      <c r="P208" s="105"/>
      <c r="Q208" s="106">
        <f t="shared" si="142"/>
        <v>10045.83</v>
      </c>
      <c r="R208" s="104"/>
      <c r="S208" s="105"/>
      <c r="T208" s="106">
        <f t="shared" si="143"/>
        <v>0</v>
      </c>
      <c r="U208" s="439"/>
      <c r="V208" s="42">
        <f t="shared" si="111"/>
        <v>203</v>
      </c>
      <c r="W208" s="39" t="str">
        <f>IF(AND(E208='Povolené hodnoty'!$B$4,F208=2),I208+L208+O208+R208,"")</f>
        <v/>
      </c>
      <c r="X208" s="41" t="str">
        <f>IF(AND(E208='Povolené hodnoty'!$B$4,F208=1),I208+L208+O208+R208,"")</f>
        <v/>
      </c>
      <c r="Y208" s="39" t="str">
        <f>IF(AND(E208='Povolené hodnoty'!$B$4,F208=10),J208+M208+P208+S208,"")</f>
        <v/>
      </c>
      <c r="Z208" s="41" t="str">
        <f>IF(AND(E208='Povolené hodnoty'!$B$4,F208=9),J208+M208+P208+S208,"")</f>
        <v/>
      </c>
      <c r="AA208" s="39" t="str">
        <f>IF(AND(E208&lt;&gt;'Povolené hodnoty'!$B$4,F208=2),I208+L208+O208+R208,"")</f>
        <v/>
      </c>
      <c r="AB208" s="40" t="str">
        <f>IF(AND(E208&lt;&gt;'Povolené hodnoty'!$B$4,F208=3),I208+L208+O208+R208,"")</f>
        <v/>
      </c>
      <c r="AC208" s="40" t="str">
        <f>IF(AND(E208&lt;&gt;'Povolené hodnoty'!$B$4,F208=4),I208+L208+O208+R208,"")</f>
        <v/>
      </c>
      <c r="AD208" s="40" t="str">
        <f>IF(AND(E208&lt;&gt;'Povolené hodnoty'!$B$4,F208="5a"),I208-J208+L208-M208+O208-P208+R208-S208,"")</f>
        <v/>
      </c>
      <c r="AE208" s="40" t="str">
        <f>IF(AND(E208&lt;&gt;'Povolené hodnoty'!$B$4,F208="5b"),I208-J208+L208-M208+O208-P208+R208-S208,"")</f>
        <v/>
      </c>
      <c r="AF208" s="40" t="str">
        <f>IF(AND(E208&lt;&gt;'Povolené hodnoty'!$B$4,F208=6),I208+L208+O208+R208,"")</f>
        <v/>
      </c>
      <c r="AG208" s="41" t="str">
        <f>IF(AND(E208&lt;&gt;'Povolené hodnoty'!$B$4,F208=7),I208+L208+O208+R208,"")</f>
        <v/>
      </c>
      <c r="AH208" s="39" t="str">
        <f>IF(AND(E208&lt;&gt;'Povolené hodnoty'!$B$4,F208=10),J208+M208+P208+S208,"")</f>
        <v/>
      </c>
      <c r="AI208" s="40" t="str">
        <f>IF(AND(E208&lt;&gt;'Povolené hodnoty'!$B$4,F208=11),J208+M208+P208+S208,"")</f>
        <v/>
      </c>
      <c r="AJ208" s="40" t="str">
        <f>IF(AND(E208&lt;&gt;'Povolené hodnoty'!$B$4,F208=12),J208+M208+P208+S208,"")</f>
        <v/>
      </c>
      <c r="AK208" s="41" t="str">
        <f>IF(AND(E208&lt;&gt;'Povolené hodnoty'!$B$4,F208=13),J208+M208+P208+S208,"")</f>
        <v/>
      </c>
      <c r="AL208" s="39" t="str">
        <f>IF(AND($G208='Povolené hodnoty'!$B$13,$H208=AL$4),SUM($I208,$L208,$O208,$R208),"")</f>
        <v/>
      </c>
      <c r="AM208" s="458" t="str">
        <f>IF(AND($G208='Povolené hodnoty'!$B$13,$H208=AM$4),SUM($I208,$L208,$O208,$R208),"")</f>
        <v/>
      </c>
      <c r="AN208" s="458" t="str">
        <f>IF(AND($G208='Povolené hodnoty'!$B$13,$H208=AN$4),SUM($I208,$L208,$O208,$R208),"")</f>
        <v/>
      </c>
      <c r="AO208" s="458" t="str">
        <f>IF(AND($G208='Povolené hodnoty'!$B$13,$H208=AO$4),SUM($I208,$L208,$O208,$R208),"")</f>
        <v/>
      </c>
      <c r="AP208" s="458" t="str">
        <f>IF(AND($G208='Povolené hodnoty'!$B$13,$H208=AP$4),SUM($I208,$L208,$O208,$R208),"")</f>
        <v/>
      </c>
      <c r="AQ208" s="40" t="str">
        <f>IF(AND($G208='Povolené hodnoty'!$B$13,OR($H208=AQ$4,$H208='Povolené hodnoty'!$E$36)),SUM($I208,-$J208,$L208,-$M208,$O208,-$P208,$R208,-$S208),"")</f>
        <v/>
      </c>
      <c r="AR208" s="40" t="str">
        <f>IF(AND($G208='Povolené hodnoty'!$B$13,$H208=AR$4),SUM($I208,$L208,$O208,$R208),"")</f>
        <v/>
      </c>
      <c r="AS208" s="41" t="str">
        <f>IF(AND($G208='Povolené hodnoty'!$B$13,$H208=AS$4),SUM($I208,$L208,$O208,$R208),"")</f>
        <v/>
      </c>
      <c r="AT208" s="39" t="str">
        <f>IF(AND($G208='Povolené hodnoty'!$B$14,$H208=AT$4),SUM($I208,$L208,$O208,$R208),"")</f>
        <v/>
      </c>
      <c r="AU208" s="458" t="str">
        <f>IF(AND($G208='Povolené hodnoty'!$B$14,$H208=AU$4),SUM($I208,$L208,$O208,$R208),"")</f>
        <v/>
      </c>
      <c r="AV208" s="41" t="str">
        <f>IF(AND($G208='Povolené hodnoty'!$B$14,$H208=AV$4),SUM($I208,$L208,$O208,$R208),"")</f>
        <v/>
      </c>
      <c r="AW208" s="39" t="str">
        <f>IF(AND($G208='Povolené hodnoty'!$B$13,$H208=AW$4),SUM($J208,$M208,$P208,$S208),"")</f>
        <v/>
      </c>
      <c r="AX208" s="458" t="str">
        <f>IF(AND($G208='Povolené hodnoty'!$B$13,$H208=AX$4),SUM($J208,$M208,$P208,$S208),"")</f>
        <v/>
      </c>
      <c r="AY208" s="458" t="str">
        <f>IF(AND($G208='Povolené hodnoty'!$B$13,$H208=AY$4),SUM($J208,$M208,$P208,$S208),"")</f>
        <v/>
      </c>
      <c r="AZ208" s="458" t="str">
        <f>IF(AND($G208='Povolené hodnoty'!$B$13,$H208=AZ$4),SUM($J208,$M208,$P208,$S208),"")</f>
        <v/>
      </c>
      <c r="BA208" s="458" t="str">
        <f>IF(AND($G208='Povolené hodnoty'!$B$13,$H208=BA$4),SUM($J208,$M208,$P208,$S208),"")</f>
        <v/>
      </c>
      <c r="BB208" s="40" t="str">
        <f>IF(AND($G208='Povolené hodnoty'!$B$13,$H208=BB$4),SUM($J208,$M208,$P208,$S208),"")</f>
        <v/>
      </c>
      <c r="BC208" s="40" t="str">
        <f>IF(AND($G208='Povolené hodnoty'!$B$13,$H208=BC$4),SUM($J208,$M208,$P208,$S208),"")</f>
        <v/>
      </c>
      <c r="BD208" s="40" t="str">
        <f>IF(AND($G208='Povolené hodnoty'!$B$13,$H208=BD$4),SUM($J208,$M208,$P208,$S208),"")</f>
        <v/>
      </c>
      <c r="BE208" s="41" t="str">
        <f>IF(AND($G208='Povolené hodnoty'!$B$13,$H208=BE$4),SUM($J208,$M208,$P208,$S208),"")</f>
        <v/>
      </c>
      <c r="BF208" s="39" t="str">
        <f>IF(AND($G208='Povolené hodnoty'!$B$14,$H208=BF$4),SUM($J208,$M208,$P208,$S208),"")</f>
        <v/>
      </c>
      <c r="BG208" s="458" t="str">
        <f>IF(AND($G208='Povolené hodnoty'!$B$14,$H208=BG$4),SUM($J208,$M208,$P208,$S208),"")</f>
        <v/>
      </c>
      <c r="BH208" s="458" t="str">
        <f>IF(AND($G208='Povolené hodnoty'!$B$14,$H208=BH$4),SUM($J208,$M208,$P208,$S208),"")</f>
        <v/>
      </c>
      <c r="BI208" s="458" t="str">
        <f>IF(AND($G208='Povolené hodnoty'!$B$14,$H208=BI$4),SUM($J208,$M208,$P208,$S208),"")</f>
        <v/>
      </c>
      <c r="BJ208" s="458" t="str">
        <f>IF(AND($G208='Povolené hodnoty'!$B$14,$H208=BJ$4),SUM($J208,$M208,$P208,$S208),"")</f>
        <v/>
      </c>
      <c r="BK208" s="40" t="str">
        <f>IF(AND($G208='Povolené hodnoty'!$B$14,$H208=BK$4),SUM($J208,$M208,$P208,$S208),"")</f>
        <v/>
      </c>
      <c r="BL208" s="40" t="str">
        <f>IF(AND($G208='Povolené hodnoty'!$B$14,$H208=BL$4),SUM($J208,$M208,$P208,$S208),"")</f>
        <v/>
      </c>
      <c r="BM208" s="41" t="str">
        <f>IF(AND($G208='Povolené hodnoty'!$B$14,$H208=BM$4),SUM($J208,$M208,$P208,$S208),"")</f>
        <v/>
      </c>
      <c r="BO208" s="18" t="b">
        <f t="shared" si="141"/>
        <v>0</v>
      </c>
      <c r="BP208" s="18" t="b">
        <f t="shared" si="112"/>
        <v>0</v>
      </c>
      <c r="BQ208" s="18" t="b">
        <f>AND(E208&lt;&gt;'Povolené hodnoty'!$B$6,F208&lt;&gt;'Povolené hodnoty'!$D$7,F208&lt;&gt;'Povolené hodnoty'!$D$8,OR(SUM(I208,L208,O208,R208)&lt;&gt;SUM(W208:X208,AA208:AG208),SUM(J208,M208,P208,S208)&lt;&gt;SUM(Y208:Z208,AH208:AK208),COUNT(I208:J208,L208:M208,O208:P208,R208:S208)&lt;&gt;COUNT(W208:AK208)))</f>
        <v>0</v>
      </c>
      <c r="BR208" s="18" t="b">
        <f>OR(AND(E208='Povolené hodnoty'!$B$6,$BR$5),AND(E208='Povolené hodnoty'!$B$6,H208&lt;&gt;'Povolené hodnoty'!$E$26,H208&lt;&gt;'Povolené hodnoty'!$E$35),AND(E208&lt;&gt;'Povolené hodnoty'!$B$6,OR(H208='Povolené hodnoty'!$E$26,H208='Povolené hodnoty'!$E$35)))</f>
        <v>0</v>
      </c>
      <c r="BS208" s="18" t="b">
        <f>OR(AND(G208&lt;&gt;'Povolené hodnoty'!$B$13,OR(H208='Povolené hodnoty'!$E$21,H208='Povolené hodnoty'!$E$22,H208='Povolené hodnoty'!$E$23,H208='Povolené hodnoty'!$E$24,H208='Povolené hodnoty'!$E$26,H208='Povolené hodnoty'!$E$36)),COUNT(I208:J208,L208:M208,O208:P208,R208:S208)&lt;&gt;COUNT(AL208:BM208))</f>
        <v>0</v>
      </c>
      <c r="BT208" s="18" t="b">
        <f t="shared" si="113"/>
        <v>0</v>
      </c>
      <c r="BV208" s="39" t="str">
        <f t="shared" si="114"/>
        <v/>
      </c>
      <c r="BW208" s="458" t="str">
        <f t="shared" si="115"/>
        <v/>
      </c>
      <c r="BX208" s="458" t="str">
        <f t="shared" si="116"/>
        <v/>
      </c>
      <c r="BY208" s="458" t="str">
        <f t="shared" si="117"/>
        <v/>
      </c>
      <c r="BZ208" s="458" t="str">
        <f t="shared" si="118"/>
        <v/>
      </c>
      <c r="CA208" s="40" t="str">
        <f t="shared" si="119"/>
        <v/>
      </c>
      <c r="CB208" s="40" t="str">
        <f t="shared" si="120"/>
        <v/>
      </c>
      <c r="CC208" s="39" t="str">
        <f t="shared" si="121"/>
        <v/>
      </c>
      <c r="CD208" s="458" t="str">
        <f t="shared" si="122"/>
        <v/>
      </c>
      <c r="CE208" s="41" t="str">
        <f t="shared" si="123"/>
        <v/>
      </c>
      <c r="CF208" s="39" t="str">
        <f t="shared" si="124"/>
        <v/>
      </c>
      <c r="CG208" s="458" t="str">
        <f t="shared" si="125"/>
        <v/>
      </c>
      <c r="CH208" s="458" t="str">
        <f t="shared" si="126"/>
        <v/>
      </c>
      <c r="CI208" s="458" t="str">
        <f t="shared" si="127"/>
        <v/>
      </c>
      <c r="CJ208" s="458" t="str">
        <f t="shared" si="128"/>
        <v/>
      </c>
      <c r="CK208" s="40" t="str">
        <f t="shared" si="129"/>
        <v/>
      </c>
      <c r="CL208" s="40" t="str">
        <f t="shared" si="130"/>
        <v/>
      </c>
      <c r="CM208" s="40" t="str">
        <f t="shared" si="131"/>
        <v/>
      </c>
      <c r="CN208" s="39" t="str">
        <f t="shared" si="132"/>
        <v/>
      </c>
      <c r="CO208" s="458" t="str">
        <f t="shared" si="133"/>
        <v/>
      </c>
      <c r="CP208" s="458" t="str">
        <f t="shared" si="134"/>
        <v/>
      </c>
      <c r="CQ208" s="458" t="str">
        <f t="shared" si="135"/>
        <v/>
      </c>
      <c r="CR208" s="458" t="str">
        <f t="shared" si="136"/>
        <v/>
      </c>
      <c r="CS208" s="40" t="str">
        <f t="shared" si="137"/>
        <v/>
      </c>
      <c r="CT208" s="40" t="str">
        <f t="shared" si="138"/>
        <v/>
      </c>
      <c r="CU208" s="41" t="str">
        <f t="shared" si="139"/>
        <v/>
      </c>
    </row>
    <row r="209" spans="1:99" x14ac:dyDescent="0.2">
      <c r="A209" s="77">
        <f t="shared" si="140"/>
        <v>204</v>
      </c>
      <c r="B209" s="81"/>
      <c r="C209" s="82"/>
      <c r="D209" s="71"/>
      <c r="E209" s="72"/>
      <c r="F209" s="73"/>
      <c r="G209" s="443"/>
      <c r="H209" s="443"/>
      <c r="I209" s="74"/>
      <c r="J209" s="75"/>
      <c r="K209" s="41">
        <f t="shared" si="109"/>
        <v>3625</v>
      </c>
      <c r="L209" s="104"/>
      <c r="M209" s="105"/>
      <c r="N209" s="106">
        <f t="shared" si="110"/>
        <v>537.05999999999995</v>
      </c>
      <c r="O209" s="104"/>
      <c r="P209" s="105"/>
      <c r="Q209" s="106">
        <f t="shared" si="142"/>
        <v>10045.83</v>
      </c>
      <c r="R209" s="104"/>
      <c r="S209" s="105"/>
      <c r="T209" s="106">
        <f t="shared" si="143"/>
        <v>0</v>
      </c>
      <c r="U209" s="439"/>
      <c r="V209" s="42">
        <f t="shared" si="111"/>
        <v>204</v>
      </c>
      <c r="W209" s="39" t="str">
        <f>IF(AND(E209='Povolené hodnoty'!$B$4,F209=2),I209+L209+O209+R209,"")</f>
        <v/>
      </c>
      <c r="X209" s="41" t="str">
        <f>IF(AND(E209='Povolené hodnoty'!$B$4,F209=1),I209+L209+O209+R209,"")</f>
        <v/>
      </c>
      <c r="Y209" s="39" t="str">
        <f>IF(AND(E209='Povolené hodnoty'!$B$4,F209=10),J209+M209+P209+S209,"")</f>
        <v/>
      </c>
      <c r="Z209" s="41" t="str">
        <f>IF(AND(E209='Povolené hodnoty'!$B$4,F209=9),J209+M209+P209+S209,"")</f>
        <v/>
      </c>
      <c r="AA209" s="39" t="str">
        <f>IF(AND(E209&lt;&gt;'Povolené hodnoty'!$B$4,F209=2),I209+L209+O209+R209,"")</f>
        <v/>
      </c>
      <c r="AB209" s="40" t="str">
        <f>IF(AND(E209&lt;&gt;'Povolené hodnoty'!$B$4,F209=3),I209+L209+O209+R209,"")</f>
        <v/>
      </c>
      <c r="AC209" s="40" t="str">
        <f>IF(AND(E209&lt;&gt;'Povolené hodnoty'!$B$4,F209=4),I209+L209+O209+R209,"")</f>
        <v/>
      </c>
      <c r="AD209" s="40" t="str">
        <f>IF(AND(E209&lt;&gt;'Povolené hodnoty'!$B$4,F209="5a"),I209-J209+L209-M209+O209-P209+R209-S209,"")</f>
        <v/>
      </c>
      <c r="AE209" s="40" t="str">
        <f>IF(AND(E209&lt;&gt;'Povolené hodnoty'!$B$4,F209="5b"),I209-J209+L209-M209+O209-P209+R209-S209,"")</f>
        <v/>
      </c>
      <c r="AF209" s="40" t="str">
        <f>IF(AND(E209&lt;&gt;'Povolené hodnoty'!$B$4,F209=6),I209+L209+O209+R209,"")</f>
        <v/>
      </c>
      <c r="AG209" s="41" t="str">
        <f>IF(AND(E209&lt;&gt;'Povolené hodnoty'!$B$4,F209=7),I209+L209+O209+R209,"")</f>
        <v/>
      </c>
      <c r="AH209" s="39" t="str">
        <f>IF(AND(E209&lt;&gt;'Povolené hodnoty'!$B$4,F209=10),J209+M209+P209+S209,"")</f>
        <v/>
      </c>
      <c r="AI209" s="40" t="str">
        <f>IF(AND(E209&lt;&gt;'Povolené hodnoty'!$B$4,F209=11),J209+M209+P209+S209,"")</f>
        <v/>
      </c>
      <c r="AJ209" s="40" t="str">
        <f>IF(AND(E209&lt;&gt;'Povolené hodnoty'!$B$4,F209=12),J209+M209+P209+S209,"")</f>
        <v/>
      </c>
      <c r="AK209" s="41" t="str">
        <f>IF(AND(E209&lt;&gt;'Povolené hodnoty'!$B$4,F209=13),J209+M209+P209+S209,"")</f>
        <v/>
      </c>
      <c r="AL209" s="39" t="str">
        <f>IF(AND($G209='Povolené hodnoty'!$B$13,$H209=AL$4),SUM($I209,$L209,$O209,$R209),"")</f>
        <v/>
      </c>
      <c r="AM209" s="458" t="str">
        <f>IF(AND($G209='Povolené hodnoty'!$B$13,$H209=AM$4),SUM($I209,$L209,$O209,$R209),"")</f>
        <v/>
      </c>
      <c r="AN209" s="458" t="str">
        <f>IF(AND($G209='Povolené hodnoty'!$B$13,$H209=AN$4),SUM($I209,$L209,$O209,$R209),"")</f>
        <v/>
      </c>
      <c r="AO209" s="458" t="str">
        <f>IF(AND($G209='Povolené hodnoty'!$B$13,$H209=AO$4),SUM($I209,$L209,$O209,$R209),"")</f>
        <v/>
      </c>
      <c r="AP209" s="458" t="str">
        <f>IF(AND($G209='Povolené hodnoty'!$B$13,$H209=AP$4),SUM($I209,$L209,$O209,$R209),"")</f>
        <v/>
      </c>
      <c r="AQ209" s="40" t="str">
        <f>IF(AND($G209='Povolené hodnoty'!$B$13,OR($H209=AQ$4,$H209='Povolené hodnoty'!$E$36)),SUM($I209,-$J209,$L209,-$M209,$O209,-$P209,$R209,-$S209),"")</f>
        <v/>
      </c>
      <c r="AR209" s="40" t="str">
        <f>IF(AND($G209='Povolené hodnoty'!$B$13,$H209=AR$4),SUM($I209,$L209,$O209,$R209),"")</f>
        <v/>
      </c>
      <c r="AS209" s="41" t="str">
        <f>IF(AND($G209='Povolené hodnoty'!$B$13,$H209=AS$4),SUM($I209,$L209,$O209,$R209),"")</f>
        <v/>
      </c>
      <c r="AT209" s="39" t="str">
        <f>IF(AND($G209='Povolené hodnoty'!$B$14,$H209=AT$4),SUM($I209,$L209,$O209,$R209),"")</f>
        <v/>
      </c>
      <c r="AU209" s="458" t="str">
        <f>IF(AND($G209='Povolené hodnoty'!$B$14,$H209=AU$4),SUM($I209,$L209,$O209,$R209),"")</f>
        <v/>
      </c>
      <c r="AV209" s="41" t="str">
        <f>IF(AND($G209='Povolené hodnoty'!$B$14,$H209=AV$4),SUM($I209,$L209,$O209,$R209),"")</f>
        <v/>
      </c>
      <c r="AW209" s="39" t="str">
        <f>IF(AND($G209='Povolené hodnoty'!$B$13,$H209=AW$4),SUM($J209,$M209,$P209,$S209),"")</f>
        <v/>
      </c>
      <c r="AX209" s="458" t="str">
        <f>IF(AND($G209='Povolené hodnoty'!$B$13,$H209=AX$4),SUM($J209,$M209,$P209,$S209),"")</f>
        <v/>
      </c>
      <c r="AY209" s="458" t="str">
        <f>IF(AND($G209='Povolené hodnoty'!$B$13,$H209=AY$4),SUM($J209,$M209,$P209,$S209),"")</f>
        <v/>
      </c>
      <c r="AZ209" s="458" t="str">
        <f>IF(AND($G209='Povolené hodnoty'!$B$13,$H209=AZ$4),SUM($J209,$M209,$P209,$S209),"")</f>
        <v/>
      </c>
      <c r="BA209" s="458" t="str">
        <f>IF(AND($G209='Povolené hodnoty'!$B$13,$H209=BA$4),SUM($J209,$M209,$P209,$S209),"")</f>
        <v/>
      </c>
      <c r="BB209" s="40" t="str">
        <f>IF(AND($G209='Povolené hodnoty'!$B$13,$H209=BB$4),SUM($J209,$M209,$P209,$S209),"")</f>
        <v/>
      </c>
      <c r="BC209" s="40" t="str">
        <f>IF(AND($G209='Povolené hodnoty'!$B$13,$H209=BC$4),SUM($J209,$M209,$P209,$S209),"")</f>
        <v/>
      </c>
      <c r="BD209" s="40" t="str">
        <f>IF(AND($G209='Povolené hodnoty'!$B$13,$H209=BD$4),SUM($J209,$M209,$P209,$S209),"")</f>
        <v/>
      </c>
      <c r="BE209" s="41" t="str">
        <f>IF(AND($G209='Povolené hodnoty'!$B$13,$H209=BE$4),SUM($J209,$M209,$P209,$S209),"")</f>
        <v/>
      </c>
      <c r="BF209" s="39" t="str">
        <f>IF(AND($G209='Povolené hodnoty'!$B$14,$H209=BF$4),SUM($J209,$M209,$P209,$S209),"")</f>
        <v/>
      </c>
      <c r="BG209" s="458" t="str">
        <f>IF(AND($G209='Povolené hodnoty'!$B$14,$H209=BG$4),SUM($J209,$M209,$P209,$S209),"")</f>
        <v/>
      </c>
      <c r="BH209" s="458" t="str">
        <f>IF(AND($G209='Povolené hodnoty'!$B$14,$H209=BH$4),SUM($J209,$M209,$P209,$S209),"")</f>
        <v/>
      </c>
      <c r="BI209" s="458" t="str">
        <f>IF(AND($G209='Povolené hodnoty'!$B$14,$H209=BI$4),SUM($J209,$M209,$P209,$S209),"")</f>
        <v/>
      </c>
      <c r="BJ209" s="458" t="str">
        <f>IF(AND($G209='Povolené hodnoty'!$B$14,$H209=BJ$4),SUM($J209,$M209,$P209,$S209),"")</f>
        <v/>
      </c>
      <c r="BK209" s="40" t="str">
        <f>IF(AND($G209='Povolené hodnoty'!$B$14,$H209=BK$4),SUM($J209,$M209,$P209,$S209),"")</f>
        <v/>
      </c>
      <c r="BL209" s="40" t="str">
        <f>IF(AND($G209='Povolené hodnoty'!$B$14,$H209=BL$4),SUM($J209,$M209,$P209,$S209),"")</f>
        <v/>
      </c>
      <c r="BM209" s="41" t="str">
        <f>IF(AND($G209='Povolené hodnoty'!$B$14,$H209=BM$4),SUM($J209,$M209,$P209,$S209),"")</f>
        <v/>
      </c>
      <c r="BO209" s="18" t="b">
        <f t="shared" si="141"/>
        <v>0</v>
      </c>
      <c r="BP209" s="18" t="b">
        <f t="shared" si="112"/>
        <v>0</v>
      </c>
      <c r="BQ209" s="18" t="b">
        <f>AND(E209&lt;&gt;'Povolené hodnoty'!$B$6,F209&lt;&gt;'Povolené hodnoty'!$D$7,F209&lt;&gt;'Povolené hodnoty'!$D$8,OR(SUM(I209,L209,O209,R209)&lt;&gt;SUM(W209:X209,AA209:AG209),SUM(J209,M209,P209,S209)&lt;&gt;SUM(Y209:Z209,AH209:AK209),COUNT(I209:J209,L209:M209,O209:P209,R209:S209)&lt;&gt;COUNT(W209:AK209)))</f>
        <v>0</v>
      </c>
      <c r="BR209" s="18" t="b">
        <f>OR(AND(E209='Povolené hodnoty'!$B$6,$BR$5),AND(E209='Povolené hodnoty'!$B$6,H209&lt;&gt;'Povolené hodnoty'!$E$26,H209&lt;&gt;'Povolené hodnoty'!$E$35),AND(E209&lt;&gt;'Povolené hodnoty'!$B$6,OR(H209='Povolené hodnoty'!$E$26,H209='Povolené hodnoty'!$E$35)))</f>
        <v>0</v>
      </c>
      <c r="BS209" s="18" t="b">
        <f>OR(AND(G209&lt;&gt;'Povolené hodnoty'!$B$13,OR(H209='Povolené hodnoty'!$E$21,H209='Povolené hodnoty'!$E$22,H209='Povolené hodnoty'!$E$23,H209='Povolené hodnoty'!$E$24,H209='Povolené hodnoty'!$E$26,H209='Povolené hodnoty'!$E$36)),COUNT(I209:J209,L209:M209,O209:P209,R209:S209)&lt;&gt;COUNT(AL209:BM209))</f>
        <v>0</v>
      </c>
      <c r="BT209" s="18" t="b">
        <f t="shared" si="113"/>
        <v>0</v>
      </c>
      <c r="BV209" s="39" t="str">
        <f t="shared" si="114"/>
        <v/>
      </c>
      <c r="BW209" s="458" t="str">
        <f t="shared" si="115"/>
        <v/>
      </c>
      <c r="BX209" s="458" t="str">
        <f t="shared" si="116"/>
        <v/>
      </c>
      <c r="BY209" s="458" t="str">
        <f t="shared" si="117"/>
        <v/>
      </c>
      <c r="BZ209" s="458" t="str">
        <f t="shared" si="118"/>
        <v/>
      </c>
      <c r="CA209" s="40" t="str">
        <f t="shared" si="119"/>
        <v/>
      </c>
      <c r="CB209" s="40" t="str">
        <f t="shared" si="120"/>
        <v/>
      </c>
      <c r="CC209" s="39" t="str">
        <f t="shared" si="121"/>
        <v/>
      </c>
      <c r="CD209" s="458" t="str">
        <f t="shared" si="122"/>
        <v/>
      </c>
      <c r="CE209" s="41" t="str">
        <f t="shared" si="123"/>
        <v/>
      </c>
      <c r="CF209" s="39" t="str">
        <f t="shared" si="124"/>
        <v/>
      </c>
      <c r="CG209" s="458" t="str">
        <f t="shared" si="125"/>
        <v/>
      </c>
      <c r="CH209" s="458" t="str">
        <f t="shared" si="126"/>
        <v/>
      </c>
      <c r="CI209" s="458" t="str">
        <f t="shared" si="127"/>
        <v/>
      </c>
      <c r="CJ209" s="458" t="str">
        <f t="shared" si="128"/>
        <v/>
      </c>
      <c r="CK209" s="40" t="str">
        <f t="shared" si="129"/>
        <v/>
      </c>
      <c r="CL209" s="40" t="str">
        <f t="shared" si="130"/>
        <v/>
      </c>
      <c r="CM209" s="40" t="str">
        <f t="shared" si="131"/>
        <v/>
      </c>
      <c r="CN209" s="39" t="str">
        <f t="shared" si="132"/>
        <v/>
      </c>
      <c r="CO209" s="458" t="str">
        <f t="shared" si="133"/>
        <v/>
      </c>
      <c r="CP209" s="458" t="str">
        <f t="shared" si="134"/>
        <v/>
      </c>
      <c r="CQ209" s="458" t="str">
        <f t="shared" si="135"/>
        <v/>
      </c>
      <c r="CR209" s="458" t="str">
        <f t="shared" si="136"/>
        <v/>
      </c>
      <c r="CS209" s="40" t="str">
        <f t="shared" si="137"/>
        <v/>
      </c>
      <c r="CT209" s="40" t="str">
        <f t="shared" si="138"/>
        <v/>
      </c>
      <c r="CU209" s="41" t="str">
        <f t="shared" si="139"/>
        <v/>
      </c>
    </row>
    <row r="210" spans="1:99" x14ac:dyDescent="0.2">
      <c r="A210" s="77">
        <f t="shared" si="140"/>
        <v>205</v>
      </c>
      <c r="B210" s="81"/>
      <c r="C210" s="82"/>
      <c r="D210" s="71"/>
      <c r="E210" s="72"/>
      <c r="F210" s="73"/>
      <c r="G210" s="443"/>
      <c r="H210" s="443"/>
      <c r="I210" s="74"/>
      <c r="J210" s="75"/>
      <c r="K210" s="41">
        <f t="shared" si="109"/>
        <v>3625</v>
      </c>
      <c r="L210" s="104"/>
      <c r="M210" s="105"/>
      <c r="N210" s="106">
        <f t="shared" si="110"/>
        <v>537.05999999999995</v>
      </c>
      <c r="O210" s="104"/>
      <c r="P210" s="105"/>
      <c r="Q210" s="106">
        <f t="shared" si="142"/>
        <v>10045.83</v>
      </c>
      <c r="R210" s="104"/>
      <c r="S210" s="105"/>
      <c r="T210" s="106">
        <f t="shared" si="143"/>
        <v>0</v>
      </c>
      <c r="U210" s="439"/>
      <c r="V210" s="42">
        <f t="shared" si="111"/>
        <v>205</v>
      </c>
      <c r="W210" s="39" t="str">
        <f>IF(AND(E210='Povolené hodnoty'!$B$4,F210=2),I210+L210+O210+R210,"")</f>
        <v/>
      </c>
      <c r="X210" s="41" t="str">
        <f>IF(AND(E210='Povolené hodnoty'!$B$4,F210=1),I210+L210+O210+R210,"")</f>
        <v/>
      </c>
      <c r="Y210" s="39" t="str">
        <f>IF(AND(E210='Povolené hodnoty'!$B$4,F210=10),J210+M210+P210+S210,"")</f>
        <v/>
      </c>
      <c r="Z210" s="41" t="str">
        <f>IF(AND(E210='Povolené hodnoty'!$B$4,F210=9),J210+M210+P210+S210,"")</f>
        <v/>
      </c>
      <c r="AA210" s="39" t="str">
        <f>IF(AND(E210&lt;&gt;'Povolené hodnoty'!$B$4,F210=2),I210+L210+O210+R210,"")</f>
        <v/>
      </c>
      <c r="AB210" s="40" t="str">
        <f>IF(AND(E210&lt;&gt;'Povolené hodnoty'!$B$4,F210=3),I210+L210+O210+R210,"")</f>
        <v/>
      </c>
      <c r="AC210" s="40" t="str">
        <f>IF(AND(E210&lt;&gt;'Povolené hodnoty'!$B$4,F210=4),I210+L210+O210+R210,"")</f>
        <v/>
      </c>
      <c r="AD210" s="40" t="str">
        <f>IF(AND(E210&lt;&gt;'Povolené hodnoty'!$B$4,F210="5a"),I210-J210+L210-M210+O210-P210+R210-S210,"")</f>
        <v/>
      </c>
      <c r="AE210" s="40" t="str">
        <f>IF(AND(E210&lt;&gt;'Povolené hodnoty'!$B$4,F210="5b"),I210-J210+L210-M210+O210-P210+R210-S210,"")</f>
        <v/>
      </c>
      <c r="AF210" s="40" t="str">
        <f>IF(AND(E210&lt;&gt;'Povolené hodnoty'!$B$4,F210=6),I210+L210+O210+R210,"")</f>
        <v/>
      </c>
      <c r="AG210" s="41" t="str">
        <f>IF(AND(E210&lt;&gt;'Povolené hodnoty'!$B$4,F210=7),I210+L210+O210+R210,"")</f>
        <v/>
      </c>
      <c r="AH210" s="39" t="str">
        <f>IF(AND(E210&lt;&gt;'Povolené hodnoty'!$B$4,F210=10),J210+M210+P210+S210,"")</f>
        <v/>
      </c>
      <c r="AI210" s="40" t="str">
        <f>IF(AND(E210&lt;&gt;'Povolené hodnoty'!$B$4,F210=11),J210+M210+P210+S210,"")</f>
        <v/>
      </c>
      <c r="AJ210" s="40" t="str">
        <f>IF(AND(E210&lt;&gt;'Povolené hodnoty'!$B$4,F210=12),J210+M210+P210+S210,"")</f>
        <v/>
      </c>
      <c r="AK210" s="41" t="str">
        <f>IF(AND(E210&lt;&gt;'Povolené hodnoty'!$B$4,F210=13),J210+M210+P210+S210,"")</f>
        <v/>
      </c>
      <c r="AL210" s="39" t="str">
        <f>IF(AND($G210='Povolené hodnoty'!$B$13,$H210=AL$4),SUM($I210,$L210,$O210,$R210),"")</f>
        <v/>
      </c>
      <c r="AM210" s="458" t="str">
        <f>IF(AND($G210='Povolené hodnoty'!$B$13,$H210=AM$4),SUM($I210,$L210,$O210,$R210),"")</f>
        <v/>
      </c>
      <c r="AN210" s="458" t="str">
        <f>IF(AND($G210='Povolené hodnoty'!$B$13,$H210=AN$4),SUM($I210,$L210,$O210,$R210),"")</f>
        <v/>
      </c>
      <c r="AO210" s="458" t="str">
        <f>IF(AND($G210='Povolené hodnoty'!$B$13,$H210=AO$4),SUM($I210,$L210,$O210,$R210),"")</f>
        <v/>
      </c>
      <c r="AP210" s="458" t="str">
        <f>IF(AND($G210='Povolené hodnoty'!$B$13,$H210=AP$4),SUM($I210,$L210,$O210,$R210),"")</f>
        <v/>
      </c>
      <c r="AQ210" s="40" t="str">
        <f>IF(AND($G210='Povolené hodnoty'!$B$13,OR($H210=AQ$4,$H210='Povolené hodnoty'!$E$36)),SUM($I210,-$J210,$L210,-$M210,$O210,-$P210,$R210,-$S210),"")</f>
        <v/>
      </c>
      <c r="AR210" s="40" t="str">
        <f>IF(AND($G210='Povolené hodnoty'!$B$13,$H210=AR$4),SUM($I210,$L210,$O210,$R210),"")</f>
        <v/>
      </c>
      <c r="AS210" s="41" t="str">
        <f>IF(AND($G210='Povolené hodnoty'!$B$13,$H210=AS$4),SUM($I210,$L210,$O210,$R210),"")</f>
        <v/>
      </c>
      <c r="AT210" s="39" t="str">
        <f>IF(AND($G210='Povolené hodnoty'!$B$14,$H210=AT$4),SUM($I210,$L210,$O210,$R210),"")</f>
        <v/>
      </c>
      <c r="AU210" s="458" t="str">
        <f>IF(AND($G210='Povolené hodnoty'!$B$14,$H210=AU$4),SUM($I210,$L210,$O210,$R210),"")</f>
        <v/>
      </c>
      <c r="AV210" s="41" t="str">
        <f>IF(AND($G210='Povolené hodnoty'!$B$14,$H210=AV$4),SUM($I210,$L210,$O210,$R210),"")</f>
        <v/>
      </c>
      <c r="AW210" s="39" t="str">
        <f>IF(AND($G210='Povolené hodnoty'!$B$13,$H210=AW$4),SUM($J210,$M210,$P210,$S210),"")</f>
        <v/>
      </c>
      <c r="AX210" s="458" t="str">
        <f>IF(AND($G210='Povolené hodnoty'!$B$13,$H210=AX$4),SUM($J210,$M210,$P210,$S210),"")</f>
        <v/>
      </c>
      <c r="AY210" s="458" t="str">
        <f>IF(AND($G210='Povolené hodnoty'!$B$13,$H210=AY$4),SUM($J210,$M210,$P210,$S210),"")</f>
        <v/>
      </c>
      <c r="AZ210" s="458" t="str">
        <f>IF(AND($G210='Povolené hodnoty'!$B$13,$H210=AZ$4),SUM($J210,$M210,$P210,$S210),"")</f>
        <v/>
      </c>
      <c r="BA210" s="458" t="str">
        <f>IF(AND($G210='Povolené hodnoty'!$B$13,$H210=BA$4),SUM($J210,$M210,$P210,$S210),"")</f>
        <v/>
      </c>
      <c r="BB210" s="40" t="str">
        <f>IF(AND($G210='Povolené hodnoty'!$B$13,$H210=BB$4),SUM($J210,$M210,$P210,$S210),"")</f>
        <v/>
      </c>
      <c r="BC210" s="40" t="str">
        <f>IF(AND($G210='Povolené hodnoty'!$B$13,$H210=BC$4),SUM($J210,$M210,$P210,$S210),"")</f>
        <v/>
      </c>
      <c r="BD210" s="40" t="str">
        <f>IF(AND($G210='Povolené hodnoty'!$B$13,$H210=BD$4),SUM($J210,$M210,$P210,$S210),"")</f>
        <v/>
      </c>
      <c r="BE210" s="41" t="str">
        <f>IF(AND($G210='Povolené hodnoty'!$B$13,$H210=BE$4),SUM($J210,$M210,$P210,$S210),"")</f>
        <v/>
      </c>
      <c r="BF210" s="39" t="str">
        <f>IF(AND($G210='Povolené hodnoty'!$B$14,$H210=BF$4),SUM($J210,$M210,$P210,$S210),"")</f>
        <v/>
      </c>
      <c r="BG210" s="458" t="str">
        <f>IF(AND($G210='Povolené hodnoty'!$B$14,$H210=BG$4),SUM($J210,$M210,$P210,$S210),"")</f>
        <v/>
      </c>
      <c r="BH210" s="458" t="str">
        <f>IF(AND($G210='Povolené hodnoty'!$B$14,$H210=BH$4),SUM($J210,$M210,$P210,$S210),"")</f>
        <v/>
      </c>
      <c r="BI210" s="458" t="str">
        <f>IF(AND($G210='Povolené hodnoty'!$B$14,$H210=BI$4),SUM($J210,$M210,$P210,$S210),"")</f>
        <v/>
      </c>
      <c r="BJ210" s="458" t="str">
        <f>IF(AND($G210='Povolené hodnoty'!$B$14,$H210=BJ$4),SUM($J210,$M210,$P210,$S210),"")</f>
        <v/>
      </c>
      <c r="BK210" s="40" t="str">
        <f>IF(AND($G210='Povolené hodnoty'!$B$14,$H210=BK$4),SUM($J210,$M210,$P210,$S210),"")</f>
        <v/>
      </c>
      <c r="BL210" s="40" t="str">
        <f>IF(AND($G210='Povolené hodnoty'!$B$14,$H210=BL$4),SUM($J210,$M210,$P210,$S210),"")</f>
        <v/>
      </c>
      <c r="BM210" s="41" t="str">
        <f>IF(AND($G210='Povolené hodnoty'!$B$14,$H210=BM$4),SUM($J210,$M210,$P210,$S210),"")</f>
        <v/>
      </c>
      <c r="BO210" s="18" t="b">
        <f t="shared" si="141"/>
        <v>0</v>
      </c>
      <c r="BP210" s="18" t="b">
        <f t="shared" si="112"/>
        <v>0</v>
      </c>
      <c r="BQ210" s="18" t="b">
        <f>AND(E210&lt;&gt;'Povolené hodnoty'!$B$6,F210&lt;&gt;'Povolené hodnoty'!$D$7,F210&lt;&gt;'Povolené hodnoty'!$D$8,OR(SUM(I210,L210,O210,R210)&lt;&gt;SUM(W210:X210,AA210:AG210),SUM(J210,M210,P210,S210)&lt;&gt;SUM(Y210:Z210,AH210:AK210),COUNT(I210:J210,L210:M210,O210:P210,R210:S210)&lt;&gt;COUNT(W210:AK210)))</f>
        <v>0</v>
      </c>
      <c r="BR210" s="18" t="b">
        <f>OR(AND(E210='Povolené hodnoty'!$B$6,$BR$5),AND(E210='Povolené hodnoty'!$B$6,H210&lt;&gt;'Povolené hodnoty'!$E$26,H210&lt;&gt;'Povolené hodnoty'!$E$35),AND(E210&lt;&gt;'Povolené hodnoty'!$B$6,OR(H210='Povolené hodnoty'!$E$26,H210='Povolené hodnoty'!$E$35)))</f>
        <v>0</v>
      </c>
      <c r="BS210" s="18" t="b">
        <f>OR(AND(G210&lt;&gt;'Povolené hodnoty'!$B$13,OR(H210='Povolené hodnoty'!$E$21,H210='Povolené hodnoty'!$E$22,H210='Povolené hodnoty'!$E$23,H210='Povolené hodnoty'!$E$24,H210='Povolené hodnoty'!$E$26,H210='Povolené hodnoty'!$E$36)),COUNT(I210:J210,L210:M210,O210:P210,R210:S210)&lt;&gt;COUNT(AL210:BM210))</f>
        <v>0</v>
      </c>
      <c r="BT210" s="18" t="b">
        <f t="shared" si="113"/>
        <v>0</v>
      </c>
      <c r="BV210" s="39" t="str">
        <f t="shared" si="114"/>
        <v/>
      </c>
      <c r="BW210" s="458" t="str">
        <f t="shared" si="115"/>
        <v/>
      </c>
      <c r="BX210" s="458" t="str">
        <f t="shared" si="116"/>
        <v/>
      </c>
      <c r="BY210" s="458" t="str">
        <f t="shared" si="117"/>
        <v/>
      </c>
      <c r="BZ210" s="458" t="str">
        <f t="shared" si="118"/>
        <v/>
      </c>
      <c r="CA210" s="40" t="str">
        <f t="shared" si="119"/>
        <v/>
      </c>
      <c r="CB210" s="40" t="str">
        <f t="shared" si="120"/>
        <v/>
      </c>
      <c r="CC210" s="39" t="str">
        <f t="shared" si="121"/>
        <v/>
      </c>
      <c r="CD210" s="458" t="str">
        <f t="shared" si="122"/>
        <v/>
      </c>
      <c r="CE210" s="41" t="str">
        <f t="shared" si="123"/>
        <v/>
      </c>
      <c r="CF210" s="39" t="str">
        <f t="shared" si="124"/>
        <v/>
      </c>
      <c r="CG210" s="458" t="str">
        <f t="shared" si="125"/>
        <v/>
      </c>
      <c r="CH210" s="458" t="str">
        <f t="shared" si="126"/>
        <v/>
      </c>
      <c r="CI210" s="458" t="str">
        <f t="shared" si="127"/>
        <v/>
      </c>
      <c r="CJ210" s="458" t="str">
        <f t="shared" si="128"/>
        <v/>
      </c>
      <c r="CK210" s="40" t="str">
        <f t="shared" si="129"/>
        <v/>
      </c>
      <c r="CL210" s="40" t="str">
        <f t="shared" si="130"/>
        <v/>
      </c>
      <c r="CM210" s="40" t="str">
        <f t="shared" si="131"/>
        <v/>
      </c>
      <c r="CN210" s="39" t="str">
        <f t="shared" si="132"/>
        <v/>
      </c>
      <c r="CO210" s="458" t="str">
        <f t="shared" si="133"/>
        <v/>
      </c>
      <c r="CP210" s="458" t="str">
        <f t="shared" si="134"/>
        <v/>
      </c>
      <c r="CQ210" s="458" t="str">
        <f t="shared" si="135"/>
        <v/>
      </c>
      <c r="CR210" s="458" t="str">
        <f t="shared" si="136"/>
        <v/>
      </c>
      <c r="CS210" s="40" t="str">
        <f t="shared" si="137"/>
        <v/>
      </c>
      <c r="CT210" s="40" t="str">
        <f t="shared" si="138"/>
        <v/>
      </c>
      <c r="CU210" s="41" t="str">
        <f t="shared" si="139"/>
        <v/>
      </c>
    </row>
    <row r="211" spans="1:99" x14ac:dyDescent="0.2">
      <c r="A211" s="77">
        <f t="shared" si="140"/>
        <v>206</v>
      </c>
      <c r="B211" s="81"/>
      <c r="C211" s="82"/>
      <c r="D211" s="71"/>
      <c r="E211" s="72"/>
      <c r="F211" s="73"/>
      <c r="G211" s="443"/>
      <c r="H211" s="443"/>
      <c r="I211" s="74"/>
      <c r="J211" s="75"/>
      <c r="K211" s="41">
        <f t="shared" si="109"/>
        <v>3625</v>
      </c>
      <c r="L211" s="104"/>
      <c r="M211" s="105"/>
      <c r="N211" s="106">
        <f t="shared" si="110"/>
        <v>537.05999999999995</v>
      </c>
      <c r="O211" s="104"/>
      <c r="P211" s="105"/>
      <c r="Q211" s="106">
        <f t="shared" si="142"/>
        <v>10045.83</v>
      </c>
      <c r="R211" s="104"/>
      <c r="S211" s="105"/>
      <c r="T211" s="106">
        <f t="shared" si="143"/>
        <v>0</v>
      </c>
      <c r="U211" s="439"/>
      <c r="V211" s="42">
        <f t="shared" si="111"/>
        <v>206</v>
      </c>
      <c r="W211" s="39" t="str">
        <f>IF(AND(E211='Povolené hodnoty'!$B$4,F211=2),I211+L211+O211+R211,"")</f>
        <v/>
      </c>
      <c r="X211" s="41" t="str">
        <f>IF(AND(E211='Povolené hodnoty'!$B$4,F211=1),I211+L211+O211+R211,"")</f>
        <v/>
      </c>
      <c r="Y211" s="39" t="str">
        <f>IF(AND(E211='Povolené hodnoty'!$B$4,F211=10),J211+M211+P211+S211,"")</f>
        <v/>
      </c>
      <c r="Z211" s="41" t="str">
        <f>IF(AND(E211='Povolené hodnoty'!$B$4,F211=9),J211+M211+P211+S211,"")</f>
        <v/>
      </c>
      <c r="AA211" s="39" t="str">
        <f>IF(AND(E211&lt;&gt;'Povolené hodnoty'!$B$4,F211=2),I211+L211+O211+R211,"")</f>
        <v/>
      </c>
      <c r="AB211" s="40" t="str">
        <f>IF(AND(E211&lt;&gt;'Povolené hodnoty'!$B$4,F211=3),I211+L211+O211+R211,"")</f>
        <v/>
      </c>
      <c r="AC211" s="40" t="str">
        <f>IF(AND(E211&lt;&gt;'Povolené hodnoty'!$B$4,F211=4),I211+L211+O211+R211,"")</f>
        <v/>
      </c>
      <c r="AD211" s="40" t="str">
        <f>IF(AND(E211&lt;&gt;'Povolené hodnoty'!$B$4,F211="5a"),I211-J211+L211-M211+O211-P211+R211-S211,"")</f>
        <v/>
      </c>
      <c r="AE211" s="40" t="str">
        <f>IF(AND(E211&lt;&gt;'Povolené hodnoty'!$B$4,F211="5b"),I211-J211+L211-M211+O211-P211+R211-S211,"")</f>
        <v/>
      </c>
      <c r="AF211" s="40" t="str">
        <f>IF(AND(E211&lt;&gt;'Povolené hodnoty'!$B$4,F211=6),I211+L211+O211+R211,"")</f>
        <v/>
      </c>
      <c r="AG211" s="41" t="str">
        <f>IF(AND(E211&lt;&gt;'Povolené hodnoty'!$B$4,F211=7),I211+L211+O211+R211,"")</f>
        <v/>
      </c>
      <c r="AH211" s="39" t="str">
        <f>IF(AND(E211&lt;&gt;'Povolené hodnoty'!$B$4,F211=10),J211+M211+P211+S211,"")</f>
        <v/>
      </c>
      <c r="AI211" s="40" t="str">
        <f>IF(AND(E211&lt;&gt;'Povolené hodnoty'!$B$4,F211=11),J211+M211+P211+S211,"")</f>
        <v/>
      </c>
      <c r="AJ211" s="40" t="str">
        <f>IF(AND(E211&lt;&gt;'Povolené hodnoty'!$B$4,F211=12),J211+M211+P211+S211,"")</f>
        <v/>
      </c>
      <c r="AK211" s="41" t="str">
        <f>IF(AND(E211&lt;&gt;'Povolené hodnoty'!$B$4,F211=13),J211+M211+P211+S211,"")</f>
        <v/>
      </c>
      <c r="AL211" s="39" t="str">
        <f>IF(AND($G211='Povolené hodnoty'!$B$13,$H211=AL$4),SUM($I211,$L211,$O211,$R211),"")</f>
        <v/>
      </c>
      <c r="AM211" s="458" t="str">
        <f>IF(AND($G211='Povolené hodnoty'!$B$13,$H211=AM$4),SUM($I211,$L211,$O211,$R211),"")</f>
        <v/>
      </c>
      <c r="AN211" s="458" t="str">
        <f>IF(AND($G211='Povolené hodnoty'!$B$13,$H211=AN$4),SUM($I211,$L211,$O211,$R211),"")</f>
        <v/>
      </c>
      <c r="AO211" s="458" t="str">
        <f>IF(AND($G211='Povolené hodnoty'!$B$13,$H211=AO$4),SUM($I211,$L211,$O211,$R211),"")</f>
        <v/>
      </c>
      <c r="AP211" s="458" t="str">
        <f>IF(AND($G211='Povolené hodnoty'!$B$13,$H211=AP$4),SUM($I211,$L211,$O211,$R211),"")</f>
        <v/>
      </c>
      <c r="AQ211" s="40" t="str">
        <f>IF(AND($G211='Povolené hodnoty'!$B$13,OR($H211=AQ$4,$H211='Povolené hodnoty'!$E$36)),SUM($I211,-$J211,$L211,-$M211,$O211,-$P211,$R211,-$S211),"")</f>
        <v/>
      </c>
      <c r="AR211" s="40" t="str">
        <f>IF(AND($G211='Povolené hodnoty'!$B$13,$H211=AR$4),SUM($I211,$L211,$O211,$R211),"")</f>
        <v/>
      </c>
      <c r="AS211" s="41" t="str">
        <f>IF(AND($G211='Povolené hodnoty'!$B$13,$H211=AS$4),SUM($I211,$L211,$O211,$R211),"")</f>
        <v/>
      </c>
      <c r="AT211" s="39" t="str">
        <f>IF(AND($G211='Povolené hodnoty'!$B$14,$H211=AT$4),SUM($I211,$L211,$O211,$R211),"")</f>
        <v/>
      </c>
      <c r="AU211" s="458" t="str">
        <f>IF(AND($G211='Povolené hodnoty'!$B$14,$H211=AU$4),SUM($I211,$L211,$O211,$R211),"")</f>
        <v/>
      </c>
      <c r="AV211" s="41" t="str">
        <f>IF(AND($G211='Povolené hodnoty'!$B$14,$H211=AV$4),SUM($I211,$L211,$O211,$R211),"")</f>
        <v/>
      </c>
      <c r="AW211" s="39" t="str">
        <f>IF(AND($G211='Povolené hodnoty'!$B$13,$H211=AW$4),SUM($J211,$M211,$P211,$S211),"")</f>
        <v/>
      </c>
      <c r="AX211" s="458" t="str">
        <f>IF(AND($G211='Povolené hodnoty'!$B$13,$H211=AX$4),SUM($J211,$M211,$P211,$S211),"")</f>
        <v/>
      </c>
      <c r="AY211" s="458" t="str">
        <f>IF(AND($G211='Povolené hodnoty'!$B$13,$H211=AY$4),SUM($J211,$M211,$P211,$S211),"")</f>
        <v/>
      </c>
      <c r="AZ211" s="458" t="str">
        <f>IF(AND($G211='Povolené hodnoty'!$B$13,$H211=AZ$4),SUM($J211,$M211,$P211,$S211),"")</f>
        <v/>
      </c>
      <c r="BA211" s="458" t="str">
        <f>IF(AND($G211='Povolené hodnoty'!$B$13,$H211=BA$4),SUM($J211,$M211,$P211,$S211),"")</f>
        <v/>
      </c>
      <c r="BB211" s="40" t="str">
        <f>IF(AND($G211='Povolené hodnoty'!$B$13,$H211=BB$4),SUM($J211,$M211,$P211,$S211),"")</f>
        <v/>
      </c>
      <c r="BC211" s="40" t="str">
        <f>IF(AND($G211='Povolené hodnoty'!$B$13,$H211=BC$4),SUM($J211,$M211,$P211,$S211),"")</f>
        <v/>
      </c>
      <c r="BD211" s="40" t="str">
        <f>IF(AND($G211='Povolené hodnoty'!$B$13,$H211=BD$4),SUM($J211,$M211,$P211,$S211),"")</f>
        <v/>
      </c>
      <c r="BE211" s="41" t="str">
        <f>IF(AND($G211='Povolené hodnoty'!$B$13,$H211=BE$4),SUM($J211,$M211,$P211,$S211),"")</f>
        <v/>
      </c>
      <c r="BF211" s="39" t="str">
        <f>IF(AND($G211='Povolené hodnoty'!$B$14,$H211=BF$4),SUM($J211,$M211,$P211,$S211),"")</f>
        <v/>
      </c>
      <c r="BG211" s="458" t="str">
        <f>IF(AND($G211='Povolené hodnoty'!$B$14,$H211=BG$4),SUM($J211,$M211,$P211,$S211),"")</f>
        <v/>
      </c>
      <c r="BH211" s="458" t="str">
        <f>IF(AND($G211='Povolené hodnoty'!$B$14,$H211=BH$4),SUM($J211,$M211,$P211,$S211),"")</f>
        <v/>
      </c>
      <c r="BI211" s="458" t="str">
        <f>IF(AND($G211='Povolené hodnoty'!$B$14,$H211=BI$4),SUM($J211,$M211,$P211,$S211),"")</f>
        <v/>
      </c>
      <c r="BJ211" s="458" t="str">
        <f>IF(AND($G211='Povolené hodnoty'!$B$14,$H211=BJ$4),SUM($J211,$M211,$P211,$S211),"")</f>
        <v/>
      </c>
      <c r="BK211" s="40" t="str">
        <f>IF(AND($G211='Povolené hodnoty'!$B$14,$H211=BK$4),SUM($J211,$M211,$P211,$S211),"")</f>
        <v/>
      </c>
      <c r="BL211" s="40" t="str">
        <f>IF(AND($G211='Povolené hodnoty'!$B$14,$H211=BL$4),SUM($J211,$M211,$P211,$S211),"")</f>
        <v/>
      </c>
      <c r="BM211" s="41" t="str">
        <f>IF(AND($G211='Povolené hodnoty'!$B$14,$H211=BM$4),SUM($J211,$M211,$P211,$S211),"")</f>
        <v/>
      </c>
      <c r="BO211" s="18" t="b">
        <f t="shared" si="141"/>
        <v>0</v>
      </c>
      <c r="BP211" s="18" t="b">
        <f t="shared" si="112"/>
        <v>0</v>
      </c>
      <c r="BQ211" s="18" t="b">
        <f>AND(E211&lt;&gt;'Povolené hodnoty'!$B$6,F211&lt;&gt;'Povolené hodnoty'!$D$7,F211&lt;&gt;'Povolené hodnoty'!$D$8,OR(SUM(I211,L211,O211,R211)&lt;&gt;SUM(W211:X211,AA211:AG211),SUM(J211,M211,P211,S211)&lt;&gt;SUM(Y211:Z211,AH211:AK211),COUNT(I211:J211,L211:M211,O211:P211,R211:S211)&lt;&gt;COUNT(W211:AK211)))</f>
        <v>0</v>
      </c>
      <c r="BR211" s="18" t="b">
        <f>OR(AND(E211='Povolené hodnoty'!$B$6,$BR$5),AND(E211='Povolené hodnoty'!$B$6,H211&lt;&gt;'Povolené hodnoty'!$E$26,H211&lt;&gt;'Povolené hodnoty'!$E$35),AND(E211&lt;&gt;'Povolené hodnoty'!$B$6,OR(H211='Povolené hodnoty'!$E$26,H211='Povolené hodnoty'!$E$35)))</f>
        <v>0</v>
      </c>
      <c r="BS211" s="18" t="b">
        <f>OR(AND(G211&lt;&gt;'Povolené hodnoty'!$B$13,OR(H211='Povolené hodnoty'!$E$21,H211='Povolené hodnoty'!$E$22,H211='Povolené hodnoty'!$E$23,H211='Povolené hodnoty'!$E$24,H211='Povolené hodnoty'!$E$26,H211='Povolené hodnoty'!$E$36)),COUNT(I211:J211,L211:M211,O211:P211,R211:S211)&lt;&gt;COUNT(AL211:BM211))</f>
        <v>0</v>
      </c>
      <c r="BT211" s="18" t="b">
        <f t="shared" si="113"/>
        <v>0</v>
      </c>
      <c r="BV211" s="39" t="str">
        <f t="shared" si="114"/>
        <v/>
      </c>
      <c r="BW211" s="458" t="str">
        <f t="shared" si="115"/>
        <v/>
      </c>
      <c r="BX211" s="458" t="str">
        <f t="shared" si="116"/>
        <v/>
      </c>
      <c r="BY211" s="458" t="str">
        <f t="shared" si="117"/>
        <v/>
      </c>
      <c r="BZ211" s="458" t="str">
        <f t="shared" si="118"/>
        <v/>
      </c>
      <c r="CA211" s="40" t="str">
        <f t="shared" si="119"/>
        <v/>
      </c>
      <c r="CB211" s="40" t="str">
        <f t="shared" si="120"/>
        <v/>
      </c>
      <c r="CC211" s="39" t="str">
        <f t="shared" si="121"/>
        <v/>
      </c>
      <c r="CD211" s="458" t="str">
        <f t="shared" si="122"/>
        <v/>
      </c>
      <c r="CE211" s="41" t="str">
        <f t="shared" si="123"/>
        <v/>
      </c>
      <c r="CF211" s="39" t="str">
        <f t="shared" si="124"/>
        <v/>
      </c>
      <c r="CG211" s="458" t="str">
        <f t="shared" si="125"/>
        <v/>
      </c>
      <c r="CH211" s="458" t="str">
        <f t="shared" si="126"/>
        <v/>
      </c>
      <c r="CI211" s="458" t="str">
        <f t="shared" si="127"/>
        <v/>
      </c>
      <c r="CJ211" s="458" t="str">
        <f t="shared" si="128"/>
        <v/>
      </c>
      <c r="CK211" s="40" t="str">
        <f t="shared" si="129"/>
        <v/>
      </c>
      <c r="CL211" s="40" t="str">
        <f t="shared" si="130"/>
        <v/>
      </c>
      <c r="CM211" s="40" t="str">
        <f t="shared" si="131"/>
        <v/>
      </c>
      <c r="CN211" s="39" t="str">
        <f t="shared" si="132"/>
        <v/>
      </c>
      <c r="CO211" s="458" t="str">
        <f t="shared" si="133"/>
        <v/>
      </c>
      <c r="CP211" s="458" t="str">
        <f t="shared" si="134"/>
        <v/>
      </c>
      <c r="CQ211" s="458" t="str">
        <f t="shared" si="135"/>
        <v/>
      </c>
      <c r="CR211" s="458" t="str">
        <f t="shared" si="136"/>
        <v/>
      </c>
      <c r="CS211" s="40" t="str">
        <f t="shared" si="137"/>
        <v/>
      </c>
      <c r="CT211" s="40" t="str">
        <f t="shared" si="138"/>
        <v/>
      </c>
      <c r="CU211" s="41" t="str">
        <f t="shared" si="139"/>
        <v/>
      </c>
    </row>
    <row r="212" spans="1:99" x14ac:dyDescent="0.2">
      <c r="A212" s="77">
        <f t="shared" si="140"/>
        <v>207</v>
      </c>
      <c r="B212" s="81"/>
      <c r="C212" s="82"/>
      <c r="D212" s="71"/>
      <c r="E212" s="72"/>
      <c r="F212" s="73"/>
      <c r="G212" s="443"/>
      <c r="H212" s="443"/>
      <c r="I212" s="74"/>
      <c r="J212" s="75"/>
      <c r="K212" s="41">
        <f t="shared" si="109"/>
        <v>3625</v>
      </c>
      <c r="L212" s="104"/>
      <c r="M212" s="105"/>
      <c r="N212" s="106">
        <f t="shared" si="110"/>
        <v>537.05999999999995</v>
      </c>
      <c r="O212" s="104"/>
      <c r="P212" s="105"/>
      <c r="Q212" s="106">
        <f t="shared" si="142"/>
        <v>10045.83</v>
      </c>
      <c r="R212" s="104"/>
      <c r="S212" s="105"/>
      <c r="T212" s="106">
        <f t="shared" si="143"/>
        <v>0</v>
      </c>
      <c r="U212" s="439"/>
      <c r="V212" s="42">
        <f t="shared" si="111"/>
        <v>207</v>
      </c>
      <c r="W212" s="39" t="str">
        <f>IF(AND(E212='Povolené hodnoty'!$B$4,F212=2),I212+L212+O212+R212,"")</f>
        <v/>
      </c>
      <c r="X212" s="41" t="str">
        <f>IF(AND(E212='Povolené hodnoty'!$B$4,F212=1),I212+L212+O212+R212,"")</f>
        <v/>
      </c>
      <c r="Y212" s="39" t="str">
        <f>IF(AND(E212='Povolené hodnoty'!$B$4,F212=10),J212+M212+P212+S212,"")</f>
        <v/>
      </c>
      <c r="Z212" s="41" t="str">
        <f>IF(AND(E212='Povolené hodnoty'!$B$4,F212=9),J212+M212+P212+S212,"")</f>
        <v/>
      </c>
      <c r="AA212" s="39" t="str">
        <f>IF(AND(E212&lt;&gt;'Povolené hodnoty'!$B$4,F212=2),I212+L212+O212+R212,"")</f>
        <v/>
      </c>
      <c r="AB212" s="40" t="str">
        <f>IF(AND(E212&lt;&gt;'Povolené hodnoty'!$B$4,F212=3),I212+L212+O212+R212,"")</f>
        <v/>
      </c>
      <c r="AC212" s="40" t="str">
        <f>IF(AND(E212&lt;&gt;'Povolené hodnoty'!$B$4,F212=4),I212+L212+O212+R212,"")</f>
        <v/>
      </c>
      <c r="AD212" s="40" t="str">
        <f>IF(AND(E212&lt;&gt;'Povolené hodnoty'!$B$4,F212="5a"),I212-J212+L212-M212+O212-P212+R212-S212,"")</f>
        <v/>
      </c>
      <c r="AE212" s="40" t="str">
        <f>IF(AND(E212&lt;&gt;'Povolené hodnoty'!$B$4,F212="5b"),I212-J212+L212-M212+O212-P212+R212-S212,"")</f>
        <v/>
      </c>
      <c r="AF212" s="40" t="str">
        <f>IF(AND(E212&lt;&gt;'Povolené hodnoty'!$B$4,F212=6),I212+L212+O212+R212,"")</f>
        <v/>
      </c>
      <c r="AG212" s="41" t="str">
        <f>IF(AND(E212&lt;&gt;'Povolené hodnoty'!$B$4,F212=7),I212+L212+O212+R212,"")</f>
        <v/>
      </c>
      <c r="AH212" s="39" t="str">
        <f>IF(AND(E212&lt;&gt;'Povolené hodnoty'!$B$4,F212=10),J212+M212+P212+S212,"")</f>
        <v/>
      </c>
      <c r="AI212" s="40" t="str">
        <f>IF(AND(E212&lt;&gt;'Povolené hodnoty'!$B$4,F212=11),J212+M212+P212+S212,"")</f>
        <v/>
      </c>
      <c r="AJ212" s="40" t="str">
        <f>IF(AND(E212&lt;&gt;'Povolené hodnoty'!$B$4,F212=12),J212+M212+P212+S212,"")</f>
        <v/>
      </c>
      <c r="AK212" s="41" t="str">
        <f>IF(AND(E212&lt;&gt;'Povolené hodnoty'!$B$4,F212=13),J212+M212+P212+S212,"")</f>
        <v/>
      </c>
      <c r="AL212" s="39" t="str">
        <f>IF(AND($G212='Povolené hodnoty'!$B$13,$H212=AL$4),SUM($I212,$L212,$O212,$R212),"")</f>
        <v/>
      </c>
      <c r="AM212" s="458" t="str">
        <f>IF(AND($G212='Povolené hodnoty'!$B$13,$H212=AM$4),SUM($I212,$L212,$O212,$R212),"")</f>
        <v/>
      </c>
      <c r="AN212" s="458" t="str">
        <f>IF(AND($G212='Povolené hodnoty'!$B$13,$H212=AN$4),SUM($I212,$L212,$O212,$R212),"")</f>
        <v/>
      </c>
      <c r="AO212" s="458" t="str">
        <f>IF(AND($G212='Povolené hodnoty'!$B$13,$H212=AO$4),SUM($I212,$L212,$O212,$R212),"")</f>
        <v/>
      </c>
      <c r="AP212" s="458" t="str">
        <f>IF(AND($G212='Povolené hodnoty'!$B$13,$H212=AP$4),SUM($I212,$L212,$O212,$R212),"")</f>
        <v/>
      </c>
      <c r="AQ212" s="40" t="str">
        <f>IF(AND($G212='Povolené hodnoty'!$B$13,OR($H212=AQ$4,$H212='Povolené hodnoty'!$E$36)),SUM($I212,-$J212,$L212,-$M212,$O212,-$P212,$R212,-$S212),"")</f>
        <v/>
      </c>
      <c r="AR212" s="40" t="str">
        <f>IF(AND($G212='Povolené hodnoty'!$B$13,$H212=AR$4),SUM($I212,$L212,$O212,$R212),"")</f>
        <v/>
      </c>
      <c r="AS212" s="41" t="str">
        <f>IF(AND($G212='Povolené hodnoty'!$B$13,$H212=AS$4),SUM($I212,$L212,$O212,$R212),"")</f>
        <v/>
      </c>
      <c r="AT212" s="39" t="str">
        <f>IF(AND($G212='Povolené hodnoty'!$B$14,$H212=AT$4),SUM($I212,$L212,$O212,$R212),"")</f>
        <v/>
      </c>
      <c r="AU212" s="458" t="str">
        <f>IF(AND($G212='Povolené hodnoty'!$B$14,$H212=AU$4),SUM($I212,$L212,$O212,$R212),"")</f>
        <v/>
      </c>
      <c r="AV212" s="41" t="str">
        <f>IF(AND($G212='Povolené hodnoty'!$B$14,$H212=AV$4),SUM($I212,$L212,$O212,$R212),"")</f>
        <v/>
      </c>
      <c r="AW212" s="39" t="str">
        <f>IF(AND($G212='Povolené hodnoty'!$B$13,$H212=AW$4),SUM($J212,$M212,$P212,$S212),"")</f>
        <v/>
      </c>
      <c r="AX212" s="458" t="str">
        <f>IF(AND($G212='Povolené hodnoty'!$B$13,$H212=AX$4),SUM($J212,$M212,$P212,$S212),"")</f>
        <v/>
      </c>
      <c r="AY212" s="458" t="str">
        <f>IF(AND($G212='Povolené hodnoty'!$B$13,$H212=AY$4),SUM($J212,$M212,$P212,$S212),"")</f>
        <v/>
      </c>
      <c r="AZ212" s="458" t="str">
        <f>IF(AND($G212='Povolené hodnoty'!$B$13,$H212=AZ$4),SUM($J212,$M212,$P212,$S212),"")</f>
        <v/>
      </c>
      <c r="BA212" s="458" t="str">
        <f>IF(AND($G212='Povolené hodnoty'!$B$13,$H212=BA$4),SUM($J212,$M212,$P212,$S212),"")</f>
        <v/>
      </c>
      <c r="BB212" s="40" t="str">
        <f>IF(AND($G212='Povolené hodnoty'!$B$13,$H212=BB$4),SUM($J212,$M212,$P212,$S212),"")</f>
        <v/>
      </c>
      <c r="BC212" s="40" t="str">
        <f>IF(AND($G212='Povolené hodnoty'!$B$13,$H212=BC$4),SUM($J212,$M212,$P212,$S212),"")</f>
        <v/>
      </c>
      <c r="BD212" s="40" t="str">
        <f>IF(AND($G212='Povolené hodnoty'!$B$13,$H212=BD$4),SUM($J212,$M212,$P212,$S212),"")</f>
        <v/>
      </c>
      <c r="BE212" s="41" t="str">
        <f>IF(AND($G212='Povolené hodnoty'!$B$13,$H212=BE$4),SUM($J212,$M212,$P212,$S212),"")</f>
        <v/>
      </c>
      <c r="BF212" s="39" t="str">
        <f>IF(AND($G212='Povolené hodnoty'!$B$14,$H212=BF$4),SUM($J212,$M212,$P212,$S212),"")</f>
        <v/>
      </c>
      <c r="BG212" s="458" t="str">
        <f>IF(AND($G212='Povolené hodnoty'!$B$14,$H212=BG$4),SUM($J212,$M212,$P212,$S212),"")</f>
        <v/>
      </c>
      <c r="BH212" s="458" t="str">
        <f>IF(AND($G212='Povolené hodnoty'!$B$14,$H212=BH$4),SUM($J212,$M212,$P212,$S212),"")</f>
        <v/>
      </c>
      <c r="BI212" s="458" t="str">
        <f>IF(AND($G212='Povolené hodnoty'!$B$14,$H212=BI$4),SUM($J212,$M212,$P212,$S212),"")</f>
        <v/>
      </c>
      <c r="BJ212" s="458" t="str">
        <f>IF(AND($G212='Povolené hodnoty'!$B$14,$H212=BJ$4),SUM($J212,$M212,$P212,$S212),"")</f>
        <v/>
      </c>
      <c r="BK212" s="40" t="str">
        <f>IF(AND($G212='Povolené hodnoty'!$B$14,$H212=BK$4),SUM($J212,$M212,$P212,$S212),"")</f>
        <v/>
      </c>
      <c r="BL212" s="40" t="str">
        <f>IF(AND($G212='Povolené hodnoty'!$B$14,$H212=BL$4),SUM($J212,$M212,$P212,$S212),"")</f>
        <v/>
      </c>
      <c r="BM212" s="41" t="str">
        <f>IF(AND($G212='Povolené hodnoty'!$B$14,$H212=BM$4),SUM($J212,$M212,$P212,$S212),"")</f>
        <v/>
      </c>
      <c r="BO212" s="18" t="b">
        <f t="shared" si="141"/>
        <v>0</v>
      </c>
      <c r="BP212" s="18" t="b">
        <f t="shared" si="112"/>
        <v>0</v>
      </c>
      <c r="BQ212" s="18" t="b">
        <f>AND(E212&lt;&gt;'Povolené hodnoty'!$B$6,F212&lt;&gt;'Povolené hodnoty'!$D$7,F212&lt;&gt;'Povolené hodnoty'!$D$8,OR(SUM(I212,L212,O212,R212)&lt;&gt;SUM(W212:X212,AA212:AG212),SUM(J212,M212,P212,S212)&lt;&gt;SUM(Y212:Z212,AH212:AK212),COUNT(I212:J212,L212:M212,O212:P212,R212:S212)&lt;&gt;COUNT(W212:AK212)))</f>
        <v>0</v>
      </c>
      <c r="BR212" s="18" t="b">
        <f>OR(AND(E212='Povolené hodnoty'!$B$6,$BR$5),AND(E212='Povolené hodnoty'!$B$6,H212&lt;&gt;'Povolené hodnoty'!$E$26,H212&lt;&gt;'Povolené hodnoty'!$E$35),AND(E212&lt;&gt;'Povolené hodnoty'!$B$6,OR(H212='Povolené hodnoty'!$E$26,H212='Povolené hodnoty'!$E$35)))</f>
        <v>0</v>
      </c>
      <c r="BS212" s="18" t="b">
        <f>OR(AND(G212&lt;&gt;'Povolené hodnoty'!$B$13,OR(H212='Povolené hodnoty'!$E$21,H212='Povolené hodnoty'!$E$22,H212='Povolené hodnoty'!$E$23,H212='Povolené hodnoty'!$E$24,H212='Povolené hodnoty'!$E$26,H212='Povolené hodnoty'!$E$36)),COUNT(I212:J212,L212:M212,O212:P212,R212:S212)&lt;&gt;COUNT(AL212:BM212))</f>
        <v>0</v>
      </c>
      <c r="BT212" s="18" t="b">
        <f t="shared" si="113"/>
        <v>0</v>
      </c>
      <c r="BV212" s="39" t="str">
        <f t="shared" si="114"/>
        <v/>
      </c>
      <c r="BW212" s="458" t="str">
        <f t="shared" si="115"/>
        <v/>
      </c>
      <c r="BX212" s="458" t="str">
        <f t="shared" si="116"/>
        <v/>
      </c>
      <c r="BY212" s="458" t="str">
        <f t="shared" si="117"/>
        <v/>
      </c>
      <c r="BZ212" s="458" t="str">
        <f t="shared" si="118"/>
        <v/>
      </c>
      <c r="CA212" s="40" t="str">
        <f t="shared" si="119"/>
        <v/>
      </c>
      <c r="CB212" s="40" t="str">
        <f t="shared" si="120"/>
        <v/>
      </c>
      <c r="CC212" s="39" t="str">
        <f t="shared" si="121"/>
        <v/>
      </c>
      <c r="CD212" s="458" t="str">
        <f t="shared" si="122"/>
        <v/>
      </c>
      <c r="CE212" s="41" t="str">
        <f t="shared" si="123"/>
        <v/>
      </c>
      <c r="CF212" s="39" t="str">
        <f t="shared" si="124"/>
        <v/>
      </c>
      <c r="CG212" s="458" t="str">
        <f t="shared" si="125"/>
        <v/>
      </c>
      <c r="CH212" s="458" t="str">
        <f t="shared" si="126"/>
        <v/>
      </c>
      <c r="CI212" s="458" t="str">
        <f t="shared" si="127"/>
        <v/>
      </c>
      <c r="CJ212" s="458" t="str">
        <f t="shared" si="128"/>
        <v/>
      </c>
      <c r="CK212" s="40" t="str">
        <f t="shared" si="129"/>
        <v/>
      </c>
      <c r="CL212" s="40" t="str">
        <f t="shared" si="130"/>
        <v/>
      </c>
      <c r="CM212" s="40" t="str">
        <f t="shared" si="131"/>
        <v/>
      </c>
      <c r="CN212" s="39" t="str">
        <f t="shared" si="132"/>
        <v/>
      </c>
      <c r="CO212" s="458" t="str">
        <f t="shared" si="133"/>
        <v/>
      </c>
      <c r="CP212" s="458" t="str">
        <f t="shared" si="134"/>
        <v/>
      </c>
      <c r="CQ212" s="458" t="str">
        <f t="shared" si="135"/>
        <v/>
      </c>
      <c r="CR212" s="458" t="str">
        <f t="shared" si="136"/>
        <v/>
      </c>
      <c r="CS212" s="40" t="str">
        <f t="shared" si="137"/>
        <v/>
      </c>
      <c r="CT212" s="40" t="str">
        <f t="shared" si="138"/>
        <v/>
      </c>
      <c r="CU212" s="41" t="str">
        <f t="shared" si="139"/>
        <v/>
      </c>
    </row>
    <row r="213" spans="1:99" x14ac:dyDescent="0.2">
      <c r="A213" s="77">
        <f t="shared" si="140"/>
        <v>208</v>
      </c>
      <c r="B213" s="81"/>
      <c r="C213" s="82"/>
      <c r="D213" s="71"/>
      <c r="E213" s="72"/>
      <c r="F213" s="73"/>
      <c r="G213" s="443"/>
      <c r="H213" s="443"/>
      <c r="I213" s="74"/>
      <c r="J213" s="75"/>
      <c r="K213" s="41">
        <f t="shared" si="109"/>
        <v>3625</v>
      </c>
      <c r="L213" s="104"/>
      <c r="M213" s="105"/>
      <c r="N213" s="106">
        <f t="shared" si="110"/>
        <v>537.05999999999995</v>
      </c>
      <c r="O213" s="104"/>
      <c r="P213" s="105"/>
      <c r="Q213" s="106">
        <f t="shared" si="142"/>
        <v>10045.83</v>
      </c>
      <c r="R213" s="104"/>
      <c r="S213" s="105"/>
      <c r="T213" s="106">
        <f t="shared" si="143"/>
        <v>0</v>
      </c>
      <c r="U213" s="439"/>
      <c r="V213" s="42">
        <f t="shared" si="111"/>
        <v>208</v>
      </c>
      <c r="W213" s="39" t="str">
        <f>IF(AND(E213='Povolené hodnoty'!$B$4,F213=2),I213+L213+O213+R213,"")</f>
        <v/>
      </c>
      <c r="X213" s="41" t="str">
        <f>IF(AND(E213='Povolené hodnoty'!$B$4,F213=1),I213+L213+O213+R213,"")</f>
        <v/>
      </c>
      <c r="Y213" s="39" t="str">
        <f>IF(AND(E213='Povolené hodnoty'!$B$4,F213=10),J213+M213+P213+S213,"")</f>
        <v/>
      </c>
      <c r="Z213" s="41" t="str">
        <f>IF(AND(E213='Povolené hodnoty'!$B$4,F213=9),J213+M213+P213+S213,"")</f>
        <v/>
      </c>
      <c r="AA213" s="39" t="str">
        <f>IF(AND(E213&lt;&gt;'Povolené hodnoty'!$B$4,F213=2),I213+L213+O213+R213,"")</f>
        <v/>
      </c>
      <c r="AB213" s="40" t="str">
        <f>IF(AND(E213&lt;&gt;'Povolené hodnoty'!$B$4,F213=3),I213+L213+O213+R213,"")</f>
        <v/>
      </c>
      <c r="AC213" s="40" t="str">
        <f>IF(AND(E213&lt;&gt;'Povolené hodnoty'!$B$4,F213=4),I213+L213+O213+R213,"")</f>
        <v/>
      </c>
      <c r="AD213" s="40" t="str">
        <f>IF(AND(E213&lt;&gt;'Povolené hodnoty'!$B$4,F213="5a"),I213-J213+L213-M213+O213-P213+R213-S213,"")</f>
        <v/>
      </c>
      <c r="AE213" s="40" t="str">
        <f>IF(AND(E213&lt;&gt;'Povolené hodnoty'!$B$4,F213="5b"),I213-J213+L213-M213+O213-P213+R213-S213,"")</f>
        <v/>
      </c>
      <c r="AF213" s="40" t="str">
        <f>IF(AND(E213&lt;&gt;'Povolené hodnoty'!$B$4,F213=6),I213+L213+O213+R213,"")</f>
        <v/>
      </c>
      <c r="AG213" s="41" t="str">
        <f>IF(AND(E213&lt;&gt;'Povolené hodnoty'!$B$4,F213=7),I213+L213+O213+R213,"")</f>
        <v/>
      </c>
      <c r="AH213" s="39" t="str">
        <f>IF(AND(E213&lt;&gt;'Povolené hodnoty'!$B$4,F213=10),J213+M213+P213+S213,"")</f>
        <v/>
      </c>
      <c r="AI213" s="40" t="str">
        <f>IF(AND(E213&lt;&gt;'Povolené hodnoty'!$B$4,F213=11),J213+M213+P213+S213,"")</f>
        <v/>
      </c>
      <c r="AJ213" s="40" t="str">
        <f>IF(AND(E213&lt;&gt;'Povolené hodnoty'!$B$4,F213=12),J213+M213+P213+S213,"")</f>
        <v/>
      </c>
      <c r="AK213" s="41" t="str">
        <f>IF(AND(E213&lt;&gt;'Povolené hodnoty'!$B$4,F213=13),J213+M213+P213+S213,"")</f>
        <v/>
      </c>
      <c r="AL213" s="39" t="str">
        <f>IF(AND($G213='Povolené hodnoty'!$B$13,$H213=AL$4),SUM($I213,$L213,$O213,$R213),"")</f>
        <v/>
      </c>
      <c r="AM213" s="458" t="str">
        <f>IF(AND($G213='Povolené hodnoty'!$B$13,$H213=AM$4),SUM($I213,$L213,$O213,$R213),"")</f>
        <v/>
      </c>
      <c r="AN213" s="458" t="str">
        <f>IF(AND($G213='Povolené hodnoty'!$B$13,$H213=AN$4),SUM($I213,$L213,$O213,$R213),"")</f>
        <v/>
      </c>
      <c r="AO213" s="458" t="str">
        <f>IF(AND($G213='Povolené hodnoty'!$B$13,$H213=AO$4),SUM($I213,$L213,$O213,$R213),"")</f>
        <v/>
      </c>
      <c r="AP213" s="458" t="str">
        <f>IF(AND($G213='Povolené hodnoty'!$B$13,$H213=AP$4),SUM($I213,$L213,$O213,$R213),"")</f>
        <v/>
      </c>
      <c r="AQ213" s="40" t="str">
        <f>IF(AND($G213='Povolené hodnoty'!$B$13,OR($H213=AQ$4,$H213='Povolené hodnoty'!$E$36)),SUM($I213,-$J213,$L213,-$M213,$O213,-$P213,$R213,-$S213),"")</f>
        <v/>
      </c>
      <c r="AR213" s="40" t="str">
        <f>IF(AND($G213='Povolené hodnoty'!$B$13,$H213=AR$4),SUM($I213,$L213,$O213,$R213),"")</f>
        <v/>
      </c>
      <c r="AS213" s="41" t="str">
        <f>IF(AND($G213='Povolené hodnoty'!$B$13,$H213=AS$4),SUM($I213,$L213,$O213,$R213),"")</f>
        <v/>
      </c>
      <c r="AT213" s="39" t="str">
        <f>IF(AND($G213='Povolené hodnoty'!$B$14,$H213=AT$4),SUM($I213,$L213,$O213,$R213),"")</f>
        <v/>
      </c>
      <c r="AU213" s="458" t="str">
        <f>IF(AND($G213='Povolené hodnoty'!$B$14,$H213=AU$4),SUM($I213,$L213,$O213,$R213),"")</f>
        <v/>
      </c>
      <c r="AV213" s="41" t="str">
        <f>IF(AND($G213='Povolené hodnoty'!$B$14,$H213=AV$4),SUM($I213,$L213,$O213,$R213),"")</f>
        <v/>
      </c>
      <c r="AW213" s="39" t="str">
        <f>IF(AND($G213='Povolené hodnoty'!$B$13,$H213=AW$4),SUM($J213,$M213,$P213,$S213),"")</f>
        <v/>
      </c>
      <c r="AX213" s="458" t="str">
        <f>IF(AND($G213='Povolené hodnoty'!$B$13,$H213=AX$4),SUM($J213,$M213,$P213,$S213),"")</f>
        <v/>
      </c>
      <c r="AY213" s="458" t="str">
        <f>IF(AND($G213='Povolené hodnoty'!$B$13,$H213=AY$4),SUM($J213,$M213,$P213,$S213),"")</f>
        <v/>
      </c>
      <c r="AZ213" s="458" t="str">
        <f>IF(AND($G213='Povolené hodnoty'!$B$13,$H213=AZ$4),SUM($J213,$M213,$P213,$S213),"")</f>
        <v/>
      </c>
      <c r="BA213" s="458" t="str">
        <f>IF(AND($G213='Povolené hodnoty'!$B$13,$H213=BA$4),SUM($J213,$M213,$P213,$S213),"")</f>
        <v/>
      </c>
      <c r="BB213" s="40" t="str">
        <f>IF(AND($G213='Povolené hodnoty'!$B$13,$H213=BB$4),SUM($J213,$M213,$P213,$S213),"")</f>
        <v/>
      </c>
      <c r="BC213" s="40" t="str">
        <f>IF(AND($G213='Povolené hodnoty'!$B$13,$H213=BC$4),SUM($J213,$M213,$P213,$S213),"")</f>
        <v/>
      </c>
      <c r="BD213" s="40" t="str">
        <f>IF(AND($G213='Povolené hodnoty'!$B$13,$H213=BD$4),SUM($J213,$M213,$P213,$S213),"")</f>
        <v/>
      </c>
      <c r="BE213" s="41" t="str">
        <f>IF(AND($G213='Povolené hodnoty'!$B$13,$H213=BE$4),SUM($J213,$M213,$P213,$S213),"")</f>
        <v/>
      </c>
      <c r="BF213" s="39" t="str">
        <f>IF(AND($G213='Povolené hodnoty'!$B$14,$H213=BF$4),SUM($J213,$M213,$P213,$S213),"")</f>
        <v/>
      </c>
      <c r="BG213" s="458" t="str">
        <f>IF(AND($G213='Povolené hodnoty'!$B$14,$H213=BG$4),SUM($J213,$M213,$P213,$S213),"")</f>
        <v/>
      </c>
      <c r="BH213" s="458" t="str">
        <f>IF(AND($G213='Povolené hodnoty'!$B$14,$H213=BH$4),SUM($J213,$M213,$P213,$S213),"")</f>
        <v/>
      </c>
      <c r="BI213" s="458" t="str">
        <f>IF(AND($G213='Povolené hodnoty'!$B$14,$H213=BI$4),SUM($J213,$M213,$P213,$S213),"")</f>
        <v/>
      </c>
      <c r="BJ213" s="458" t="str">
        <f>IF(AND($G213='Povolené hodnoty'!$B$14,$H213=BJ$4),SUM($J213,$M213,$P213,$S213),"")</f>
        <v/>
      </c>
      <c r="BK213" s="40" t="str">
        <f>IF(AND($G213='Povolené hodnoty'!$B$14,$H213=BK$4),SUM($J213,$M213,$P213,$S213),"")</f>
        <v/>
      </c>
      <c r="BL213" s="40" t="str">
        <f>IF(AND($G213='Povolené hodnoty'!$B$14,$H213=BL$4),SUM($J213,$M213,$P213,$S213),"")</f>
        <v/>
      </c>
      <c r="BM213" s="41" t="str">
        <f>IF(AND($G213='Povolené hodnoty'!$B$14,$H213=BM$4),SUM($J213,$M213,$P213,$S213),"")</f>
        <v/>
      </c>
      <c r="BO213" s="18" t="b">
        <f t="shared" si="141"/>
        <v>0</v>
      </c>
      <c r="BP213" s="18" t="b">
        <f t="shared" si="112"/>
        <v>0</v>
      </c>
      <c r="BQ213" s="18" t="b">
        <f>AND(E213&lt;&gt;'Povolené hodnoty'!$B$6,F213&lt;&gt;'Povolené hodnoty'!$D$7,F213&lt;&gt;'Povolené hodnoty'!$D$8,OR(SUM(I213,L213,O213,R213)&lt;&gt;SUM(W213:X213,AA213:AG213),SUM(J213,M213,P213,S213)&lt;&gt;SUM(Y213:Z213,AH213:AK213),COUNT(I213:J213,L213:M213,O213:P213,R213:S213)&lt;&gt;COUNT(W213:AK213)))</f>
        <v>0</v>
      </c>
      <c r="BR213" s="18" t="b">
        <f>OR(AND(E213='Povolené hodnoty'!$B$6,$BR$5),AND(E213='Povolené hodnoty'!$B$6,H213&lt;&gt;'Povolené hodnoty'!$E$26,H213&lt;&gt;'Povolené hodnoty'!$E$35),AND(E213&lt;&gt;'Povolené hodnoty'!$B$6,OR(H213='Povolené hodnoty'!$E$26,H213='Povolené hodnoty'!$E$35)))</f>
        <v>0</v>
      </c>
      <c r="BS213" s="18" t="b">
        <f>OR(AND(G213&lt;&gt;'Povolené hodnoty'!$B$13,OR(H213='Povolené hodnoty'!$E$21,H213='Povolené hodnoty'!$E$22,H213='Povolené hodnoty'!$E$23,H213='Povolené hodnoty'!$E$24,H213='Povolené hodnoty'!$E$26,H213='Povolené hodnoty'!$E$36)),COUNT(I213:J213,L213:M213,O213:P213,R213:S213)&lt;&gt;COUNT(AL213:BM213))</f>
        <v>0</v>
      </c>
      <c r="BT213" s="18" t="b">
        <f t="shared" si="113"/>
        <v>0</v>
      </c>
      <c r="BV213" s="39" t="str">
        <f t="shared" si="114"/>
        <v/>
      </c>
      <c r="BW213" s="458" t="str">
        <f t="shared" si="115"/>
        <v/>
      </c>
      <c r="BX213" s="458" t="str">
        <f t="shared" si="116"/>
        <v/>
      </c>
      <c r="BY213" s="458" t="str">
        <f t="shared" si="117"/>
        <v/>
      </c>
      <c r="BZ213" s="458" t="str">
        <f t="shared" si="118"/>
        <v/>
      </c>
      <c r="CA213" s="40" t="str">
        <f t="shared" si="119"/>
        <v/>
      </c>
      <c r="CB213" s="40" t="str">
        <f t="shared" si="120"/>
        <v/>
      </c>
      <c r="CC213" s="39" t="str">
        <f t="shared" si="121"/>
        <v/>
      </c>
      <c r="CD213" s="458" t="str">
        <f t="shared" si="122"/>
        <v/>
      </c>
      <c r="CE213" s="41" t="str">
        <f t="shared" si="123"/>
        <v/>
      </c>
      <c r="CF213" s="39" t="str">
        <f t="shared" si="124"/>
        <v/>
      </c>
      <c r="CG213" s="458" t="str">
        <f t="shared" si="125"/>
        <v/>
      </c>
      <c r="CH213" s="458" t="str">
        <f t="shared" si="126"/>
        <v/>
      </c>
      <c r="CI213" s="458" t="str">
        <f t="shared" si="127"/>
        <v/>
      </c>
      <c r="CJ213" s="458" t="str">
        <f t="shared" si="128"/>
        <v/>
      </c>
      <c r="CK213" s="40" t="str">
        <f t="shared" si="129"/>
        <v/>
      </c>
      <c r="CL213" s="40" t="str">
        <f t="shared" si="130"/>
        <v/>
      </c>
      <c r="CM213" s="40" t="str">
        <f t="shared" si="131"/>
        <v/>
      </c>
      <c r="CN213" s="39" t="str">
        <f t="shared" si="132"/>
        <v/>
      </c>
      <c r="CO213" s="458" t="str">
        <f t="shared" si="133"/>
        <v/>
      </c>
      <c r="CP213" s="458" t="str">
        <f t="shared" si="134"/>
        <v/>
      </c>
      <c r="CQ213" s="458" t="str">
        <f t="shared" si="135"/>
        <v/>
      </c>
      <c r="CR213" s="458" t="str">
        <f t="shared" si="136"/>
        <v/>
      </c>
      <c r="CS213" s="40" t="str">
        <f t="shared" si="137"/>
        <v/>
      </c>
      <c r="CT213" s="40" t="str">
        <f t="shared" si="138"/>
        <v/>
      </c>
      <c r="CU213" s="41" t="str">
        <f t="shared" si="139"/>
        <v/>
      </c>
    </row>
    <row r="214" spans="1:99" x14ac:dyDescent="0.2">
      <c r="A214" s="77">
        <f t="shared" si="140"/>
        <v>209</v>
      </c>
      <c r="B214" s="81"/>
      <c r="C214" s="82"/>
      <c r="D214" s="71"/>
      <c r="E214" s="72"/>
      <c r="F214" s="73"/>
      <c r="G214" s="443"/>
      <c r="H214" s="443"/>
      <c r="I214" s="74"/>
      <c r="J214" s="75"/>
      <c r="K214" s="41">
        <f t="shared" si="109"/>
        <v>3625</v>
      </c>
      <c r="L214" s="104"/>
      <c r="M214" s="105"/>
      <c r="N214" s="106">
        <f t="shared" si="110"/>
        <v>537.05999999999995</v>
      </c>
      <c r="O214" s="104"/>
      <c r="P214" s="105"/>
      <c r="Q214" s="106">
        <f t="shared" si="142"/>
        <v>10045.83</v>
      </c>
      <c r="R214" s="104"/>
      <c r="S214" s="105"/>
      <c r="T214" s="106">
        <f t="shared" si="143"/>
        <v>0</v>
      </c>
      <c r="U214" s="439"/>
      <c r="V214" s="42">
        <f t="shared" si="111"/>
        <v>209</v>
      </c>
      <c r="W214" s="39" t="str">
        <f>IF(AND(E214='Povolené hodnoty'!$B$4,F214=2),I214+L214+O214+R214,"")</f>
        <v/>
      </c>
      <c r="X214" s="41" t="str">
        <f>IF(AND(E214='Povolené hodnoty'!$B$4,F214=1),I214+L214+O214+R214,"")</f>
        <v/>
      </c>
      <c r="Y214" s="39" t="str">
        <f>IF(AND(E214='Povolené hodnoty'!$B$4,F214=10),J214+M214+P214+S214,"")</f>
        <v/>
      </c>
      <c r="Z214" s="41" t="str">
        <f>IF(AND(E214='Povolené hodnoty'!$B$4,F214=9),J214+M214+P214+S214,"")</f>
        <v/>
      </c>
      <c r="AA214" s="39" t="str">
        <f>IF(AND(E214&lt;&gt;'Povolené hodnoty'!$B$4,F214=2),I214+L214+O214+R214,"")</f>
        <v/>
      </c>
      <c r="AB214" s="40" t="str">
        <f>IF(AND(E214&lt;&gt;'Povolené hodnoty'!$B$4,F214=3),I214+L214+O214+R214,"")</f>
        <v/>
      </c>
      <c r="AC214" s="40" t="str">
        <f>IF(AND(E214&lt;&gt;'Povolené hodnoty'!$B$4,F214=4),I214+L214+O214+R214,"")</f>
        <v/>
      </c>
      <c r="AD214" s="40" t="str">
        <f>IF(AND(E214&lt;&gt;'Povolené hodnoty'!$B$4,F214="5a"),I214-J214+L214-M214+O214-P214+R214-S214,"")</f>
        <v/>
      </c>
      <c r="AE214" s="40" t="str">
        <f>IF(AND(E214&lt;&gt;'Povolené hodnoty'!$B$4,F214="5b"),I214-J214+L214-M214+O214-P214+R214-S214,"")</f>
        <v/>
      </c>
      <c r="AF214" s="40" t="str">
        <f>IF(AND(E214&lt;&gt;'Povolené hodnoty'!$B$4,F214=6),I214+L214+O214+R214,"")</f>
        <v/>
      </c>
      <c r="AG214" s="41" t="str">
        <f>IF(AND(E214&lt;&gt;'Povolené hodnoty'!$B$4,F214=7),I214+L214+O214+R214,"")</f>
        <v/>
      </c>
      <c r="AH214" s="39" t="str">
        <f>IF(AND(E214&lt;&gt;'Povolené hodnoty'!$B$4,F214=10),J214+M214+P214+S214,"")</f>
        <v/>
      </c>
      <c r="AI214" s="40" t="str">
        <f>IF(AND(E214&lt;&gt;'Povolené hodnoty'!$B$4,F214=11),J214+M214+P214+S214,"")</f>
        <v/>
      </c>
      <c r="AJ214" s="40" t="str">
        <f>IF(AND(E214&lt;&gt;'Povolené hodnoty'!$B$4,F214=12),J214+M214+P214+S214,"")</f>
        <v/>
      </c>
      <c r="AK214" s="41" t="str">
        <f>IF(AND(E214&lt;&gt;'Povolené hodnoty'!$B$4,F214=13),J214+M214+P214+S214,"")</f>
        <v/>
      </c>
      <c r="AL214" s="39" t="str">
        <f>IF(AND($G214='Povolené hodnoty'!$B$13,$H214=AL$4),SUM($I214,$L214,$O214,$R214),"")</f>
        <v/>
      </c>
      <c r="AM214" s="458" t="str">
        <f>IF(AND($G214='Povolené hodnoty'!$B$13,$H214=AM$4),SUM($I214,$L214,$O214,$R214),"")</f>
        <v/>
      </c>
      <c r="AN214" s="458" t="str">
        <f>IF(AND($G214='Povolené hodnoty'!$B$13,$H214=AN$4),SUM($I214,$L214,$O214,$R214),"")</f>
        <v/>
      </c>
      <c r="AO214" s="458" t="str">
        <f>IF(AND($G214='Povolené hodnoty'!$B$13,$H214=AO$4),SUM($I214,$L214,$O214,$R214),"")</f>
        <v/>
      </c>
      <c r="AP214" s="458" t="str">
        <f>IF(AND($G214='Povolené hodnoty'!$B$13,$H214=AP$4),SUM($I214,$L214,$O214,$R214),"")</f>
        <v/>
      </c>
      <c r="AQ214" s="40" t="str">
        <f>IF(AND($G214='Povolené hodnoty'!$B$13,OR($H214=AQ$4,$H214='Povolené hodnoty'!$E$36)),SUM($I214,-$J214,$L214,-$M214,$O214,-$P214,$R214,-$S214),"")</f>
        <v/>
      </c>
      <c r="AR214" s="40" t="str">
        <f>IF(AND($G214='Povolené hodnoty'!$B$13,$H214=AR$4),SUM($I214,$L214,$O214,$R214),"")</f>
        <v/>
      </c>
      <c r="AS214" s="41" t="str">
        <f>IF(AND($G214='Povolené hodnoty'!$B$13,$H214=AS$4),SUM($I214,$L214,$O214,$R214),"")</f>
        <v/>
      </c>
      <c r="AT214" s="39" t="str">
        <f>IF(AND($G214='Povolené hodnoty'!$B$14,$H214=AT$4),SUM($I214,$L214,$O214,$R214),"")</f>
        <v/>
      </c>
      <c r="AU214" s="458" t="str">
        <f>IF(AND($G214='Povolené hodnoty'!$B$14,$H214=AU$4),SUM($I214,$L214,$O214,$R214),"")</f>
        <v/>
      </c>
      <c r="AV214" s="41" t="str">
        <f>IF(AND($G214='Povolené hodnoty'!$B$14,$H214=AV$4),SUM($I214,$L214,$O214,$R214),"")</f>
        <v/>
      </c>
      <c r="AW214" s="39" t="str">
        <f>IF(AND($G214='Povolené hodnoty'!$B$13,$H214=AW$4),SUM($J214,$M214,$P214,$S214),"")</f>
        <v/>
      </c>
      <c r="AX214" s="458" t="str">
        <f>IF(AND($G214='Povolené hodnoty'!$B$13,$H214=AX$4),SUM($J214,$M214,$P214,$S214),"")</f>
        <v/>
      </c>
      <c r="AY214" s="458" t="str">
        <f>IF(AND($G214='Povolené hodnoty'!$B$13,$H214=AY$4),SUM($J214,$M214,$P214,$S214),"")</f>
        <v/>
      </c>
      <c r="AZ214" s="458" t="str">
        <f>IF(AND($G214='Povolené hodnoty'!$B$13,$H214=AZ$4),SUM($J214,$M214,$P214,$S214),"")</f>
        <v/>
      </c>
      <c r="BA214" s="458" t="str">
        <f>IF(AND($G214='Povolené hodnoty'!$B$13,$H214=BA$4),SUM($J214,$M214,$P214,$S214),"")</f>
        <v/>
      </c>
      <c r="BB214" s="40" t="str">
        <f>IF(AND($G214='Povolené hodnoty'!$B$13,$H214=BB$4),SUM($J214,$M214,$P214,$S214),"")</f>
        <v/>
      </c>
      <c r="BC214" s="40" t="str">
        <f>IF(AND($G214='Povolené hodnoty'!$B$13,$H214=BC$4),SUM($J214,$M214,$P214,$S214),"")</f>
        <v/>
      </c>
      <c r="BD214" s="40" t="str">
        <f>IF(AND($G214='Povolené hodnoty'!$B$13,$H214=BD$4),SUM($J214,$M214,$P214,$S214),"")</f>
        <v/>
      </c>
      <c r="BE214" s="41" t="str">
        <f>IF(AND($G214='Povolené hodnoty'!$B$13,$H214=BE$4),SUM($J214,$M214,$P214,$S214),"")</f>
        <v/>
      </c>
      <c r="BF214" s="39" t="str">
        <f>IF(AND($G214='Povolené hodnoty'!$B$14,$H214=BF$4),SUM($J214,$M214,$P214,$S214),"")</f>
        <v/>
      </c>
      <c r="BG214" s="458" t="str">
        <f>IF(AND($G214='Povolené hodnoty'!$B$14,$H214=BG$4),SUM($J214,$M214,$P214,$S214),"")</f>
        <v/>
      </c>
      <c r="BH214" s="458" t="str">
        <f>IF(AND($G214='Povolené hodnoty'!$B$14,$H214=BH$4),SUM($J214,$M214,$P214,$S214),"")</f>
        <v/>
      </c>
      <c r="BI214" s="458" t="str">
        <f>IF(AND($G214='Povolené hodnoty'!$B$14,$H214=BI$4),SUM($J214,$M214,$P214,$S214),"")</f>
        <v/>
      </c>
      <c r="BJ214" s="458" t="str">
        <f>IF(AND($G214='Povolené hodnoty'!$B$14,$H214=BJ$4),SUM($J214,$M214,$P214,$S214),"")</f>
        <v/>
      </c>
      <c r="BK214" s="40" t="str">
        <f>IF(AND($G214='Povolené hodnoty'!$B$14,$H214=BK$4),SUM($J214,$M214,$P214,$S214),"")</f>
        <v/>
      </c>
      <c r="BL214" s="40" t="str">
        <f>IF(AND($G214='Povolené hodnoty'!$B$14,$H214=BL$4),SUM($J214,$M214,$P214,$S214),"")</f>
        <v/>
      </c>
      <c r="BM214" s="41" t="str">
        <f>IF(AND($G214='Povolené hodnoty'!$B$14,$H214=BM$4),SUM($J214,$M214,$P214,$S214),"")</f>
        <v/>
      </c>
      <c r="BO214" s="18" t="b">
        <f t="shared" si="141"/>
        <v>0</v>
      </c>
      <c r="BP214" s="18" t="b">
        <f t="shared" si="112"/>
        <v>0</v>
      </c>
      <c r="BQ214" s="18" t="b">
        <f>AND(E214&lt;&gt;'Povolené hodnoty'!$B$6,F214&lt;&gt;'Povolené hodnoty'!$D$7,F214&lt;&gt;'Povolené hodnoty'!$D$8,OR(SUM(I214,L214,O214,R214)&lt;&gt;SUM(W214:X214,AA214:AG214),SUM(J214,M214,P214,S214)&lt;&gt;SUM(Y214:Z214,AH214:AK214),COUNT(I214:J214,L214:M214,O214:P214,R214:S214)&lt;&gt;COUNT(W214:AK214)))</f>
        <v>0</v>
      </c>
      <c r="BR214" s="18" t="b">
        <f>OR(AND(E214='Povolené hodnoty'!$B$6,$BR$5),AND(E214='Povolené hodnoty'!$B$6,H214&lt;&gt;'Povolené hodnoty'!$E$26,H214&lt;&gt;'Povolené hodnoty'!$E$35),AND(E214&lt;&gt;'Povolené hodnoty'!$B$6,OR(H214='Povolené hodnoty'!$E$26,H214='Povolené hodnoty'!$E$35)))</f>
        <v>0</v>
      </c>
      <c r="BS214" s="18" t="b">
        <f>OR(AND(G214&lt;&gt;'Povolené hodnoty'!$B$13,OR(H214='Povolené hodnoty'!$E$21,H214='Povolené hodnoty'!$E$22,H214='Povolené hodnoty'!$E$23,H214='Povolené hodnoty'!$E$24,H214='Povolené hodnoty'!$E$26,H214='Povolené hodnoty'!$E$36)),COUNT(I214:J214,L214:M214,O214:P214,R214:S214)&lt;&gt;COUNT(AL214:BM214))</f>
        <v>0</v>
      </c>
      <c r="BT214" s="18" t="b">
        <f t="shared" si="113"/>
        <v>0</v>
      </c>
      <c r="BV214" s="39" t="str">
        <f t="shared" si="114"/>
        <v/>
      </c>
      <c r="BW214" s="458" t="str">
        <f t="shared" si="115"/>
        <v/>
      </c>
      <c r="BX214" s="458" t="str">
        <f t="shared" si="116"/>
        <v/>
      </c>
      <c r="BY214" s="458" t="str">
        <f t="shared" si="117"/>
        <v/>
      </c>
      <c r="BZ214" s="458" t="str">
        <f t="shared" si="118"/>
        <v/>
      </c>
      <c r="CA214" s="40" t="str">
        <f t="shared" si="119"/>
        <v/>
      </c>
      <c r="CB214" s="40" t="str">
        <f t="shared" si="120"/>
        <v/>
      </c>
      <c r="CC214" s="39" t="str">
        <f t="shared" si="121"/>
        <v/>
      </c>
      <c r="CD214" s="458" t="str">
        <f t="shared" si="122"/>
        <v/>
      </c>
      <c r="CE214" s="41" t="str">
        <f t="shared" si="123"/>
        <v/>
      </c>
      <c r="CF214" s="39" t="str">
        <f t="shared" si="124"/>
        <v/>
      </c>
      <c r="CG214" s="458" t="str">
        <f t="shared" si="125"/>
        <v/>
      </c>
      <c r="CH214" s="458" t="str">
        <f t="shared" si="126"/>
        <v/>
      </c>
      <c r="CI214" s="458" t="str">
        <f t="shared" si="127"/>
        <v/>
      </c>
      <c r="CJ214" s="458" t="str">
        <f t="shared" si="128"/>
        <v/>
      </c>
      <c r="CK214" s="40" t="str">
        <f t="shared" si="129"/>
        <v/>
      </c>
      <c r="CL214" s="40" t="str">
        <f t="shared" si="130"/>
        <v/>
      </c>
      <c r="CM214" s="40" t="str">
        <f t="shared" si="131"/>
        <v/>
      </c>
      <c r="CN214" s="39" t="str">
        <f t="shared" si="132"/>
        <v/>
      </c>
      <c r="CO214" s="458" t="str">
        <f t="shared" si="133"/>
        <v/>
      </c>
      <c r="CP214" s="458" t="str">
        <f t="shared" si="134"/>
        <v/>
      </c>
      <c r="CQ214" s="458" t="str">
        <f t="shared" si="135"/>
        <v/>
      </c>
      <c r="CR214" s="458" t="str">
        <f t="shared" si="136"/>
        <v/>
      </c>
      <c r="CS214" s="40" t="str">
        <f t="shared" si="137"/>
        <v/>
      </c>
      <c r="CT214" s="40" t="str">
        <f t="shared" si="138"/>
        <v/>
      </c>
      <c r="CU214" s="41" t="str">
        <f t="shared" si="139"/>
        <v/>
      </c>
    </row>
    <row r="215" spans="1:99" x14ac:dyDescent="0.2">
      <c r="A215" s="77">
        <f t="shared" si="140"/>
        <v>210</v>
      </c>
      <c r="B215" s="81"/>
      <c r="C215" s="82"/>
      <c r="D215" s="71"/>
      <c r="E215" s="72"/>
      <c r="F215" s="73"/>
      <c r="G215" s="443"/>
      <c r="H215" s="443"/>
      <c r="I215" s="74"/>
      <c r="J215" s="75"/>
      <c r="K215" s="41">
        <f t="shared" si="109"/>
        <v>3625</v>
      </c>
      <c r="L215" s="104"/>
      <c r="M215" s="105"/>
      <c r="N215" s="106">
        <f t="shared" si="110"/>
        <v>537.05999999999995</v>
      </c>
      <c r="O215" s="104"/>
      <c r="P215" s="105"/>
      <c r="Q215" s="106">
        <f t="shared" si="142"/>
        <v>10045.83</v>
      </c>
      <c r="R215" s="104"/>
      <c r="S215" s="105"/>
      <c r="T215" s="106">
        <f t="shared" si="143"/>
        <v>0</v>
      </c>
      <c r="U215" s="439"/>
      <c r="V215" s="42">
        <f t="shared" si="111"/>
        <v>210</v>
      </c>
      <c r="W215" s="39" t="str">
        <f>IF(AND(E215='Povolené hodnoty'!$B$4,F215=2),I215+L215+O215+R215,"")</f>
        <v/>
      </c>
      <c r="X215" s="41" t="str">
        <f>IF(AND(E215='Povolené hodnoty'!$B$4,F215=1),I215+L215+O215+R215,"")</f>
        <v/>
      </c>
      <c r="Y215" s="39" t="str">
        <f>IF(AND(E215='Povolené hodnoty'!$B$4,F215=10),J215+M215+P215+S215,"")</f>
        <v/>
      </c>
      <c r="Z215" s="41" t="str">
        <f>IF(AND(E215='Povolené hodnoty'!$B$4,F215=9),J215+M215+P215+S215,"")</f>
        <v/>
      </c>
      <c r="AA215" s="39" t="str">
        <f>IF(AND(E215&lt;&gt;'Povolené hodnoty'!$B$4,F215=2),I215+L215+O215+R215,"")</f>
        <v/>
      </c>
      <c r="AB215" s="40" t="str">
        <f>IF(AND(E215&lt;&gt;'Povolené hodnoty'!$B$4,F215=3),I215+L215+O215+R215,"")</f>
        <v/>
      </c>
      <c r="AC215" s="40" t="str">
        <f>IF(AND(E215&lt;&gt;'Povolené hodnoty'!$B$4,F215=4),I215+L215+O215+R215,"")</f>
        <v/>
      </c>
      <c r="AD215" s="40" t="str">
        <f>IF(AND(E215&lt;&gt;'Povolené hodnoty'!$B$4,F215="5a"),I215-J215+L215-M215+O215-P215+R215-S215,"")</f>
        <v/>
      </c>
      <c r="AE215" s="40" t="str">
        <f>IF(AND(E215&lt;&gt;'Povolené hodnoty'!$B$4,F215="5b"),I215-J215+L215-M215+O215-P215+R215-S215,"")</f>
        <v/>
      </c>
      <c r="AF215" s="40" t="str">
        <f>IF(AND(E215&lt;&gt;'Povolené hodnoty'!$B$4,F215=6),I215+L215+O215+R215,"")</f>
        <v/>
      </c>
      <c r="AG215" s="41" t="str">
        <f>IF(AND(E215&lt;&gt;'Povolené hodnoty'!$B$4,F215=7),I215+L215+O215+R215,"")</f>
        <v/>
      </c>
      <c r="AH215" s="39" t="str">
        <f>IF(AND(E215&lt;&gt;'Povolené hodnoty'!$B$4,F215=10),J215+M215+P215+S215,"")</f>
        <v/>
      </c>
      <c r="AI215" s="40" t="str">
        <f>IF(AND(E215&lt;&gt;'Povolené hodnoty'!$B$4,F215=11),J215+M215+P215+S215,"")</f>
        <v/>
      </c>
      <c r="AJ215" s="40" t="str">
        <f>IF(AND(E215&lt;&gt;'Povolené hodnoty'!$B$4,F215=12),J215+M215+P215+S215,"")</f>
        <v/>
      </c>
      <c r="AK215" s="41" t="str">
        <f>IF(AND(E215&lt;&gt;'Povolené hodnoty'!$B$4,F215=13),J215+M215+P215+S215,"")</f>
        <v/>
      </c>
      <c r="AL215" s="39" t="str">
        <f>IF(AND($G215='Povolené hodnoty'!$B$13,$H215=AL$4),SUM($I215,$L215,$O215,$R215),"")</f>
        <v/>
      </c>
      <c r="AM215" s="458" t="str">
        <f>IF(AND($G215='Povolené hodnoty'!$B$13,$H215=AM$4),SUM($I215,$L215,$O215,$R215),"")</f>
        <v/>
      </c>
      <c r="AN215" s="458" t="str">
        <f>IF(AND($G215='Povolené hodnoty'!$B$13,$H215=AN$4),SUM($I215,$L215,$O215,$R215),"")</f>
        <v/>
      </c>
      <c r="AO215" s="458" t="str">
        <f>IF(AND($G215='Povolené hodnoty'!$B$13,$H215=AO$4),SUM($I215,$L215,$O215,$R215),"")</f>
        <v/>
      </c>
      <c r="AP215" s="458" t="str">
        <f>IF(AND($G215='Povolené hodnoty'!$B$13,$H215=AP$4),SUM($I215,$L215,$O215,$R215),"")</f>
        <v/>
      </c>
      <c r="AQ215" s="40" t="str">
        <f>IF(AND($G215='Povolené hodnoty'!$B$13,OR($H215=AQ$4,$H215='Povolené hodnoty'!$E$36)),SUM($I215,-$J215,$L215,-$M215,$O215,-$P215,$R215,-$S215),"")</f>
        <v/>
      </c>
      <c r="AR215" s="40" t="str">
        <f>IF(AND($G215='Povolené hodnoty'!$B$13,$H215=AR$4),SUM($I215,$L215,$O215,$R215),"")</f>
        <v/>
      </c>
      <c r="AS215" s="41" t="str">
        <f>IF(AND($G215='Povolené hodnoty'!$B$13,$H215=AS$4),SUM($I215,$L215,$O215,$R215),"")</f>
        <v/>
      </c>
      <c r="AT215" s="39" t="str">
        <f>IF(AND($G215='Povolené hodnoty'!$B$14,$H215=AT$4),SUM($I215,$L215,$O215,$R215),"")</f>
        <v/>
      </c>
      <c r="AU215" s="458" t="str">
        <f>IF(AND($G215='Povolené hodnoty'!$B$14,$H215=AU$4),SUM($I215,$L215,$O215,$R215),"")</f>
        <v/>
      </c>
      <c r="AV215" s="41" t="str">
        <f>IF(AND($G215='Povolené hodnoty'!$B$14,$H215=AV$4),SUM($I215,$L215,$O215,$R215),"")</f>
        <v/>
      </c>
      <c r="AW215" s="39" t="str">
        <f>IF(AND($G215='Povolené hodnoty'!$B$13,$H215=AW$4),SUM($J215,$M215,$P215,$S215),"")</f>
        <v/>
      </c>
      <c r="AX215" s="458" t="str">
        <f>IF(AND($G215='Povolené hodnoty'!$B$13,$H215=AX$4),SUM($J215,$M215,$P215,$S215),"")</f>
        <v/>
      </c>
      <c r="AY215" s="458" t="str">
        <f>IF(AND($G215='Povolené hodnoty'!$B$13,$H215=AY$4),SUM($J215,$M215,$P215,$S215),"")</f>
        <v/>
      </c>
      <c r="AZ215" s="458" t="str">
        <f>IF(AND($G215='Povolené hodnoty'!$B$13,$H215=AZ$4),SUM($J215,$M215,$P215,$S215),"")</f>
        <v/>
      </c>
      <c r="BA215" s="458" t="str">
        <f>IF(AND($G215='Povolené hodnoty'!$B$13,$H215=BA$4),SUM($J215,$M215,$P215,$S215),"")</f>
        <v/>
      </c>
      <c r="BB215" s="40" t="str">
        <f>IF(AND($G215='Povolené hodnoty'!$B$13,$H215=BB$4),SUM($J215,$M215,$P215,$S215),"")</f>
        <v/>
      </c>
      <c r="BC215" s="40" t="str">
        <f>IF(AND($G215='Povolené hodnoty'!$B$13,$H215=BC$4),SUM($J215,$M215,$P215,$S215),"")</f>
        <v/>
      </c>
      <c r="BD215" s="40" t="str">
        <f>IF(AND($G215='Povolené hodnoty'!$B$13,$H215=BD$4),SUM($J215,$M215,$P215,$S215),"")</f>
        <v/>
      </c>
      <c r="BE215" s="41" t="str">
        <f>IF(AND($G215='Povolené hodnoty'!$B$13,$H215=BE$4),SUM($J215,$M215,$P215,$S215),"")</f>
        <v/>
      </c>
      <c r="BF215" s="39" t="str">
        <f>IF(AND($G215='Povolené hodnoty'!$B$14,$H215=BF$4),SUM($J215,$M215,$P215,$S215),"")</f>
        <v/>
      </c>
      <c r="BG215" s="458" t="str">
        <f>IF(AND($G215='Povolené hodnoty'!$B$14,$H215=BG$4),SUM($J215,$M215,$P215,$S215),"")</f>
        <v/>
      </c>
      <c r="BH215" s="458" t="str">
        <f>IF(AND($G215='Povolené hodnoty'!$B$14,$H215=BH$4),SUM($J215,$M215,$P215,$S215),"")</f>
        <v/>
      </c>
      <c r="BI215" s="458" t="str">
        <f>IF(AND($G215='Povolené hodnoty'!$B$14,$H215=BI$4),SUM($J215,$M215,$P215,$S215),"")</f>
        <v/>
      </c>
      <c r="BJ215" s="458" t="str">
        <f>IF(AND($G215='Povolené hodnoty'!$B$14,$H215=BJ$4),SUM($J215,$M215,$P215,$S215),"")</f>
        <v/>
      </c>
      <c r="BK215" s="40" t="str">
        <f>IF(AND($G215='Povolené hodnoty'!$B$14,$H215=BK$4),SUM($J215,$M215,$P215,$S215),"")</f>
        <v/>
      </c>
      <c r="BL215" s="40" t="str">
        <f>IF(AND($G215='Povolené hodnoty'!$B$14,$H215=BL$4),SUM($J215,$M215,$P215,$S215),"")</f>
        <v/>
      </c>
      <c r="BM215" s="41" t="str">
        <f>IF(AND($G215='Povolené hodnoty'!$B$14,$H215=BM$4),SUM($J215,$M215,$P215,$S215),"")</f>
        <v/>
      </c>
      <c r="BO215" s="18" t="b">
        <f t="shared" si="141"/>
        <v>0</v>
      </c>
      <c r="BP215" s="18" t="b">
        <f t="shared" si="112"/>
        <v>0</v>
      </c>
      <c r="BQ215" s="18" t="b">
        <f>AND(E215&lt;&gt;'Povolené hodnoty'!$B$6,F215&lt;&gt;'Povolené hodnoty'!$D$7,F215&lt;&gt;'Povolené hodnoty'!$D$8,OR(SUM(I215,L215,O215,R215)&lt;&gt;SUM(W215:X215,AA215:AG215),SUM(J215,M215,P215,S215)&lt;&gt;SUM(Y215:Z215,AH215:AK215),COUNT(I215:J215,L215:M215,O215:P215,R215:S215)&lt;&gt;COUNT(W215:AK215)))</f>
        <v>0</v>
      </c>
      <c r="BR215" s="18" t="b">
        <f>OR(AND(E215='Povolené hodnoty'!$B$6,$BR$5),AND(E215='Povolené hodnoty'!$B$6,H215&lt;&gt;'Povolené hodnoty'!$E$26,H215&lt;&gt;'Povolené hodnoty'!$E$35),AND(E215&lt;&gt;'Povolené hodnoty'!$B$6,OR(H215='Povolené hodnoty'!$E$26,H215='Povolené hodnoty'!$E$35)))</f>
        <v>0</v>
      </c>
      <c r="BS215" s="18" t="b">
        <f>OR(AND(G215&lt;&gt;'Povolené hodnoty'!$B$13,OR(H215='Povolené hodnoty'!$E$21,H215='Povolené hodnoty'!$E$22,H215='Povolené hodnoty'!$E$23,H215='Povolené hodnoty'!$E$24,H215='Povolené hodnoty'!$E$26,H215='Povolené hodnoty'!$E$36)),COUNT(I215:J215,L215:M215,O215:P215,R215:S215)&lt;&gt;COUNT(AL215:BM215))</f>
        <v>0</v>
      </c>
      <c r="BT215" s="18" t="b">
        <f t="shared" si="113"/>
        <v>0</v>
      </c>
      <c r="BV215" s="39" t="str">
        <f t="shared" si="114"/>
        <v/>
      </c>
      <c r="BW215" s="458" t="str">
        <f t="shared" si="115"/>
        <v/>
      </c>
      <c r="BX215" s="458" t="str">
        <f t="shared" si="116"/>
        <v/>
      </c>
      <c r="BY215" s="458" t="str">
        <f t="shared" si="117"/>
        <v/>
      </c>
      <c r="BZ215" s="458" t="str">
        <f t="shared" si="118"/>
        <v/>
      </c>
      <c r="CA215" s="40" t="str">
        <f t="shared" si="119"/>
        <v/>
      </c>
      <c r="CB215" s="40" t="str">
        <f t="shared" si="120"/>
        <v/>
      </c>
      <c r="CC215" s="39" t="str">
        <f t="shared" si="121"/>
        <v/>
      </c>
      <c r="CD215" s="458" t="str">
        <f t="shared" si="122"/>
        <v/>
      </c>
      <c r="CE215" s="41" t="str">
        <f t="shared" si="123"/>
        <v/>
      </c>
      <c r="CF215" s="39" t="str">
        <f t="shared" si="124"/>
        <v/>
      </c>
      <c r="CG215" s="458" t="str">
        <f t="shared" si="125"/>
        <v/>
      </c>
      <c r="CH215" s="458" t="str">
        <f t="shared" si="126"/>
        <v/>
      </c>
      <c r="CI215" s="458" t="str">
        <f t="shared" si="127"/>
        <v/>
      </c>
      <c r="CJ215" s="458" t="str">
        <f t="shared" si="128"/>
        <v/>
      </c>
      <c r="CK215" s="40" t="str">
        <f t="shared" si="129"/>
        <v/>
      </c>
      <c r="CL215" s="40" t="str">
        <f t="shared" si="130"/>
        <v/>
      </c>
      <c r="CM215" s="40" t="str">
        <f t="shared" si="131"/>
        <v/>
      </c>
      <c r="CN215" s="39" t="str">
        <f t="shared" si="132"/>
        <v/>
      </c>
      <c r="CO215" s="458" t="str">
        <f t="shared" si="133"/>
        <v/>
      </c>
      <c r="CP215" s="458" t="str">
        <f t="shared" si="134"/>
        <v/>
      </c>
      <c r="CQ215" s="458" t="str">
        <f t="shared" si="135"/>
        <v/>
      </c>
      <c r="CR215" s="458" t="str">
        <f t="shared" si="136"/>
        <v/>
      </c>
      <c r="CS215" s="40" t="str">
        <f t="shared" si="137"/>
        <v/>
      </c>
      <c r="CT215" s="40" t="str">
        <f t="shared" si="138"/>
        <v/>
      </c>
      <c r="CU215" s="41" t="str">
        <f t="shared" si="139"/>
        <v/>
      </c>
    </row>
    <row r="216" spans="1:99" x14ac:dyDescent="0.2">
      <c r="A216" s="77">
        <f t="shared" si="140"/>
        <v>211</v>
      </c>
      <c r="B216" s="81"/>
      <c r="C216" s="82"/>
      <c r="D216" s="71"/>
      <c r="E216" s="72"/>
      <c r="F216" s="73"/>
      <c r="G216" s="443"/>
      <c r="H216" s="443"/>
      <c r="I216" s="74"/>
      <c r="J216" s="75"/>
      <c r="K216" s="41">
        <f t="shared" si="109"/>
        <v>3625</v>
      </c>
      <c r="L216" s="104"/>
      <c r="M216" s="105"/>
      <c r="N216" s="106">
        <f t="shared" si="110"/>
        <v>537.05999999999995</v>
      </c>
      <c r="O216" s="104"/>
      <c r="P216" s="105"/>
      <c r="Q216" s="106">
        <f t="shared" si="142"/>
        <v>10045.83</v>
      </c>
      <c r="R216" s="104"/>
      <c r="S216" s="105"/>
      <c r="T216" s="106">
        <f t="shared" si="143"/>
        <v>0</v>
      </c>
      <c r="U216" s="439"/>
      <c r="V216" s="42">
        <f t="shared" si="111"/>
        <v>211</v>
      </c>
      <c r="W216" s="39" t="str">
        <f>IF(AND(E216='Povolené hodnoty'!$B$4,F216=2),I216+L216+O216+R216,"")</f>
        <v/>
      </c>
      <c r="X216" s="41" t="str">
        <f>IF(AND(E216='Povolené hodnoty'!$B$4,F216=1),I216+L216+O216+R216,"")</f>
        <v/>
      </c>
      <c r="Y216" s="39" t="str">
        <f>IF(AND(E216='Povolené hodnoty'!$B$4,F216=10),J216+M216+P216+S216,"")</f>
        <v/>
      </c>
      <c r="Z216" s="41" t="str">
        <f>IF(AND(E216='Povolené hodnoty'!$B$4,F216=9),J216+M216+P216+S216,"")</f>
        <v/>
      </c>
      <c r="AA216" s="39" t="str">
        <f>IF(AND(E216&lt;&gt;'Povolené hodnoty'!$B$4,F216=2),I216+L216+O216+R216,"")</f>
        <v/>
      </c>
      <c r="AB216" s="40" t="str">
        <f>IF(AND(E216&lt;&gt;'Povolené hodnoty'!$B$4,F216=3),I216+L216+O216+R216,"")</f>
        <v/>
      </c>
      <c r="AC216" s="40" t="str">
        <f>IF(AND(E216&lt;&gt;'Povolené hodnoty'!$B$4,F216=4),I216+L216+O216+R216,"")</f>
        <v/>
      </c>
      <c r="AD216" s="40" t="str">
        <f>IF(AND(E216&lt;&gt;'Povolené hodnoty'!$B$4,F216="5a"),I216-J216+L216-M216+O216-P216+R216-S216,"")</f>
        <v/>
      </c>
      <c r="AE216" s="40" t="str">
        <f>IF(AND(E216&lt;&gt;'Povolené hodnoty'!$B$4,F216="5b"),I216-J216+L216-M216+O216-P216+R216-S216,"")</f>
        <v/>
      </c>
      <c r="AF216" s="40" t="str">
        <f>IF(AND(E216&lt;&gt;'Povolené hodnoty'!$B$4,F216=6),I216+L216+O216+R216,"")</f>
        <v/>
      </c>
      <c r="AG216" s="41" t="str">
        <f>IF(AND(E216&lt;&gt;'Povolené hodnoty'!$B$4,F216=7),I216+L216+O216+R216,"")</f>
        <v/>
      </c>
      <c r="AH216" s="39" t="str">
        <f>IF(AND(E216&lt;&gt;'Povolené hodnoty'!$B$4,F216=10),J216+M216+P216+S216,"")</f>
        <v/>
      </c>
      <c r="AI216" s="40" t="str">
        <f>IF(AND(E216&lt;&gt;'Povolené hodnoty'!$B$4,F216=11),J216+M216+P216+S216,"")</f>
        <v/>
      </c>
      <c r="AJ216" s="40" t="str">
        <f>IF(AND(E216&lt;&gt;'Povolené hodnoty'!$B$4,F216=12),J216+M216+P216+S216,"")</f>
        <v/>
      </c>
      <c r="AK216" s="41" t="str">
        <f>IF(AND(E216&lt;&gt;'Povolené hodnoty'!$B$4,F216=13),J216+M216+P216+S216,"")</f>
        <v/>
      </c>
      <c r="AL216" s="39" t="str">
        <f>IF(AND($G216='Povolené hodnoty'!$B$13,$H216=AL$4),SUM($I216,$L216,$O216,$R216),"")</f>
        <v/>
      </c>
      <c r="AM216" s="458" t="str">
        <f>IF(AND($G216='Povolené hodnoty'!$B$13,$H216=AM$4),SUM($I216,$L216,$O216,$R216),"")</f>
        <v/>
      </c>
      <c r="AN216" s="458" t="str">
        <f>IF(AND($G216='Povolené hodnoty'!$B$13,$H216=AN$4),SUM($I216,$L216,$O216,$R216),"")</f>
        <v/>
      </c>
      <c r="AO216" s="458" t="str">
        <f>IF(AND($G216='Povolené hodnoty'!$B$13,$H216=AO$4),SUM($I216,$L216,$O216,$R216),"")</f>
        <v/>
      </c>
      <c r="AP216" s="458" t="str">
        <f>IF(AND($G216='Povolené hodnoty'!$B$13,$H216=AP$4),SUM($I216,$L216,$O216,$R216),"")</f>
        <v/>
      </c>
      <c r="AQ216" s="40" t="str">
        <f>IF(AND($G216='Povolené hodnoty'!$B$13,OR($H216=AQ$4,$H216='Povolené hodnoty'!$E$36)),SUM($I216,-$J216,$L216,-$M216,$O216,-$P216,$R216,-$S216),"")</f>
        <v/>
      </c>
      <c r="AR216" s="40" t="str">
        <f>IF(AND($G216='Povolené hodnoty'!$B$13,$H216=AR$4),SUM($I216,$L216,$O216,$R216),"")</f>
        <v/>
      </c>
      <c r="AS216" s="41" t="str">
        <f>IF(AND($G216='Povolené hodnoty'!$B$13,$H216=AS$4),SUM($I216,$L216,$O216,$R216),"")</f>
        <v/>
      </c>
      <c r="AT216" s="39" t="str">
        <f>IF(AND($G216='Povolené hodnoty'!$B$14,$H216=AT$4),SUM($I216,$L216,$O216,$R216),"")</f>
        <v/>
      </c>
      <c r="AU216" s="458" t="str">
        <f>IF(AND($G216='Povolené hodnoty'!$B$14,$H216=AU$4),SUM($I216,$L216,$O216,$R216),"")</f>
        <v/>
      </c>
      <c r="AV216" s="41" t="str">
        <f>IF(AND($G216='Povolené hodnoty'!$B$14,$H216=AV$4),SUM($I216,$L216,$O216,$R216),"")</f>
        <v/>
      </c>
      <c r="AW216" s="39" t="str">
        <f>IF(AND($G216='Povolené hodnoty'!$B$13,$H216=AW$4),SUM($J216,$M216,$P216,$S216),"")</f>
        <v/>
      </c>
      <c r="AX216" s="458" t="str">
        <f>IF(AND($G216='Povolené hodnoty'!$B$13,$H216=AX$4),SUM($J216,$M216,$P216,$S216),"")</f>
        <v/>
      </c>
      <c r="AY216" s="458" t="str">
        <f>IF(AND($G216='Povolené hodnoty'!$B$13,$H216=AY$4),SUM($J216,$M216,$P216,$S216),"")</f>
        <v/>
      </c>
      <c r="AZ216" s="458" t="str">
        <f>IF(AND($G216='Povolené hodnoty'!$B$13,$H216=AZ$4),SUM($J216,$M216,$P216,$S216),"")</f>
        <v/>
      </c>
      <c r="BA216" s="458" t="str">
        <f>IF(AND($G216='Povolené hodnoty'!$B$13,$H216=BA$4),SUM($J216,$M216,$P216,$S216),"")</f>
        <v/>
      </c>
      <c r="BB216" s="40" t="str">
        <f>IF(AND($G216='Povolené hodnoty'!$B$13,$H216=BB$4),SUM($J216,$M216,$P216,$S216),"")</f>
        <v/>
      </c>
      <c r="BC216" s="40" t="str">
        <f>IF(AND($G216='Povolené hodnoty'!$B$13,$H216=BC$4),SUM($J216,$M216,$P216,$S216),"")</f>
        <v/>
      </c>
      <c r="BD216" s="40" t="str">
        <f>IF(AND($G216='Povolené hodnoty'!$B$13,$H216=BD$4),SUM($J216,$M216,$P216,$S216),"")</f>
        <v/>
      </c>
      <c r="BE216" s="41" t="str">
        <f>IF(AND($G216='Povolené hodnoty'!$B$13,$H216=BE$4),SUM($J216,$M216,$P216,$S216),"")</f>
        <v/>
      </c>
      <c r="BF216" s="39" t="str">
        <f>IF(AND($G216='Povolené hodnoty'!$B$14,$H216=BF$4),SUM($J216,$M216,$P216,$S216),"")</f>
        <v/>
      </c>
      <c r="BG216" s="458" t="str">
        <f>IF(AND($G216='Povolené hodnoty'!$B$14,$H216=BG$4),SUM($J216,$M216,$P216,$S216),"")</f>
        <v/>
      </c>
      <c r="BH216" s="458" t="str">
        <f>IF(AND($G216='Povolené hodnoty'!$B$14,$H216=BH$4),SUM($J216,$M216,$P216,$S216),"")</f>
        <v/>
      </c>
      <c r="BI216" s="458" t="str">
        <f>IF(AND($G216='Povolené hodnoty'!$B$14,$H216=BI$4),SUM($J216,$M216,$P216,$S216),"")</f>
        <v/>
      </c>
      <c r="BJ216" s="458" t="str">
        <f>IF(AND($G216='Povolené hodnoty'!$B$14,$H216=BJ$4),SUM($J216,$M216,$P216,$S216),"")</f>
        <v/>
      </c>
      <c r="BK216" s="40" t="str">
        <f>IF(AND($G216='Povolené hodnoty'!$B$14,$H216=BK$4),SUM($J216,$M216,$P216,$S216),"")</f>
        <v/>
      </c>
      <c r="BL216" s="40" t="str">
        <f>IF(AND($G216='Povolené hodnoty'!$B$14,$H216=BL$4),SUM($J216,$M216,$P216,$S216),"")</f>
        <v/>
      </c>
      <c r="BM216" s="41" t="str">
        <f>IF(AND($G216='Povolené hodnoty'!$B$14,$H216=BM$4),SUM($J216,$M216,$P216,$S216),"")</f>
        <v/>
      </c>
      <c r="BO216" s="18" t="b">
        <f t="shared" si="141"/>
        <v>0</v>
      </c>
      <c r="BP216" s="18" t="b">
        <f t="shared" si="112"/>
        <v>0</v>
      </c>
      <c r="BQ216" s="18" t="b">
        <f>AND(E216&lt;&gt;'Povolené hodnoty'!$B$6,F216&lt;&gt;'Povolené hodnoty'!$D$7,F216&lt;&gt;'Povolené hodnoty'!$D$8,OR(SUM(I216,L216,O216,R216)&lt;&gt;SUM(W216:X216,AA216:AG216),SUM(J216,M216,P216,S216)&lt;&gt;SUM(Y216:Z216,AH216:AK216),COUNT(I216:J216,L216:M216,O216:P216,R216:S216)&lt;&gt;COUNT(W216:AK216)))</f>
        <v>0</v>
      </c>
      <c r="BR216" s="18" t="b">
        <f>OR(AND(E216='Povolené hodnoty'!$B$6,$BR$5),AND(E216='Povolené hodnoty'!$B$6,H216&lt;&gt;'Povolené hodnoty'!$E$26,H216&lt;&gt;'Povolené hodnoty'!$E$35),AND(E216&lt;&gt;'Povolené hodnoty'!$B$6,OR(H216='Povolené hodnoty'!$E$26,H216='Povolené hodnoty'!$E$35)))</f>
        <v>0</v>
      </c>
      <c r="BS216" s="18" t="b">
        <f>OR(AND(G216&lt;&gt;'Povolené hodnoty'!$B$13,OR(H216='Povolené hodnoty'!$E$21,H216='Povolené hodnoty'!$E$22,H216='Povolené hodnoty'!$E$23,H216='Povolené hodnoty'!$E$24,H216='Povolené hodnoty'!$E$26,H216='Povolené hodnoty'!$E$36)),COUNT(I216:J216,L216:M216,O216:P216,R216:S216)&lt;&gt;COUNT(AL216:BM216))</f>
        <v>0</v>
      </c>
      <c r="BT216" s="18" t="b">
        <f t="shared" si="113"/>
        <v>0</v>
      </c>
      <c r="BV216" s="39" t="str">
        <f t="shared" si="114"/>
        <v/>
      </c>
      <c r="BW216" s="458" t="str">
        <f t="shared" si="115"/>
        <v/>
      </c>
      <c r="BX216" s="458" t="str">
        <f t="shared" si="116"/>
        <v/>
      </c>
      <c r="BY216" s="458" t="str">
        <f t="shared" si="117"/>
        <v/>
      </c>
      <c r="BZ216" s="458" t="str">
        <f t="shared" si="118"/>
        <v/>
      </c>
      <c r="CA216" s="40" t="str">
        <f t="shared" si="119"/>
        <v/>
      </c>
      <c r="CB216" s="40" t="str">
        <f t="shared" si="120"/>
        <v/>
      </c>
      <c r="CC216" s="39" t="str">
        <f t="shared" si="121"/>
        <v/>
      </c>
      <c r="CD216" s="458" t="str">
        <f t="shared" si="122"/>
        <v/>
      </c>
      <c r="CE216" s="41" t="str">
        <f t="shared" si="123"/>
        <v/>
      </c>
      <c r="CF216" s="39" t="str">
        <f t="shared" si="124"/>
        <v/>
      </c>
      <c r="CG216" s="458" t="str">
        <f t="shared" si="125"/>
        <v/>
      </c>
      <c r="CH216" s="458" t="str">
        <f t="shared" si="126"/>
        <v/>
      </c>
      <c r="CI216" s="458" t="str">
        <f t="shared" si="127"/>
        <v/>
      </c>
      <c r="CJ216" s="458" t="str">
        <f t="shared" si="128"/>
        <v/>
      </c>
      <c r="CK216" s="40" t="str">
        <f t="shared" si="129"/>
        <v/>
      </c>
      <c r="CL216" s="40" t="str">
        <f t="shared" si="130"/>
        <v/>
      </c>
      <c r="CM216" s="40" t="str">
        <f t="shared" si="131"/>
        <v/>
      </c>
      <c r="CN216" s="39" t="str">
        <f t="shared" si="132"/>
        <v/>
      </c>
      <c r="CO216" s="458" t="str">
        <f t="shared" si="133"/>
        <v/>
      </c>
      <c r="CP216" s="458" t="str">
        <f t="shared" si="134"/>
        <v/>
      </c>
      <c r="CQ216" s="458" t="str">
        <f t="shared" si="135"/>
        <v/>
      </c>
      <c r="CR216" s="458" t="str">
        <f t="shared" si="136"/>
        <v/>
      </c>
      <c r="CS216" s="40" t="str">
        <f t="shared" si="137"/>
        <v/>
      </c>
      <c r="CT216" s="40" t="str">
        <f t="shared" si="138"/>
        <v/>
      </c>
      <c r="CU216" s="41" t="str">
        <f t="shared" si="139"/>
        <v/>
      </c>
    </row>
    <row r="217" spans="1:99" x14ac:dyDescent="0.2">
      <c r="A217" s="77">
        <f t="shared" si="140"/>
        <v>212</v>
      </c>
      <c r="B217" s="81"/>
      <c r="C217" s="82"/>
      <c r="D217" s="71"/>
      <c r="E217" s="72"/>
      <c r="F217" s="73"/>
      <c r="G217" s="443"/>
      <c r="H217" s="443"/>
      <c r="I217" s="74"/>
      <c r="J217" s="75"/>
      <c r="K217" s="41">
        <f t="shared" si="109"/>
        <v>3625</v>
      </c>
      <c r="L217" s="104"/>
      <c r="M217" s="105"/>
      <c r="N217" s="106">
        <f t="shared" si="110"/>
        <v>537.05999999999995</v>
      </c>
      <c r="O217" s="104"/>
      <c r="P217" s="105"/>
      <c r="Q217" s="106">
        <f t="shared" si="142"/>
        <v>10045.83</v>
      </c>
      <c r="R217" s="104"/>
      <c r="S217" s="105"/>
      <c r="T217" s="106">
        <f t="shared" si="143"/>
        <v>0</v>
      </c>
      <c r="U217" s="439"/>
      <c r="V217" s="42">
        <f t="shared" si="111"/>
        <v>212</v>
      </c>
      <c r="W217" s="39" t="str">
        <f>IF(AND(E217='Povolené hodnoty'!$B$4,F217=2),I217+L217+O217+R217,"")</f>
        <v/>
      </c>
      <c r="X217" s="41" t="str">
        <f>IF(AND(E217='Povolené hodnoty'!$B$4,F217=1),I217+L217+O217+R217,"")</f>
        <v/>
      </c>
      <c r="Y217" s="39" t="str">
        <f>IF(AND(E217='Povolené hodnoty'!$B$4,F217=10),J217+M217+P217+S217,"")</f>
        <v/>
      </c>
      <c r="Z217" s="41" t="str">
        <f>IF(AND(E217='Povolené hodnoty'!$B$4,F217=9),J217+M217+P217+S217,"")</f>
        <v/>
      </c>
      <c r="AA217" s="39" t="str">
        <f>IF(AND(E217&lt;&gt;'Povolené hodnoty'!$B$4,F217=2),I217+L217+O217+R217,"")</f>
        <v/>
      </c>
      <c r="AB217" s="40" t="str">
        <f>IF(AND(E217&lt;&gt;'Povolené hodnoty'!$B$4,F217=3),I217+L217+O217+R217,"")</f>
        <v/>
      </c>
      <c r="AC217" s="40" t="str">
        <f>IF(AND(E217&lt;&gt;'Povolené hodnoty'!$B$4,F217=4),I217+L217+O217+R217,"")</f>
        <v/>
      </c>
      <c r="AD217" s="40" t="str">
        <f>IF(AND(E217&lt;&gt;'Povolené hodnoty'!$B$4,F217="5a"),I217-J217+L217-M217+O217-P217+R217-S217,"")</f>
        <v/>
      </c>
      <c r="AE217" s="40" t="str">
        <f>IF(AND(E217&lt;&gt;'Povolené hodnoty'!$B$4,F217="5b"),I217-J217+L217-M217+O217-P217+R217-S217,"")</f>
        <v/>
      </c>
      <c r="AF217" s="40" t="str">
        <f>IF(AND(E217&lt;&gt;'Povolené hodnoty'!$B$4,F217=6),I217+L217+O217+R217,"")</f>
        <v/>
      </c>
      <c r="AG217" s="41" t="str">
        <f>IF(AND(E217&lt;&gt;'Povolené hodnoty'!$B$4,F217=7),I217+L217+O217+R217,"")</f>
        <v/>
      </c>
      <c r="AH217" s="39" t="str">
        <f>IF(AND(E217&lt;&gt;'Povolené hodnoty'!$B$4,F217=10),J217+M217+P217+S217,"")</f>
        <v/>
      </c>
      <c r="AI217" s="40" t="str">
        <f>IF(AND(E217&lt;&gt;'Povolené hodnoty'!$B$4,F217=11),J217+M217+P217+S217,"")</f>
        <v/>
      </c>
      <c r="AJ217" s="40" t="str">
        <f>IF(AND(E217&lt;&gt;'Povolené hodnoty'!$B$4,F217=12),J217+M217+P217+S217,"")</f>
        <v/>
      </c>
      <c r="AK217" s="41" t="str">
        <f>IF(AND(E217&lt;&gt;'Povolené hodnoty'!$B$4,F217=13),J217+M217+P217+S217,"")</f>
        <v/>
      </c>
      <c r="AL217" s="39" t="str">
        <f>IF(AND($G217='Povolené hodnoty'!$B$13,$H217=AL$4),SUM($I217,$L217,$O217,$R217),"")</f>
        <v/>
      </c>
      <c r="AM217" s="458" t="str">
        <f>IF(AND($G217='Povolené hodnoty'!$B$13,$H217=AM$4),SUM($I217,$L217,$O217,$R217),"")</f>
        <v/>
      </c>
      <c r="AN217" s="458" t="str">
        <f>IF(AND($G217='Povolené hodnoty'!$B$13,$H217=AN$4),SUM($I217,$L217,$O217,$R217),"")</f>
        <v/>
      </c>
      <c r="AO217" s="458" t="str">
        <f>IF(AND($G217='Povolené hodnoty'!$B$13,$H217=AO$4),SUM($I217,$L217,$O217,$R217),"")</f>
        <v/>
      </c>
      <c r="AP217" s="458" t="str">
        <f>IF(AND($G217='Povolené hodnoty'!$B$13,$H217=AP$4),SUM($I217,$L217,$O217,$R217),"")</f>
        <v/>
      </c>
      <c r="AQ217" s="40" t="str">
        <f>IF(AND($G217='Povolené hodnoty'!$B$13,OR($H217=AQ$4,$H217='Povolené hodnoty'!$E$36)),SUM($I217,-$J217,$L217,-$M217,$O217,-$P217,$R217,-$S217),"")</f>
        <v/>
      </c>
      <c r="AR217" s="40" t="str">
        <f>IF(AND($G217='Povolené hodnoty'!$B$13,$H217=AR$4),SUM($I217,$L217,$O217,$R217),"")</f>
        <v/>
      </c>
      <c r="AS217" s="41" t="str">
        <f>IF(AND($G217='Povolené hodnoty'!$B$13,$H217=AS$4),SUM($I217,$L217,$O217,$R217),"")</f>
        <v/>
      </c>
      <c r="AT217" s="39" t="str">
        <f>IF(AND($G217='Povolené hodnoty'!$B$14,$H217=AT$4),SUM($I217,$L217,$O217,$R217),"")</f>
        <v/>
      </c>
      <c r="AU217" s="458" t="str">
        <f>IF(AND($G217='Povolené hodnoty'!$B$14,$H217=AU$4),SUM($I217,$L217,$O217,$R217),"")</f>
        <v/>
      </c>
      <c r="AV217" s="41" t="str">
        <f>IF(AND($G217='Povolené hodnoty'!$B$14,$H217=AV$4),SUM($I217,$L217,$O217,$R217),"")</f>
        <v/>
      </c>
      <c r="AW217" s="39" t="str">
        <f>IF(AND($G217='Povolené hodnoty'!$B$13,$H217=AW$4),SUM($J217,$M217,$P217,$S217),"")</f>
        <v/>
      </c>
      <c r="AX217" s="458" t="str">
        <f>IF(AND($G217='Povolené hodnoty'!$B$13,$H217=AX$4),SUM($J217,$M217,$P217,$S217),"")</f>
        <v/>
      </c>
      <c r="AY217" s="458" t="str">
        <f>IF(AND($G217='Povolené hodnoty'!$B$13,$H217=AY$4),SUM($J217,$M217,$P217,$S217),"")</f>
        <v/>
      </c>
      <c r="AZ217" s="458" t="str">
        <f>IF(AND($G217='Povolené hodnoty'!$B$13,$H217=AZ$4),SUM($J217,$M217,$P217,$S217),"")</f>
        <v/>
      </c>
      <c r="BA217" s="458" t="str">
        <f>IF(AND($G217='Povolené hodnoty'!$B$13,$H217=BA$4),SUM($J217,$M217,$P217,$S217),"")</f>
        <v/>
      </c>
      <c r="BB217" s="40" t="str">
        <f>IF(AND($G217='Povolené hodnoty'!$B$13,$H217=BB$4),SUM($J217,$M217,$P217,$S217),"")</f>
        <v/>
      </c>
      <c r="BC217" s="40" t="str">
        <f>IF(AND($G217='Povolené hodnoty'!$B$13,$H217=BC$4),SUM($J217,$M217,$P217,$S217),"")</f>
        <v/>
      </c>
      <c r="BD217" s="40" t="str">
        <f>IF(AND($G217='Povolené hodnoty'!$B$13,$H217=BD$4),SUM($J217,$M217,$P217,$S217),"")</f>
        <v/>
      </c>
      <c r="BE217" s="41" t="str">
        <f>IF(AND($G217='Povolené hodnoty'!$B$13,$H217=BE$4),SUM($J217,$M217,$P217,$S217),"")</f>
        <v/>
      </c>
      <c r="BF217" s="39" t="str">
        <f>IF(AND($G217='Povolené hodnoty'!$B$14,$H217=BF$4),SUM($J217,$M217,$P217,$S217),"")</f>
        <v/>
      </c>
      <c r="BG217" s="458" t="str">
        <f>IF(AND($G217='Povolené hodnoty'!$B$14,$H217=BG$4),SUM($J217,$M217,$P217,$S217),"")</f>
        <v/>
      </c>
      <c r="BH217" s="458" t="str">
        <f>IF(AND($G217='Povolené hodnoty'!$B$14,$H217=BH$4),SUM($J217,$M217,$P217,$S217),"")</f>
        <v/>
      </c>
      <c r="BI217" s="458" t="str">
        <f>IF(AND($G217='Povolené hodnoty'!$B$14,$H217=BI$4),SUM($J217,$M217,$P217,$S217),"")</f>
        <v/>
      </c>
      <c r="BJ217" s="458" t="str">
        <f>IF(AND($G217='Povolené hodnoty'!$B$14,$H217=BJ$4),SUM($J217,$M217,$P217,$S217),"")</f>
        <v/>
      </c>
      <c r="BK217" s="40" t="str">
        <f>IF(AND($G217='Povolené hodnoty'!$B$14,$H217=BK$4),SUM($J217,$M217,$P217,$S217),"")</f>
        <v/>
      </c>
      <c r="BL217" s="40" t="str">
        <f>IF(AND($G217='Povolené hodnoty'!$B$14,$H217=BL$4),SUM($J217,$M217,$P217,$S217),"")</f>
        <v/>
      </c>
      <c r="BM217" s="41" t="str">
        <f>IF(AND($G217='Povolené hodnoty'!$B$14,$H217=BM$4),SUM($J217,$M217,$P217,$S217),"")</f>
        <v/>
      </c>
      <c r="BO217" s="18" t="b">
        <f t="shared" si="141"/>
        <v>0</v>
      </c>
      <c r="BP217" s="18" t="b">
        <f t="shared" si="112"/>
        <v>0</v>
      </c>
      <c r="BQ217" s="18" t="b">
        <f>AND(E217&lt;&gt;'Povolené hodnoty'!$B$6,F217&lt;&gt;'Povolené hodnoty'!$D$7,F217&lt;&gt;'Povolené hodnoty'!$D$8,OR(SUM(I217,L217,O217,R217)&lt;&gt;SUM(W217:X217,AA217:AG217),SUM(J217,M217,P217,S217)&lt;&gt;SUM(Y217:Z217,AH217:AK217),COUNT(I217:J217,L217:M217,O217:P217,R217:S217)&lt;&gt;COUNT(W217:AK217)))</f>
        <v>0</v>
      </c>
      <c r="BR217" s="18" t="b">
        <f>OR(AND(E217='Povolené hodnoty'!$B$6,$BR$5),AND(E217='Povolené hodnoty'!$B$6,H217&lt;&gt;'Povolené hodnoty'!$E$26,H217&lt;&gt;'Povolené hodnoty'!$E$35),AND(E217&lt;&gt;'Povolené hodnoty'!$B$6,OR(H217='Povolené hodnoty'!$E$26,H217='Povolené hodnoty'!$E$35)))</f>
        <v>0</v>
      </c>
      <c r="BS217" s="18" t="b">
        <f>OR(AND(G217&lt;&gt;'Povolené hodnoty'!$B$13,OR(H217='Povolené hodnoty'!$E$21,H217='Povolené hodnoty'!$E$22,H217='Povolené hodnoty'!$E$23,H217='Povolené hodnoty'!$E$24,H217='Povolené hodnoty'!$E$26,H217='Povolené hodnoty'!$E$36)),COUNT(I217:J217,L217:M217,O217:P217,R217:S217)&lt;&gt;COUNT(AL217:BM217))</f>
        <v>0</v>
      </c>
      <c r="BT217" s="18" t="b">
        <f t="shared" si="113"/>
        <v>0</v>
      </c>
      <c r="BV217" s="39" t="str">
        <f t="shared" si="114"/>
        <v/>
      </c>
      <c r="BW217" s="458" t="str">
        <f t="shared" si="115"/>
        <v/>
      </c>
      <c r="BX217" s="458" t="str">
        <f t="shared" si="116"/>
        <v/>
      </c>
      <c r="BY217" s="458" t="str">
        <f t="shared" si="117"/>
        <v/>
      </c>
      <c r="BZ217" s="458" t="str">
        <f t="shared" si="118"/>
        <v/>
      </c>
      <c r="CA217" s="40" t="str">
        <f t="shared" si="119"/>
        <v/>
      </c>
      <c r="CB217" s="40" t="str">
        <f t="shared" si="120"/>
        <v/>
      </c>
      <c r="CC217" s="39" t="str">
        <f t="shared" si="121"/>
        <v/>
      </c>
      <c r="CD217" s="458" t="str">
        <f t="shared" si="122"/>
        <v/>
      </c>
      <c r="CE217" s="41" t="str">
        <f t="shared" si="123"/>
        <v/>
      </c>
      <c r="CF217" s="39" t="str">
        <f t="shared" si="124"/>
        <v/>
      </c>
      <c r="CG217" s="458" t="str">
        <f t="shared" si="125"/>
        <v/>
      </c>
      <c r="CH217" s="458" t="str">
        <f t="shared" si="126"/>
        <v/>
      </c>
      <c r="CI217" s="458" t="str">
        <f t="shared" si="127"/>
        <v/>
      </c>
      <c r="CJ217" s="458" t="str">
        <f t="shared" si="128"/>
        <v/>
      </c>
      <c r="CK217" s="40" t="str">
        <f t="shared" si="129"/>
        <v/>
      </c>
      <c r="CL217" s="40" t="str">
        <f t="shared" si="130"/>
        <v/>
      </c>
      <c r="CM217" s="40" t="str">
        <f t="shared" si="131"/>
        <v/>
      </c>
      <c r="CN217" s="39" t="str">
        <f t="shared" si="132"/>
        <v/>
      </c>
      <c r="CO217" s="458" t="str">
        <f t="shared" si="133"/>
        <v/>
      </c>
      <c r="CP217" s="458" t="str">
        <f t="shared" si="134"/>
        <v/>
      </c>
      <c r="CQ217" s="458" t="str">
        <f t="shared" si="135"/>
        <v/>
      </c>
      <c r="CR217" s="458" t="str">
        <f t="shared" si="136"/>
        <v/>
      </c>
      <c r="CS217" s="40" t="str">
        <f t="shared" si="137"/>
        <v/>
      </c>
      <c r="CT217" s="40" t="str">
        <f t="shared" si="138"/>
        <v/>
      </c>
      <c r="CU217" s="41" t="str">
        <f t="shared" si="139"/>
        <v/>
      </c>
    </row>
    <row r="218" spans="1:99" x14ac:dyDescent="0.2">
      <c r="A218" s="77">
        <f t="shared" si="140"/>
        <v>213</v>
      </c>
      <c r="B218" s="81"/>
      <c r="C218" s="82"/>
      <c r="D218" s="71"/>
      <c r="E218" s="72"/>
      <c r="F218" s="73"/>
      <c r="G218" s="443"/>
      <c r="H218" s="443"/>
      <c r="I218" s="74"/>
      <c r="J218" s="75"/>
      <c r="K218" s="41">
        <f t="shared" si="109"/>
        <v>3625</v>
      </c>
      <c r="L218" s="104"/>
      <c r="M218" s="105"/>
      <c r="N218" s="106">
        <f t="shared" si="110"/>
        <v>537.05999999999995</v>
      </c>
      <c r="O218" s="104"/>
      <c r="P218" s="105"/>
      <c r="Q218" s="106">
        <f t="shared" si="142"/>
        <v>10045.83</v>
      </c>
      <c r="R218" s="104"/>
      <c r="S218" s="105"/>
      <c r="T218" s="106">
        <f t="shared" si="143"/>
        <v>0</v>
      </c>
      <c r="U218" s="439"/>
      <c r="V218" s="42">
        <f t="shared" si="111"/>
        <v>213</v>
      </c>
      <c r="W218" s="39" t="str">
        <f>IF(AND(E218='Povolené hodnoty'!$B$4,F218=2),I218+L218+O218+R218,"")</f>
        <v/>
      </c>
      <c r="X218" s="41" t="str">
        <f>IF(AND(E218='Povolené hodnoty'!$B$4,F218=1),I218+L218+O218+R218,"")</f>
        <v/>
      </c>
      <c r="Y218" s="39" t="str">
        <f>IF(AND(E218='Povolené hodnoty'!$B$4,F218=10),J218+M218+P218+S218,"")</f>
        <v/>
      </c>
      <c r="Z218" s="41" t="str">
        <f>IF(AND(E218='Povolené hodnoty'!$B$4,F218=9),J218+M218+P218+S218,"")</f>
        <v/>
      </c>
      <c r="AA218" s="39" t="str">
        <f>IF(AND(E218&lt;&gt;'Povolené hodnoty'!$B$4,F218=2),I218+L218+O218+R218,"")</f>
        <v/>
      </c>
      <c r="AB218" s="40" t="str">
        <f>IF(AND(E218&lt;&gt;'Povolené hodnoty'!$B$4,F218=3),I218+L218+O218+R218,"")</f>
        <v/>
      </c>
      <c r="AC218" s="40" t="str">
        <f>IF(AND(E218&lt;&gt;'Povolené hodnoty'!$B$4,F218=4),I218+L218+O218+R218,"")</f>
        <v/>
      </c>
      <c r="AD218" s="40" t="str">
        <f>IF(AND(E218&lt;&gt;'Povolené hodnoty'!$B$4,F218="5a"),I218-J218+L218-M218+O218-P218+R218-S218,"")</f>
        <v/>
      </c>
      <c r="AE218" s="40" t="str">
        <f>IF(AND(E218&lt;&gt;'Povolené hodnoty'!$B$4,F218="5b"),I218-J218+L218-M218+O218-P218+R218-S218,"")</f>
        <v/>
      </c>
      <c r="AF218" s="40" t="str">
        <f>IF(AND(E218&lt;&gt;'Povolené hodnoty'!$B$4,F218=6),I218+L218+O218+R218,"")</f>
        <v/>
      </c>
      <c r="AG218" s="41" t="str">
        <f>IF(AND(E218&lt;&gt;'Povolené hodnoty'!$B$4,F218=7),I218+L218+O218+R218,"")</f>
        <v/>
      </c>
      <c r="AH218" s="39" t="str">
        <f>IF(AND(E218&lt;&gt;'Povolené hodnoty'!$B$4,F218=10),J218+M218+P218+S218,"")</f>
        <v/>
      </c>
      <c r="AI218" s="40" t="str">
        <f>IF(AND(E218&lt;&gt;'Povolené hodnoty'!$B$4,F218=11),J218+M218+P218+S218,"")</f>
        <v/>
      </c>
      <c r="AJ218" s="40" t="str">
        <f>IF(AND(E218&lt;&gt;'Povolené hodnoty'!$B$4,F218=12),J218+M218+P218+S218,"")</f>
        <v/>
      </c>
      <c r="AK218" s="41" t="str">
        <f>IF(AND(E218&lt;&gt;'Povolené hodnoty'!$B$4,F218=13),J218+M218+P218+S218,"")</f>
        <v/>
      </c>
      <c r="AL218" s="39" t="str">
        <f>IF(AND($G218='Povolené hodnoty'!$B$13,$H218=AL$4),SUM($I218,$L218,$O218,$R218),"")</f>
        <v/>
      </c>
      <c r="AM218" s="458" t="str">
        <f>IF(AND($G218='Povolené hodnoty'!$B$13,$H218=AM$4),SUM($I218,$L218,$O218,$R218),"")</f>
        <v/>
      </c>
      <c r="AN218" s="458" t="str">
        <f>IF(AND($G218='Povolené hodnoty'!$B$13,$H218=AN$4),SUM($I218,$L218,$O218,$R218),"")</f>
        <v/>
      </c>
      <c r="AO218" s="458" t="str">
        <f>IF(AND($G218='Povolené hodnoty'!$B$13,$H218=AO$4),SUM($I218,$L218,$O218,$R218),"")</f>
        <v/>
      </c>
      <c r="AP218" s="458" t="str">
        <f>IF(AND($G218='Povolené hodnoty'!$B$13,$H218=AP$4),SUM($I218,$L218,$O218,$R218),"")</f>
        <v/>
      </c>
      <c r="AQ218" s="40" t="str">
        <f>IF(AND($G218='Povolené hodnoty'!$B$13,OR($H218=AQ$4,$H218='Povolené hodnoty'!$E$36)),SUM($I218,-$J218,$L218,-$M218,$O218,-$P218,$R218,-$S218),"")</f>
        <v/>
      </c>
      <c r="AR218" s="40" t="str">
        <f>IF(AND($G218='Povolené hodnoty'!$B$13,$H218=AR$4),SUM($I218,$L218,$O218,$R218),"")</f>
        <v/>
      </c>
      <c r="AS218" s="41" t="str">
        <f>IF(AND($G218='Povolené hodnoty'!$B$13,$H218=AS$4),SUM($I218,$L218,$O218,$R218),"")</f>
        <v/>
      </c>
      <c r="AT218" s="39" t="str">
        <f>IF(AND($G218='Povolené hodnoty'!$B$14,$H218=AT$4),SUM($I218,$L218,$O218,$R218),"")</f>
        <v/>
      </c>
      <c r="AU218" s="458" t="str">
        <f>IF(AND($G218='Povolené hodnoty'!$B$14,$H218=AU$4),SUM($I218,$L218,$O218,$R218),"")</f>
        <v/>
      </c>
      <c r="AV218" s="41" t="str">
        <f>IF(AND($G218='Povolené hodnoty'!$B$14,$H218=AV$4),SUM($I218,$L218,$O218,$R218),"")</f>
        <v/>
      </c>
      <c r="AW218" s="39" t="str">
        <f>IF(AND($G218='Povolené hodnoty'!$B$13,$H218=AW$4),SUM($J218,$M218,$P218,$S218),"")</f>
        <v/>
      </c>
      <c r="AX218" s="458" t="str">
        <f>IF(AND($G218='Povolené hodnoty'!$B$13,$H218=AX$4),SUM($J218,$M218,$P218,$S218),"")</f>
        <v/>
      </c>
      <c r="AY218" s="458" t="str">
        <f>IF(AND($G218='Povolené hodnoty'!$B$13,$H218=AY$4),SUM($J218,$M218,$P218,$S218),"")</f>
        <v/>
      </c>
      <c r="AZ218" s="458" t="str">
        <f>IF(AND($G218='Povolené hodnoty'!$B$13,$H218=AZ$4),SUM($J218,$M218,$P218,$S218),"")</f>
        <v/>
      </c>
      <c r="BA218" s="458" t="str">
        <f>IF(AND($G218='Povolené hodnoty'!$B$13,$H218=BA$4),SUM($J218,$M218,$P218,$S218),"")</f>
        <v/>
      </c>
      <c r="BB218" s="40" t="str">
        <f>IF(AND($G218='Povolené hodnoty'!$B$13,$H218=BB$4),SUM($J218,$M218,$P218,$S218),"")</f>
        <v/>
      </c>
      <c r="BC218" s="40" t="str">
        <f>IF(AND($G218='Povolené hodnoty'!$B$13,$H218=BC$4),SUM($J218,$M218,$P218,$S218),"")</f>
        <v/>
      </c>
      <c r="BD218" s="40" t="str">
        <f>IF(AND($G218='Povolené hodnoty'!$B$13,$H218=BD$4),SUM($J218,$M218,$P218,$S218),"")</f>
        <v/>
      </c>
      <c r="BE218" s="41" t="str">
        <f>IF(AND($G218='Povolené hodnoty'!$B$13,$H218=BE$4),SUM($J218,$M218,$P218,$S218),"")</f>
        <v/>
      </c>
      <c r="BF218" s="39" t="str">
        <f>IF(AND($G218='Povolené hodnoty'!$B$14,$H218=BF$4),SUM($J218,$M218,$P218,$S218),"")</f>
        <v/>
      </c>
      <c r="BG218" s="458" t="str">
        <f>IF(AND($G218='Povolené hodnoty'!$B$14,$H218=BG$4),SUM($J218,$M218,$P218,$S218),"")</f>
        <v/>
      </c>
      <c r="BH218" s="458" t="str">
        <f>IF(AND($G218='Povolené hodnoty'!$B$14,$H218=BH$4),SUM($J218,$M218,$P218,$S218),"")</f>
        <v/>
      </c>
      <c r="BI218" s="458" t="str">
        <f>IF(AND($G218='Povolené hodnoty'!$B$14,$H218=BI$4),SUM($J218,$M218,$P218,$S218),"")</f>
        <v/>
      </c>
      <c r="BJ218" s="458" t="str">
        <f>IF(AND($G218='Povolené hodnoty'!$B$14,$H218=BJ$4),SUM($J218,$M218,$P218,$S218),"")</f>
        <v/>
      </c>
      <c r="BK218" s="40" t="str">
        <f>IF(AND($G218='Povolené hodnoty'!$B$14,$H218=BK$4),SUM($J218,$M218,$P218,$S218),"")</f>
        <v/>
      </c>
      <c r="BL218" s="40" t="str">
        <f>IF(AND($G218='Povolené hodnoty'!$B$14,$H218=BL$4),SUM($J218,$M218,$P218,$S218),"")</f>
        <v/>
      </c>
      <c r="BM218" s="41" t="str">
        <f>IF(AND($G218='Povolené hodnoty'!$B$14,$H218=BM$4),SUM($J218,$M218,$P218,$S218),"")</f>
        <v/>
      </c>
      <c r="BO218" s="18" t="b">
        <f t="shared" si="141"/>
        <v>0</v>
      </c>
      <c r="BP218" s="18" t="b">
        <f t="shared" si="112"/>
        <v>0</v>
      </c>
      <c r="BQ218" s="18" t="b">
        <f>AND(E218&lt;&gt;'Povolené hodnoty'!$B$6,F218&lt;&gt;'Povolené hodnoty'!$D$7,F218&lt;&gt;'Povolené hodnoty'!$D$8,OR(SUM(I218,L218,O218,R218)&lt;&gt;SUM(W218:X218,AA218:AG218),SUM(J218,M218,P218,S218)&lt;&gt;SUM(Y218:Z218,AH218:AK218),COUNT(I218:J218,L218:M218,O218:P218,R218:S218)&lt;&gt;COUNT(W218:AK218)))</f>
        <v>0</v>
      </c>
      <c r="BR218" s="18" t="b">
        <f>OR(AND(E218='Povolené hodnoty'!$B$6,$BR$5),AND(E218='Povolené hodnoty'!$B$6,H218&lt;&gt;'Povolené hodnoty'!$E$26,H218&lt;&gt;'Povolené hodnoty'!$E$35),AND(E218&lt;&gt;'Povolené hodnoty'!$B$6,OR(H218='Povolené hodnoty'!$E$26,H218='Povolené hodnoty'!$E$35)))</f>
        <v>0</v>
      </c>
      <c r="BS218" s="18" t="b">
        <f>OR(AND(G218&lt;&gt;'Povolené hodnoty'!$B$13,OR(H218='Povolené hodnoty'!$E$21,H218='Povolené hodnoty'!$E$22,H218='Povolené hodnoty'!$E$23,H218='Povolené hodnoty'!$E$24,H218='Povolené hodnoty'!$E$26,H218='Povolené hodnoty'!$E$36)),COUNT(I218:J218,L218:M218,O218:P218,R218:S218)&lt;&gt;COUNT(AL218:BM218))</f>
        <v>0</v>
      </c>
      <c r="BT218" s="18" t="b">
        <f t="shared" si="113"/>
        <v>0</v>
      </c>
      <c r="BV218" s="39" t="str">
        <f t="shared" si="114"/>
        <v/>
      </c>
      <c r="BW218" s="458" t="str">
        <f t="shared" si="115"/>
        <v/>
      </c>
      <c r="BX218" s="458" t="str">
        <f t="shared" si="116"/>
        <v/>
      </c>
      <c r="BY218" s="458" t="str">
        <f t="shared" si="117"/>
        <v/>
      </c>
      <c r="BZ218" s="458" t="str">
        <f t="shared" si="118"/>
        <v/>
      </c>
      <c r="CA218" s="40" t="str">
        <f t="shared" si="119"/>
        <v/>
      </c>
      <c r="CB218" s="40" t="str">
        <f t="shared" si="120"/>
        <v/>
      </c>
      <c r="CC218" s="39" t="str">
        <f t="shared" si="121"/>
        <v/>
      </c>
      <c r="CD218" s="458" t="str">
        <f t="shared" si="122"/>
        <v/>
      </c>
      <c r="CE218" s="41" t="str">
        <f t="shared" si="123"/>
        <v/>
      </c>
      <c r="CF218" s="39" t="str">
        <f t="shared" si="124"/>
        <v/>
      </c>
      <c r="CG218" s="458" t="str">
        <f t="shared" si="125"/>
        <v/>
      </c>
      <c r="CH218" s="458" t="str">
        <f t="shared" si="126"/>
        <v/>
      </c>
      <c r="CI218" s="458" t="str">
        <f t="shared" si="127"/>
        <v/>
      </c>
      <c r="CJ218" s="458" t="str">
        <f t="shared" si="128"/>
        <v/>
      </c>
      <c r="CK218" s="40" t="str">
        <f t="shared" si="129"/>
        <v/>
      </c>
      <c r="CL218" s="40" t="str">
        <f t="shared" si="130"/>
        <v/>
      </c>
      <c r="CM218" s="40" t="str">
        <f t="shared" si="131"/>
        <v/>
      </c>
      <c r="CN218" s="39" t="str">
        <f t="shared" si="132"/>
        <v/>
      </c>
      <c r="CO218" s="458" t="str">
        <f t="shared" si="133"/>
        <v/>
      </c>
      <c r="CP218" s="458" t="str">
        <f t="shared" si="134"/>
        <v/>
      </c>
      <c r="CQ218" s="458" t="str">
        <f t="shared" si="135"/>
        <v/>
      </c>
      <c r="CR218" s="458" t="str">
        <f t="shared" si="136"/>
        <v/>
      </c>
      <c r="CS218" s="40" t="str">
        <f t="shared" si="137"/>
        <v/>
      </c>
      <c r="CT218" s="40" t="str">
        <f t="shared" si="138"/>
        <v/>
      </c>
      <c r="CU218" s="41" t="str">
        <f t="shared" si="139"/>
        <v/>
      </c>
    </row>
    <row r="219" spans="1:99" x14ac:dyDescent="0.2">
      <c r="A219" s="77">
        <f t="shared" si="140"/>
        <v>214</v>
      </c>
      <c r="B219" s="81"/>
      <c r="C219" s="82"/>
      <c r="D219" s="71"/>
      <c r="E219" s="72"/>
      <c r="F219" s="73"/>
      <c r="G219" s="443"/>
      <c r="H219" s="443"/>
      <c r="I219" s="74"/>
      <c r="J219" s="75"/>
      <c r="K219" s="41">
        <f t="shared" si="109"/>
        <v>3625</v>
      </c>
      <c r="L219" s="104"/>
      <c r="M219" s="105"/>
      <c r="N219" s="106">
        <f t="shared" si="110"/>
        <v>537.05999999999995</v>
      </c>
      <c r="O219" s="104"/>
      <c r="P219" s="105"/>
      <c r="Q219" s="106">
        <f t="shared" si="142"/>
        <v>10045.83</v>
      </c>
      <c r="R219" s="104"/>
      <c r="S219" s="105"/>
      <c r="T219" s="106">
        <f t="shared" si="143"/>
        <v>0</v>
      </c>
      <c r="U219" s="439"/>
      <c r="V219" s="42">
        <f t="shared" si="111"/>
        <v>214</v>
      </c>
      <c r="W219" s="39" t="str">
        <f>IF(AND(E219='Povolené hodnoty'!$B$4,F219=2),I219+L219+O219+R219,"")</f>
        <v/>
      </c>
      <c r="X219" s="41" t="str">
        <f>IF(AND(E219='Povolené hodnoty'!$B$4,F219=1),I219+L219+O219+R219,"")</f>
        <v/>
      </c>
      <c r="Y219" s="39" t="str">
        <f>IF(AND(E219='Povolené hodnoty'!$B$4,F219=10),J219+M219+P219+S219,"")</f>
        <v/>
      </c>
      <c r="Z219" s="41" t="str">
        <f>IF(AND(E219='Povolené hodnoty'!$B$4,F219=9),J219+M219+P219+S219,"")</f>
        <v/>
      </c>
      <c r="AA219" s="39" t="str">
        <f>IF(AND(E219&lt;&gt;'Povolené hodnoty'!$B$4,F219=2),I219+L219+O219+R219,"")</f>
        <v/>
      </c>
      <c r="AB219" s="40" t="str">
        <f>IF(AND(E219&lt;&gt;'Povolené hodnoty'!$B$4,F219=3),I219+L219+O219+R219,"")</f>
        <v/>
      </c>
      <c r="AC219" s="40" t="str">
        <f>IF(AND(E219&lt;&gt;'Povolené hodnoty'!$B$4,F219=4),I219+L219+O219+R219,"")</f>
        <v/>
      </c>
      <c r="AD219" s="40" t="str">
        <f>IF(AND(E219&lt;&gt;'Povolené hodnoty'!$B$4,F219="5a"),I219-J219+L219-M219+O219-P219+R219-S219,"")</f>
        <v/>
      </c>
      <c r="AE219" s="40" t="str">
        <f>IF(AND(E219&lt;&gt;'Povolené hodnoty'!$B$4,F219="5b"),I219-J219+L219-M219+O219-P219+R219-S219,"")</f>
        <v/>
      </c>
      <c r="AF219" s="40" t="str">
        <f>IF(AND(E219&lt;&gt;'Povolené hodnoty'!$B$4,F219=6),I219+L219+O219+R219,"")</f>
        <v/>
      </c>
      <c r="AG219" s="41" t="str">
        <f>IF(AND(E219&lt;&gt;'Povolené hodnoty'!$B$4,F219=7),I219+L219+O219+R219,"")</f>
        <v/>
      </c>
      <c r="AH219" s="39" t="str">
        <f>IF(AND(E219&lt;&gt;'Povolené hodnoty'!$B$4,F219=10),J219+M219+P219+S219,"")</f>
        <v/>
      </c>
      <c r="AI219" s="40" t="str">
        <f>IF(AND(E219&lt;&gt;'Povolené hodnoty'!$B$4,F219=11),J219+M219+P219+S219,"")</f>
        <v/>
      </c>
      <c r="AJ219" s="40" t="str">
        <f>IF(AND(E219&lt;&gt;'Povolené hodnoty'!$B$4,F219=12),J219+M219+P219+S219,"")</f>
        <v/>
      </c>
      <c r="AK219" s="41" t="str">
        <f>IF(AND(E219&lt;&gt;'Povolené hodnoty'!$B$4,F219=13),J219+M219+P219+S219,"")</f>
        <v/>
      </c>
      <c r="AL219" s="39" t="str">
        <f>IF(AND($G219='Povolené hodnoty'!$B$13,$H219=AL$4),SUM($I219,$L219,$O219,$R219),"")</f>
        <v/>
      </c>
      <c r="AM219" s="458" t="str">
        <f>IF(AND($G219='Povolené hodnoty'!$B$13,$H219=AM$4),SUM($I219,$L219,$O219,$R219),"")</f>
        <v/>
      </c>
      <c r="AN219" s="458" t="str">
        <f>IF(AND($G219='Povolené hodnoty'!$B$13,$H219=AN$4),SUM($I219,$L219,$O219,$R219),"")</f>
        <v/>
      </c>
      <c r="AO219" s="458" t="str">
        <f>IF(AND($G219='Povolené hodnoty'!$B$13,$H219=AO$4),SUM($I219,$L219,$O219,$R219),"")</f>
        <v/>
      </c>
      <c r="AP219" s="458" t="str">
        <f>IF(AND($G219='Povolené hodnoty'!$B$13,$H219=AP$4),SUM($I219,$L219,$O219,$R219),"")</f>
        <v/>
      </c>
      <c r="AQ219" s="40" t="str">
        <f>IF(AND($G219='Povolené hodnoty'!$B$13,OR($H219=AQ$4,$H219='Povolené hodnoty'!$E$36)),SUM($I219,-$J219,$L219,-$M219,$O219,-$P219,$R219,-$S219),"")</f>
        <v/>
      </c>
      <c r="AR219" s="40" t="str">
        <f>IF(AND($G219='Povolené hodnoty'!$B$13,$H219=AR$4),SUM($I219,$L219,$O219,$R219),"")</f>
        <v/>
      </c>
      <c r="AS219" s="41" t="str">
        <f>IF(AND($G219='Povolené hodnoty'!$B$13,$H219=AS$4),SUM($I219,$L219,$O219,$R219),"")</f>
        <v/>
      </c>
      <c r="AT219" s="39" t="str">
        <f>IF(AND($G219='Povolené hodnoty'!$B$14,$H219=AT$4),SUM($I219,$L219,$O219,$R219),"")</f>
        <v/>
      </c>
      <c r="AU219" s="458" t="str">
        <f>IF(AND($G219='Povolené hodnoty'!$B$14,$H219=AU$4),SUM($I219,$L219,$O219,$R219),"")</f>
        <v/>
      </c>
      <c r="AV219" s="41" t="str">
        <f>IF(AND($G219='Povolené hodnoty'!$B$14,$H219=AV$4),SUM($I219,$L219,$O219,$R219),"")</f>
        <v/>
      </c>
      <c r="AW219" s="39" t="str">
        <f>IF(AND($G219='Povolené hodnoty'!$B$13,$H219=AW$4),SUM($J219,$M219,$P219,$S219),"")</f>
        <v/>
      </c>
      <c r="AX219" s="458" t="str">
        <f>IF(AND($G219='Povolené hodnoty'!$B$13,$H219=AX$4),SUM($J219,$M219,$P219,$S219),"")</f>
        <v/>
      </c>
      <c r="AY219" s="458" t="str">
        <f>IF(AND($G219='Povolené hodnoty'!$B$13,$H219=AY$4),SUM($J219,$M219,$P219,$S219),"")</f>
        <v/>
      </c>
      <c r="AZ219" s="458" t="str">
        <f>IF(AND($G219='Povolené hodnoty'!$B$13,$H219=AZ$4),SUM($J219,$M219,$P219,$S219),"")</f>
        <v/>
      </c>
      <c r="BA219" s="458" t="str">
        <f>IF(AND($G219='Povolené hodnoty'!$B$13,$H219=BA$4),SUM($J219,$M219,$P219,$S219),"")</f>
        <v/>
      </c>
      <c r="BB219" s="40" t="str">
        <f>IF(AND($G219='Povolené hodnoty'!$B$13,$H219=BB$4),SUM($J219,$M219,$P219,$S219),"")</f>
        <v/>
      </c>
      <c r="BC219" s="40" t="str">
        <f>IF(AND($G219='Povolené hodnoty'!$B$13,$H219=BC$4),SUM($J219,$M219,$P219,$S219),"")</f>
        <v/>
      </c>
      <c r="BD219" s="40" t="str">
        <f>IF(AND($G219='Povolené hodnoty'!$B$13,$H219=BD$4),SUM($J219,$M219,$P219,$S219),"")</f>
        <v/>
      </c>
      <c r="BE219" s="41" t="str">
        <f>IF(AND($G219='Povolené hodnoty'!$B$13,$H219=BE$4),SUM($J219,$M219,$P219,$S219),"")</f>
        <v/>
      </c>
      <c r="BF219" s="39" t="str">
        <f>IF(AND($G219='Povolené hodnoty'!$B$14,$H219=BF$4),SUM($J219,$M219,$P219,$S219),"")</f>
        <v/>
      </c>
      <c r="BG219" s="458" t="str">
        <f>IF(AND($G219='Povolené hodnoty'!$B$14,$H219=BG$4),SUM($J219,$M219,$P219,$S219),"")</f>
        <v/>
      </c>
      <c r="BH219" s="458" t="str">
        <f>IF(AND($G219='Povolené hodnoty'!$B$14,$H219=BH$4),SUM($J219,$M219,$P219,$S219),"")</f>
        <v/>
      </c>
      <c r="BI219" s="458" t="str">
        <f>IF(AND($G219='Povolené hodnoty'!$B$14,$H219=BI$4),SUM($J219,$M219,$P219,$S219),"")</f>
        <v/>
      </c>
      <c r="BJ219" s="458" t="str">
        <f>IF(AND($G219='Povolené hodnoty'!$B$14,$H219=BJ$4),SUM($J219,$M219,$P219,$S219),"")</f>
        <v/>
      </c>
      <c r="BK219" s="40" t="str">
        <f>IF(AND($G219='Povolené hodnoty'!$B$14,$H219=BK$4),SUM($J219,$M219,$P219,$S219),"")</f>
        <v/>
      </c>
      <c r="BL219" s="40" t="str">
        <f>IF(AND($G219='Povolené hodnoty'!$B$14,$H219=BL$4),SUM($J219,$M219,$P219,$S219),"")</f>
        <v/>
      </c>
      <c r="BM219" s="41" t="str">
        <f>IF(AND($G219='Povolené hodnoty'!$B$14,$H219=BM$4),SUM($J219,$M219,$P219,$S219),"")</f>
        <v/>
      </c>
      <c r="BO219" s="18" t="b">
        <f t="shared" si="141"/>
        <v>0</v>
      </c>
      <c r="BP219" s="18" t="b">
        <f t="shared" si="112"/>
        <v>0</v>
      </c>
      <c r="BQ219" s="18" t="b">
        <f>AND(E219&lt;&gt;'Povolené hodnoty'!$B$6,F219&lt;&gt;'Povolené hodnoty'!$D$7,F219&lt;&gt;'Povolené hodnoty'!$D$8,OR(SUM(I219,L219,O219,R219)&lt;&gt;SUM(W219:X219,AA219:AG219),SUM(J219,M219,P219,S219)&lt;&gt;SUM(Y219:Z219,AH219:AK219),COUNT(I219:J219,L219:M219,O219:P219,R219:S219)&lt;&gt;COUNT(W219:AK219)))</f>
        <v>0</v>
      </c>
      <c r="BR219" s="18" t="b">
        <f>OR(AND(E219='Povolené hodnoty'!$B$6,$BR$5),AND(E219='Povolené hodnoty'!$B$6,H219&lt;&gt;'Povolené hodnoty'!$E$26,H219&lt;&gt;'Povolené hodnoty'!$E$35),AND(E219&lt;&gt;'Povolené hodnoty'!$B$6,OR(H219='Povolené hodnoty'!$E$26,H219='Povolené hodnoty'!$E$35)))</f>
        <v>0</v>
      </c>
      <c r="BS219" s="18" t="b">
        <f>OR(AND(G219&lt;&gt;'Povolené hodnoty'!$B$13,OR(H219='Povolené hodnoty'!$E$21,H219='Povolené hodnoty'!$E$22,H219='Povolené hodnoty'!$E$23,H219='Povolené hodnoty'!$E$24,H219='Povolené hodnoty'!$E$26,H219='Povolené hodnoty'!$E$36)),COUNT(I219:J219,L219:M219,O219:P219,R219:S219)&lt;&gt;COUNT(AL219:BM219))</f>
        <v>0</v>
      </c>
      <c r="BT219" s="18" t="b">
        <f t="shared" si="113"/>
        <v>0</v>
      </c>
      <c r="BV219" s="39" t="str">
        <f t="shared" si="114"/>
        <v/>
      </c>
      <c r="BW219" s="458" t="str">
        <f t="shared" si="115"/>
        <v/>
      </c>
      <c r="BX219" s="458" t="str">
        <f t="shared" si="116"/>
        <v/>
      </c>
      <c r="BY219" s="458" t="str">
        <f t="shared" si="117"/>
        <v/>
      </c>
      <c r="BZ219" s="458" t="str">
        <f t="shared" si="118"/>
        <v/>
      </c>
      <c r="CA219" s="40" t="str">
        <f t="shared" si="119"/>
        <v/>
      </c>
      <c r="CB219" s="40" t="str">
        <f t="shared" si="120"/>
        <v/>
      </c>
      <c r="CC219" s="39" t="str">
        <f t="shared" si="121"/>
        <v/>
      </c>
      <c r="CD219" s="458" t="str">
        <f t="shared" si="122"/>
        <v/>
      </c>
      <c r="CE219" s="41" t="str">
        <f t="shared" si="123"/>
        <v/>
      </c>
      <c r="CF219" s="39" t="str">
        <f t="shared" si="124"/>
        <v/>
      </c>
      <c r="CG219" s="458" t="str">
        <f t="shared" si="125"/>
        <v/>
      </c>
      <c r="CH219" s="458" t="str">
        <f t="shared" si="126"/>
        <v/>
      </c>
      <c r="CI219" s="458" t="str">
        <f t="shared" si="127"/>
        <v/>
      </c>
      <c r="CJ219" s="458" t="str">
        <f t="shared" si="128"/>
        <v/>
      </c>
      <c r="CK219" s="40" t="str">
        <f t="shared" si="129"/>
        <v/>
      </c>
      <c r="CL219" s="40" t="str">
        <f t="shared" si="130"/>
        <v/>
      </c>
      <c r="CM219" s="40" t="str">
        <f t="shared" si="131"/>
        <v/>
      </c>
      <c r="CN219" s="39" t="str">
        <f t="shared" si="132"/>
        <v/>
      </c>
      <c r="CO219" s="458" t="str">
        <f t="shared" si="133"/>
        <v/>
      </c>
      <c r="CP219" s="458" t="str">
        <f t="shared" si="134"/>
        <v/>
      </c>
      <c r="CQ219" s="458" t="str">
        <f t="shared" si="135"/>
        <v/>
      </c>
      <c r="CR219" s="458" t="str">
        <f t="shared" si="136"/>
        <v/>
      </c>
      <c r="CS219" s="40" t="str">
        <f t="shared" si="137"/>
        <v/>
      </c>
      <c r="CT219" s="40" t="str">
        <f t="shared" si="138"/>
        <v/>
      </c>
      <c r="CU219" s="41" t="str">
        <f t="shared" si="139"/>
        <v/>
      </c>
    </row>
    <row r="220" spans="1:99" x14ac:dyDescent="0.2">
      <c r="A220" s="77">
        <f t="shared" si="140"/>
        <v>215</v>
      </c>
      <c r="B220" s="81"/>
      <c r="C220" s="82"/>
      <c r="D220" s="71"/>
      <c r="E220" s="72"/>
      <c r="F220" s="73"/>
      <c r="G220" s="443"/>
      <c r="H220" s="443"/>
      <c r="I220" s="74"/>
      <c r="J220" s="75"/>
      <c r="K220" s="41">
        <f t="shared" si="109"/>
        <v>3625</v>
      </c>
      <c r="L220" s="104"/>
      <c r="M220" s="105"/>
      <c r="N220" s="106">
        <f t="shared" si="110"/>
        <v>537.05999999999995</v>
      </c>
      <c r="O220" s="104"/>
      <c r="P220" s="105"/>
      <c r="Q220" s="106">
        <f t="shared" si="142"/>
        <v>10045.83</v>
      </c>
      <c r="R220" s="104"/>
      <c r="S220" s="105"/>
      <c r="T220" s="106">
        <f t="shared" si="143"/>
        <v>0</v>
      </c>
      <c r="U220" s="439"/>
      <c r="V220" s="42">
        <f t="shared" si="111"/>
        <v>215</v>
      </c>
      <c r="W220" s="39" t="str">
        <f>IF(AND(E220='Povolené hodnoty'!$B$4,F220=2),I220+L220+O220+R220,"")</f>
        <v/>
      </c>
      <c r="X220" s="41" t="str">
        <f>IF(AND(E220='Povolené hodnoty'!$B$4,F220=1),I220+L220+O220+R220,"")</f>
        <v/>
      </c>
      <c r="Y220" s="39" t="str">
        <f>IF(AND(E220='Povolené hodnoty'!$B$4,F220=10),J220+M220+P220+S220,"")</f>
        <v/>
      </c>
      <c r="Z220" s="41" t="str">
        <f>IF(AND(E220='Povolené hodnoty'!$B$4,F220=9),J220+M220+P220+S220,"")</f>
        <v/>
      </c>
      <c r="AA220" s="39" t="str">
        <f>IF(AND(E220&lt;&gt;'Povolené hodnoty'!$B$4,F220=2),I220+L220+O220+R220,"")</f>
        <v/>
      </c>
      <c r="AB220" s="40" t="str">
        <f>IF(AND(E220&lt;&gt;'Povolené hodnoty'!$B$4,F220=3),I220+L220+O220+R220,"")</f>
        <v/>
      </c>
      <c r="AC220" s="40" t="str">
        <f>IF(AND(E220&lt;&gt;'Povolené hodnoty'!$B$4,F220=4),I220+L220+O220+R220,"")</f>
        <v/>
      </c>
      <c r="AD220" s="40" t="str">
        <f>IF(AND(E220&lt;&gt;'Povolené hodnoty'!$B$4,F220="5a"),I220-J220+L220-M220+O220-P220+R220-S220,"")</f>
        <v/>
      </c>
      <c r="AE220" s="40" t="str">
        <f>IF(AND(E220&lt;&gt;'Povolené hodnoty'!$B$4,F220="5b"),I220-J220+L220-M220+O220-P220+R220-S220,"")</f>
        <v/>
      </c>
      <c r="AF220" s="40" t="str">
        <f>IF(AND(E220&lt;&gt;'Povolené hodnoty'!$B$4,F220=6),I220+L220+O220+R220,"")</f>
        <v/>
      </c>
      <c r="AG220" s="41" t="str">
        <f>IF(AND(E220&lt;&gt;'Povolené hodnoty'!$B$4,F220=7),I220+L220+O220+R220,"")</f>
        <v/>
      </c>
      <c r="AH220" s="39" t="str">
        <f>IF(AND(E220&lt;&gt;'Povolené hodnoty'!$B$4,F220=10),J220+M220+P220+S220,"")</f>
        <v/>
      </c>
      <c r="AI220" s="40" t="str">
        <f>IF(AND(E220&lt;&gt;'Povolené hodnoty'!$B$4,F220=11),J220+M220+P220+S220,"")</f>
        <v/>
      </c>
      <c r="AJ220" s="40" t="str">
        <f>IF(AND(E220&lt;&gt;'Povolené hodnoty'!$B$4,F220=12),J220+M220+P220+S220,"")</f>
        <v/>
      </c>
      <c r="AK220" s="41" t="str">
        <f>IF(AND(E220&lt;&gt;'Povolené hodnoty'!$B$4,F220=13),J220+M220+P220+S220,"")</f>
        <v/>
      </c>
      <c r="AL220" s="39" t="str">
        <f>IF(AND($G220='Povolené hodnoty'!$B$13,$H220=AL$4),SUM($I220,$L220,$O220,$R220),"")</f>
        <v/>
      </c>
      <c r="AM220" s="458" t="str">
        <f>IF(AND($G220='Povolené hodnoty'!$B$13,$H220=AM$4),SUM($I220,$L220,$O220,$R220),"")</f>
        <v/>
      </c>
      <c r="AN220" s="458" t="str">
        <f>IF(AND($G220='Povolené hodnoty'!$B$13,$H220=AN$4),SUM($I220,$L220,$O220,$R220),"")</f>
        <v/>
      </c>
      <c r="AO220" s="458" t="str">
        <f>IF(AND($G220='Povolené hodnoty'!$B$13,$H220=AO$4),SUM($I220,$L220,$O220,$R220),"")</f>
        <v/>
      </c>
      <c r="AP220" s="458" t="str">
        <f>IF(AND($G220='Povolené hodnoty'!$B$13,$H220=AP$4),SUM($I220,$L220,$O220,$R220),"")</f>
        <v/>
      </c>
      <c r="AQ220" s="40" t="str">
        <f>IF(AND($G220='Povolené hodnoty'!$B$13,OR($H220=AQ$4,$H220='Povolené hodnoty'!$E$36)),SUM($I220,-$J220,$L220,-$M220,$O220,-$P220,$R220,-$S220),"")</f>
        <v/>
      </c>
      <c r="AR220" s="40" t="str">
        <f>IF(AND($G220='Povolené hodnoty'!$B$13,$H220=AR$4),SUM($I220,$L220,$O220,$R220),"")</f>
        <v/>
      </c>
      <c r="AS220" s="41" t="str">
        <f>IF(AND($G220='Povolené hodnoty'!$B$13,$H220=AS$4),SUM($I220,$L220,$O220,$R220),"")</f>
        <v/>
      </c>
      <c r="AT220" s="39" t="str">
        <f>IF(AND($G220='Povolené hodnoty'!$B$14,$H220=AT$4),SUM($I220,$L220,$O220,$R220),"")</f>
        <v/>
      </c>
      <c r="AU220" s="458" t="str">
        <f>IF(AND($G220='Povolené hodnoty'!$B$14,$H220=AU$4),SUM($I220,$L220,$O220,$R220),"")</f>
        <v/>
      </c>
      <c r="AV220" s="41" t="str">
        <f>IF(AND($G220='Povolené hodnoty'!$B$14,$H220=AV$4),SUM($I220,$L220,$O220,$R220),"")</f>
        <v/>
      </c>
      <c r="AW220" s="39" t="str">
        <f>IF(AND($G220='Povolené hodnoty'!$B$13,$H220=AW$4),SUM($J220,$M220,$P220,$S220),"")</f>
        <v/>
      </c>
      <c r="AX220" s="458" t="str">
        <f>IF(AND($G220='Povolené hodnoty'!$B$13,$H220=AX$4),SUM($J220,$M220,$P220,$S220),"")</f>
        <v/>
      </c>
      <c r="AY220" s="458" t="str">
        <f>IF(AND($G220='Povolené hodnoty'!$B$13,$H220=AY$4),SUM($J220,$M220,$P220,$S220),"")</f>
        <v/>
      </c>
      <c r="AZ220" s="458" t="str">
        <f>IF(AND($G220='Povolené hodnoty'!$B$13,$H220=AZ$4),SUM($J220,$M220,$P220,$S220),"")</f>
        <v/>
      </c>
      <c r="BA220" s="458" t="str">
        <f>IF(AND($G220='Povolené hodnoty'!$B$13,$H220=BA$4),SUM($J220,$M220,$P220,$S220),"")</f>
        <v/>
      </c>
      <c r="BB220" s="40" t="str">
        <f>IF(AND($G220='Povolené hodnoty'!$B$13,$H220=BB$4),SUM($J220,$M220,$P220,$S220),"")</f>
        <v/>
      </c>
      <c r="BC220" s="40" t="str">
        <f>IF(AND($G220='Povolené hodnoty'!$B$13,$H220=BC$4),SUM($J220,$M220,$P220,$S220),"")</f>
        <v/>
      </c>
      <c r="BD220" s="40" t="str">
        <f>IF(AND($G220='Povolené hodnoty'!$B$13,$H220=BD$4),SUM($J220,$M220,$P220,$S220),"")</f>
        <v/>
      </c>
      <c r="BE220" s="41" t="str">
        <f>IF(AND($G220='Povolené hodnoty'!$B$13,$H220=BE$4),SUM($J220,$M220,$P220,$S220),"")</f>
        <v/>
      </c>
      <c r="BF220" s="39" t="str">
        <f>IF(AND($G220='Povolené hodnoty'!$B$14,$H220=BF$4),SUM($J220,$M220,$P220,$S220),"")</f>
        <v/>
      </c>
      <c r="BG220" s="458" t="str">
        <f>IF(AND($G220='Povolené hodnoty'!$B$14,$H220=BG$4),SUM($J220,$M220,$P220,$S220),"")</f>
        <v/>
      </c>
      <c r="BH220" s="458" t="str">
        <f>IF(AND($G220='Povolené hodnoty'!$B$14,$H220=BH$4),SUM($J220,$M220,$P220,$S220),"")</f>
        <v/>
      </c>
      <c r="BI220" s="458" t="str">
        <f>IF(AND($G220='Povolené hodnoty'!$B$14,$H220=BI$4),SUM($J220,$M220,$P220,$S220),"")</f>
        <v/>
      </c>
      <c r="BJ220" s="458" t="str">
        <f>IF(AND($G220='Povolené hodnoty'!$B$14,$H220=BJ$4),SUM($J220,$M220,$P220,$S220),"")</f>
        <v/>
      </c>
      <c r="BK220" s="40" t="str">
        <f>IF(AND($G220='Povolené hodnoty'!$B$14,$H220=BK$4),SUM($J220,$M220,$P220,$S220),"")</f>
        <v/>
      </c>
      <c r="BL220" s="40" t="str">
        <f>IF(AND($G220='Povolené hodnoty'!$B$14,$H220=BL$4),SUM($J220,$M220,$P220,$S220),"")</f>
        <v/>
      </c>
      <c r="BM220" s="41" t="str">
        <f>IF(AND($G220='Povolené hodnoty'!$B$14,$H220=BM$4),SUM($J220,$M220,$P220,$S220),"")</f>
        <v/>
      </c>
      <c r="BO220" s="18" t="b">
        <f t="shared" si="141"/>
        <v>0</v>
      </c>
      <c r="BP220" s="18" t="b">
        <f t="shared" si="112"/>
        <v>0</v>
      </c>
      <c r="BQ220" s="18" t="b">
        <f>AND(E220&lt;&gt;'Povolené hodnoty'!$B$6,F220&lt;&gt;'Povolené hodnoty'!$D$7,F220&lt;&gt;'Povolené hodnoty'!$D$8,OR(SUM(I220,L220,O220,R220)&lt;&gt;SUM(W220:X220,AA220:AG220),SUM(J220,M220,P220,S220)&lt;&gt;SUM(Y220:Z220,AH220:AK220),COUNT(I220:J220,L220:M220,O220:P220,R220:S220)&lt;&gt;COUNT(W220:AK220)))</f>
        <v>0</v>
      </c>
      <c r="BR220" s="18" t="b">
        <f>OR(AND(E220='Povolené hodnoty'!$B$6,$BR$5),AND(E220='Povolené hodnoty'!$B$6,H220&lt;&gt;'Povolené hodnoty'!$E$26,H220&lt;&gt;'Povolené hodnoty'!$E$35),AND(E220&lt;&gt;'Povolené hodnoty'!$B$6,OR(H220='Povolené hodnoty'!$E$26,H220='Povolené hodnoty'!$E$35)))</f>
        <v>0</v>
      </c>
      <c r="BS220" s="18" t="b">
        <f>OR(AND(G220&lt;&gt;'Povolené hodnoty'!$B$13,OR(H220='Povolené hodnoty'!$E$21,H220='Povolené hodnoty'!$E$22,H220='Povolené hodnoty'!$E$23,H220='Povolené hodnoty'!$E$24,H220='Povolené hodnoty'!$E$26,H220='Povolené hodnoty'!$E$36)),COUNT(I220:J220,L220:M220,O220:P220,R220:S220)&lt;&gt;COUNT(AL220:BM220))</f>
        <v>0</v>
      </c>
      <c r="BT220" s="18" t="b">
        <f t="shared" si="113"/>
        <v>0</v>
      </c>
      <c r="BV220" s="39" t="str">
        <f t="shared" si="114"/>
        <v/>
      </c>
      <c r="BW220" s="458" t="str">
        <f t="shared" si="115"/>
        <v/>
      </c>
      <c r="BX220" s="458" t="str">
        <f t="shared" si="116"/>
        <v/>
      </c>
      <c r="BY220" s="458" t="str">
        <f t="shared" si="117"/>
        <v/>
      </c>
      <c r="BZ220" s="458" t="str">
        <f t="shared" si="118"/>
        <v/>
      </c>
      <c r="CA220" s="40" t="str">
        <f t="shared" si="119"/>
        <v/>
      </c>
      <c r="CB220" s="40" t="str">
        <f t="shared" si="120"/>
        <v/>
      </c>
      <c r="CC220" s="39" t="str">
        <f t="shared" si="121"/>
        <v/>
      </c>
      <c r="CD220" s="458" t="str">
        <f t="shared" si="122"/>
        <v/>
      </c>
      <c r="CE220" s="41" t="str">
        <f t="shared" si="123"/>
        <v/>
      </c>
      <c r="CF220" s="39" t="str">
        <f t="shared" si="124"/>
        <v/>
      </c>
      <c r="CG220" s="458" t="str">
        <f t="shared" si="125"/>
        <v/>
      </c>
      <c r="CH220" s="458" t="str">
        <f t="shared" si="126"/>
        <v/>
      </c>
      <c r="CI220" s="458" t="str">
        <f t="shared" si="127"/>
        <v/>
      </c>
      <c r="CJ220" s="458" t="str">
        <f t="shared" si="128"/>
        <v/>
      </c>
      <c r="CK220" s="40" t="str">
        <f t="shared" si="129"/>
        <v/>
      </c>
      <c r="CL220" s="40" t="str">
        <f t="shared" si="130"/>
        <v/>
      </c>
      <c r="CM220" s="40" t="str">
        <f t="shared" si="131"/>
        <v/>
      </c>
      <c r="CN220" s="39" t="str">
        <f t="shared" si="132"/>
        <v/>
      </c>
      <c r="CO220" s="458" t="str">
        <f t="shared" si="133"/>
        <v/>
      </c>
      <c r="CP220" s="458" t="str">
        <f t="shared" si="134"/>
        <v/>
      </c>
      <c r="CQ220" s="458" t="str">
        <f t="shared" si="135"/>
        <v/>
      </c>
      <c r="CR220" s="458" t="str">
        <f t="shared" si="136"/>
        <v/>
      </c>
      <c r="CS220" s="40" t="str">
        <f t="shared" si="137"/>
        <v/>
      </c>
      <c r="CT220" s="40" t="str">
        <f t="shared" si="138"/>
        <v/>
      </c>
      <c r="CU220" s="41" t="str">
        <f t="shared" si="139"/>
        <v/>
      </c>
    </row>
    <row r="221" spans="1:99" x14ac:dyDescent="0.2">
      <c r="A221" s="77">
        <f t="shared" si="140"/>
        <v>216</v>
      </c>
      <c r="B221" s="81"/>
      <c r="C221" s="82"/>
      <c r="D221" s="71"/>
      <c r="E221" s="72"/>
      <c r="F221" s="73"/>
      <c r="G221" s="443"/>
      <c r="H221" s="443"/>
      <c r="I221" s="74"/>
      <c r="J221" s="75"/>
      <c r="K221" s="41">
        <f t="shared" si="109"/>
        <v>3625</v>
      </c>
      <c r="L221" s="104"/>
      <c r="M221" s="105"/>
      <c r="N221" s="106">
        <f t="shared" si="110"/>
        <v>537.05999999999995</v>
      </c>
      <c r="O221" s="104"/>
      <c r="P221" s="105"/>
      <c r="Q221" s="106">
        <f t="shared" si="142"/>
        <v>10045.83</v>
      </c>
      <c r="R221" s="104"/>
      <c r="S221" s="105"/>
      <c r="T221" s="106">
        <f t="shared" si="143"/>
        <v>0</v>
      </c>
      <c r="U221" s="439"/>
      <c r="V221" s="42">
        <f t="shared" si="111"/>
        <v>216</v>
      </c>
      <c r="W221" s="39" t="str">
        <f>IF(AND(E221='Povolené hodnoty'!$B$4,F221=2),I221+L221+O221+R221,"")</f>
        <v/>
      </c>
      <c r="X221" s="41" t="str">
        <f>IF(AND(E221='Povolené hodnoty'!$B$4,F221=1),I221+L221+O221+R221,"")</f>
        <v/>
      </c>
      <c r="Y221" s="39" t="str">
        <f>IF(AND(E221='Povolené hodnoty'!$B$4,F221=10),J221+M221+P221+S221,"")</f>
        <v/>
      </c>
      <c r="Z221" s="41" t="str">
        <f>IF(AND(E221='Povolené hodnoty'!$B$4,F221=9),J221+M221+P221+S221,"")</f>
        <v/>
      </c>
      <c r="AA221" s="39" t="str">
        <f>IF(AND(E221&lt;&gt;'Povolené hodnoty'!$B$4,F221=2),I221+L221+O221+R221,"")</f>
        <v/>
      </c>
      <c r="AB221" s="40" t="str">
        <f>IF(AND(E221&lt;&gt;'Povolené hodnoty'!$B$4,F221=3),I221+L221+O221+R221,"")</f>
        <v/>
      </c>
      <c r="AC221" s="40" t="str">
        <f>IF(AND(E221&lt;&gt;'Povolené hodnoty'!$B$4,F221=4),I221+L221+O221+R221,"")</f>
        <v/>
      </c>
      <c r="AD221" s="40" t="str">
        <f>IF(AND(E221&lt;&gt;'Povolené hodnoty'!$B$4,F221="5a"),I221-J221+L221-M221+O221-P221+R221-S221,"")</f>
        <v/>
      </c>
      <c r="AE221" s="40" t="str">
        <f>IF(AND(E221&lt;&gt;'Povolené hodnoty'!$B$4,F221="5b"),I221-J221+L221-M221+O221-P221+R221-S221,"")</f>
        <v/>
      </c>
      <c r="AF221" s="40" t="str">
        <f>IF(AND(E221&lt;&gt;'Povolené hodnoty'!$B$4,F221=6),I221+L221+O221+R221,"")</f>
        <v/>
      </c>
      <c r="AG221" s="41" t="str">
        <f>IF(AND(E221&lt;&gt;'Povolené hodnoty'!$B$4,F221=7),I221+L221+O221+R221,"")</f>
        <v/>
      </c>
      <c r="AH221" s="39" t="str">
        <f>IF(AND(E221&lt;&gt;'Povolené hodnoty'!$B$4,F221=10),J221+M221+P221+S221,"")</f>
        <v/>
      </c>
      <c r="AI221" s="40" t="str">
        <f>IF(AND(E221&lt;&gt;'Povolené hodnoty'!$B$4,F221=11),J221+M221+P221+S221,"")</f>
        <v/>
      </c>
      <c r="AJ221" s="40" t="str">
        <f>IF(AND(E221&lt;&gt;'Povolené hodnoty'!$B$4,F221=12),J221+M221+P221+S221,"")</f>
        <v/>
      </c>
      <c r="AK221" s="41" t="str">
        <f>IF(AND(E221&lt;&gt;'Povolené hodnoty'!$B$4,F221=13),J221+M221+P221+S221,"")</f>
        <v/>
      </c>
      <c r="AL221" s="39" t="str">
        <f>IF(AND($G221='Povolené hodnoty'!$B$13,$H221=AL$4),SUM($I221,$L221,$O221,$R221),"")</f>
        <v/>
      </c>
      <c r="AM221" s="458" t="str">
        <f>IF(AND($G221='Povolené hodnoty'!$B$13,$H221=AM$4),SUM($I221,$L221,$O221,$R221),"")</f>
        <v/>
      </c>
      <c r="AN221" s="458" t="str">
        <f>IF(AND($G221='Povolené hodnoty'!$B$13,$H221=AN$4),SUM($I221,$L221,$O221,$R221),"")</f>
        <v/>
      </c>
      <c r="AO221" s="458" t="str">
        <f>IF(AND($G221='Povolené hodnoty'!$B$13,$H221=AO$4),SUM($I221,$L221,$O221,$R221),"")</f>
        <v/>
      </c>
      <c r="AP221" s="458" t="str">
        <f>IF(AND($G221='Povolené hodnoty'!$B$13,$H221=AP$4),SUM($I221,$L221,$O221,$R221),"")</f>
        <v/>
      </c>
      <c r="AQ221" s="40" t="str">
        <f>IF(AND($G221='Povolené hodnoty'!$B$13,OR($H221=AQ$4,$H221='Povolené hodnoty'!$E$36)),SUM($I221,-$J221,$L221,-$M221,$O221,-$P221,$R221,-$S221),"")</f>
        <v/>
      </c>
      <c r="AR221" s="40" t="str">
        <f>IF(AND($G221='Povolené hodnoty'!$B$13,$H221=AR$4),SUM($I221,$L221,$O221,$R221),"")</f>
        <v/>
      </c>
      <c r="AS221" s="41" t="str">
        <f>IF(AND($G221='Povolené hodnoty'!$B$13,$H221=AS$4),SUM($I221,$L221,$O221,$R221),"")</f>
        <v/>
      </c>
      <c r="AT221" s="39" t="str">
        <f>IF(AND($G221='Povolené hodnoty'!$B$14,$H221=AT$4),SUM($I221,$L221,$O221,$R221),"")</f>
        <v/>
      </c>
      <c r="AU221" s="458" t="str">
        <f>IF(AND($G221='Povolené hodnoty'!$B$14,$H221=AU$4),SUM($I221,$L221,$O221,$R221),"")</f>
        <v/>
      </c>
      <c r="AV221" s="41" t="str">
        <f>IF(AND($G221='Povolené hodnoty'!$B$14,$H221=AV$4),SUM($I221,$L221,$O221,$R221),"")</f>
        <v/>
      </c>
      <c r="AW221" s="39" t="str">
        <f>IF(AND($G221='Povolené hodnoty'!$B$13,$H221=AW$4),SUM($J221,$M221,$P221,$S221),"")</f>
        <v/>
      </c>
      <c r="AX221" s="458" t="str">
        <f>IF(AND($G221='Povolené hodnoty'!$B$13,$H221=AX$4),SUM($J221,$M221,$P221,$S221),"")</f>
        <v/>
      </c>
      <c r="AY221" s="458" t="str">
        <f>IF(AND($G221='Povolené hodnoty'!$B$13,$H221=AY$4),SUM($J221,$M221,$P221,$S221),"")</f>
        <v/>
      </c>
      <c r="AZ221" s="458" t="str">
        <f>IF(AND($G221='Povolené hodnoty'!$B$13,$H221=AZ$4),SUM($J221,$M221,$P221,$S221),"")</f>
        <v/>
      </c>
      <c r="BA221" s="458" t="str">
        <f>IF(AND($G221='Povolené hodnoty'!$B$13,$H221=BA$4),SUM($J221,$M221,$P221,$S221),"")</f>
        <v/>
      </c>
      <c r="BB221" s="40" t="str">
        <f>IF(AND($G221='Povolené hodnoty'!$B$13,$H221=BB$4),SUM($J221,$M221,$P221,$S221),"")</f>
        <v/>
      </c>
      <c r="BC221" s="40" t="str">
        <f>IF(AND($G221='Povolené hodnoty'!$B$13,$H221=BC$4),SUM($J221,$M221,$P221,$S221),"")</f>
        <v/>
      </c>
      <c r="BD221" s="40" t="str">
        <f>IF(AND($G221='Povolené hodnoty'!$B$13,$H221=BD$4),SUM($J221,$M221,$P221,$S221),"")</f>
        <v/>
      </c>
      <c r="BE221" s="41" t="str">
        <f>IF(AND($G221='Povolené hodnoty'!$B$13,$H221=BE$4),SUM($J221,$M221,$P221,$S221),"")</f>
        <v/>
      </c>
      <c r="BF221" s="39" t="str">
        <f>IF(AND($G221='Povolené hodnoty'!$B$14,$H221=BF$4),SUM($J221,$M221,$P221,$S221),"")</f>
        <v/>
      </c>
      <c r="BG221" s="458" t="str">
        <f>IF(AND($G221='Povolené hodnoty'!$B$14,$H221=BG$4),SUM($J221,$M221,$P221,$S221),"")</f>
        <v/>
      </c>
      <c r="BH221" s="458" t="str">
        <f>IF(AND($G221='Povolené hodnoty'!$B$14,$H221=BH$4),SUM($J221,$M221,$P221,$S221),"")</f>
        <v/>
      </c>
      <c r="BI221" s="458" t="str">
        <f>IF(AND($G221='Povolené hodnoty'!$B$14,$H221=BI$4),SUM($J221,$M221,$P221,$S221),"")</f>
        <v/>
      </c>
      <c r="BJ221" s="458" t="str">
        <f>IF(AND($G221='Povolené hodnoty'!$B$14,$H221=BJ$4),SUM($J221,$M221,$P221,$S221),"")</f>
        <v/>
      </c>
      <c r="BK221" s="40" t="str">
        <f>IF(AND($G221='Povolené hodnoty'!$B$14,$H221=BK$4),SUM($J221,$M221,$P221,$S221),"")</f>
        <v/>
      </c>
      <c r="BL221" s="40" t="str">
        <f>IF(AND($G221='Povolené hodnoty'!$B$14,$H221=BL$4),SUM($J221,$M221,$P221,$S221),"")</f>
        <v/>
      </c>
      <c r="BM221" s="41" t="str">
        <f>IF(AND($G221='Povolené hodnoty'!$B$14,$H221=BM$4),SUM($J221,$M221,$P221,$S221),"")</f>
        <v/>
      </c>
      <c r="BO221" s="18" t="b">
        <f t="shared" si="141"/>
        <v>0</v>
      </c>
      <c r="BP221" s="18" t="b">
        <f t="shared" si="112"/>
        <v>0</v>
      </c>
      <c r="BQ221" s="18" t="b">
        <f>AND(E221&lt;&gt;'Povolené hodnoty'!$B$6,F221&lt;&gt;'Povolené hodnoty'!$D$7,F221&lt;&gt;'Povolené hodnoty'!$D$8,OR(SUM(I221,L221,O221,R221)&lt;&gt;SUM(W221:X221,AA221:AG221),SUM(J221,M221,P221,S221)&lt;&gt;SUM(Y221:Z221,AH221:AK221),COUNT(I221:J221,L221:M221,O221:P221,R221:S221)&lt;&gt;COUNT(W221:AK221)))</f>
        <v>0</v>
      </c>
      <c r="BR221" s="18" t="b">
        <f>OR(AND(E221='Povolené hodnoty'!$B$6,$BR$5),AND(E221='Povolené hodnoty'!$B$6,H221&lt;&gt;'Povolené hodnoty'!$E$26,H221&lt;&gt;'Povolené hodnoty'!$E$35),AND(E221&lt;&gt;'Povolené hodnoty'!$B$6,OR(H221='Povolené hodnoty'!$E$26,H221='Povolené hodnoty'!$E$35)))</f>
        <v>0</v>
      </c>
      <c r="BS221" s="18" t="b">
        <f>OR(AND(G221&lt;&gt;'Povolené hodnoty'!$B$13,OR(H221='Povolené hodnoty'!$E$21,H221='Povolené hodnoty'!$E$22,H221='Povolené hodnoty'!$E$23,H221='Povolené hodnoty'!$E$24,H221='Povolené hodnoty'!$E$26,H221='Povolené hodnoty'!$E$36)),COUNT(I221:J221,L221:M221,O221:P221,R221:S221)&lt;&gt;COUNT(AL221:BM221))</f>
        <v>0</v>
      </c>
      <c r="BT221" s="18" t="b">
        <f t="shared" si="113"/>
        <v>0</v>
      </c>
      <c r="BV221" s="39" t="str">
        <f t="shared" si="114"/>
        <v/>
      </c>
      <c r="BW221" s="458" t="str">
        <f t="shared" si="115"/>
        <v/>
      </c>
      <c r="BX221" s="458" t="str">
        <f t="shared" si="116"/>
        <v/>
      </c>
      <c r="BY221" s="458" t="str">
        <f t="shared" si="117"/>
        <v/>
      </c>
      <c r="BZ221" s="458" t="str">
        <f t="shared" si="118"/>
        <v/>
      </c>
      <c r="CA221" s="40" t="str">
        <f t="shared" si="119"/>
        <v/>
      </c>
      <c r="CB221" s="40" t="str">
        <f t="shared" si="120"/>
        <v/>
      </c>
      <c r="CC221" s="39" t="str">
        <f t="shared" si="121"/>
        <v/>
      </c>
      <c r="CD221" s="458" t="str">
        <f t="shared" si="122"/>
        <v/>
      </c>
      <c r="CE221" s="41" t="str">
        <f t="shared" si="123"/>
        <v/>
      </c>
      <c r="CF221" s="39" t="str">
        <f t="shared" si="124"/>
        <v/>
      </c>
      <c r="CG221" s="458" t="str">
        <f t="shared" si="125"/>
        <v/>
      </c>
      <c r="CH221" s="458" t="str">
        <f t="shared" si="126"/>
        <v/>
      </c>
      <c r="CI221" s="458" t="str">
        <f t="shared" si="127"/>
        <v/>
      </c>
      <c r="CJ221" s="458" t="str">
        <f t="shared" si="128"/>
        <v/>
      </c>
      <c r="CK221" s="40" t="str">
        <f t="shared" si="129"/>
        <v/>
      </c>
      <c r="CL221" s="40" t="str">
        <f t="shared" si="130"/>
        <v/>
      </c>
      <c r="CM221" s="40" t="str">
        <f t="shared" si="131"/>
        <v/>
      </c>
      <c r="CN221" s="39" t="str">
        <f t="shared" si="132"/>
        <v/>
      </c>
      <c r="CO221" s="458" t="str">
        <f t="shared" si="133"/>
        <v/>
      </c>
      <c r="CP221" s="458" t="str">
        <f t="shared" si="134"/>
        <v/>
      </c>
      <c r="CQ221" s="458" t="str">
        <f t="shared" si="135"/>
        <v/>
      </c>
      <c r="CR221" s="458" t="str">
        <f t="shared" si="136"/>
        <v/>
      </c>
      <c r="CS221" s="40" t="str">
        <f t="shared" si="137"/>
        <v/>
      </c>
      <c r="CT221" s="40" t="str">
        <f t="shared" si="138"/>
        <v/>
      </c>
      <c r="CU221" s="41" t="str">
        <f t="shared" si="139"/>
        <v/>
      </c>
    </row>
    <row r="222" spans="1:99" x14ac:dyDescent="0.2">
      <c r="A222" s="77">
        <f t="shared" si="140"/>
        <v>217</v>
      </c>
      <c r="B222" s="81"/>
      <c r="C222" s="82"/>
      <c r="D222" s="71"/>
      <c r="E222" s="72"/>
      <c r="F222" s="73"/>
      <c r="G222" s="443"/>
      <c r="H222" s="443"/>
      <c r="I222" s="74"/>
      <c r="J222" s="75"/>
      <c r="K222" s="41">
        <f t="shared" si="109"/>
        <v>3625</v>
      </c>
      <c r="L222" s="104"/>
      <c r="M222" s="105"/>
      <c r="N222" s="106">
        <f t="shared" si="110"/>
        <v>537.05999999999995</v>
      </c>
      <c r="O222" s="104"/>
      <c r="P222" s="105"/>
      <c r="Q222" s="106">
        <f t="shared" si="142"/>
        <v>10045.83</v>
      </c>
      <c r="R222" s="104"/>
      <c r="S222" s="105"/>
      <c r="T222" s="106">
        <f t="shared" si="143"/>
        <v>0</v>
      </c>
      <c r="U222" s="439"/>
      <c r="V222" s="42">
        <f t="shared" si="111"/>
        <v>217</v>
      </c>
      <c r="W222" s="39" t="str">
        <f>IF(AND(E222='Povolené hodnoty'!$B$4,F222=2),I222+L222+O222+R222,"")</f>
        <v/>
      </c>
      <c r="X222" s="41" t="str">
        <f>IF(AND(E222='Povolené hodnoty'!$B$4,F222=1),I222+L222+O222+R222,"")</f>
        <v/>
      </c>
      <c r="Y222" s="39" t="str">
        <f>IF(AND(E222='Povolené hodnoty'!$B$4,F222=10),J222+M222+P222+S222,"")</f>
        <v/>
      </c>
      <c r="Z222" s="41" t="str">
        <f>IF(AND(E222='Povolené hodnoty'!$B$4,F222=9),J222+M222+P222+S222,"")</f>
        <v/>
      </c>
      <c r="AA222" s="39" t="str">
        <f>IF(AND(E222&lt;&gt;'Povolené hodnoty'!$B$4,F222=2),I222+L222+O222+R222,"")</f>
        <v/>
      </c>
      <c r="AB222" s="40" t="str">
        <f>IF(AND(E222&lt;&gt;'Povolené hodnoty'!$B$4,F222=3),I222+L222+O222+R222,"")</f>
        <v/>
      </c>
      <c r="AC222" s="40" t="str">
        <f>IF(AND(E222&lt;&gt;'Povolené hodnoty'!$B$4,F222=4),I222+L222+O222+R222,"")</f>
        <v/>
      </c>
      <c r="AD222" s="40" t="str">
        <f>IF(AND(E222&lt;&gt;'Povolené hodnoty'!$B$4,F222="5a"),I222-J222+L222-M222+O222-P222+R222-S222,"")</f>
        <v/>
      </c>
      <c r="AE222" s="40" t="str">
        <f>IF(AND(E222&lt;&gt;'Povolené hodnoty'!$B$4,F222="5b"),I222-J222+L222-M222+O222-P222+R222-S222,"")</f>
        <v/>
      </c>
      <c r="AF222" s="40" t="str">
        <f>IF(AND(E222&lt;&gt;'Povolené hodnoty'!$B$4,F222=6),I222+L222+O222+R222,"")</f>
        <v/>
      </c>
      <c r="AG222" s="41" t="str">
        <f>IF(AND(E222&lt;&gt;'Povolené hodnoty'!$B$4,F222=7),I222+L222+O222+R222,"")</f>
        <v/>
      </c>
      <c r="AH222" s="39" t="str">
        <f>IF(AND(E222&lt;&gt;'Povolené hodnoty'!$B$4,F222=10),J222+M222+P222+S222,"")</f>
        <v/>
      </c>
      <c r="AI222" s="40" t="str">
        <f>IF(AND(E222&lt;&gt;'Povolené hodnoty'!$B$4,F222=11),J222+M222+P222+S222,"")</f>
        <v/>
      </c>
      <c r="AJ222" s="40" t="str">
        <f>IF(AND(E222&lt;&gt;'Povolené hodnoty'!$B$4,F222=12),J222+M222+P222+S222,"")</f>
        <v/>
      </c>
      <c r="AK222" s="41" t="str">
        <f>IF(AND(E222&lt;&gt;'Povolené hodnoty'!$B$4,F222=13),J222+M222+P222+S222,"")</f>
        <v/>
      </c>
      <c r="AL222" s="39" t="str">
        <f>IF(AND($G222='Povolené hodnoty'!$B$13,$H222=AL$4),SUM($I222,$L222,$O222,$R222),"")</f>
        <v/>
      </c>
      <c r="AM222" s="458" t="str">
        <f>IF(AND($G222='Povolené hodnoty'!$B$13,$H222=AM$4),SUM($I222,$L222,$O222,$R222),"")</f>
        <v/>
      </c>
      <c r="AN222" s="458" t="str">
        <f>IF(AND($G222='Povolené hodnoty'!$B$13,$H222=AN$4),SUM($I222,$L222,$O222,$R222),"")</f>
        <v/>
      </c>
      <c r="AO222" s="458" t="str">
        <f>IF(AND($G222='Povolené hodnoty'!$B$13,$H222=AO$4),SUM($I222,$L222,$O222,$R222),"")</f>
        <v/>
      </c>
      <c r="AP222" s="458" t="str">
        <f>IF(AND($G222='Povolené hodnoty'!$B$13,$H222=AP$4),SUM($I222,$L222,$O222,$R222),"")</f>
        <v/>
      </c>
      <c r="AQ222" s="40" t="str">
        <f>IF(AND($G222='Povolené hodnoty'!$B$13,OR($H222=AQ$4,$H222='Povolené hodnoty'!$E$36)),SUM($I222,-$J222,$L222,-$M222,$O222,-$P222,$R222,-$S222),"")</f>
        <v/>
      </c>
      <c r="AR222" s="40" t="str">
        <f>IF(AND($G222='Povolené hodnoty'!$B$13,$H222=AR$4),SUM($I222,$L222,$O222,$R222),"")</f>
        <v/>
      </c>
      <c r="AS222" s="41" t="str">
        <f>IF(AND($G222='Povolené hodnoty'!$B$13,$H222=AS$4),SUM($I222,$L222,$O222,$R222),"")</f>
        <v/>
      </c>
      <c r="AT222" s="39" t="str">
        <f>IF(AND($G222='Povolené hodnoty'!$B$14,$H222=AT$4),SUM($I222,$L222,$O222,$R222),"")</f>
        <v/>
      </c>
      <c r="AU222" s="458" t="str">
        <f>IF(AND($G222='Povolené hodnoty'!$B$14,$H222=AU$4),SUM($I222,$L222,$O222,$R222),"")</f>
        <v/>
      </c>
      <c r="AV222" s="41" t="str">
        <f>IF(AND($G222='Povolené hodnoty'!$B$14,$H222=AV$4),SUM($I222,$L222,$O222,$R222),"")</f>
        <v/>
      </c>
      <c r="AW222" s="39" t="str">
        <f>IF(AND($G222='Povolené hodnoty'!$B$13,$H222=AW$4),SUM($J222,$M222,$P222,$S222),"")</f>
        <v/>
      </c>
      <c r="AX222" s="458" t="str">
        <f>IF(AND($G222='Povolené hodnoty'!$B$13,$H222=AX$4),SUM($J222,$M222,$P222,$S222),"")</f>
        <v/>
      </c>
      <c r="AY222" s="458" t="str">
        <f>IF(AND($G222='Povolené hodnoty'!$B$13,$H222=AY$4),SUM($J222,$M222,$P222,$S222),"")</f>
        <v/>
      </c>
      <c r="AZ222" s="458" t="str">
        <f>IF(AND($G222='Povolené hodnoty'!$B$13,$H222=AZ$4),SUM($J222,$M222,$P222,$S222),"")</f>
        <v/>
      </c>
      <c r="BA222" s="458" t="str">
        <f>IF(AND($G222='Povolené hodnoty'!$B$13,$H222=BA$4),SUM($J222,$M222,$P222,$S222),"")</f>
        <v/>
      </c>
      <c r="BB222" s="40" t="str">
        <f>IF(AND($G222='Povolené hodnoty'!$B$13,$H222=BB$4),SUM($J222,$M222,$P222,$S222),"")</f>
        <v/>
      </c>
      <c r="BC222" s="40" t="str">
        <f>IF(AND($G222='Povolené hodnoty'!$B$13,$H222=BC$4),SUM($J222,$M222,$P222,$S222),"")</f>
        <v/>
      </c>
      <c r="BD222" s="40" t="str">
        <f>IF(AND($G222='Povolené hodnoty'!$B$13,$H222=BD$4),SUM($J222,$M222,$P222,$S222),"")</f>
        <v/>
      </c>
      <c r="BE222" s="41" t="str">
        <f>IF(AND($G222='Povolené hodnoty'!$B$13,$H222=BE$4),SUM($J222,$M222,$P222,$S222),"")</f>
        <v/>
      </c>
      <c r="BF222" s="39" t="str">
        <f>IF(AND($G222='Povolené hodnoty'!$B$14,$H222=BF$4),SUM($J222,$M222,$P222,$S222),"")</f>
        <v/>
      </c>
      <c r="BG222" s="458" t="str">
        <f>IF(AND($G222='Povolené hodnoty'!$B$14,$H222=BG$4),SUM($J222,$M222,$P222,$S222),"")</f>
        <v/>
      </c>
      <c r="BH222" s="458" t="str">
        <f>IF(AND($G222='Povolené hodnoty'!$B$14,$H222=BH$4),SUM($J222,$M222,$P222,$S222),"")</f>
        <v/>
      </c>
      <c r="BI222" s="458" t="str">
        <f>IF(AND($G222='Povolené hodnoty'!$B$14,$H222=BI$4),SUM($J222,$M222,$P222,$S222),"")</f>
        <v/>
      </c>
      <c r="BJ222" s="458" t="str">
        <f>IF(AND($G222='Povolené hodnoty'!$B$14,$H222=BJ$4),SUM($J222,$M222,$P222,$S222),"")</f>
        <v/>
      </c>
      <c r="BK222" s="40" t="str">
        <f>IF(AND($G222='Povolené hodnoty'!$B$14,$H222=BK$4),SUM($J222,$M222,$P222,$S222),"")</f>
        <v/>
      </c>
      <c r="BL222" s="40" t="str">
        <f>IF(AND($G222='Povolené hodnoty'!$B$14,$H222=BL$4),SUM($J222,$M222,$P222,$S222),"")</f>
        <v/>
      </c>
      <c r="BM222" s="41" t="str">
        <f>IF(AND($G222='Povolené hodnoty'!$B$14,$H222=BM$4),SUM($J222,$M222,$P222,$S222),"")</f>
        <v/>
      </c>
      <c r="BO222" s="18" t="b">
        <f t="shared" si="141"/>
        <v>0</v>
      </c>
      <c r="BP222" s="18" t="b">
        <f t="shared" si="112"/>
        <v>0</v>
      </c>
      <c r="BQ222" s="18" t="b">
        <f>AND(E222&lt;&gt;'Povolené hodnoty'!$B$6,F222&lt;&gt;'Povolené hodnoty'!$D$7,F222&lt;&gt;'Povolené hodnoty'!$D$8,OR(SUM(I222,L222,O222,R222)&lt;&gt;SUM(W222:X222,AA222:AG222),SUM(J222,M222,P222,S222)&lt;&gt;SUM(Y222:Z222,AH222:AK222),COUNT(I222:J222,L222:M222,O222:P222,R222:S222)&lt;&gt;COUNT(W222:AK222)))</f>
        <v>0</v>
      </c>
      <c r="BR222" s="18" t="b">
        <f>OR(AND(E222='Povolené hodnoty'!$B$6,$BR$5),AND(E222='Povolené hodnoty'!$B$6,H222&lt;&gt;'Povolené hodnoty'!$E$26,H222&lt;&gt;'Povolené hodnoty'!$E$35),AND(E222&lt;&gt;'Povolené hodnoty'!$B$6,OR(H222='Povolené hodnoty'!$E$26,H222='Povolené hodnoty'!$E$35)))</f>
        <v>0</v>
      </c>
      <c r="BS222" s="18" t="b">
        <f>OR(AND(G222&lt;&gt;'Povolené hodnoty'!$B$13,OR(H222='Povolené hodnoty'!$E$21,H222='Povolené hodnoty'!$E$22,H222='Povolené hodnoty'!$E$23,H222='Povolené hodnoty'!$E$24,H222='Povolené hodnoty'!$E$26,H222='Povolené hodnoty'!$E$36)),COUNT(I222:J222,L222:M222,O222:P222,R222:S222)&lt;&gt;COUNT(AL222:BM222))</f>
        <v>0</v>
      </c>
      <c r="BT222" s="18" t="b">
        <f t="shared" si="113"/>
        <v>0</v>
      </c>
      <c r="BV222" s="39" t="str">
        <f t="shared" si="114"/>
        <v/>
      </c>
      <c r="BW222" s="458" t="str">
        <f t="shared" si="115"/>
        <v/>
      </c>
      <c r="BX222" s="458" t="str">
        <f t="shared" si="116"/>
        <v/>
      </c>
      <c r="BY222" s="458" t="str">
        <f t="shared" si="117"/>
        <v/>
      </c>
      <c r="BZ222" s="458" t="str">
        <f t="shared" si="118"/>
        <v/>
      </c>
      <c r="CA222" s="40" t="str">
        <f t="shared" si="119"/>
        <v/>
      </c>
      <c r="CB222" s="40" t="str">
        <f t="shared" si="120"/>
        <v/>
      </c>
      <c r="CC222" s="39" t="str">
        <f t="shared" si="121"/>
        <v/>
      </c>
      <c r="CD222" s="458" t="str">
        <f t="shared" si="122"/>
        <v/>
      </c>
      <c r="CE222" s="41" t="str">
        <f t="shared" si="123"/>
        <v/>
      </c>
      <c r="CF222" s="39" t="str">
        <f t="shared" si="124"/>
        <v/>
      </c>
      <c r="CG222" s="458" t="str">
        <f t="shared" si="125"/>
        <v/>
      </c>
      <c r="CH222" s="458" t="str">
        <f t="shared" si="126"/>
        <v/>
      </c>
      <c r="CI222" s="458" t="str">
        <f t="shared" si="127"/>
        <v/>
      </c>
      <c r="CJ222" s="458" t="str">
        <f t="shared" si="128"/>
        <v/>
      </c>
      <c r="CK222" s="40" t="str">
        <f t="shared" si="129"/>
        <v/>
      </c>
      <c r="CL222" s="40" t="str">
        <f t="shared" si="130"/>
        <v/>
      </c>
      <c r="CM222" s="40" t="str">
        <f t="shared" si="131"/>
        <v/>
      </c>
      <c r="CN222" s="39" t="str">
        <f t="shared" si="132"/>
        <v/>
      </c>
      <c r="CO222" s="458" t="str">
        <f t="shared" si="133"/>
        <v/>
      </c>
      <c r="CP222" s="458" t="str">
        <f t="shared" si="134"/>
        <v/>
      </c>
      <c r="CQ222" s="458" t="str">
        <f t="shared" si="135"/>
        <v/>
      </c>
      <c r="CR222" s="458" t="str">
        <f t="shared" si="136"/>
        <v/>
      </c>
      <c r="CS222" s="40" t="str">
        <f t="shared" si="137"/>
        <v/>
      </c>
      <c r="CT222" s="40" t="str">
        <f t="shared" si="138"/>
        <v/>
      </c>
      <c r="CU222" s="41" t="str">
        <f t="shared" si="139"/>
        <v/>
      </c>
    </row>
    <row r="223" spans="1:99" x14ac:dyDescent="0.2">
      <c r="A223" s="77">
        <f t="shared" si="140"/>
        <v>218</v>
      </c>
      <c r="B223" s="81"/>
      <c r="C223" s="82"/>
      <c r="D223" s="71"/>
      <c r="E223" s="72"/>
      <c r="F223" s="73"/>
      <c r="G223" s="443"/>
      <c r="H223" s="443"/>
      <c r="I223" s="74"/>
      <c r="J223" s="75"/>
      <c r="K223" s="41">
        <f t="shared" si="109"/>
        <v>3625</v>
      </c>
      <c r="L223" s="104"/>
      <c r="M223" s="105"/>
      <c r="N223" s="106">
        <f t="shared" si="110"/>
        <v>537.05999999999995</v>
      </c>
      <c r="O223" s="104"/>
      <c r="P223" s="105"/>
      <c r="Q223" s="106">
        <f t="shared" si="142"/>
        <v>10045.83</v>
      </c>
      <c r="R223" s="104"/>
      <c r="S223" s="105"/>
      <c r="T223" s="106">
        <f t="shared" si="143"/>
        <v>0</v>
      </c>
      <c r="U223" s="439"/>
      <c r="V223" s="42">
        <f t="shared" si="111"/>
        <v>218</v>
      </c>
      <c r="W223" s="39" t="str">
        <f>IF(AND(E223='Povolené hodnoty'!$B$4,F223=2),I223+L223+O223+R223,"")</f>
        <v/>
      </c>
      <c r="X223" s="41" t="str">
        <f>IF(AND(E223='Povolené hodnoty'!$B$4,F223=1),I223+L223+O223+R223,"")</f>
        <v/>
      </c>
      <c r="Y223" s="39" t="str">
        <f>IF(AND(E223='Povolené hodnoty'!$B$4,F223=10),J223+M223+P223+S223,"")</f>
        <v/>
      </c>
      <c r="Z223" s="41" t="str">
        <f>IF(AND(E223='Povolené hodnoty'!$B$4,F223=9),J223+M223+P223+S223,"")</f>
        <v/>
      </c>
      <c r="AA223" s="39" t="str">
        <f>IF(AND(E223&lt;&gt;'Povolené hodnoty'!$B$4,F223=2),I223+L223+O223+R223,"")</f>
        <v/>
      </c>
      <c r="AB223" s="40" t="str">
        <f>IF(AND(E223&lt;&gt;'Povolené hodnoty'!$B$4,F223=3),I223+L223+O223+R223,"")</f>
        <v/>
      </c>
      <c r="AC223" s="40" t="str">
        <f>IF(AND(E223&lt;&gt;'Povolené hodnoty'!$B$4,F223=4),I223+L223+O223+R223,"")</f>
        <v/>
      </c>
      <c r="AD223" s="40" t="str">
        <f>IF(AND(E223&lt;&gt;'Povolené hodnoty'!$B$4,F223="5a"),I223-J223+L223-M223+O223-P223+R223-S223,"")</f>
        <v/>
      </c>
      <c r="AE223" s="40" t="str">
        <f>IF(AND(E223&lt;&gt;'Povolené hodnoty'!$B$4,F223="5b"),I223-J223+L223-M223+O223-P223+R223-S223,"")</f>
        <v/>
      </c>
      <c r="AF223" s="40" t="str">
        <f>IF(AND(E223&lt;&gt;'Povolené hodnoty'!$B$4,F223=6),I223+L223+O223+R223,"")</f>
        <v/>
      </c>
      <c r="AG223" s="41" t="str">
        <f>IF(AND(E223&lt;&gt;'Povolené hodnoty'!$B$4,F223=7),I223+L223+O223+R223,"")</f>
        <v/>
      </c>
      <c r="AH223" s="39" t="str">
        <f>IF(AND(E223&lt;&gt;'Povolené hodnoty'!$B$4,F223=10),J223+M223+P223+S223,"")</f>
        <v/>
      </c>
      <c r="AI223" s="40" t="str">
        <f>IF(AND(E223&lt;&gt;'Povolené hodnoty'!$B$4,F223=11),J223+M223+P223+S223,"")</f>
        <v/>
      </c>
      <c r="AJ223" s="40" t="str">
        <f>IF(AND(E223&lt;&gt;'Povolené hodnoty'!$B$4,F223=12),J223+M223+P223+S223,"")</f>
        <v/>
      </c>
      <c r="AK223" s="41" t="str">
        <f>IF(AND(E223&lt;&gt;'Povolené hodnoty'!$B$4,F223=13),J223+M223+P223+S223,"")</f>
        <v/>
      </c>
      <c r="AL223" s="39" t="str">
        <f>IF(AND($G223='Povolené hodnoty'!$B$13,$H223=AL$4),SUM($I223,$L223,$O223,$R223),"")</f>
        <v/>
      </c>
      <c r="AM223" s="458" t="str">
        <f>IF(AND($G223='Povolené hodnoty'!$B$13,$H223=AM$4),SUM($I223,$L223,$O223,$R223),"")</f>
        <v/>
      </c>
      <c r="AN223" s="458" t="str">
        <f>IF(AND($G223='Povolené hodnoty'!$B$13,$H223=AN$4),SUM($I223,$L223,$O223,$R223),"")</f>
        <v/>
      </c>
      <c r="AO223" s="458" t="str">
        <f>IF(AND($G223='Povolené hodnoty'!$B$13,$H223=AO$4),SUM($I223,$L223,$O223,$R223),"")</f>
        <v/>
      </c>
      <c r="AP223" s="458" t="str">
        <f>IF(AND($G223='Povolené hodnoty'!$B$13,$H223=AP$4),SUM($I223,$L223,$O223,$R223),"")</f>
        <v/>
      </c>
      <c r="AQ223" s="40" t="str">
        <f>IF(AND($G223='Povolené hodnoty'!$B$13,OR($H223=AQ$4,$H223='Povolené hodnoty'!$E$36)),SUM($I223,-$J223,$L223,-$M223,$O223,-$P223,$R223,-$S223),"")</f>
        <v/>
      </c>
      <c r="AR223" s="40" t="str">
        <f>IF(AND($G223='Povolené hodnoty'!$B$13,$H223=AR$4),SUM($I223,$L223,$O223,$R223),"")</f>
        <v/>
      </c>
      <c r="AS223" s="41" t="str">
        <f>IF(AND($G223='Povolené hodnoty'!$B$13,$H223=AS$4),SUM($I223,$L223,$O223,$R223),"")</f>
        <v/>
      </c>
      <c r="AT223" s="39" t="str">
        <f>IF(AND($G223='Povolené hodnoty'!$B$14,$H223=AT$4),SUM($I223,$L223,$O223,$R223),"")</f>
        <v/>
      </c>
      <c r="AU223" s="458" t="str">
        <f>IF(AND($G223='Povolené hodnoty'!$B$14,$H223=AU$4),SUM($I223,$L223,$O223,$R223),"")</f>
        <v/>
      </c>
      <c r="AV223" s="41" t="str">
        <f>IF(AND($G223='Povolené hodnoty'!$B$14,$H223=AV$4),SUM($I223,$L223,$O223,$R223),"")</f>
        <v/>
      </c>
      <c r="AW223" s="39" t="str">
        <f>IF(AND($G223='Povolené hodnoty'!$B$13,$H223=AW$4),SUM($J223,$M223,$P223,$S223),"")</f>
        <v/>
      </c>
      <c r="AX223" s="458" t="str">
        <f>IF(AND($G223='Povolené hodnoty'!$B$13,$H223=AX$4),SUM($J223,$M223,$P223,$S223),"")</f>
        <v/>
      </c>
      <c r="AY223" s="458" t="str">
        <f>IF(AND($G223='Povolené hodnoty'!$B$13,$H223=AY$4),SUM($J223,$M223,$P223,$S223),"")</f>
        <v/>
      </c>
      <c r="AZ223" s="458" t="str">
        <f>IF(AND($G223='Povolené hodnoty'!$B$13,$H223=AZ$4),SUM($J223,$M223,$P223,$S223),"")</f>
        <v/>
      </c>
      <c r="BA223" s="458" t="str">
        <f>IF(AND($G223='Povolené hodnoty'!$B$13,$H223=BA$4),SUM($J223,$M223,$P223,$S223),"")</f>
        <v/>
      </c>
      <c r="BB223" s="40" t="str">
        <f>IF(AND($G223='Povolené hodnoty'!$B$13,$H223=BB$4),SUM($J223,$M223,$P223,$S223),"")</f>
        <v/>
      </c>
      <c r="BC223" s="40" t="str">
        <f>IF(AND($G223='Povolené hodnoty'!$B$13,$H223=BC$4),SUM($J223,$M223,$P223,$S223),"")</f>
        <v/>
      </c>
      <c r="BD223" s="40" t="str">
        <f>IF(AND($G223='Povolené hodnoty'!$B$13,$H223=BD$4),SUM($J223,$M223,$P223,$S223),"")</f>
        <v/>
      </c>
      <c r="BE223" s="41" t="str">
        <f>IF(AND($G223='Povolené hodnoty'!$B$13,$H223=BE$4),SUM($J223,$M223,$P223,$S223),"")</f>
        <v/>
      </c>
      <c r="BF223" s="39" t="str">
        <f>IF(AND($G223='Povolené hodnoty'!$B$14,$H223=BF$4),SUM($J223,$M223,$P223,$S223),"")</f>
        <v/>
      </c>
      <c r="BG223" s="458" t="str">
        <f>IF(AND($G223='Povolené hodnoty'!$B$14,$H223=BG$4),SUM($J223,$M223,$P223,$S223),"")</f>
        <v/>
      </c>
      <c r="BH223" s="458" t="str">
        <f>IF(AND($G223='Povolené hodnoty'!$B$14,$H223=BH$4),SUM($J223,$M223,$P223,$S223),"")</f>
        <v/>
      </c>
      <c r="BI223" s="458" t="str">
        <f>IF(AND($G223='Povolené hodnoty'!$B$14,$H223=BI$4),SUM($J223,$M223,$P223,$S223),"")</f>
        <v/>
      </c>
      <c r="BJ223" s="458" t="str">
        <f>IF(AND($G223='Povolené hodnoty'!$B$14,$H223=BJ$4),SUM($J223,$M223,$P223,$S223),"")</f>
        <v/>
      </c>
      <c r="BK223" s="40" t="str">
        <f>IF(AND($G223='Povolené hodnoty'!$B$14,$H223=BK$4),SUM($J223,$M223,$P223,$S223),"")</f>
        <v/>
      </c>
      <c r="BL223" s="40" t="str">
        <f>IF(AND($G223='Povolené hodnoty'!$B$14,$H223=BL$4),SUM($J223,$M223,$P223,$S223),"")</f>
        <v/>
      </c>
      <c r="BM223" s="41" t="str">
        <f>IF(AND($G223='Povolené hodnoty'!$B$14,$H223=BM$4),SUM($J223,$M223,$P223,$S223),"")</f>
        <v/>
      </c>
      <c r="BO223" s="18" t="b">
        <f t="shared" si="141"/>
        <v>0</v>
      </c>
      <c r="BP223" s="18" t="b">
        <f t="shared" si="112"/>
        <v>0</v>
      </c>
      <c r="BQ223" s="18" t="b">
        <f>AND(E223&lt;&gt;'Povolené hodnoty'!$B$6,F223&lt;&gt;'Povolené hodnoty'!$D$7,F223&lt;&gt;'Povolené hodnoty'!$D$8,OR(SUM(I223,L223,O223,R223)&lt;&gt;SUM(W223:X223,AA223:AG223),SUM(J223,M223,P223,S223)&lt;&gt;SUM(Y223:Z223,AH223:AK223),COUNT(I223:J223,L223:M223,O223:P223,R223:S223)&lt;&gt;COUNT(W223:AK223)))</f>
        <v>0</v>
      </c>
      <c r="BR223" s="18" t="b">
        <f>OR(AND(E223='Povolené hodnoty'!$B$6,$BR$5),AND(E223='Povolené hodnoty'!$B$6,H223&lt;&gt;'Povolené hodnoty'!$E$26,H223&lt;&gt;'Povolené hodnoty'!$E$35),AND(E223&lt;&gt;'Povolené hodnoty'!$B$6,OR(H223='Povolené hodnoty'!$E$26,H223='Povolené hodnoty'!$E$35)))</f>
        <v>0</v>
      </c>
      <c r="BS223" s="18" t="b">
        <f>OR(AND(G223&lt;&gt;'Povolené hodnoty'!$B$13,OR(H223='Povolené hodnoty'!$E$21,H223='Povolené hodnoty'!$E$22,H223='Povolené hodnoty'!$E$23,H223='Povolené hodnoty'!$E$24,H223='Povolené hodnoty'!$E$26,H223='Povolené hodnoty'!$E$36)),COUNT(I223:J223,L223:M223,O223:P223,R223:S223)&lt;&gt;COUNT(AL223:BM223))</f>
        <v>0</v>
      </c>
      <c r="BT223" s="18" t="b">
        <f t="shared" si="113"/>
        <v>0</v>
      </c>
      <c r="BV223" s="39" t="str">
        <f t="shared" si="114"/>
        <v/>
      </c>
      <c r="BW223" s="458" t="str">
        <f t="shared" si="115"/>
        <v/>
      </c>
      <c r="BX223" s="458" t="str">
        <f t="shared" si="116"/>
        <v/>
      </c>
      <c r="BY223" s="458" t="str">
        <f t="shared" si="117"/>
        <v/>
      </c>
      <c r="BZ223" s="458" t="str">
        <f t="shared" si="118"/>
        <v/>
      </c>
      <c r="CA223" s="40" t="str">
        <f t="shared" si="119"/>
        <v/>
      </c>
      <c r="CB223" s="40" t="str">
        <f t="shared" si="120"/>
        <v/>
      </c>
      <c r="CC223" s="39" t="str">
        <f t="shared" si="121"/>
        <v/>
      </c>
      <c r="CD223" s="458" t="str">
        <f t="shared" si="122"/>
        <v/>
      </c>
      <c r="CE223" s="41" t="str">
        <f t="shared" si="123"/>
        <v/>
      </c>
      <c r="CF223" s="39" t="str">
        <f t="shared" si="124"/>
        <v/>
      </c>
      <c r="CG223" s="458" t="str">
        <f t="shared" si="125"/>
        <v/>
      </c>
      <c r="CH223" s="458" t="str">
        <f t="shared" si="126"/>
        <v/>
      </c>
      <c r="CI223" s="458" t="str">
        <f t="shared" si="127"/>
        <v/>
      </c>
      <c r="CJ223" s="458" t="str">
        <f t="shared" si="128"/>
        <v/>
      </c>
      <c r="CK223" s="40" t="str">
        <f t="shared" si="129"/>
        <v/>
      </c>
      <c r="CL223" s="40" t="str">
        <f t="shared" si="130"/>
        <v/>
      </c>
      <c r="CM223" s="40" t="str">
        <f t="shared" si="131"/>
        <v/>
      </c>
      <c r="CN223" s="39" t="str">
        <f t="shared" si="132"/>
        <v/>
      </c>
      <c r="CO223" s="458" t="str">
        <f t="shared" si="133"/>
        <v/>
      </c>
      <c r="CP223" s="458" t="str">
        <f t="shared" si="134"/>
        <v/>
      </c>
      <c r="CQ223" s="458" t="str">
        <f t="shared" si="135"/>
        <v/>
      </c>
      <c r="CR223" s="458" t="str">
        <f t="shared" si="136"/>
        <v/>
      </c>
      <c r="CS223" s="40" t="str">
        <f t="shared" si="137"/>
        <v/>
      </c>
      <c r="CT223" s="40" t="str">
        <f t="shared" si="138"/>
        <v/>
      </c>
      <c r="CU223" s="41" t="str">
        <f t="shared" si="139"/>
        <v/>
      </c>
    </row>
    <row r="224" spans="1:99" x14ac:dyDescent="0.2">
      <c r="A224" s="77">
        <f t="shared" si="140"/>
        <v>219</v>
      </c>
      <c r="B224" s="81"/>
      <c r="C224" s="82"/>
      <c r="D224" s="71"/>
      <c r="E224" s="72"/>
      <c r="F224" s="73"/>
      <c r="G224" s="443"/>
      <c r="H224" s="443"/>
      <c r="I224" s="74"/>
      <c r="J224" s="75"/>
      <c r="K224" s="41">
        <f t="shared" si="109"/>
        <v>3625</v>
      </c>
      <c r="L224" s="104"/>
      <c r="M224" s="105"/>
      <c r="N224" s="106">
        <f t="shared" si="110"/>
        <v>537.05999999999995</v>
      </c>
      <c r="O224" s="104"/>
      <c r="P224" s="105"/>
      <c r="Q224" s="106">
        <f t="shared" si="142"/>
        <v>10045.83</v>
      </c>
      <c r="R224" s="104"/>
      <c r="S224" s="105"/>
      <c r="T224" s="106">
        <f t="shared" si="143"/>
        <v>0</v>
      </c>
      <c r="U224" s="439"/>
      <c r="V224" s="42">
        <f t="shared" si="111"/>
        <v>219</v>
      </c>
      <c r="W224" s="39" t="str">
        <f>IF(AND(E224='Povolené hodnoty'!$B$4,F224=2),I224+L224+O224+R224,"")</f>
        <v/>
      </c>
      <c r="X224" s="41" t="str">
        <f>IF(AND(E224='Povolené hodnoty'!$B$4,F224=1),I224+L224+O224+R224,"")</f>
        <v/>
      </c>
      <c r="Y224" s="39" t="str">
        <f>IF(AND(E224='Povolené hodnoty'!$B$4,F224=10),J224+M224+P224+S224,"")</f>
        <v/>
      </c>
      <c r="Z224" s="41" t="str">
        <f>IF(AND(E224='Povolené hodnoty'!$B$4,F224=9),J224+M224+P224+S224,"")</f>
        <v/>
      </c>
      <c r="AA224" s="39" t="str">
        <f>IF(AND(E224&lt;&gt;'Povolené hodnoty'!$B$4,F224=2),I224+L224+O224+R224,"")</f>
        <v/>
      </c>
      <c r="AB224" s="40" t="str">
        <f>IF(AND(E224&lt;&gt;'Povolené hodnoty'!$B$4,F224=3),I224+L224+O224+R224,"")</f>
        <v/>
      </c>
      <c r="AC224" s="40" t="str">
        <f>IF(AND(E224&lt;&gt;'Povolené hodnoty'!$B$4,F224=4),I224+L224+O224+R224,"")</f>
        <v/>
      </c>
      <c r="AD224" s="40" t="str">
        <f>IF(AND(E224&lt;&gt;'Povolené hodnoty'!$B$4,F224="5a"),I224-J224+L224-M224+O224-P224+R224-S224,"")</f>
        <v/>
      </c>
      <c r="AE224" s="40" t="str">
        <f>IF(AND(E224&lt;&gt;'Povolené hodnoty'!$B$4,F224="5b"),I224-J224+L224-M224+O224-P224+R224-S224,"")</f>
        <v/>
      </c>
      <c r="AF224" s="40" t="str">
        <f>IF(AND(E224&lt;&gt;'Povolené hodnoty'!$B$4,F224=6),I224+L224+O224+R224,"")</f>
        <v/>
      </c>
      <c r="AG224" s="41" t="str">
        <f>IF(AND(E224&lt;&gt;'Povolené hodnoty'!$B$4,F224=7),I224+L224+O224+R224,"")</f>
        <v/>
      </c>
      <c r="AH224" s="39" t="str">
        <f>IF(AND(E224&lt;&gt;'Povolené hodnoty'!$B$4,F224=10),J224+M224+P224+S224,"")</f>
        <v/>
      </c>
      <c r="AI224" s="40" t="str">
        <f>IF(AND(E224&lt;&gt;'Povolené hodnoty'!$B$4,F224=11),J224+M224+P224+S224,"")</f>
        <v/>
      </c>
      <c r="AJ224" s="40" t="str">
        <f>IF(AND(E224&lt;&gt;'Povolené hodnoty'!$B$4,F224=12),J224+M224+P224+S224,"")</f>
        <v/>
      </c>
      <c r="AK224" s="41" t="str">
        <f>IF(AND(E224&lt;&gt;'Povolené hodnoty'!$B$4,F224=13),J224+M224+P224+S224,"")</f>
        <v/>
      </c>
      <c r="AL224" s="39" t="str">
        <f>IF(AND($G224='Povolené hodnoty'!$B$13,$H224=AL$4),SUM($I224,$L224,$O224,$R224),"")</f>
        <v/>
      </c>
      <c r="AM224" s="458" t="str">
        <f>IF(AND($G224='Povolené hodnoty'!$B$13,$H224=AM$4),SUM($I224,$L224,$O224,$R224),"")</f>
        <v/>
      </c>
      <c r="AN224" s="458" t="str">
        <f>IF(AND($G224='Povolené hodnoty'!$B$13,$H224=AN$4),SUM($I224,$L224,$O224,$R224),"")</f>
        <v/>
      </c>
      <c r="AO224" s="458" t="str">
        <f>IF(AND($G224='Povolené hodnoty'!$B$13,$H224=AO$4),SUM($I224,$L224,$O224,$R224),"")</f>
        <v/>
      </c>
      <c r="AP224" s="458" t="str">
        <f>IF(AND($G224='Povolené hodnoty'!$B$13,$H224=AP$4),SUM($I224,$L224,$O224,$R224),"")</f>
        <v/>
      </c>
      <c r="AQ224" s="40" t="str">
        <f>IF(AND($G224='Povolené hodnoty'!$B$13,OR($H224=AQ$4,$H224='Povolené hodnoty'!$E$36)),SUM($I224,-$J224,$L224,-$M224,$O224,-$P224,$R224,-$S224),"")</f>
        <v/>
      </c>
      <c r="AR224" s="40" t="str">
        <f>IF(AND($G224='Povolené hodnoty'!$B$13,$H224=AR$4),SUM($I224,$L224,$O224,$R224),"")</f>
        <v/>
      </c>
      <c r="AS224" s="41" t="str">
        <f>IF(AND($G224='Povolené hodnoty'!$B$13,$H224=AS$4),SUM($I224,$L224,$O224,$R224),"")</f>
        <v/>
      </c>
      <c r="AT224" s="39" t="str">
        <f>IF(AND($G224='Povolené hodnoty'!$B$14,$H224=AT$4),SUM($I224,$L224,$O224,$R224),"")</f>
        <v/>
      </c>
      <c r="AU224" s="458" t="str">
        <f>IF(AND($G224='Povolené hodnoty'!$B$14,$H224=AU$4),SUM($I224,$L224,$O224,$R224),"")</f>
        <v/>
      </c>
      <c r="AV224" s="41" t="str">
        <f>IF(AND($G224='Povolené hodnoty'!$B$14,$H224=AV$4),SUM($I224,$L224,$O224,$R224),"")</f>
        <v/>
      </c>
      <c r="AW224" s="39" t="str">
        <f>IF(AND($G224='Povolené hodnoty'!$B$13,$H224=AW$4),SUM($J224,$M224,$P224,$S224),"")</f>
        <v/>
      </c>
      <c r="AX224" s="458" t="str">
        <f>IF(AND($G224='Povolené hodnoty'!$B$13,$H224=AX$4),SUM($J224,$M224,$P224,$S224),"")</f>
        <v/>
      </c>
      <c r="AY224" s="458" t="str">
        <f>IF(AND($G224='Povolené hodnoty'!$B$13,$H224=AY$4),SUM($J224,$M224,$P224,$S224),"")</f>
        <v/>
      </c>
      <c r="AZ224" s="458" t="str">
        <f>IF(AND($G224='Povolené hodnoty'!$B$13,$H224=AZ$4),SUM($J224,$M224,$P224,$S224),"")</f>
        <v/>
      </c>
      <c r="BA224" s="458" t="str">
        <f>IF(AND($G224='Povolené hodnoty'!$B$13,$H224=BA$4),SUM($J224,$M224,$P224,$S224),"")</f>
        <v/>
      </c>
      <c r="BB224" s="40" t="str">
        <f>IF(AND($G224='Povolené hodnoty'!$B$13,$H224=BB$4),SUM($J224,$M224,$P224,$S224),"")</f>
        <v/>
      </c>
      <c r="BC224" s="40" t="str">
        <f>IF(AND($G224='Povolené hodnoty'!$B$13,$H224=BC$4),SUM($J224,$M224,$P224,$S224),"")</f>
        <v/>
      </c>
      <c r="BD224" s="40" t="str">
        <f>IF(AND($G224='Povolené hodnoty'!$B$13,$H224=BD$4),SUM($J224,$M224,$P224,$S224),"")</f>
        <v/>
      </c>
      <c r="BE224" s="41" t="str">
        <f>IF(AND($G224='Povolené hodnoty'!$B$13,$H224=BE$4),SUM($J224,$M224,$P224,$S224),"")</f>
        <v/>
      </c>
      <c r="BF224" s="39" t="str">
        <f>IF(AND($G224='Povolené hodnoty'!$B$14,$H224=BF$4),SUM($J224,$M224,$P224,$S224),"")</f>
        <v/>
      </c>
      <c r="BG224" s="458" t="str">
        <f>IF(AND($G224='Povolené hodnoty'!$B$14,$H224=BG$4),SUM($J224,$M224,$P224,$S224),"")</f>
        <v/>
      </c>
      <c r="BH224" s="458" t="str">
        <f>IF(AND($G224='Povolené hodnoty'!$B$14,$H224=BH$4),SUM($J224,$M224,$P224,$S224),"")</f>
        <v/>
      </c>
      <c r="BI224" s="458" t="str">
        <f>IF(AND($G224='Povolené hodnoty'!$B$14,$H224=BI$4),SUM($J224,$M224,$P224,$S224),"")</f>
        <v/>
      </c>
      <c r="BJ224" s="458" t="str">
        <f>IF(AND($G224='Povolené hodnoty'!$B$14,$H224=BJ$4),SUM($J224,$M224,$P224,$S224),"")</f>
        <v/>
      </c>
      <c r="BK224" s="40" t="str">
        <f>IF(AND($G224='Povolené hodnoty'!$B$14,$H224=BK$4),SUM($J224,$M224,$P224,$S224),"")</f>
        <v/>
      </c>
      <c r="BL224" s="40" t="str">
        <f>IF(AND($G224='Povolené hodnoty'!$B$14,$H224=BL$4),SUM($J224,$M224,$P224,$S224),"")</f>
        <v/>
      </c>
      <c r="BM224" s="41" t="str">
        <f>IF(AND($G224='Povolené hodnoty'!$B$14,$H224=BM$4),SUM($J224,$M224,$P224,$S224),"")</f>
        <v/>
      </c>
      <c r="BO224" s="18" t="b">
        <f t="shared" si="141"/>
        <v>0</v>
      </c>
      <c r="BP224" s="18" t="b">
        <f t="shared" si="112"/>
        <v>0</v>
      </c>
      <c r="BQ224" s="18" t="b">
        <f>AND(E224&lt;&gt;'Povolené hodnoty'!$B$6,F224&lt;&gt;'Povolené hodnoty'!$D$7,F224&lt;&gt;'Povolené hodnoty'!$D$8,OR(SUM(I224,L224,O224,R224)&lt;&gt;SUM(W224:X224,AA224:AG224),SUM(J224,M224,P224,S224)&lt;&gt;SUM(Y224:Z224,AH224:AK224),COUNT(I224:J224,L224:M224,O224:P224,R224:S224)&lt;&gt;COUNT(W224:AK224)))</f>
        <v>0</v>
      </c>
      <c r="BR224" s="18" t="b">
        <f>OR(AND(E224='Povolené hodnoty'!$B$6,$BR$5),AND(E224='Povolené hodnoty'!$B$6,H224&lt;&gt;'Povolené hodnoty'!$E$26,H224&lt;&gt;'Povolené hodnoty'!$E$35),AND(E224&lt;&gt;'Povolené hodnoty'!$B$6,OR(H224='Povolené hodnoty'!$E$26,H224='Povolené hodnoty'!$E$35)))</f>
        <v>0</v>
      </c>
      <c r="BS224" s="18" t="b">
        <f>OR(AND(G224&lt;&gt;'Povolené hodnoty'!$B$13,OR(H224='Povolené hodnoty'!$E$21,H224='Povolené hodnoty'!$E$22,H224='Povolené hodnoty'!$E$23,H224='Povolené hodnoty'!$E$24,H224='Povolené hodnoty'!$E$26,H224='Povolené hodnoty'!$E$36)),COUNT(I224:J224,L224:M224,O224:P224,R224:S224)&lt;&gt;COUNT(AL224:BM224))</f>
        <v>0</v>
      </c>
      <c r="BT224" s="18" t="b">
        <f t="shared" si="113"/>
        <v>0</v>
      </c>
      <c r="BV224" s="39" t="str">
        <f t="shared" si="114"/>
        <v/>
      </c>
      <c r="BW224" s="458" t="str">
        <f t="shared" si="115"/>
        <v/>
      </c>
      <c r="BX224" s="458" t="str">
        <f t="shared" si="116"/>
        <v/>
      </c>
      <c r="BY224" s="458" t="str">
        <f t="shared" si="117"/>
        <v/>
      </c>
      <c r="BZ224" s="458" t="str">
        <f t="shared" si="118"/>
        <v/>
      </c>
      <c r="CA224" s="40" t="str">
        <f t="shared" si="119"/>
        <v/>
      </c>
      <c r="CB224" s="40" t="str">
        <f t="shared" si="120"/>
        <v/>
      </c>
      <c r="CC224" s="39" t="str">
        <f t="shared" si="121"/>
        <v/>
      </c>
      <c r="CD224" s="458" t="str">
        <f t="shared" si="122"/>
        <v/>
      </c>
      <c r="CE224" s="41" t="str">
        <f t="shared" si="123"/>
        <v/>
      </c>
      <c r="CF224" s="39" t="str">
        <f t="shared" si="124"/>
        <v/>
      </c>
      <c r="CG224" s="458" t="str">
        <f t="shared" si="125"/>
        <v/>
      </c>
      <c r="CH224" s="458" t="str">
        <f t="shared" si="126"/>
        <v/>
      </c>
      <c r="CI224" s="458" t="str">
        <f t="shared" si="127"/>
        <v/>
      </c>
      <c r="CJ224" s="458" t="str">
        <f t="shared" si="128"/>
        <v/>
      </c>
      <c r="CK224" s="40" t="str">
        <f t="shared" si="129"/>
        <v/>
      </c>
      <c r="CL224" s="40" t="str">
        <f t="shared" si="130"/>
        <v/>
      </c>
      <c r="CM224" s="40" t="str">
        <f t="shared" si="131"/>
        <v/>
      </c>
      <c r="CN224" s="39" t="str">
        <f t="shared" si="132"/>
        <v/>
      </c>
      <c r="CO224" s="458" t="str">
        <f t="shared" si="133"/>
        <v/>
      </c>
      <c r="CP224" s="458" t="str">
        <f t="shared" si="134"/>
        <v/>
      </c>
      <c r="CQ224" s="458" t="str">
        <f t="shared" si="135"/>
        <v/>
      </c>
      <c r="CR224" s="458" t="str">
        <f t="shared" si="136"/>
        <v/>
      </c>
      <c r="CS224" s="40" t="str">
        <f t="shared" si="137"/>
        <v/>
      </c>
      <c r="CT224" s="40" t="str">
        <f t="shared" si="138"/>
        <v/>
      </c>
      <c r="CU224" s="41" t="str">
        <f t="shared" si="139"/>
        <v/>
      </c>
    </row>
    <row r="225" spans="1:99" x14ac:dyDescent="0.2">
      <c r="A225" s="77">
        <f t="shared" si="140"/>
        <v>220</v>
      </c>
      <c r="B225" s="81"/>
      <c r="C225" s="82"/>
      <c r="D225" s="71"/>
      <c r="E225" s="72"/>
      <c r="F225" s="73"/>
      <c r="G225" s="443"/>
      <c r="H225" s="443"/>
      <c r="I225" s="74"/>
      <c r="J225" s="75"/>
      <c r="K225" s="41">
        <f t="shared" si="109"/>
        <v>3625</v>
      </c>
      <c r="L225" s="104"/>
      <c r="M225" s="105"/>
      <c r="N225" s="106">
        <f t="shared" si="110"/>
        <v>537.05999999999995</v>
      </c>
      <c r="O225" s="104"/>
      <c r="P225" s="105"/>
      <c r="Q225" s="106">
        <f t="shared" si="142"/>
        <v>10045.83</v>
      </c>
      <c r="R225" s="104"/>
      <c r="S225" s="105"/>
      <c r="T225" s="106">
        <f t="shared" si="143"/>
        <v>0</v>
      </c>
      <c r="U225" s="439"/>
      <c r="V225" s="42">
        <f t="shared" si="111"/>
        <v>220</v>
      </c>
      <c r="W225" s="39" t="str">
        <f>IF(AND(E225='Povolené hodnoty'!$B$4,F225=2),I225+L225+O225+R225,"")</f>
        <v/>
      </c>
      <c r="X225" s="41" t="str">
        <f>IF(AND(E225='Povolené hodnoty'!$B$4,F225=1),I225+L225+O225+R225,"")</f>
        <v/>
      </c>
      <c r="Y225" s="39" t="str">
        <f>IF(AND(E225='Povolené hodnoty'!$B$4,F225=10),J225+M225+P225+S225,"")</f>
        <v/>
      </c>
      <c r="Z225" s="41" t="str">
        <f>IF(AND(E225='Povolené hodnoty'!$B$4,F225=9),J225+M225+P225+S225,"")</f>
        <v/>
      </c>
      <c r="AA225" s="39" t="str">
        <f>IF(AND(E225&lt;&gt;'Povolené hodnoty'!$B$4,F225=2),I225+L225+O225+R225,"")</f>
        <v/>
      </c>
      <c r="AB225" s="40" t="str">
        <f>IF(AND(E225&lt;&gt;'Povolené hodnoty'!$B$4,F225=3),I225+L225+O225+R225,"")</f>
        <v/>
      </c>
      <c r="AC225" s="40" t="str">
        <f>IF(AND(E225&lt;&gt;'Povolené hodnoty'!$B$4,F225=4),I225+L225+O225+R225,"")</f>
        <v/>
      </c>
      <c r="AD225" s="40" t="str">
        <f>IF(AND(E225&lt;&gt;'Povolené hodnoty'!$B$4,F225="5a"),I225-J225+L225-M225+O225-P225+R225-S225,"")</f>
        <v/>
      </c>
      <c r="AE225" s="40" t="str">
        <f>IF(AND(E225&lt;&gt;'Povolené hodnoty'!$B$4,F225="5b"),I225-J225+L225-M225+O225-P225+R225-S225,"")</f>
        <v/>
      </c>
      <c r="AF225" s="40" t="str">
        <f>IF(AND(E225&lt;&gt;'Povolené hodnoty'!$B$4,F225=6),I225+L225+O225+R225,"")</f>
        <v/>
      </c>
      <c r="AG225" s="41" t="str">
        <f>IF(AND(E225&lt;&gt;'Povolené hodnoty'!$B$4,F225=7),I225+L225+O225+R225,"")</f>
        <v/>
      </c>
      <c r="AH225" s="39" t="str">
        <f>IF(AND(E225&lt;&gt;'Povolené hodnoty'!$B$4,F225=10),J225+M225+P225+S225,"")</f>
        <v/>
      </c>
      <c r="AI225" s="40" t="str">
        <f>IF(AND(E225&lt;&gt;'Povolené hodnoty'!$B$4,F225=11),J225+M225+P225+S225,"")</f>
        <v/>
      </c>
      <c r="AJ225" s="40" t="str">
        <f>IF(AND(E225&lt;&gt;'Povolené hodnoty'!$B$4,F225=12),J225+M225+P225+S225,"")</f>
        <v/>
      </c>
      <c r="AK225" s="41" t="str">
        <f>IF(AND(E225&lt;&gt;'Povolené hodnoty'!$B$4,F225=13),J225+M225+P225+S225,"")</f>
        <v/>
      </c>
      <c r="AL225" s="39" t="str">
        <f>IF(AND($G225='Povolené hodnoty'!$B$13,$H225=AL$4),SUM($I225,$L225,$O225,$R225),"")</f>
        <v/>
      </c>
      <c r="AM225" s="458" t="str">
        <f>IF(AND($G225='Povolené hodnoty'!$B$13,$H225=AM$4),SUM($I225,$L225,$O225,$R225),"")</f>
        <v/>
      </c>
      <c r="AN225" s="458" t="str">
        <f>IF(AND($G225='Povolené hodnoty'!$B$13,$H225=AN$4),SUM($I225,$L225,$O225,$R225),"")</f>
        <v/>
      </c>
      <c r="AO225" s="458" t="str">
        <f>IF(AND($G225='Povolené hodnoty'!$B$13,$H225=AO$4),SUM($I225,$L225,$O225,$R225),"")</f>
        <v/>
      </c>
      <c r="AP225" s="458" t="str">
        <f>IF(AND($G225='Povolené hodnoty'!$B$13,$H225=AP$4),SUM($I225,$L225,$O225,$R225),"")</f>
        <v/>
      </c>
      <c r="AQ225" s="40" t="str">
        <f>IF(AND($G225='Povolené hodnoty'!$B$13,OR($H225=AQ$4,$H225='Povolené hodnoty'!$E$36)),SUM($I225,-$J225,$L225,-$M225,$O225,-$P225,$R225,-$S225),"")</f>
        <v/>
      </c>
      <c r="AR225" s="40" t="str">
        <f>IF(AND($G225='Povolené hodnoty'!$B$13,$H225=AR$4),SUM($I225,$L225,$O225,$R225),"")</f>
        <v/>
      </c>
      <c r="AS225" s="41" t="str">
        <f>IF(AND($G225='Povolené hodnoty'!$B$13,$H225=AS$4),SUM($I225,$L225,$O225,$R225),"")</f>
        <v/>
      </c>
      <c r="AT225" s="39" t="str">
        <f>IF(AND($G225='Povolené hodnoty'!$B$14,$H225=AT$4),SUM($I225,$L225,$O225,$R225),"")</f>
        <v/>
      </c>
      <c r="AU225" s="458" t="str">
        <f>IF(AND($G225='Povolené hodnoty'!$B$14,$H225=AU$4),SUM($I225,$L225,$O225,$R225),"")</f>
        <v/>
      </c>
      <c r="AV225" s="41" t="str">
        <f>IF(AND($G225='Povolené hodnoty'!$B$14,$H225=AV$4),SUM($I225,$L225,$O225,$R225),"")</f>
        <v/>
      </c>
      <c r="AW225" s="39" t="str">
        <f>IF(AND($G225='Povolené hodnoty'!$B$13,$H225=AW$4),SUM($J225,$M225,$P225,$S225),"")</f>
        <v/>
      </c>
      <c r="AX225" s="458" t="str">
        <f>IF(AND($G225='Povolené hodnoty'!$B$13,$H225=AX$4),SUM($J225,$M225,$P225,$S225),"")</f>
        <v/>
      </c>
      <c r="AY225" s="458" t="str">
        <f>IF(AND($G225='Povolené hodnoty'!$B$13,$H225=AY$4),SUM($J225,$M225,$P225,$S225),"")</f>
        <v/>
      </c>
      <c r="AZ225" s="458" t="str">
        <f>IF(AND($G225='Povolené hodnoty'!$B$13,$H225=AZ$4),SUM($J225,$M225,$P225,$S225),"")</f>
        <v/>
      </c>
      <c r="BA225" s="458" t="str">
        <f>IF(AND($G225='Povolené hodnoty'!$B$13,$H225=BA$4),SUM($J225,$M225,$P225,$S225),"")</f>
        <v/>
      </c>
      <c r="BB225" s="40" t="str">
        <f>IF(AND($G225='Povolené hodnoty'!$B$13,$H225=BB$4),SUM($J225,$M225,$P225,$S225),"")</f>
        <v/>
      </c>
      <c r="BC225" s="40" t="str">
        <f>IF(AND($G225='Povolené hodnoty'!$B$13,$H225=BC$4),SUM($J225,$M225,$P225,$S225),"")</f>
        <v/>
      </c>
      <c r="BD225" s="40" t="str">
        <f>IF(AND($G225='Povolené hodnoty'!$B$13,$H225=BD$4),SUM($J225,$M225,$P225,$S225),"")</f>
        <v/>
      </c>
      <c r="BE225" s="41" t="str">
        <f>IF(AND($G225='Povolené hodnoty'!$B$13,$H225=BE$4),SUM($J225,$M225,$P225,$S225),"")</f>
        <v/>
      </c>
      <c r="BF225" s="39" t="str">
        <f>IF(AND($G225='Povolené hodnoty'!$B$14,$H225=BF$4),SUM($J225,$M225,$P225,$S225),"")</f>
        <v/>
      </c>
      <c r="BG225" s="458" t="str">
        <f>IF(AND($G225='Povolené hodnoty'!$B$14,$H225=BG$4),SUM($J225,$M225,$P225,$S225),"")</f>
        <v/>
      </c>
      <c r="BH225" s="458" t="str">
        <f>IF(AND($G225='Povolené hodnoty'!$B$14,$H225=BH$4),SUM($J225,$M225,$P225,$S225),"")</f>
        <v/>
      </c>
      <c r="BI225" s="458" t="str">
        <f>IF(AND($G225='Povolené hodnoty'!$B$14,$H225=BI$4),SUM($J225,$M225,$P225,$S225),"")</f>
        <v/>
      </c>
      <c r="BJ225" s="458" t="str">
        <f>IF(AND($G225='Povolené hodnoty'!$B$14,$H225=BJ$4),SUM($J225,$M225,$P225,$S225),"")</f>
        <v/>
      </c>
      <c r="BK225" s="40" t="str">
        <f>IF(AND($G225='Povolené hodnoty'!$B$14,$H225=BK$4),SUM($J225,$M225,$P225,$S225),"")</f>
        <v/>
      </c>
      <c r="BL225" s="40" t="str">
        <f>IF(AND($G225='Povolené hodnoty'!$B$14,$H225=BL$4),SUM($J225,$M225,$P225,$S225),"")</f>
        <v/>
      </c>
      <c r="BM225" s="41" t="str">
        <f>IF(AND($G225='Povolené hodnoty'!$B$14,$H225=BM$4),SUM($J225,$M225,$P225,$S225),"")</f>
        <v/>
      </c>
      <c r="BO225" s="18" t="b">
        <f t="shared" si="141"/>
        <v>0</v>
      </c>
      <c r="BP225" s="18" t="b">
        <f t="shared" si="112"/>
        <v>0</v>
      </c>
      <c r="BQ225" s="18" t="b">
        <f>AND(E225&lt;&gt;'Povolené hodnoty'!$B$6,F225&lt;&gt;'Povolené hodnoty'!$D$7,F225&lt;&gt;'Povolené hodnoty'!$D$8,OR(SUM(I225,L225,O225,R225)&lt;&gt;SUM(W225:X225,AA225:AG225),SUM(J225,M225,P225,S225)&lt;&gt;SUM(Y225:Z225,AH225:AK225),COUNT(I225:J225,L225:M225,O225:P225,R225:S225)&lt;&gt;COUNT(W225:AK225)))</f>
        <v>0</v>
      </c>
      <c r="BR225" s="18" t="b">
        <f>OR(AND(E225='Povolené hodnoty'!$B$6,$BR$5),AND(E225='Povolené hodnoty'!$B$6,H225&lt;&gt;'Povolené hodnoty'!$E$26,H225&lt;&gt;'Povolené hodnoty'!$E$35),AND(E225&lt;&gt;'Povolené hodnoty'!$B$6,OR(H225='Povolené hodnoty'!$E$26,H225='Povolené hodnoty'!$E$35)))</f>
        <v>0</v>
      </c>
      <c r="BS225" s="18" t="b">
        <f>OR(AND(G225&lt;&gt;'Povolené hodnoty'!$B$13,OR(H225='Povolené hodnoty'!$E$21,H225='Povolené hodnoty'!$E$22,H225='Povolené hodnoty'!$E$23,H225='Povolené hodnoty'!$E$24,H225='Povolené hodnoty'!$E$26,H225='Povolené hodnoty'!$E$36)),COUNT(I225:J225,L225:M225,O225:P225,R225:S225)&lt;&gt;COUNT(AL225:BM225))</f>
        <v>0</v>
      </c>
      <c r="BT225" s="18" t="b">
        <f t="shared" si="113"/>
        <v>0</v>
      </c>
      <c r="BV225" s="39" t="str">
        <f t="shared" si="114"/>
        <v/>
      </c>
      <c r="BW225" s="458" t="str">
        <f t="shared" si="115"/>
        <v/>
      </c>
      <c r="BX225" s="458" t="str">
        <f t="shared" si="116"/>
        <v/>
      </c>
      <c r="BY225" s="458" t="str">
        <f t="shared" si="117"/>
        <v/>
      </c>
      <c r="BZ225" s="458" t="str">
        <f t="shared" si="118"/>
        <v/>
      </c>
      <c r="CA225" s="40" t="str">
        <f t="shared" si="119"/>
        <v/>
      </c>
      <c r="CB225" s="40" t="str">
        <f t="shared" si="120"/>
        <v/>
      </c>
      <c r="CC225" s="39" t="str">
        <f t="shared" si="121"/>
        <v/>
      </c>
      <c r="CD225" s="458" t="str">
        <f t="shared" si="122"/>
        <v/>
      </c>
      <c r="CE225" s="41" t="str">
        <f t="shared" si="123"/>
        <v/>
      </c>
      <c r="CF225" s="39" t="str">
        <f t="shared" si="124"/>
        <v/>
      </c>
      <c r="CG225" s="458" t="str">
        <f t="shared" si="125"/>
        <v/>
      </c>
      <c r="CH225" s="458" t="str">
        <f t="shared" si="126"/>
        <v/>
      </c>
      <c r="CI225" s="458" t="str">
        <f t="shared" si="127"/>
        <v/>
      </c>
      <c r="CJ225" s="458" t="str">
        <f t="shared" si="128"/>
        <v/>
      </c>
      <c r="CK225" s="40" t="str">
        <f t="shared" si="129"/>
        <v/>
      </c>
      <c r="CL225" s="40" t="str">
        <f t="shared" si="130"/>
        <v/>
      </c>
      <c r="CM225" s="40" t="str">
        <f t="shared" si="131"/>
        <v/>
      </c>
      <c r="CN225" s="39" t="str">
        <f t="shared" si="132"/>
        <v/>
      </c>
      <c r="CO225" s="458" t="str">
        <f t="shared" si="133"/>
        <v/>
      </c>
      <c r="CP225" s="458" t="str">
        <f t="shared" si="134"/>
        <v/>
      </c>
      <c r="CQ225" s="458" t="str">
        <f t="shared" si="135"/>
        <v/>
      </c>
      <c r="CR225" s="458" t="str">
        <f t="shared" si="136"/>
        <v/>
      </c>
      <c r="CS225" s="40" t="str">
        <f t="shared" si="137"/>
        <v/>
      </c>
      <c r="CT225" s="40" t="str">
        <f t="shared" si="138"/>
        <v/>
      </c>
      <c r="CU225" s="41" t="str">
        <f t="shared" si="139"/>
        <v/>
      </c>
    </row>
    <row r="226" spans="1:99" x14ac:dyDescent="0.2">
      <c r="A226" s="77">
        <f t="shared" si="140"/>
        <v>221</v>
      </c>
      <c r="B226" s="81"/>
      <c r="C226" s="82"/>
      <c r="D226" s="71"/>
      <c r="E226" s="72"/>
      <c r="F226" s="73"/>
      <c r="G226" s="443"/>
      <c r="H226" s="443"/>
      <c r="I226" s="74"/>
      <c r="J226" s="75"/>
      <c r="K226" s="41">
        <f t="shared" si="109"/>
        <v>3625</v>
      </c>
      <c r="L226" s="104"/>
      <c r="M226" s="105"/>
      <c r="N226" s="106">
        <f t="shared" si="110"/>
        <v>537.05999999999995</v>
      </c>
      <c r="O226" s="104"/>
      <c r="P226" s="105"/>
      <c r="Q226" s="106">
        <f t="shared" si="142"/>
        <v>10045.83</v>
      </c>
      <c r="R226" s="104"/>
      <c r="S226" s="105"/>
      <c r="T226" s="106">
        <f t="shared" si="143"/>
        <v>0</v>
      </c>
      <c r="U226" s="439"/>
      <c r="V226" s="42">
        <f t="shared" si="111"/>
        <v>221</v>
      </c>
      <c r="W226" s="39" t="str">
        <f>IF(AND(E226='Povolené hodnoty'!$B$4,F226=2),I226+L226+O226+R226,"")</f>
        <v/>
      </c>
      <c r="X226" s="41" t="str">
        <f>IF(AND(E226='Povolené hodnoty'!$B$4,F226=1),I226+L226+O226+R226,"")</f>
        <v/>
      </c>
      <c r="Y226" s="39" t="str">
        <f>IF(AND(E226='Povolené hodnoty'!$B$4,F226=10),J226+M226+P226+S226,"")</f>
        <v/>
      </c>
      <c r="Z226" s="41" t="str">
        <f>IF(AND(E226='Povolené hodnoty'!$B$4,F226=9),J226+M226+P226+S226,"")</f>
        <v/>
      </c>
      <c r="AA226" s="39" t="str">
        <f>IF(AND(E226&lt;&gt;'Povolené hodnoty'!$B$4,F226=2),I226+L226+O226+R226,"")</f>
        <v/>
      </c>
      <c r="AB226" s="40" t="str">
        <f>IF(AND(E226&lt;&gt;'Povolené hodnoty'!$B$4,F226=3),I226+L226+O226+R226,"")</f>
        <v/>
      </c>
      <c r="AC226" s="40" t="str">
        <f>IF(AND(E226&lt;&gt;'Povolené hodnoty'!$B$4,F226=4),I226+L226+O226+R226,"")</f>
        <v/>
      </c>
      <c r="AD226" s="40" t="str">
        <f>IF(AND(E226&lt;&gt;'Povolené hodnoty'!$B$4,F226="5a"),I226-J226+L226-M226+O226-P226+R226-S226,"")</f>
        <v/>
      </c>
      <c r="AE226" s="40" t="str">
        <f>IF(AND(E226&lt;&gt;'Povolené hodnoty'!$B$4,F226="5b"),I226-J226+L226-M226+O226-P226+R226-S226,"")</f>
        <v/>
      </c>
      <c r="AF226" s="40" t="str">
        <f>IF(AND(E226&lt;&gt;'Povolené hodnoty'!$B$4,F226=6),I226+L226+O226+R226,"")</f>
        <v/>
      </c>
      <c r="AG226" s="41" t="str">
        <f>IF(AND(E226&lt;&gt;'Povolené hodnoty'!$B$4,F226=7),I226+L226+O226+R226,"")</f>
        <v/>
      </c>
      <c r="AH226" s="39" t="str">
        <f>IF(AND(E226&lt;&gt;'Povolené hodnoty'!$B$4,F226=10),J226+M226+P226+S226,"")</f>
        <v/>
      </c>
      <c r="AI226" s="40" t="str">
        <f>IF(AND(E226&lt;&gt;'Povolené hodnoty'!$B$4,F226=11),J226+M226+P226+S226,"")</f>
        <v/>
      </c>
      <c r="AJ226" s="40" t="str">
        <f>IF(AND(E226&lt;&gt;'Povolené hodnoty'!$B$4,F226=12),J226+M226+P226+S226,"")</f>
        <v/>
      </c>
      <c r="AK226" s="41" t="str">
        <f>IF(AND(E226&lt;&gt;'Povolené hodnoty'!$B$4,F226=13),J226+M226+P226+S226,"")</f>
        <v/>
      </c>
      <c r="AL226" s="39" t="str">
        <f>IF(AND($G226='Povolené hodnoty'!$B$13,$H226=AL$4),SUM($I226,$L226,$O226,$R226),"")</f>
        <v/>
      </c>
      <c r="AM226" s="458" t="str">
        <f>IF(AND($G226='Povolené hodnoty'!$B$13,$H226=AM$4),SUM($I226,$L226,$O226,$R226),"")</f>
        <v/>
      </c>
      <c r="AN226" s="458" t="str">
        <f>IF(AND($G226='Povolené hodnoty'!$B$13,$H226=AN$4),SUM($I226,$L226,$O226,$R226),"")</f>
        <v/>
      </c>
      <c r="AO226" s="458" t="str">
        <f>IF(AND($G226='Povolené hodnoty'!$B$13,$H226=AO$4),SUM($I226,$L226,$O226,$R226),"")</f>
        <v/>
      </c>
      <c r="AP226" s="458" t="str">
        <f>IF(AND($G226='Povolené hodnoty'!$B$13,$H226=AP$4),SUM($I226,$L226,$O226,$R226),"")</f>
        <v/>
      </c>
      <c r="AQ226" s="40" t="str">
        <f>IF(AND($G226='Povolené hodnoty'!$B$13,OR($H226=AQ$4,$H226='Povolené hodnoty'!$E$36)),SUM($I226,-$J226,$L226,-$M226,$O226,-$P226,$R226,-$S226),"")</f>
        <v/>
      </c>
      <c r="AR226" s="40" t="str">
        <f>IF(AND($G226='Povolené hodnoty'!$B$13,$H226=AR$4),SUM($I226,$L226,$O226,$R226),"")</f>
        <v/>
      </c>
      <c r="AS226" s="41" t="str">
        <f>IF(AND($G226='Povolené hodnoty'!$B$13,$H226=AS$4),SUM($I226,$L226,$O226,$R226),"")</f>
        <v/>
      </c>
      <c r="AT226" s="39" t="str">
        <f>IF(AND($G226='Povolené hodnoty'!$B$14,$H226=AT$4),SUM($I226,$L226,$O226,$R226),"")</f>
        <v/>
      </c>
      <c r="AU226" s="458" t="str">
        <f>IF(AND($G226='Povolené hodnoty'!$B$14,$H226=AU$4),SUM($I226,$L226,$O226,$R226),"")</f>
        <v/>
      </c>
      <c r="AV226" s="41" t="str">
        <f>IF(AND($G226='Povolené hodnoty'!$B$14,$H226=AV$4),SUM($I226,$L226,$O226,$R226),"")</f>
        <v/>
      </c>
      <c r="AW226" s="39" t="str">
        <f>IF(AND($G226='Povolené hodnoty'!$B$13,$H226=AW$4),SUM($J226,$M226,$P226,$S226),"")</f>
        <v/>
      </c>
      <c r="AX226" s="458" t="str">
        <f>IF(AND($G226='Povolené hodnoty'!$B$13,$H226=AX$4),SUM($J226,$M226,$P226,$S226),"")</f>
        <v/>
      </c>
      <c r="AY226" s="458" t="str">
        <f>IF(AND($G226='Povolené hodnoty'!$B$13,$H226=AY$4),SUM($J226,$M226,$P226,$S226),"")</f>
        <v/>
      </c>
      <c r="AZ226" s="458" t="str">
        <f>IF(AND($G226='Povolené hodnoty'!$B$13,$H226=AZ$4),SUM($J226,$M226,$P226,$S226),"")</f>
        <v/>
      </c>
      <c r="BA226" s="458" t="str">
        <f>IF(AND($G226='Povolené hodnoty'!$B$13,$H226=BA$4),SUM($J226,$M226,$P226,$S226),"")</f>
        <v/>
      </c>
      <c r="BB226" s="40" t="str">
        <f>IF(AND($G226='Povolené hodnoty'!$B$13,$H226=BB$4),SUM($J226,$M226,$P226,$S226),"")</f>
        <v/>
      </c>
      <c r="BC226" s="40" t="str">
        <f>IF(AND($G226='Povolené hodnoty'!$B$13,$H226=BC$4),SUM($J226,$M226,$P226,$S226),"")</f>
        <v/>
      </c>
      <c r="BD226" s="40" t="str">
        <f>IF(AND($G226='Povolené hodnoty'!$B$13,$H226=BD$4),SUM($J226,$M226,$P226,$S226),"")</f>
        <v/>
      </c>
      <c r="BE226" s="41" t="str">
        <f>IF(AND($G226='Povolené hodnoty'!$B$13,$H226=BE$4),SUM($J226,$M226,$P226,$S226),"")</f>
        <v/>
      </c>
      <c r="BF226" s="39" t="str">
        <f>IF(AND($G226='Povolené hodnoty'!$B$14,$H226=BF$4),SUM($J226,$M226,$P226,$S226),"")</f>
        <v/>
      </c>
      <c r="BG226" s="458" t="str">
        <f>IF(AND($G226='Povolené hodnoty'!$B$14,$H226=BG$4),SUM($J226,$M226,$P226,$S226),"")</f>
        <v/>
      </c>
      <c r="BH226" s="458" t="str">
        <f>IF(AND($G226='Povolené hodnoty'!$B$14,$H226=BH$4),SUM($J226,$M226,$P226,$S226),"")</f>
        <v/>
      </c>
      <c r="BI226" s="458" t="str">
        <f>IF(AND($G226='Povolené hodnoty'!$B$14,$H226=BI$4),SUM($J226,$M226,$P226,$S226),"")</f>
        <v/>
      </c>
      <c r="BJ226" s="458" t="str">
        <f>IF(AND($G226='Povolené hodnoty'!$B$14,$H226=BJ$4),SUM($J226,$M226,$P226,$S226),"")</f>
        <v/>
      </c>
      <c r="BK226" s="40" t="str">
        <f>IF(AND($G226='Povolené hodnoty'!$B$14,$H226=BK$4),SUM($J226,$M226,$P226,$S226),"")</f>
        <v/>
      </c>
      <c r="BL226" s="40" t="str">
        <f>IF(AND($G226='Povolené hodnoty'!$B$14,$H226=BL$4),SUM($J226,$M226,$P226,$S226),"")</f>
        <v/>
      </c>
      <c r="BM226" s="41" t="str">
        <f>IF(AND($G226='Povolené hodnoty'!$B$14,$H226=BM$4),SUM($J226,$M226,$P226,$S226),"")</f>
        <v/>
      </c>
      <c r="BO226" s="18" t="b">
        <f t="shared" si="141"/>
        <v>0</v>
      </c>
      <c r="BP226" s="18" t="b">
        <f t="shared" si="112"/>
        <v>0</v>
      </c>
      <c r="BQ226" s="18" t="b">
        <f>AND(E226&lt;&gt;'Povolené hodnoty'!$B$6,F226&lt;&gt;'Povolené hodnoty'!$D$7,F226&lt;&gt;'Povolené hodnoty'!$D$8,OR(SUM(I226,L226,O226,R226)&lt;&gt;SUM(W226:X226,AA226:AG226),SUM(J226,M226,P226,S226)&lt;&gt;SUM(Y226:Z226,AH226:AK226),COUNT(I226:J226,L226:M226,O226:P226,R226:S226)&lt;&gt;COUNT(W226:AK226)))</f>
        <v>0</v>
      </c>
      <c r="BR226" s="18" t="b">
        <f>OR(AND(E226='Povolené hodnoty'!$B$6,$BR$5),AND(E226='Povolené hodnoty'!$B$6,H226&lt;&gt;'Povolené hodnoty'!$E$26,H226&lt;&gt;'Povolené hodnoty'!$E$35),AND(E226&lt;&gt;'Povolené hodnoty'!$B$6,OR(H226='Povolené hodnoty'!$E$26,H226='Povolené hodnoty'!$E$35)))</f>
        <v>0</v>
      </c>
      <c r="BS226" s="18" t="b">
        <f>OR(AND(G226&lt;&gt;'Povolené hodnoty'!$B$13,OR(H226='Povolené hodnoty'!$E$21,H226='Povolené hodnoty'!$E$22,H226='Povolené hodnoty'!$E$23,H226='Povolené hodnoty'!$E$24,H226='Povolené hodnoty'!$E$26,H226='Povolené hodnoty'!$E$36)),COUNT(I226:J226,L226:M226,O226:P226,R226:S226)&lt;&gt;COUNT(AL226:BM226))</f>
        <v>0</v>
      </c>
      <c r="BT226" s="18" t="b">
        <f t="shared" si="113"/>
        <v>0</v>
      </c>
      <c r="BV226" s="39" t="str">
        <f t="shared" si="114"/>
        <v/>
      </c>
      <c r="BW226" s="458" t="str">
        <f t="shared" si="115"/>
        <v/>
      </c>
      <c r="BX226" s="458" t="str">
        <f t="shared" si="116"/>
        <v/>
      </c>
      <c r="BY226" s="458" t="str">
        <f t="shared" si="117"/>
        <v/>
      </c>
      <c r="BZ226" s="458" t="str">
        <f t="shared" si="118"/>
        <v/>
      </c>
      <c r="CA226" s="40" t="str">
        <f t="shared" si="119"/>
        <v/>
      </c>
      <c r="CB226" s="40" t="str">
        <f t="shared" si="120"/>
        <v/>
      </c>
      <c r="CC226" s="39" t="str">
        <f t="shared" si="121"/>
        <v/>
      </c>
      <c r="CD226" s="458" t="str">
        <f t="shared" si="122"/>
        <v/>
      </c>
      <c r="CE226" s="41" t="str">
        <f t="shared" si="123"/>
        <v/>
      </c>
      <c r="CF226" s="39" t="str">
        <f t="shared" si="124"/>
        <v/>
      </c>
      <c r="CG226" s="458" t="str">
        <f t="shared" si="125"/>
        <v/>
      </c>
      <c r="CH226" s="458" t="str">
        <f t="shared" si="126"/>
        <v/>
      </c>
      <c r="CI226" s="458" t="str">
        <f t="shared" si="127"/>
        <v/>
      </c>
      <c r="CJ226" s="458" t="str">
        <f t="shared" si="128"/>
        <v/>
      </c>
      <c r="CK226" s="40" t="str">
        <f t="shared" si="129"/>
        <v/>
      </c>
      <c r="CL226" s="40" t="str">
        <f t="shared" si="130"/>
        <v/>
      </c>
      <c r="CM226" s="40" t="str">
        <f t="shared" si="131"/>
        <v/>
      </c>
      <c r="CN226" s="39" t="str">
        <f t="shared" si="132"/>
        <v/>
      </c>
      <c r="CO226" s="458" t="str">
        <f t="shared" si="133"/>
        <v/>
      </c>
      <c r="CP226" s="458" t="str">
        <f t="shared" si="134"/>
        <v/>
      </c>
      <c r="CQ226" s="458" t="str">
        <f t="shared" si="135"/>
        <v/>
      </c>
      <c r="CR226" s="458" t="str">
        <f t="shared" si="136"/>
        <v/>
      </c>
      <c r="CS226" s="40" t="str">
        <f t="shared" si="137"/>
        <v/>
      </c>
      <c r="CT226" s="40" t="str">
        <f t="shared" si="138"/>
        <v/>
      </c>
      <c r="CU226" s="41" t="str">
        <f t="shared" si="139"/>
        <v/>
      </c>
    </row>
    <row r="227" spans="1:99" x14ac:dyDescent="0.2">
      <c r="A227" s="77">
        <f t="shared" si="140"/>
        <v>222</v>
      </c>
      <c r="B227" s="81"/>
      <c r="C227" s="82"/>
      <c r="D227" s="71"/>
      <c r="E227" s="72"/>
      <c r="F227" s="73"/>
      <c r="G227" s="443"/>
      <c r="H227" s="443"/>
      <c r="I227" s="74"/>
      <c r="J227" s="75"/>
      <c r="K227" s="41">
        <f t="shared" si="109"/>
        <v>3625</v>
      </c>
      <c r="L227" s="104"/>
      <c r="M227" s="105"/>
      <c r="N227" s="106">
        <f t="shared" si="110"/>
        <v>537.05999999999995</v>
      </c>
      <c r="O227" s="104"/>
      <c r="P227" s="105"/>
      <c r="Q227" s="106">
        <f t="shared" si="142"/>
        <v>10045.83</v>
      </c>
      <c r="R227" s="104"/>
      <c r="S227" s="105"/>
      <c r="T227" s="106">
        <f t="shared" si="143"/>
        <v>0</v>
      </c>
      <c r="U227" s="439"/>
      <c r="V227" s="42">
        <f t="shared" si="111"/>
        <v>222</v>
      </c>
      <c r="W227" s="39" t="str">
        <f>IF(AND(E227='Povolené hodnoty'!$B$4,F227=2),I227+L227+O227+R227,"")</f>
        <v/>
      </c>
      <c r="X227" s="41" t="str">
        <f>IF(AND(E227='Povolené hodnoty'!$B$4,F227=1),I227+L227+O227+R227,"")</f>
        <v/>
      </c>
      <c r="Y227" s="39" t="str">
        <f>IF(AND(E227='Povolené hodnoty'!$B$4,F227=10),J227+M227+P227+S227,"")</f>
        <v/>
      </c>
      <c r="Z227" s="41" t="str">
        <f>IF(AND(E227='Povolené hodnoty'!$B$4,F227=9),J227+M227+P227+S227,"")</f>
        <v/>
      </c>
      <c r="AA227" s="39" t="str">
        <f>IF(AND(E227&lt;&gt;'Povolené hodnoty'!$B$4,F227=2),I227+L227+O227+R227,"")</f>
        <v/>
      </c>
      <c r="AB227" s="40" t="str">
        <f>IF(AND(E227&lt;&gt;'Povolené hodnoty'!$B$4,F227=3),I227+L227+O227+R227,"")</f>
        <v/>
      </c>
      <c r="AC227" s="40" t="str">
        <f>IF(AND(E227&lt;&gt;'Povolené hodnoty'!$B$4,F227=4),I227+L227+O227+R227,"")</f>
        <v/>
      </c>
      <c r="AD227" s="40" t="str">
        <f>IF(AND(E227&lt;&gt;'Povolené hodnoty'!$B$4,F227="5a"),I227-J227+L227-M227+O227-P227+R227-S227,"")</f>
        <v/>
      </c>
      <c r="AE227" s="40" t="str">
        <f>IF(AND(E227&lt;&gt;'Povolené hodnoty'!$B$4,F227="5b"),I227-J227+L227-M227+O227-P227+R227-S227,"")</f>
        <v/>
      </c>
      <c r="AF227" s="40" t="str">
        <f>IF(AND(E227&lt;&gt;'Povolené hodnoty'!$B$4,F227=6),I227+L227+O227+R227,"")</f>
        <v/>
      </c>
      <c r="AG227" s="41" t="str">
        <f>IF(AND(E227&lt;&gt;'Povolené hodnoty'!$B$4,F227=7),I227+L227+O227+R227,"")</f>
        <v/>
      </c>
      <c r="AH227" s="39" t="str">
        <f>IF(AND(E227&lt;&gt;'Povolené hodnoty'!$B$4,F227=10),J227+M227+P227+S227,"")</f>
        <v/>
      </c>
      <c r="AI227" s="40" t="str">
        <f>IF(AND(E227&lt;&gt;'Povolené hodnoty'!$B$4,F227=11),J227+M227+P227+S227,"")</f>
        <v/>
      </c>
      <c r="AJ227" s="40" t="str">
        <f>IF(AND(E227&lt;&gt;'Povolené hodnoty'!$B$4,F227=12),J227+M227+P227+S227,"")</f>
        <v/>
      </c>
      <c r="AK227" s="41" t="str">
        <f>IF(AND(E227&lt;&gt;'Povolené hodnoty'!$B$4,F227=13),J227+M227+P227+S227,"")</f>
        <v/>
      </c>
      <c r="AL227" s="39" t="str">
        <f>IF(AND($G227='Povolené hodnoty'!$B$13,$H227=AL$4),SUM($I227,$L227,$O227,$R227),"")</f>
        <v/>
      </c>
      <c r="AM227" s="458" t="str">
        <f>IF(AND($G227='Povolené hodnoty'!$B$13,$H227=AM$4),SUM($I227,$L227,$O227,$R227),"")</f>
        <v/>
      </c>
      <c r="AN227" s="458" t="str">
        <f>IF(AND($G227='Povolené hodnoty'!$B$13,$H227=AN$4),SUM($I227,$L227,$O227,$R227),"")</f>
        <v/>
      </c>
      <c r="AO227" s="458" t="str">
        <f>IF(AND($G227='Povolené hodnoty'!$B$13,$H227=AO$4),SUM($I227,$L227,$O227,$R227),"")</f>
        <v/>
      </c>
      <c r="AP227" s="458" t="str">
        <f>IF(AND($G227='Povolené hodnoty'!$B$13,$H227=AP$4),SUM($I227,$L227,$O227,$R227),"")</f>
        <v/>
      </c>
      <c r="AQ227" s="40" t="str">
        <f>IF(AND($G227='Povolené hodnoty'!$B$13,OR($H227=AQ$4,$H227='Povolené hodnoty'!$E$36)),SUM($I227,-$J227,$L227,-$M227,$O227,-$P227,$R227,-$S227),"")</f>
        <v/>
      </c>
      <c r="AR227" s="40" t="str">
        <f>IF(AND($G227='Povolené hodnoty'!$B$13,$H227=AR$4),SUM($I227,$L227,$O227,$R227),"")</f>
        <v/>
      </c>
      <c r="AS227" s="41" t="str">
        <f>IF(AND($G227='Povolené hodnoty'!$B$13,$H227=AS$4),SUM($I227,$L227,$O227,$R227),"")</f>
        <v/>
      </c>
      <c r="AT227" s="39" t="str">
        <f>IF(AND($G227='Povolené hodnoty'!$B$14,$H227=AT$4),SUM($I227,$L227,$O227,$R227),"")</f>
        <v/>
      </c>
      <c r="AU227" s="458" t="str">
        <f>IF(AND($G227='Povolené hodnoty'!$B$14,$H227=AU$4),SUM($I227,$L227,$O227,$R227),"")</f>
        <v/>
      </c>
      <c r="AV227" s="41" t="str">
        <f>IF(AND($G227='Povolené hodnoty'!$B$14,$H227=AV$4),SUM($I227,$L227,$O227,$R227),"")</f>
        <v/>
      </c>
      <c r="AW227" s="39" t="str">
        <f>IF(AND($G227='Povolené hodnoty'!$B$13,$H227=AW$4),SUM($J227,$M227,$P227,$S227),"")</f>
        <v/>
      </c>
      <c r="AX227" s="458" t="str">
        <f>IF(AND($G227='Povolené hodnoty'!$B$13,$H227=AX$4),SUM($J227,$M227,$P227,$S227),"")</f>
        <v/>
      </c>
      <c r="AY227" s="458" t="str">
        <f>IF(AND($G227='Povolené hodnoty'!$B$13,$H227=AY$4),SUM($J227,$M227,$P227,$S227),"")</f>
        <v/>
      </c>
      <c r="AZ227" s="458" t="str">
        <f>IF(AND($G227='Povolené hodnoty'!$B$13,$H227=AZ$4),SUM($J227,$M227,$P227,$S227),"")</f>
        <v/>
      </c>
      <c r="BA227" s="458" t="str">
        <f>IF(AND($G227='Povolené hodnoty'!$B$13,$H227=BA$4),SUM($J227,$M227,$P227,$S227),"")</f>
        <v/>
      </c>
      <c r="BB227" s="40" t="str">
        <f>IF(AND($G227='Povolené hodnoty'!$B$13,$H227=BB$4),SUM($J227,$M227,$P227,$S227),"")</f>
        <v/>
      </c>
      <c r="BC227" s="40" t="str">
        <f>IF(AND($G227='Povolené hodnoty'!$B$13,$H227=BC$4),SUM($J227,$M227,$P227,$S227),"")</f>
        <v/>
      </c>
      <c r="BD227" s="40" t="str">
        <f>IF(AND($G227='Povolené hodnoty'!$B$13,$H227=BD$4),SUM($J227,$M227,$P227,$S227),"")</f>
        <v/>
      </c>
      <c r="BE227" s="41" t="str">
        <f>IF(AND($G227='Povolené hodnoty'!$B$13,$H227=BE$4),SUM($J227,$M227,$P227,$S227),"")</f>
        <v/>
      </c>
      <c r="BF227" s="39" t="str">
        <f>IF(AND($G227='Povolené hodnoty'!$B$14,$H227=BF$4),SUM($J227,$M227,$P227,$S227),"")</f>
        <v/>
      </c>
      <c r="BG227" s="458" t="str">
        <f>IF(AND($G227='Povolené hodnoty'!$B$14,$H227=BG$4),SUM($J227,$M227,$P227,$S227),"")</f>
        <v/>
      </c>
      <c r="BH227" s="458" t="str">
        <f>IF(AND($G227='Povolené hodnoty'!$B$14,$H227=BH$4),SUM($J227,$M227,$P227,$S227),"")</f>
        <v/>
      </c>
      <c r="BI227" s="458" t="str">
        <f>IF(AND($G227='Povolené hodnoty'!$B$14,$H227=BI$4),SUM($J227,$M227,$P227,$S227),"")</f>
        <v/>
      </c>
      <c r="BJ227" s="458" t="str">
        <f>IF(AND($G227='Povolené hodnoty'!$B$14,$H227=BJ$4),SUM($J227,$M227,$P227,$S227),"")</f>
        <v/>
      </c>
      <c r="BK227" s="40" t="str">
        <f>IF(AND($G227='Povolené hodnoty'!$B$14,$H227=BK$4),SUM($J227,$M227,$P227,$S227),"")</f>
        <v/>
      </c>
      <c r="BL227" s="40" t="str">
        <f>IF(AND($G227='Povolené hodnoty'!$B$14,$H227=BL$4),SUM($J227,$M227,$P227,$S227),"")</f>
        <v/>
      </c>
      <c r="BM227" s="41" t="str">
        <f>IF(AND($G227='Povolené hodnoty'!$B$14,$H227=BM$4),SUM($J227,$M227,$P227,$S227),"")</f>
        <v/>
      </c>
      <c r="BO227" s="18" t="b">
        <f t="shared" si="141"/>
        <v>0</v>
      </c>
      <c r="BP227" s="18" t="b">
        <f t="shared" si="112"/>
        <v>0</v>
      </c>
      <c r="BQ227" s="18" t="b">
        <f>AND(E227&lt;&gt;'Povolené hodnoty'!$B$6,F227&lt;&gt;'Povolené hodnoty'!$D$7,F227&lt;&gt;'Povolené hodnoty'!$D$8,OR(SUM(I227,L227,O227,R227)&lt;&gt;SUM(W227:X227,AA227:AG227),SUM(J227,M227,P227,S227)&lt;&gt;SUM(Y227:Z227,AH227:AK227),COUNT(I227:J227,L227:M227,O227:P227,R227:S227)&lt;&gt;COUNT(W227:AK227)))</f>
        <v>0</v>
      </c>
      <c r="BR227" s="18" t="b">
        <f>OR(AND(E227='Povolené hodnoty'!$B$6,$BR$5),AND(E227='Povolené hodnoty'!$B$6,H227&lt;&gt;'Povolené hodnoty'!$E$26,H227&lt;&gt;'Povolené hodnoty'!$E$35),AND(E227&lt;&gt;'Povolené hodnoty'!$B$6,OR(H227='Povolené hodnoty'!$E$26,H227='Povolené hodnoty'!$E$35)))</f>
        <v>0</v>
      </c>
      <c r="BS227" s="18" t="b">
        <f>OR(AND(G227&lt;&gt;'Povolené hodnoty'!$B$13,OR(H227='Povolené hodnoty'!$E$21,H227='Povolené hodnoty'!$E$22,H227='Povolené hodnoty'!$E$23,H227='Povolené hodnoty'!$E$24,H227='Povolené hodnoty'!$E$26,H227='Povolené hodnoty'!$E$36)),COUNT(I227:J227,L227:M227,O227:P227,R227:S227)&lt;&gt;COUNT(AL227:BM227))</f>
        <v>0</v>
      </c>
      <c r="BT227" s="18" t="b">
        <f t="shared" si="113"/>
        <v>0</v>
      </c>
      <c r="BV227" s="39" t="str">
        <f t="shared" si="114"/>
        <v/>
      </c>
      <c r="BW227" s="458" t="str">
        <f t="shared" si="115"/>
        <v/>
      </c>
      <c r="BX227" s="458" t="str">
        <f t="shared" si="116"/>
        <v/>
      </c>
      <c r="BY227" s="458" t="str">
        <f t="shared" si="117"/>
        <v/>
      </c>
      <c r="BZ227" s="458" t="str">
        <f t="shared" si="118"/>
        <v/>
      </c>
      <c r="CA227" s="40" t="str">
        <f t="shared" si="119"/>
        <v/>
      </c>
      <c r="CB227" s="40" t="str">
        <f t="shared" si="120"/>
        <v/>
      </c>
      <c r="CC227" s="39" t="str">
        <f t="shared" si="121"/>
        <v/>
      </c>
      <c r="CD227" s="458" t="str">
        <f t="shared" si="122"/>
        <v/>
      </c>
      <c r="CE227" s="41" t="str">
        <f t="shared" si="123"/>
        <v/>
      </c>
      <c r="CF227" s="39" t="str">
        <f t="shared" si="124"/>
        <v/>
      </c>
      <c r="CG227" s="458" t="str">
        <f t="shared" si="125"/>
        <v/>
      </c>
      <c r="CH227" s="458" t="str">
        <f t="shared" si="126"/>
        <v/>
      </c>
      <c r="CI227" s="458" t="str">
        <f t="shared" si="127"/>
        <v/>
      </c>
      <c r="CJ227" s="458" t="str">
        <f t="shared" si="128"/>
        <v/>
      </c>
      <c r="CK227" s="40" t="str">
        <f t="shared" si="129"/>
        <v/>
      </c>
      <c r="CL227" s="40" t="str">
        <f t="shared" si="130"/>
        <v/>
      </c>
      <c r="CM227" s="40" t="str">
        <f t="shared" si="131"/>
        <v/>
      </c>
      <c r="CN227" s="39" t="str">
        <f t="shared" si="132"/>
        <v/>
      </c>
      <c r="CO227" s="458" t="str">
        <f t="shared" si="133"/>
        <v/>
      </c>
      <c r="CP227" s="458" t="str">
        <f t="shared" si="134"/>
        <v/>
      </c>
      <c r="CQ227" s="458" t="str">
        <f t="shared" si="135"/>
        <v/>
      </c>
      <c r="CR227" s="458" t="str">
        <f t="shared" si="136"/>
        <v/>
      </c>
      <c r="CS227" s="40" t="str">
        <f t="shared" si="137"/>
        <v/>
      </c>
      <c r="CT227" s="40" t="str">
        <f t="shared" si="138"/>
        <v/>
      </c>
      <c r="CU227" s="41" t="str">
        <f t="shared" si="139"/>
        <v/>
      </c>
    </row>
    <row r="228" spans="1:99" x14ac:dyDescent="0.2">
      <c r="A228" s="77">
        <f t="shared" si="140"/>
        <v>223</v>
      </c>
      <c r="B228" s="81"/>
      <c r="C228" s="82"/>
      <c r="D228" s="71"/>
      <c r="E228" s="72"/>
      <c r="F228" s="73"/>
      <c r="G228" s="443"/>
      <c r="H228" s="443"/>
      <c r="I228" s="74"/>
      <c r="J228" s="75"/>
      <c r="K228" s="41">
        <f t="shared" si="109"/>
        <v>3625</v>
      </c>
      <c r="L228" s="104"/>
      <c r="M228" s="105"/>
      <c r="N228" s="106">
        <f t="shared" si="110"/>
        <v>537.05999999999995</v>
      </c>
      <c r="O228" s="104"/>
      <c r="P228" s="105"/>
      <c r="Q228" s="106">
        <f t="shared" si="142"/>
        <v>10045.83</v>
      </c>
      <c r="R228" s="104"/>
      <c r="S228" s="105"/>
      <c r="T228" s="106">
        <f t="shared" si="143"/>
        <v>0</v>
      </c>
      <c r="U228" s="439"/>
      <c r="V228" s="42">
        <f t="shared" si="111"/>
        <v>223</v>
      </c>
      <c r="W228" s="39" t="str">
        <f>IF(AND(E228='Povolené hodnoty'!$B$4,F228=2),I228+L228+O228+R228,"")</f>
        <v/>
      </c>
      <c r="X228" s="41" t="str">
        <f>IF(AND(E228='Povolené hodnoty'!$B$4,F228=1),I228+L228+O228+R228,"")</f>
        <v/>
      </c>
      <c r="Y228" s="39" t="str">
        <f>IF(AND(E228='Povolené hodnoty'!$B$4,F228=10),J228+M228+P228+S228,"")</f>
        <v/>
      </c>
      <c r="Z228" s="41" t="str">
        <f>IF(AND(E228='Povolené hodnoty'!$B$4,F228=9),J228+M228+P228+S228,"")</f>
        <v/>
      </c>
      <c r="AA228" s="39" t="str">
        <f>IF(AND(E228&lt;&gt;'Povolené hodnoty'!$B$4,F228=2),I228+L228+O228+R228,"")</f>
        <v/>
      </c>
      <c r="AB228" s="40" t="str">
        <f>IF(AND(E228&lt;&gt;'Povolené hodnoty'!$B$4,F228=3),I228+L228+O228+R228,"")</f>
        <v/>
      </c>
      <c r="AC228" s="40" t="str">
        <f>IF(AND(E228&lt;&gt;'Povolené hodnoty'!$B$4,F228=4),I228+L228+O228+R228,"")</f>
        <v/>
      </c>
      <c r="AD228" s="40" t="str">
        <f>IF(AND(E228&lt;&gt;'Povolené hodnoty'!$B$4,F228="5a"),I228-J228+L228-M228+O228-P228+R228-S228,"")</f>
        <v/>
      </c>
      <c r="AE228" s="40" t="str">
        <f>IF(AND(E228&lt;&gt;'Povolené hodnoty'!$B$4,F228="5b"),I228-J228+L228-M228+O228-P228+R228-S228,"")</f>
        <v/>
      </c>
      <c r="AF228" s="40" t="str">
        <f>IF(AND(E228&lt;&gt;'Povolené hodnoty'!$B$4,F228=6),I228+L228+O228+R228,"")</f>
        <v/>
      </c>
      <c r="AG228" s="41" t="str">
        <f>IF(AND(E228&lt;&gt;'Povolené hodnoty'!$B$4,F228=7),I228+L228+O228+R228,"")</f>
        <v/>
      </c>
      <c r="AH228" s="39" t="str">
        <f>IF(AND(E228&lt;&gt;'Povolené hodnoty'!$B$4,F228=10),J228+M228+P228+S228,"")</f>
        <v/>
      </c>
      <c r="AI228" s="40" t="str">
        <f>IF(AND(E228&lt;&gt;'Povolené hodnoty'!$B$4,F228=11),J228+M228+P228+S228,"")</f>
        <v/>
      </c>
      <c r="AJ228" s="40" t="str">
        <f>IF(AND(E228&lt;&gt;'Povolené hodnoty'!$B$4,F228=12),J228+M228+P228+S228,"")</f>
        <v/>
      </c>
      <c r="AK228" s="41" t="str">
        <f>IF(AND(E228&lt;&gt;'Povolené hodnoty'!$B$4,F228=13),J228+M228+P228+S228,"")</f>
        <v/>
      </c>
      <c r="AL228" s="39" t="str">
        <f>IF(AND($G228='Povolené hodnoty'!$B$13,$H228=AL$4),SUM($I228,$L228,$O228,$R228),"")</f>
        <v/>
      </c>
      <c r="AM228" s="458" t="str">
        <f>IF(AND($G228='Povolené hodnoty'!$B$13,$H228=AM$4),SUM($I228,$L228,$O228,$R228),"")</f>
        <v/>
      </c>
      <c r="AN228" s="458" t="str">
        <f>IF(AND($G228='Povolené hodnoty'!$B$13,$H228=AN$4),SUM($I228,$L228,$O228,$R228),"")</f>
        <v/>
      </c>
      <c r="AO228" s="458" t="str">
        <f>IF(AND($G228='Povolené hodnoty'!$B$13,$H228=AO$4),SUM($I228,$L228,$O228,$R228),"")</f>
        <v/>
      </c>
      <c r="AP228" s="458" t="str">
        <f>IF(AND($G228='Povolené hodnoty'!$B$13,$H228=AP$4),SUM($I228,$L228,$O228,$R228),"")</f>
        <v/>
      </c>
      <c r="AQ228" s="40" t="str">
        <f>IF(AND($G228='Povolené hodnoty'!$B$13,OR($H228=AQ$4,$H228='Povolené hodnoty'!$E$36)),SUM($I228,-$J228,$L228,-$M228,$O228,-$P228,$R228,-$S228),"")</f>
        <v/>
      </c>
      <c r="AR228" s="40" t="str">
        <f>IF(AND($G228='Povolené hodnoty'!$B$13,$H228=AR$4),SUM($I228,$L228,$O228,$R228),"")</f>
        <v/>
      </c>
      <c r="AS228" s="41" t="str">
        <f>IF(AND($G228='Povolené hodnoty'!$B$13,$H228=AS$4),SUM($I228,$L228,$O228,$R228),"")</f>
        <v/>
      </c>
      <c r="AT228" s="39" t="str">
        <f>IF(AND($G228='Povolené hodnoty'!$B$14,$H228=AT$4),SUM($I228,$L228,$O228,$R228),"")</f>
        <v/>
      </c>
      <c r="AU228" s="458" t="str">
        <f>IF(AND($G228='Povolené hodnoty'!$B$14,$H228=AU$4),SUM($I228,$L228,$O228,$R228),"")</f>
        <v/>
      </c>
      <c r="AV228" s="41" t="str">
        <f>IF(AND($G228='Povolené hodnoty'!$B$14,$H228=AV$4),SUM($I228,$L228,$O228,$R228),"")</f>
        <v/>
      </c>
      <c r="AW228" s="39" t="str">
        <f>IF(AND($G228='Povolené hodnoty'!$B$13,$H228=AW$4),SUM($J228,$M228,$P228,$S228),"")</f>
        <v/>
      </c>
      <c r="AX228" s="458" t="str">
        <f>IF(AND($G228='Povolené hodnoty'!$B$13,$H228=AX$4),SUM($J228,$M228,$P228,$S228),"")</f>
        <v/>
      </c>
      <c r="AY228" s="458" t="str">
        <f>IF(AND($G228='Povolené hodnoty'!$B$13,$H228=AY$4),SUM($J228,$M228,$P228,$S228),"")</f>
        <v/>
      </c>
      <c r="AZ228" s="458" t="str">
        <f>IF(AND($G228='Povolené hodnoty'!$B$13,$H228=AZ$4),SUM($J228,$M228,$P228,$S228),"")</f>
        <v/>
      </c>
      <c r="BA228" s="458" t="str">
        <f>IF(AND($G228='Povolené hodnoty'!$B$13,$H228=BA$4),SUM($J228,$M228,$P228,$S228),"")</f>
        <v/>
      </c>
      <c r="BB228" s="40" t="str">
        <f>IF(AND($G228='Povolené hodnoty'!$B$13,$H228=BB$4),SUM($J228,$M228,$P228,$S228),"")</f>
        <v/>
      </c>
      <c r="BC228" s="40" t="str">
        <f>IF(AND($G228='Povolené hodnoty'!$B$13,$H228=BC$4),SUM($J228,$M228,$P228,$S228),"")</f>
        <v/>
      </c>
      <c r="BD228" s="40" t="str">
        <f>IF(AND($G228='Povolené hodnoty'!$B$13,$H228=BD$4),SUM($J228,$M228,$P228,$S228),"")</f>
        <v/>
      </c>
      <c r="BE228" s="41" t="str">
        <f>IF(AND($G228='Povolené hodnoty'!$B$13,$H228=BE$4),SUM($J228,$M228,$P228,$S228),"")</f>
        <v/>
      </c>
      <c r="BF228" s="39" t="str">
        <f>IF(AND($G228='Povolené hodnoty'!$B$14,$H228=BF$4),SUM($J228,$M228,$P228,$S228),"")</f>
        <v/>
      </c>
      <c r="BG228" s="458" t="str">
        <f>IF(AND($G228='Povolené hodnoty'!$B$14,$H228=BG$4),SUM($J228,$M228,$P228,$S228),"")</f>
        <v/>
      </c>
      <c r="BH228" s="458" t="str">
        <f>IF(AND($G228='Povolené hodnoty'!$B$14,$H228=BH$4),SUM($J228,$M228,$P228,$S228),"")</f>
        <v/>
      </c>
      <c r="BI228" s="458" t="str">
        <f>IF(AND($G228='Povolené hodnoty'!$B$14,$H228=BI$4),SUM($J228,$M228,$P228,$S228),"")</f>
        <v/>
      </c>
      <c r="BJ228" s="458" t="str">
        <f>IF(AND($G228='Povolené hodnoty'!$B$14,$H228=BJ$4),SUM($J228,$M228,$P228,$S228),"")</f>
        <v/>
      </c>
      <c r="BK228" s="40" t="str">
        <f>IF(AND($G228='Povolené hodnoty'!$B$14,$H228=BK$4),SUM($J228,$M228,$P228,$S228),"")</f>
        <v/>
      </c>
      <c r="BL228" s="40" t="str">
        <f>IF(AND($G228='Povolené hodnoty'!$B$14,$H228=BL$4),SUM($J228,$M228,$P228,$S228),"")</f>
        <v/>
      </c>
      <c r="BM228" s="41" t="str">
        <f>IF(AND($G228='Povolené hodnoty'!$B$14,$H228=BM$4),SUM($J228,$M228,$P228,$S228),"")</f>
        <v/>
      </c>
      <c r="BO228" s="18" t="b">
        <f t="shared" si="141"/>
        <v>0</v>
      </c>
      <c r="BP228" s="18" t="b">
        <f t="shared" si="112"/>
        <v>0</v>
      </c>
      <c r="BQ228" s="18" t="b">
        <f>AND(E228&lt;&gt;'Povolené hodnoty'!$B$6,F228&lt;&gt;'Povolené hodnoty'!$D$7,F228&lt;&gt;'Povolené hodnoty'!$D$8,OR(SUM(I228,L228,O228,R228)&lt;&gt;SUM(W228:X228,AA228:AG228),SUM(J228,M228,P228,S228)&lt;&gt;SUM(Y228:Z228,AH228:AK228),COUNT(I228:J228,L228:M228,O228:P228,R228:S228)&lt;&gt;COUNT(W228:AK228)))</f>
        <v>0</v>
      </c>
      <c r="BR228" s="18" t="b">
        <f>OR(AND(E228='Povolené hodnoty'!$B$6,$BR$5),AND(E228='Povolené hodnoty'!$B$6,H228&lt;&gt;'Povolené hodnoty'!$E$26,H228&lt;&gt;'Povolené hodnoty'!$E$35),AND(E228&lt;&gt;'Povolené hodnoty'!$B$6,OR(H228='Povolené hodnoty'!$E$26,H228='Povolené hodnoty'!$E$35)))</f>
        <v>0</v>
      </c>
      <c r="BS228" s="18" t="b">
        <f>OR(AND(G228&lt;&gt;'Povolené hodnoty'!$B$13,OR(H228='Povolené hodnoty'!$E$21,H228='Povolené hodnoty'!$E$22,H228='Povolené hodnoty'!$E$23,H228='Povolené hodnoty'!$E$24,H228='Povolené hodnoty'!$E$26,H228='Povolené hodnoty'!$E$36)),COUNT(I228:J228,L228:M228,O228:P228,R228:S228)&lt;&gt;COUNT(AL228:BM228))</f>
        <v>0</v>
      </c>
      <c r="BT228" s="18" t="b">
        <f t="shared" si="113"/>
        <v>0</v>
      </c>
      <c r="BV228" s="39" t="str">
        <f t="shared" si="114"/>
        <v/>
      </c>
      <c r="BW228" s="458" t="str">
        <f t="shared" si="115"/>
        <v/>
      </c>
      <c r="BX228" s="458" t="str">
        <f t="shared" si="116"/>
        <v/>
      </c>
      <c r="BY228" s="458" t="str">
        <f t="shared" si="117"/>
        <v/>
      </c>
      <c r="BZ228" s="458" t="str">
        <f t="shared" si="118"/>
        <v/>
      </c>
      <c r="CA228" s="40" t="str">
        <f t="shared" si="119"/>
        <v/>
      </c>
      <c r="CB228" s="40" t="str">
        <f t="shared" si="120"/>
        <v/>
      </c>
      <c r="CC228" s="39" t="str">
        <f t="shared" si="121"/>
        <v/>
      </c>
      <c r="CD228" s="458" t="str">
        <f t="shared" si="122"/>
        <v/>
      </c>
      <c r="CE228" s="41" t="str">
        <f t="shared" si="123"/>
        <v/>
      </c>
      <c r="CF228" s="39" t="str">
        <f t="shared" si="124"/>
        <v/>
      </c>
      <c r="CG228" s="458" t="str">
        <f t="shared" si="125"/>
        <v/>
      </c>
      <c r="CH228" s="458" t="str">
        <f t="shared" si="126"/>
        <v/>
      </c>
      <c r="CI228" s="458" t="str">
        <f t="shared" si="127"/>
        <v/>
      </c>
      <c r="CJ228" s="458" t="str">
        <f t="shared" si="128"/>
        <v/>
      </c>
      <c r="CK228" s="40" t="str">
        <f t="shared" si="129"/>
        <v/>
      </c>
      <c r="CL228" s="40" t="str">
        <f t="shared" si="130"/>
        <v/>
      </c>
      <c r="CM228" s="40" t="str">
        <f t="shared" si="131"/>
        <v/>
      </c>
      <c r="CN228" s="39" t="str">
        <f t="shared" si="132"/>
        <v/>
      </c>
      <c r="CO228" s="458" t="str">
        <f t="shared" si="133"/>
        <v/>
      </c>
      <c r="CP228" s="458" t="str">
        <f t="shared" si="134"/>
        <v/>
      </c>
      <c r="CQ228" s="458" t="str">
        <f t="shared" si="135"/>
        <v/>
      </c>
      <c r="CR228" s="458" t="str">
        <f t="shared" si="136"/>
        <v/>
      </c>
      <c r="CS228" s="40" t="str">
        <f t="shared" si="137"/>
        <v/>
      </c>
      <c r="CT228" s="40" t="str">
        <f t="shared" si="138"/>
        <v/>
      </c>
      <c r="CU228" s="41" t="str">
        <f t="shared" si="139"/>
        <v/>
      </c>
    </row>
    <row r="229" spans="1:99" x14ac:dyDescent="0.2">
      <c r="A229" s="77">
        <f t="shared" si="140"/>
        <v>224</v>
      </c>
      <c r="B229" s="81"/>
      <c r="C229" s="82"/>
      <c r="D229" s="71"/>
      <c r="E229" s="72"/>
      <c r="F229" s="73"/>
      <c r="G229" s="443"/>
      <c r="H229" s="443"/>
      <c r="I229" s="74"/>
      <c r="J229" s="75"/>
      <c r="K229" s="41">
        <f t="shared" si="109"/>
        <v>3625</v>
      </c>
      <c r="L229" s="104"/>
      <c r="M229" s="105"/>
      <c r="N229" s="106">
        <f t="shared" si="110"/>
        <v>537.05999999999995</v>
      </c>
      <c r="O229" s="104"/>
      <c r="P229" s="105"/>
      <c r="Q229" s="106">
        <f t="shared" si="142"/>
        <v>10045.83</v>
      </c>
      <c r="R229" s="104"/>
      <c r="S229" s="105"/>
      <c r="T229" s="106">
        <f t="shared" si="143"/>
        <v>0</v>
      </c>
      <c r="U229" s="439"/>
      <c r="V229" s="42">
        <f t="shared" si="111"/>
        <v>224</v>
      </c>
      <c r="W229" s="39" t="str">
        <f>IF(AND(E229='Povolené hodnoty'!$B$4,F229=2),I229+L229+O229+R229,"")</f>
        <v/>
      </c>
      <c r="X229" s="41" t="str">
        <f>IF(AND(E229='Povolené hodnoty'!$B$4,F229=1),I229+L229+O229+R229,"")</f>
        <v/>
      </c>
      <c r="Y229" s="39" t="str">
        <f>IF(AND(E229='Povolené hodnoty'!$B$4,F229=10),J229+M229+P229+S229,"")</f>
        <v/>
      </c>
      <c r="Z229" s="41" t="str">
        <f>IF(AND(E229='Povolené hodnoty'!$B$4,F229=9),J229+M229+P229+S229,"")</f>
        <v/>
      </c>
      <c r="AA229" s="39" t="str">
        <f>IF(AND(E229&lt;&gt;'Povolené hodnoty'!$B$4,F229=2),I229+L229+O229+R229,"")</f>
        <v/>
      </c>
      <c r="AB229" s="40" t="str">
        <f>IF(AND(E229&lt;&gt;'Povolené hodnoty'!$B$4,F229=3),I229+L229+O229+R229,"")</f>
        <v/>
      </c>
      <c r="AC229" s="40" t="str">
        <f>IF(AND(E229&lt;&gt;'Povolené hodnoty'!$B$4,F229=4),I229+L229+O229+R229,"")</f>
        <v/>
      </c>
      <c r="AD229" s="40" t="str">
        <f>IF(AND(E229&lt;&gt;'Povolené hodnoty'!$B$4,F229="5a"),I229-J229+L229-M229+O229-P229+R229-S229,"")</f>
        <v/>
      </c>
      <c r="AE229" s="40" t="str">
        <f>IF(AND(E229&lt;&gt;'Povolené hodnoty'!$B$4,F229="5b"),I229-J229+L229-M229+O229-P229+R229-S229,"")</f>
        <v/>
      </c>
      <c r="AF229" s="40" t="str">
        <f>IF(AND(E229&lt;&gt;'Povolené hodnoty'!$B$4,F229=6),I229+L229+O229+R229,"")</f>
        <v/>
      </c>
      <c r="AG229" s="41" t="str">
        <f>IF(AND(E229&lt;&gt;'Povolené hodnoty'!$B$4,F229=7),I229+L229+O229+R229,"")</f>
        <v/>
      </c>
      <c r="AH229" s="39" t="str">
        <f>IF(AND(E229&lt;&gt;'Povolené hodnoty'!$B$4,F229=10),J229+M229+P229+S229,"")</f>
        <v/>
      </c>
      <c r="AI229" s="40" t="str">
        <f>IF(AND(E229&lt;&gt;'Povolené hodnoty'!$B$4,F229=11),J229+M229+P229+S229,"")</f>
        <v/>
      </c>
      <c r="AJ229" s="40" t="str">
        <f>IF(AND(E229&lt;&gt;'Povolené hodnoty'!$B$4,F229=12),J229+M229+P229+S229,"")</f>
        <v/>
      </c>
      <c r="AK229" s="41" t="str">
        <f>IF(AND(E229&lt;&gt;'Povolené hodnoty'!$B$4,F229=13),J229+M229+P229+S229,"")</f>
        <v/>
      </c>
      <c r="AL229" s="39" t="str">
        <f>IF(AND($G229='Povolené hodnoty'!$B$13,$H229=AL$4),SUM($I229,$L229,$O229,$R229),"")</f>
        <v/>
      </c>
      <c r="AM229" s="458" t="str">
        <f>IF(AND($G229='Povolené hodnoty'!$B$13,$H229=AM$4),SUM($I229,$L229,$O229,$R229),"")</f>
        <v/>
      </c>
      <c r="AN229" s="458" t="str">
        <f>IF(AND($G229='Povolené hodnoty'!$B$13,$H229=AN$4),SUM($I229,$L229,$O229,$R229),"")</f>
        <v/>
      </c>
      <c r="AO229" s="458" t="str">
        <f>IF(AND($G229='Povolené hodnoty'!$B$13,$H229=AO$4),SUM($I229,$L229,$O229,$R229),"")</f>
        <v/>
      </c>
      <c r="AP229" s="458" t="str">
        <f>IF(AND($G229='Povolené hodnoty'!$B$13,$H229=AP$4),SUM($I229,$L229,$O229,$R229),"")</f>
        <v/>
      </c>
      <c r="AQ229" s="40" t="str">
        <f>IF(AND($G229='Povolené hodnoty'!$B$13,OR($H229=AQ$4,$H229='Povolené hodnoty'!$E$36)),SUM($I229,-$J229,$L229,-$M229,$O229,-$P229,$R229,-$S229),"")</f>
        <v/>
      </c>
      <c r="AR229" s="40" t="str">
        <f>IF(AND($G229='Povolené hodnoty'!$B$13,$H229=AR$4),SUM($I229,$L229,$O229,$R229),"")</f>
        <v/>
      </c>
      <c r="AS229" s="41" t="str">
        <f>IF(AND($G229='Povolené hodnoty'!$B$13,$H229=AS$4),SUM($I229,$L229,$O229,$R229),"")</f>
        <v/>
      </c>
      <c r="AT229" s="39" t="str">
        <f>IF(AND($G229='Povolené hodnoty'!$B$14,$H229=AT$4),SUM($I229,$L229,$O229,$R229),"")</f>
        <v/>
      </c>
      <c r="AU229" s="458" t="str">
        <f>IF(AND($G229='Povolené hodnoty'!$B$14,$H229=AU$4),SUM($I229,$L229,$O229,$R229),"")</f>
        <v/>
      </c>
      <c r="AV229" s="41" t="str">
        <f>IF(AND($G229='Povolené hodnoty'!$B$14,$H229=AV$4),SUM($I229,$L229,$O229,$R229),"")</f>
        <v/>
      </c>
      <c r="AW229" s="39" t="str">
        <f>IF(AND($G229='Povolené hodnoty'!$B$13,$H229=AW$4),SUM($J229,$M229,$P229,$S229),"")</f>
        <v/>
      </c>
      <c r="AX229" s="458" t="str">
        <f>IF(AND($G229='Povolené hodnoty'!$B$13,$H229=AX$4),SUM($J229,$M229,$P229,$S229),"")</f>
        <v/>
      </c>
      <c r="AY229" s="458" t="str">
        <f>IF(AND($G229='Povolené hodnoty'!$B$13,$H229=AY$4),SUM($J229,$M229,$P229,$S229),"")</f>
        <v/>
      </c>
      <c r="AZ229" s="458" t="str">
        <f>IF(AND($G229='Povolené hodnoty'!$B$13,$H229=AZ$4),SUM($J229,$M229,$P229,$S229),"")</f>
        <v/>
      </c>
      <c r="BA229" s="458" t="str">
        <f>IF(AND($G229='Povolené hodnoty'!$B$13,$H229=BA$4),SUM($J229,$M229,$P229,$S229),"")</f>
        <v/>
      </c>
      <c r="BB229" s="40" t="str">
        <f>IF(AND($G229='Povolené hodnoty'!$B$13,$H229=BB$4),SUM($J229,$M229,$P229,$S229),"")</f>
        <v/>
      </c>
      <c r="BC229" s="40" t="str">
        <f>IF(AND($G229='Povolené hodnoty'!$B$13,$H229=BC$4),SUM($J229,$M229,$P229,$S229),"")</f>
        <v/>
      </c>
      <c r="BD229" s="40" t="str">
        <f>IF(AND($G229='Povolené hodnoty'!$B$13,$H229=BD$4),SUM($J229,$M229,$P229,$S229),"")</f>
        <v/>
      </c>
      <c r="BE229" s="41" t="str">
        <f>IF(AND($G229='Povolené hodnoty'!$B$13,$H229=BE$4),SUM($J229,$M229,$P229,$S229),"")</f>
        <v/>
      </c>
      <c r="BF229" s="39" t="str">
        <f>IF(AND($G229='Povolené hodnoty'!$B$14,$H229=BF$4),SUM($J229,$M229,$P229,$S229),"")</f>
        <v/>
      </c>
      <c r="BG229" s="458" t="str">
        <f>IF(AND($G229='Povolené hodnoty'!$B$14,$H229=BG$4),SUM($J229,$M229,$P229,$S229),"")</f>
        <v/>
      </c>
      <c r="BH229" s="458" t="str">
        <f>IF(AND($G229='Povolené hodnoty'!$B$14,$H229=BH$4),SUM($J229,$M229,$P229,$S229),"")</f>
        <v/>
      </c>
      <c r="BI229" s="458" t="str">
        <f>IF(AND($G229='Povolené hodnoty'!$B$14,$H229=BI$4),SUM($J229,$M229,$P229,$S229),"")</f>
        <v/>
      </c>
      <c r="BJ229" s="458" t="str">
        <f>IF(AND($G229='Povolené hodnoty'!$B$14,$H229=BJ$4),SUM($J229,$M229,$P229,$S229),"")</f>
        <v/>
      </c>
      <c r="BK229" s="40" t="str">
        <f>IF(AND($G229='Povolené hodnoty'!$B$14,$H229=BK$4),SUM($J229,$M229,$P229,$S229),"")</f>
        <v/>
      </c>
      <c r="BL229" s="40" t="str">
        <f>IF(AND($G229='Povolené hodnoty'!$B$14,$H229=BL$4),SUM($J229,$M229,$P229,$S229),"")</f>
        <v/>
      </c>
      <c r="BM229" s="41" t="str">
        <f>IF(AND($G229='Povolené hodnoty'!$B$14,$H229=BM$4),SUM($J229,$M229,$P229,$S229),"")</f>
        <v/>
      </c>
      <c r="BO229" s="18" t="b">
        <f t="shared" si="141"/>
        <v>0</v>
      </c>
      <c r="BP229" s="18" t="b">
        <f t="shared" si="112"/>
        <v>0</v>
      </c>
      <c r="BQ229" s="18" t="b">
        <f>AND(E229&lt;&gt;'Povolené hodnoty'!$B$6,F229&lt;&gt;'Povolené hodnoty'!$D$7,F229&lt;&gt;'Povolené hodnoty'!$D$8,OR(SUM(I229,L229,O229,R229)&lt;&gt;SUM(W229:X229,AA229:AG229),SUM(J229,M229,P229,S229)&lt;&gt;SUM(Y229:Z229,AH229:AK229),COUNT(I229:J229,L229:M229,O229:P229,R229:S229)&lt;&gt;COUNT(W229:AK229)))</f>
        <v>0</v>
      </c>
      <c r="BR229" s="18" t="b">
        <f>OR(AND(E229='Povolené hodnoty'!$B$6,$BR$5),AND(E229='Povolené hodnoty'!$B$6,H229&lt;&gt;'Povolené hodnoty'!$E$26,H229&lt;&gt;'Povolené hodnoty'!$E$35),AND(E229&lt;&gt;'Povolené hodnoty'!$B$6,OR(H229='Povolené hodnoty'!$E$26,H229='Povolené hodnoty'!$E$35)))</f>
        <v>0</v>
      </c>
      <c r="BS229" s="18" t="b">
        <f>OR(AND(G229&lt;&gt;'Povolené hodnoty'!$B$13,OR(H229='Povolené hodnoty'!$E$21,H229='Povolené hodnoty'!$E$22,H229='Povolené hodnoty'!$E$23,H229='Povolené hodnoty'!$E$24,H229='Povolené hodnoty'!$E$26,H229='Povolené hodnoty'!$E$36)),COUNT(I229:J229,L229:M229,O229:P229,R229:S229)&lt;&gt;COUNT(AL229:BM229))</f>
        <v>0</v>
      </c>
      <c r="BT229" s="18" t="b">
        <f t="shared" si="113"/>
        <v>0</v>
      </c>
      <c r="BV229" s="39" t="str">
        <f t="shared" si="114"/>
        <v/>
      </c>
      <c r="BW229" s="458" t="str">
        <f t="shared" si="115"/>
        <v/>
      </c>
      <c r="BX229" s="458" t="str">
        <f t="shared" si="116"/>
        <v/>
      </c>
      <c r="BY229" s="458" t="str">
        <f t="shared" si="117"/>
        <v/>
      </c>
      <c r="BZ229" s="458" t="str">
        <f t="shared" si="118"/>
        <v/>
      </c>
      <c r="CA229" s="40" t="str">
        <f t="shared" si="119"/>
        <v/>
      </c>
      <c r="CB229" s="40" t="str">
        <f t="shared" si="120"/>
        <v/>
      </c>
      <c r="CC229" s="39" t="str">
        <f t="shared" si="121"/>
        <v/>
      </c>
      <c r="CD229" s="458" t="str">
        <f t="shared" si="122"/>
        <v/>
      </c>
      <c r="CE229" s="41" t="str">
        <f t="shared" si="123"/>
        <v/>
      </c>
      <c r="CF229" s="39" t="str">
        <f t="shared" si="124"/>
        <v/>
      </c>
      <c r="CG229" s="458" t="str">
        <f t="shared" si="125"/>
        <v/>
      </c>
      <c r="CH229" s="458" t="str">
        <f t="shared" si="126"/>
        <v/>
      </c>
      <c r="CI229" s="458" t="str">
        <f t="shared" si="127"/>
        <v/>
      </c>
      <c r="CJ229" s="458" t="str">
        <f t="shared" si="128"/>
        <v/>
      </c>
      <c r="CK229" s="40" t="str">
        <f t="shared" si="129"/>
        <v/>
      </c>
      <c r="CL229" s="40" t="str">
        <f t="shared" si="130"/>
        <v/>
      </c>
      <c r="CM229" s="40" t="str">
        <f t="shared" si="131"/>
        <v/>
      </c>
      <c r="CN229" s="39" t="str">
        <f t="shared" si="132"/>
        <v/>
      </c>
      <c r="CO229" s="458" t="str">
        <f t="shared" si="133"/>
        <v/>
      </c>
      <c r="CP229" s="458" t="str">
        <f t="shared" si="134"/>
        <v/>
      </c>
      <c r="CQ229" s="458" t="str">
        <f t="shared" si="135"/>
        <v/>
      </c>
      <c r="CR229" s="458" t="str">
        <f t="shared" si="136"/>
        <v/>
      </c>
      <c r="CS229" s="40" t="str">
        <f t="shared" si="137"/>
        <v/>
      </c>
      <c r="CT229" s="40" t="str">
        <f t="shared" si="138"/>
        <v/>
      </c>
      <c r="CU229" s="41" t="str">
        <f t="shared" si="139"/>
        <v/>
      </c>
    </row>
    <row r="230" spans="1:99" x14ac:dyDescent="0.2">
      <c r="A230" s="77">
        <f t="shared" si="140"/>
        <v>225</v>
      </c>
      <c r="B230" s="81"/>
      <c r="C230" s="82"/>
      <c r="D230" s="71"/>
      <c r="E230" s="72"/>
      <c r="F230" s="73"/>
      <c r="G230" s="443"/>
      <c r="H230" s="443"/>
      <c r="I230" s="74"/>
      <c r="J230" s="75"/>
      <c r="K230" s="41">
        <f t="shared" si="109"/>
        <v>3625</v>
      </c>
      <c r="L230" s="104"/>
      <c r="M230" s="105"/>
      <c r="N230" s="106">
        <f t="shared" si="110"/>
        <v>537.05999999999995</v>
      </c>
      <c r="O230" s="104"/>
      <c r="P230" s="105"/>
      <c r="Q230" s="106">
        <f t="shared" si="142"/>
        <v>10045.83</v>
      </c>
      <c r="R230" s="104"/>
      <c r="S230" s="105"/>
      <c r="T230" s="106">
        <f t="shared" si="143"/>
        <v>0</v>
      </c>
      <c r="U230" s="439"/>
      <c r="V230" s="42">
        <f t="shared" si="111"/>
        <v>225</v>
      </c>
      <c r="W230" s="39" t="str">
        <f>IF(AND(E230='Povolené hodnoty'!$B$4,F230=2),I230+L230+O230+R230,"")</f>
        <v/>
      </c>
      <c r="X230" s="41" t="str">
        <f>IF(AND(E230='Povolené hodnoty'!$B$4,F230=1),I230+L230+O230+R230,"")</f>
        <v/>
      </c>
      <c r="Y230" s="39" t="str">
        <f>IF(AND(E230='Povolené hodnoty'!$B$4,F230=10),J230+M230+P230+S230,"")</f>
        <v/>
      </c>
      <c r="Z230" s="41" t="str">
        <f>IF(AND(E230='Povolené hodnoty'!$B$4,F230=9),J230+M230+P230+S230,"")</f>
        <v/>
      </c>
      <c r="AA230" s="39" t="str">
        <f>IF(AND(E230&lt;&gt;'Povolené hodnoty'!$B$4,F230=2),I230+L230+O230+R230,"")</f>
        <v/>
      </c>
      <c r="AB230" s="40" t="str">
        <f>IF(AND(E230&lt;&gt;'Povolené hodnoty'!$B$4,F230=3),I230+L230+O230+R230,"")</f>
        <v/>
      </c>
      <c r="AC230" s="40" t="str">
        <f>IF(AND(E230&lt;&gt;'Povolené hodnoty'!$B$4,F230=4),I230+L230+O230+R230,"")</f>
        <v/>
      </c>
      <c r="AD230" s="40" t="str">
        <f>IF(AND(E230&lt;&gt;'Povolené hodnoty'!$B$4,F230="5a"),I230-J230+L230-M230+O230-P230+R230-S230,"")</f>
        <v/>
      </c>
      <c r="AE230" s="40" t="str">
        <f>IF(AND(E230&lt;&gt;'Povolené hodnoty'!$B$4,F230="5b"),I230-J230+L230-M230+O230-P230+R230-S230,"")</f>
        <v/>
      </c>
      <c r="AF230" s="40" t="str">
        <f>IF(AND(E230&lt;&gt;'Povolené hodnoty'!$B$4,F230=6),I230+L230+O230+R230,"")</f>
        <v/>
      </c>
      <c r="AG230" s="41" t="str">
        <f>IF(AND(E230&lt;&gt;'Povolené hodnoty'!$B$4,F230=7),I230+L230+O230+R230,"")</f>
        <v/>
      </c>
      <c r="AH230" s="39" t="str">
        <f>IF(AND(E230&lt;&gt;'Povolené hodnoty'!$B$4,F230=10),J230+M230+P230+S230,"")</f>
        <v/>
      </c>
      <c r="AI230" s="40" t="str">
        <f>IF(AND(E230&lt;&gt;'Povolené hodnoty'!$B$4,F230=11),J230+M230+P230+S230,"")</f>
        <v/>
      </c>
      <c r="AJ230" s="40" t="str">
        <f>IF(AND(E230&lt;&gt;'Povolené hodnoty'!$B$4,F230=12),J230+M230+P230+S230,"")</f>
        <v/>
      </c>
      <c r="AK230" s="41" t="str">
        <f>IF(AND(E230&lt;&gt;'Povolené hodnoty'!$B$4,F230=13),J230+M230+P230+S230,"")</f>
        <v/>
      </c>
      <c r="AL230" s="39" t="str">
        <f>IF(AND($G230='Povolené hodnoty'!$B$13,$H230=AL$4),SUM($I230,$L230,$O230,$R230),"")</f>
        <v/>
      </c>
      <c r="AM230" s="458" t="str">
        <f>IF(AND($G230='Povolené hodnoty'!$B$13,$H230=AM$4),SUM($I230,$L230,$O230,$R230),"")</f>
        <v/>
      </c>
      <c r="AN230" s="458" t="str">
        <f>IF(AND($G230='Povolené hodnoty'!$B$13,$H230=AN$4),SUM($I230,$L230,$O230,$R230),"")</f>
        <v/>
      </c>
      <c r="AO230" s="458" t="str">
        <f>IF(AND($G230='Povolené hodnoty'!$B$13,$H230=AO$4),SUM($I230,$L230,$O230,$R230),"")</f>
        <v/>
      </c>
      <c r="AP230" s="458" t="str">
        <f>IF(AND($G230='Povolené hodnoty'!$B$13,$H230=AP$4),SUM($I230,$L230,$O230,$R230),"")</f>
        <v/>
      </c>
      <c r="AQ230" s="40" t="str">
        <f>IF(AND($G230='Povolené hodnoty'!$B$13,OR($H230=AQ$4,$H230='Povolené hodnoty'!$E$36)),SUM($I230,-$J230,$L230,-$M230,$O230,-$P230,$R230,-$S230),"")</f>
        <v/>
      </c>
      <c r="AR230" s="40" t="str">
        <f>IF(AND($G230='Povolené hodnoty'!$B$13,$H230=AR$4),SUM($I230,$L230,$O230,$R230),"")</f>
        <v/>
      </c>
      <c r="AS230" s="41" t="str">
        <f>IF(AND($G230='Povolené hodnoty'!$B$13,$H230=AS$4),SUM($I230,$L230,$O230,$R230),"")</f>
        <v/>
      </c>
      <c r="AT230" s="39" t="str">
        <f>IF(AND($G230='Povolené hodnoty'!$B$14,$H230=AT$4),SUM($I230,$L230,$O230,$R230),"")</f>
        <v/>
      </c>
      <c r="AU230" s="458" t="str">
        <f>IF(AND($G230='Povolené hodnoty'!$B$14,$H230=AU$4),SUM($I230,$L230,$O230,$R230),"")</f>
        <v/>
      </c>
      <c r="AV230" s="41" t="str">
        <f>IF(AND($G230='Povolené hodnoty'!$B$14,$H230=AV$4),SUM($I230,$L230,$O230,$R230),"")</f>
        <v/>
      </c>
      <c r="AW230" s="39" t="str">
        <f>IF(AND($G230='Povolené hodnoty'!$B$13,$H230=AW$4),SUM($J230,$M230,$P230,$S230),"")</f>
        <v/>
      </c>
      <c r="AX230" s="458" t="str">
        <f>IF(AND($G230='Povolené hodnoty'!$B$13,$H230=AX$4),SUM($J230,$M230,$P230,$S230),"")</f>
        <v/>
      </c>
      <c r="AY230" s="458" t="str">
        <f>IF(AND($G230='Povolené hodnoty'!$B$13,$H230=AY$4),SUM($J230,$M230,$P230,$S230),"")</f>
        <v/>
      </c>
      <c r="AZ230" s="458" t="str">
        <f>IF(AND($G230='Povolené hodnoty'!$B$13,$H230=AZ$4),SUM($J230,$M230,$P230,$S230),"")</f>
        <v/>
      </c>
      <c r="BA230" s="458" t="str">
        <f>IF(AND($G230='Povolené hodnoty'!$B$13,$H230=BA$4),SUM($J230,$M230,$P230,$S230),"")</f>
        <v/>
      </c>
      <c r="BB230" s="40" t="str">
        <f>IF(AND($G230='Povolené hodnoty'!$B$13,$H230=BB$4),SUM($J230,$M230,$P230,$S230),"")</f>
        <v/>
      </c>
      <c r="BC230" s="40" t="str">
        <f>IF(AND($G230='Povolené hodnoty'!$B$13,$H230=BC$4),SUM($J230,$M230,$P230,$S230),"")</f>
        <v/>
      </c>
      <c r="BD230" s="40" t="str">
        <f>IF(AND($G230='Povolené hodnoty'!$B$13,$H230=BD$4),SUM($J230,$M230,$P230,$S230),"")</f>
        <v/>
      </c>
      <c r="BE230" s="41" t="str">
        <f>IF(AND($G230='Povolené hodnoty'!$B$13,$H230=BE$4),SUM($J230,$M230,$P230,$S230),"")</f>
        <v/>
      </c>
      <c r="BF230" s="39" t="str">
        <f>IF(AND($G230='Povolené hodnoty'!$B$14,$H230=BF$4),SUM($J230,$M230,$P230,$S230),"")</f>
        <v/>
      </c>
      <c r="BG230" s="458" t="str">
        <f>IF(AND($G230='Povolené hodnoty'!$B$14,$H230=BG$4),SUM($J230,$M230,$P230,$S230),"")</f>
        <v/>
      </c>
      <c r="BH230" s="458" t="str">
        <f>IF(AND($G230='Povolené hodnoty'!$B$14,$H230=BH$4),SUM($J230,$M230,$P230,$S230),"")</f>
        <v/>
      </c>
      <c r="BI230" s="458" t="str">
        <f>IF(AND($G230='Povolené hodnoty'!$B$14,$H230=BI$4),SUM($J230,$M230,$P230,$S230),"")</f>
        <v/>
      </c>
      <c r="BJ230" s="458" t="str">
        <f>IF(AND($G230='Povolené hodnoty'!$B$14,$H230=BJ$4),SUM($J230,$M230,$P230,$S230),"")</f>
        <v/>
      </c>
      <c r="BK230" s="40" t="str">
        <f>IF(AND($G230='Povolené hodnoty'!$B$14,$H230=BK$4),SUM($J230,$M230,$P230,$S230),"")</f>
        <v/>
      </c>
      <c r="BL230" s="40" t="str">
        <f>IF(AND($G230='Povolené hodnoty'!$B$14,$H230=BL$4),SUM($J230,$M230,$P230,$S230),"")</f>
        <v/>
      </c>
      <c r="BM230" s="41" t="str">
        <f>IF(AND($G230='Povolené hodnoty'!$B$14,$H230=BM$4),SUM($J230,$M230,$P230,$S230),"")</f>
        <v/>
      </c>
      <c r="BO230" s="18" t="b">
        <f t="shared" si="141"/>
        <v>0</v>
      </c>
      <c r="BP230" s="18" t="b">
        <f t="shared" si="112"/>
        <v>0</v>
      </c>
      <c r="BQ230" s="18" t="b">
        <f>AND(E230&lt;&gt;'Povolené hodnoty'!$B$6,F230&lt;&gt;'Povolené hodnoty'!$D$7,F230&lt;&gt;'Povolené hodnoty'!$D$8,OR(SUM(I230,L230,O230,R230)&lt;&gt;SUM(W230:X230,AA230:AG230),SUM(J230,M230,P230,S230)&lt;&gt;SUM(Y230:Z230,AH230:AK230),COUNT(I230:J230,L230:M230,O230:P230,R230:S230)&lt;&gt;COUNT(W230:AK230)))</f>
        <v>0</v>
      </c>
      <c r="BR230" s="18" t="b">
        <f>OR(AND(E230='Povolené hodnoty'!$B$6,$BR$5),AND(E230='Povolené hodnoty'!$B$6,H230&lt;&gt;'Povolené hodnoty'!$E$26,H230&lt;&gt;'Povolené hodnoty'!$E$35),AND(E230&lt;&gt;'Povolené hodnoty'!$B$6,OR(H230='Povolené hodnoty'!$E$26,H230='Povolené hodnoty'!$E$35)))</f>
        <v>0</v>
      </c>
      <c r="BS230" s="18" t="b">
        <f>OR(AND(G230&lt;&gt;'Povolené hodnoty'!$B$13,OR(H230='Povolené hodnoty'!$E$21,H230='Povolené hodnoty'!$E$22,H230='Povolené hodnoty'!$E$23,H230='Povolené hodnoty'!$E$24,H230='Povolené hodnoty'!$E$26,H230='Povolené hodnoty'!$E$36)),COUNT(I230:J230,L230:M230,O230:P230,R230:S230)&lt;&gt;COUNT(AL230:BM230))</f>
        <v>0</v>
      </c>
      <c r="BT230" s="18" t="b">
        <f t="shared" si="113"/>
        <v>0</v>
      </c>
      <c r="BV230" s="39" t="str">
        <f t="shared" si="114"/>
        <v/>
      </c>
      <c r="BW230" s="458" t="str">
        <f t="shared" si="115"/>
        <v/>
      </c>
      <c r="BX230" s="458" t="str">
        <f t="shared" si="116"/>
        <v/>
      </c>
      <c r="BY230" s="458" t="str">
        <f t="shared" si="117"/>
        <v/>
      </c>
      <c r="BZ230" s="458" t="str">
        <f t="shared" si="118"/>
        <v/>
      </c>
      <c r="CA230" s="40" t="str">
        <f t="shared" si="119"/>
        <v/>
      </c>
      <c r="CB230" s="40" t="str">
        <f t="shared" si="120"/>
        <v/>
      </c>
      <c r="CC230" s="39" t="str">
        <f t="shared" si="121"/>
        <v/>
      </c>
      <c r="CD230" s="458" t="str">
        <f t="shared" si="122"/>
        <v/>
      </c>
      <c r="CE230" s="41" t="str">
        <f t="shared" si="123"/>
        <v/>
      </c>
      <c r="CF230" s="39" t="str">
        <f t="shared" si="124"/>
        <v/>
      </c>
      <c r="CG230" s="458" t="str">
        <f t="shared" si="125"/>
        <v/>
      </c>
      <c r="CH230" s="458" t="str">
        <f t="shared" si="126"/>
        <v/>
      </c>
      <c r="CI230" s="458" t="str">
        <f t="shared" si="127"/>
        <v/>
      </c>
      <c r="CJ230" s="458" t="str">
        <f t="shared" si="128"/>
        <v/>
      </c>
      <c r="CK230" s="40" t="str">
        <f t="shared" si="129"/>
        <v/>
      </c>
      <c r="CL230" s="40" t="str">
        <f t="shared" si="130"/>
        <v/>
      </c>
      <c r="CM230" s="40" t="str">
        <f t="shared" si="131"/>
        <v/>
      </c>
      <c r="CN230" s="39" t="str">
        <f t="shared" si="132"/>
        <v/>
      </c>
      <c r="CO230" s="458" t="str">
        <f t="shared" si="133"/>
        <v/>
      </c>
      <c r="CP230" s="458" t="str">
        <f t="shared" si="134"/>
        <v/>
      </c>
      <c r="CQ230" s="458" t="str">
        <f t="shared" si="135"/>
        <v/>
      </c>
      <c r="CR230" s="458" t="str">
        <f t="shared" si="136"/>
        <v/>
      </c>
      <c r="CS230" s="40" t="str">
        <f t="shared" si="137"/>
        <v/>
      </c>
      <c r="CT230" s="40" t="str">
        <f t="shared" si="138"/>
        <v/>
      </c>
      <c r="CU230" s="41" t="str">
        <f t="shared" si="139"/>
        <v/>
      </c>
    </row>
    <row r="231" spans="1:99" x14ac:dyDescent="0.2">
      <c r="A231" s="77">
        <f t="shared" si="140"/>
        <v>226</v>
      </c>
      <c r="B231" s="81"/>
      <c r="C231" s="82"/>
      <c r="D231" s="71"/>
      <c r="E231" s="72"/>
      <c r="F231" s="73"/>
      <c r="G231" s="443"/>
      <c r="H231" s="443"/>
      <c r="I231" s="74"/>
      <c r="J231" s="75"/>
      <c r="K231" s="41">
        <f t="shared" si="109"/>
        <v>3625</v>
      </c>
      <c r="L231" s="104"/>
      <c r="M231" s="105"/>
      <c r="N231" s="106">
        <f t="shared" si="110"/>
        <v>537.05999999999995</v>
      </c>
      <c r="O231" s="104"/>
      <c r="P231" s="105"/>
      <c r="Q231" s="106">
        <f t="shared" si="142"/>
        <v>10045.83</v>
      </c>
      <c r="R231" s="104"/>
      <c r="S231" s="105"/>
      <c r="T231" s="106">
        <f t="shared" si="143"/>
        <v>0</v>
      </c>
      <c r="U231" s="439"/>
      <c r="V231" s="42">
        <f t="shared" si="111"/>
        <v>226</v>
      </c>
      <c r="W231" s="39" t="str">
        <f>IF(AND(E231='Povolené hodnoty'!$B$4,F231=2),I231+L231+O231+R231,"")</f>
        <v/>
      </c>
      <c r="X231" s="41" t="str">
        <f>IF(AND(E231='Povolené hodnoty'!$B$4,F231=1),I231+L231+O231+R231,"")</f>
        <v/>
      </c>
      <c r="Y231" s="39" t="str">
        <f>IF(AND(E231='Povolené hodnoty'!$B$4,F231=10),J231+M231+P231+S231,"")</f>
        <v/>
      </c>
      <c r="Z231" s="41" t="str">
        <f>IF(AND(E231='Povolené hodnoty'!$B$4,F231=9),J231+M231+P231+S231,"")</f>
        <v/>
      </c>
      <c r="AA231" s="39" t="str">
        <f>IF(AND(E231&lt;&gt;'Povolené hodnoty'!$B$4,F231=2),I231+L231+O231+R231,"")</f>
        <v/>
      </c>
      <c r="AB231" s="40" t="str">
        <f>IF(AND(E231&lt;&gt;'Povolené hodnoty'!$B$4,F231=3),I231+L231+O231+R231,"")</f>
        <v/>
      </c>
      <c r="AC231" s="40" t="str">
        <f>IF(AND(E231&lt;&gt;'Povolené hodnoty'!$B$4,F231=4),I231+L231+O231+R231,"")</f>
        <v/>
      </c>
      <c r="AD231" s="40" t="str">
        <f>IF(AND(E231&lt;&gt;'Povolené hodnoty'!$B$4,F231="5a"),I231-J231+L231-M231+O231-P231+R231-S231,"")</f>
        <v/>
      </c>
      <c r="AE231" s="40" t="str">
        <f>IF(AND(E231&lt;&gt;'Povolené hodnoty'!$B$4,F231="5b"),I231-J231+L231-M231+O231-P231+R231-S231,"")</f>
        <v/>
      </c>
      <c r="AF231" s="40" t="str">
        <f>IF(AND(E231&lt;&gt;'Povolené hodnoty'!$B$4,F231=6),I231+L231+O231+R231,"")</f>
        <v/>
      </c>
      <c r="AG231" s="41" t="str">
        <f>IF(AND(E231&lt;&gt;'Povolené hodnoty'!$B$4,F231=7),I231+L231+O231+R231,"")</f>
        <v/>
      </c>
      <c r="AH231" s="39" t="str">
        <f>IF(AND(E231&lt;&gt;'Povolené hodnoty'!$B$4,F231=10),J231+M231+P231+S231,"")</f>
        <v/>
      </c>
      <c r="AI231" s="40" t="str">
        <f>IF(AND(E231&lt;&gt;'Povolené hodnoty'!$B$4,F231=11),J231+M231+P231+S231,"")</f>
        <v/>
      </c>
      <c r="AJ231" s="40" t="str">
        <f>IF(AND(E231&lt;&gt;'Povolené hodnoty'!$B$4,F231=12),J231+M231+P231+S231,"")</f>
        <v/>
      </c>
      <c r="AK231" s="41" t="str">
        <f>IF(AND(E231&lt;&gt;'Povolené hodnoty'!$B$4,F231=13),J231+M231+P231+S231,"")</f>
        <v/>
      </c>
      <c r="AL231" s="39" t="str">
        <f>IF(AND($G231='Povolené hodnoty'!$B$13,$H231=AL$4),SUM($I231,$L231,$O231,$R231),"")</f>
        <v/>
      </c>
      <c r="AM231" s="458" t="str">
        <f>IF(AND($G231='Povolené hodnoty'!$B$13,$H231=AM$4),SUM($I231,$L231,$O231,$R231),"")</f>
        <v/>
      </c>
      <c r="AN231" s="458" t="str">
        <f>IF(AND($G231='Povolené hodnoty'!$B$13,$H231=AN$4),SUM($I231,$L231,$O231,$R231),"")</f>
        <v/>
      </c>
      <c r="AO231" s="458" t="str">
        <f>IF(AND($G231='Povolené hodnoty'!$B$13,$H231=AO$4),SUM($I231,$L231,$O231,$R231),"")</f>
        <v/>
      </c>
      <c r="AP231" s="458" t="str">
        <f>IF(AND($G231='Povolené hodnoty'!$B$13,$H231=AP$4),SUM($I231,$L231,$O231,$R231),"")</f>
        <v/>
      </c>
      <c r="AQ231" s="40" t="str">
        <f>IF(AND($G231='Povolené hodnoty'!$B$13,OR($H231=AQ$4,$H231='Povolené hodnoty'!$E$36)),SUM($I231,-$J231,$L231,-$M231,$O231,-$P231,$R231,-$S231),"")</f>
        <v/>
      </c>
      <c r="AR231" s="40" t="str">
        <f>IF(AND($G231='Povolené hodnoty'!$B$13,$H231=AR$4),SUM($I231,$L231,$O231,$R231),"")</f>
        <v/>
      </c>
      <c r="AS231" s="41" t="str">
        <f>IF(AND($G231='Povolené hodnoty'!$B$13,$H231=AS$4),SUM($I231,$L231,$O231,$R231),"")</f>
        <v/>
      </c>
      <c r="AT231" s="39" t="str">
        <f>IF(AND($G231='Povolené hodnoty'!$B$14,$H231=AT$4),SUM($I231,$L231,$O231,$R231),"")</f>
        <v/>
      </c>
      <c r="AU231" s="458" t="str">
        <f>IF(AND($G231='Povolené hodnoty'!$B$14,$H231=AU$4),SUM($I231,$L231,$O231,$R231),"")</f>
        <v/>
      </c>
      <c r="AV231" s="41" t="str">
        <f>IF(AND($G231='Povolené hodnoty'!$B$14,$H231=AV$4),SUM($I231,$L231,$O231,$R231),"")</f>
        <v/>
      </c>
      <c r="AW231" s="39" t="str">
        <f>IF(AND($G231='Povolené hodnoty'!$B$13,$H231=AW$4),SUM($J231,$M231,$P231,$S231),"")</f>
        <v/>
      </c>
      <c r="AX231" s="458" t="str">
        <f>IF(AND($G231='Povolené hodnoty'!$B$13,$H231=AX$4),SUM($J231,$M231,$P231,$S231),"")</f>
        <v/>
      </c>
      <c r="AY231" s="458" t="str">
        <f>IF(AND($G231='Povolené hodnoty'!$B$13,$H231=AY$4),SUM($J231,$M231,$P231,$S231),"")</f>
        <v/>
      </c>
      <c r="AZ231" s="458" t="str">
        <f>IF(AND($G231='Povolené hodnoty'!$B$13,$H231=AZ$4),SUM($J231,$M231,$P231,$S231),"")</f>
        <v/>
      </c>
      <c r="BA231" s="458" t="str">
        <f>IF(AND($G231='Povolené hodnoty'!$B$13,$H231=BA$4),SUM($J231,$M231,$P231,$S231),"")</f>
        <v/>
      </c>
      <c r="BB231" s="40" t="str">
        <f>IF(AND($G231='Povolené hodnoty'!$B$13,$H231=BB$4),SUM($J231,$M231,$P231,$S231),"")</f>
        <v/>
      </c>
      <c r="BC231" s="40" t="str">
        <f>IF(AND($G231='Povolené hodnoty'!$B$13,$H231=BC$4),SUM($J231,$M231,$P231,$S231),"")</f>
        <v/>
      </c>
      <c r="BD231" s="40" t="str">
        <f>IF(AND($G231='Povolené hodnoty'!$B$13,$H231=BD$4),SUM($J231,$M231,$P231,$S231),"")</f>
        <v/>
      </c>
      <c r="BE231" s="41" t="str">
        <f>IF(AND($G231='Povolené hodnoty'!$B$13,$H231=BE$4),SUM($J231,$M231,$P231,$S231),"")</f>
        <v/>
      </c>
      <c r="BF231" s="39" t="str">
        <f>IF(AND($G231='Povolené hodnoty'!$B$14,$H231=BF$4),SUM($J231,$M231,$P231,$S231),"")</f>
        <v/>
      </c>
      <c r="BG231" s="458" t="str">
        <f>IF(AND($G231='Povolené hodnoty'!$B$14,$H231=BG$4),SUM($J231,$M231,$P231,$S231),"")</f>
        <v/>
      </c>
      <c r="BH231" s="458" t="str">
        <f>IF(AND($G231='Povolené hodnoty'!$B$14,$H231=BH$4),SUM($J231,$M231,$P231,$S231),"")</f>
        <v/>
      </c>
      <c r="BI231" s="458" t="str">
        <f>IF(AND($G231='Povolené hodnoty'!$B$14,$H231=BI$4),SUM($J231,$M231,$P231,$S231),"")</f>
        <v/>
      </c>
      <c r="BJ231" s="458" t="str">
        <f>IF(AND($G231='Povolené hodnoty'!$B$14,$H231=BJ$4),SUM($J231,$M231,$P231,$S231),"")</f>
        <v/>
      </c>
      <c r="BK231" s="40" t="str">
        <f>IF(AND($G231='Povolené hodnoty'!$B$14,$H231=BK$4),SUM($J231,$M231,$P231,$S231),"")</f>
        <v/>
      </c>
      <c r="BL231" s="40" t="str">
        <f>IF(AND($G231='Povolené hodnoty'!$B$14,$H231=BL$4),SUM($J231,$M231,$P231,$S231),"")</f>
        <v/>
      </c>
      <c r="BM231" s="41" t="str">
        <f>IF(AND($G231='Povolené hodnoty'!$B$14,$H231=BM$4),SUM($J231,$M231,$P231,$S231),"")</f>
        <v/>
      </c>
      <c r="BO231" s="18" t="b">
        <f t="shared" si="141"/>
        <v>0</v>
      </c>
      <c r="BP231" s="18" t="b">
        <f t="shared" si="112"/>
        <v>0</v>
      </c>
      <c r="BQ231" s="18" t="b">
        <f>AND(E231&lt;&gt;'Povolené hodnoty'!$B$6,F231&lt;&gt;'Povolené hodnoty'!$D$7,F231&lt;&gt;'Povolené hodnoty'!$D$8,OR(SUM(I231,L231,O231,R231)&lt;&gt;SUM(W231:X231,AA231:AG231),SUM(J231,M231,P231,S231)&lt;&gt;SUM(Y231:Z231,AH231:AK231),COUNT(I231:J231,L231:M231,O231:P231,R231:S231)&lt;&gt;COUNT(W231:AK231)))</f>
        <v>0</v>
      </c>
      <c r="BR231" s="18" t="b">
        <f>OR(AND(E231='Povolené hodnoty'!$B$6,$BR$5),AND(E231='Povolené hodnoty'!$B$6,H231&lt;&gt;'Povolené hodnoty'!$E$26,H231&lt;&gt;'Povolené hodnoty'!$E$35),AND(E231&lt;&gt;'Povolené hodnoty'!$B$6,OR(H231='Povolené hodnoty'!$E$26,H231='Povolené hodnoty'!$E$35)))</f>
        <v>0</v>
      </c>
      <c r="BS231" s="18" t="b">
        <f>OR(AND(G231&lt;&gt;'Povolené hodnoty'!$B$13,OR(H231='Povolené hodnoty'!$E$21,H231='Povolené hodnoty'!$E$22,H231='Povolené hodnoty'!$E$23,H231='Povolené hodnoty'!$E$24,H231='Povolené hodnoty'!$E$26,H231='Povolené hodnoty'!$E$36)),COUNT(I231:J231,L231:M231,O231:P231,R231:S231)&lt;&gt;COUNT(AL231:BM231))</f>
        <v>0</v>
      </c>
      <c r="BT231" s="18" t="b">
        <f t="shared" si="113"/>
        <v>0</v>
      </c>
      <c r="BV231" s="39" t="str">
        <f t="shared" si="114"/>
        <v/>
      </c>
      <c r="BW231" s="458" t="str">
        <f t="shared" si="115"/>
        <v/>
      </c>
      <c r="BX231" s="458" t="str">
        <f t="shared" si="116"/>
        <v/>
      </c>
      <c r="BY231" s="458" t="str">
        <f t="shared" si="117"/>
        <v/>
      </c>
      <c r="BZ231" s="458" t="str">
        <f t="shared" si="118"/>
        <v/>
      </c>
      <c r="CA231" s="40" t="str">
        <f t="shared" si="119"/>
        <v/>
      </c>
      <c r="CB231" s="40" t="str">
        <f t="shared" si="120"/>
        <v/>
      </c>
      <c r="CC231" s="39" t="str">
        <f t="shared" si="121"/>
        <v/>
      </c>
      <c r="CD231" s="458" t="str">
        <f t="shared" si="122"/>
        <v/>
      </c>
      <c r="CE231" s="41" t="str">
        <f t="shared" si="123"/>
        <v/>
      </c>
      <c r="CF231" s="39" t="str">
        <f t="shared" si="124"/>
        <v/>
      </c>
      <c r="CG231" s="458" t="str">
        <f t="shared" si="125"/>
        <v/>
      </c>
      <c r="CH231" s="458" t="str">
        <f t="shared" si="126"/>
        <v/>
      </c>
      <c r="CI231" s="458" t="str">
        <f t="shared" si="127"/>
        <v/>
      </c>
      <c r="CJ231" s="458" t="str">
        <f t="shared" si="128"/>
        <v/>
      </c>
      <c r="CK231" s="40" t="str">
        <f t="shared" si="129"/>
        <v/>
      </c>
      <c r="CL231" s="40" t="str">
        <f t="shared" si="130"/>
        <v/>
      </c>
      <c r="CM231" s="40" t="str">
        <f t="shared" si="131"/>
        <v/>
      </c>
      <c r="CN231" s="39" t="str">
        <f t="shared" si="132"/>
        <v/>
      </c>
      <c r="CO231" s="458" t="str">
        <f t="shared" si="133"/>
        <v/>
      </c>
      <c r="CP231" s="458" t="str">
        <f t="shared" si="134"/>
        <v/>
      </c>
      <c r="CQ231" s="458" t="str">
        <f t="shared" si="135"/>
        <v/>
      </c>
      <c r="CR231" s="458" t="str">
        <f t="shared" si="136"/>
        <v/>
      </c>
      <c r="CS231" s="40" t="str">
        <f t="shared" si="137"/>
        <v/>
      </c>
      <c r="CT231" s="40" t="str">
        <f t="shared" si="138"/>
        <v/>
      </c>
      <c r="CU231" s="41" t="str">
        <f t="shared" si="139"/>
        <v/>
      </c>
    </row>
    <row r="232" spans="1:99" x14ac:dyDescent="0.2">
      <c r="A232" s="77">
        <f t="shared" si="140"/>
        <v>227</v>
      </c>
      <c r="B232" s="81"/>
      <c r="C232" s="82"/>
      <c r="D232" s="71"/>
      <c r="E232" s="72"/>
      <c r="F232" s="73"/>
      <c r="G232" s="443"/>
      <c r="H232" s="443"/>
      <c r="I232" s="74"/>
      <c r="J232" s="75"/>
      <c r="K232" s="41">
        <f t="shared" si="109"/>
        <v>3625</v>
      </c>
      <c r="L232" s="104"/>
      <c r="M232" s="105"/>
      <c r="N232" s="106">
        <f t="shared" si="110"/>
        <v>537.05999999999995</v>
      </c>
      <c r="O232" s="104"/>
      <c r="P232" s="105"/>
      <c r="Q232" s="106">
        <f t="shared" si="142"/>
        <v>10045.83</v>
      </c>
      <c r="R232" s="104"/>
      <c r="S232" s="105"/>
      <c r="T232" s="106">
        <f t="shared" si="143"/>
        <v>0</v>
      </c>
      <c r="U232" s="439"/>
      <c r="V232" s="42">
        <f t="shared" si="111"/>
        <v>227</v>
      </c>
      <c r="W232" s="39" t="str">
        <f>IF(AND(E232='Povolené hodnoty'!$B$4,F232=2),I232+L232+O232+R232,"")</f>
        <v/>
      </c>
      <c r="X232" s="41" t="str">
        <f>IF(AND(E232='Povolené hodnoty'!$B$4,F232=1),I232+L232+O232+R232,"")</f>
        <v/>
      </c>
      <c r="Y232" s="39" t="str">
        <f>IF(AND(E232='Povolené hodnoty'!$B$4,F232=10),J232+M232+P232+S232,"")</f>
        <v/>
      </c>
      <c r="Z232" s="41" t="str">
        <f>IF(AND(E232='Povolené hodnoty'!$B$4,F232=9),J232+M232+P232+S232,"")</f>
        <v/>
      </c>
      <c r="AA232" s="39" t="str">
        <f>IF(AND(E232&lt;&gt;'Povolené hodnoty'!$B$4,F232=2),I232+L232+O232+R232,"")</f>
        <v/>
      </c>
      <c r="AB232" s="40" t="str">
        <f>IF(AND(E232&lt;&gt;'Povolené hodnoty'!$B$4,F232=3),I232+L232+O232+R232,"")</f>
        <v/>
      </c>
      <c r="AC232" s="40" t="str">
        <f>IF(AND(E232&lt;&gt;'Povolené hodnoty'!$B$4,F232=4),I232+L232+O232+R232,"")</f>
        <v/>
      </c>
      <c r="AD232" s="40" t="str">
        <f>IF(AND(E232&lt;&gt;'Povolené hodnoty'!$B$4,F232="5a"),I232-J232+L232-M232+O232-P232+R232-S232,"")</f>
        <v/>
      </c>
      <c r="AE232" s="40" t="str">
        <f>IF(AND(E232&lt;&gt;'Povolené hodnoty'!$B$4,F232="5b"),I232-J232+L232-M232+O232-P232+R232-S232,"")</f>
        <v/>
      </c>
      <c r="AF232" s="40" t="str">
        <f>IF(AND(E232&lt;&gt;'Povolené hodnoty'!$B$4,F232=6),I232+L232+O232+R232,"")</f>
        <v/>
      </c>
      <c r="AG232" s="41" t="str">
        <f>IF(AND(E232&lt;&gt;'Povolené hodnoty'!$B$4,F232=7),I232+L232+O232+R232,"")</f>
        <v/>
      </c>
      <c r="AH232" s="39" t="str">
        <f>IF(AND(E232&lt;&gt;'Povolené hodnoty'!$B$4,F232=10),J232+M232+P232+S232,"")</f>
        <v/>
      </c>
      <c r="AI232" s="40" t="str">
        <f>IF(AND(E232&lt;&gt;'Povolené hodnoty'!$B$4,F232=11),J232+M232+P232+S232,"")</f>
        <v/>
      </c>
      <c r="AJ232" s="40" t="str">
        <f>IF(AND(E232&lt;&gt;'Povolené hodnoty'!$B$4,F232=12),J232+M232+P232+S232,"")</f>
        <v/>
      </c>
      <c r="AK232" s="41" t="str">
        <f>IF(AND(E232&lt;&gt;'Povolené hodnoty'!$B$4,F232=13),J232+M232+P232+S232,"")</f>
        <v/>
      </c>
      <c r="AL232" s="39" t="str">
        <f>IF(AND($G232='Povolené hodnoty'!$B$13,$H232=AL$4),SUM($I232,$L232,$O232,$R232),"")</f>
        <v/>
      </c>
      <c r="AM232" s="458" t="str">
        <f>IF(AND($G232='Povolené hodnoty'!$B$13,$H232=AM$4),SUM($I232,$L232,$O232,$R232),"")</f>
        <v/>
      </c>
      <c r="AN232" s="458" t="str">
        <f>IF(AND($G232='Povolené hodnoty'!$B$13,$H232=AN$4),SUM($I232,$L232,$O232,$R232),"")</f>
        <v/>
      </c>
      <c r="AO232" s="458" t="str">
        <f>IF(AND($G232='Povolené hodnoty'!$B$13,$H232=AO$4),SUM($I232,$L232,$O232,$R232),"")</f>
        <v/>
      </c>
      <c r="AP232" s="458" t="str">
        <f>IF(AND($G232='Povolené hodnoty'!$B$13,$H232=AP$4),SUM($I232,$L232,$O232,$R232),"")</f>
        <v/>
      </c>
      <c r="AQ232" s="40" t="str">
        <f>IF(AND($G232='Povolené hodnoty'!$B$13,OR($H232=AQ$4,$H232='Povolené hodnoty'!$E$36)),SUM($I232,-$J232,$L232,-$M232,$O232,-$P232,$R232,-$S232),"")</f>
        <v/>
      </c>
      <c r="AR232" s="40" t="str">
        <f>IF(AND($G232='Povolené hodnoty'!$B$13,$H232=AR$4),SUM($I232,$L232,$O232,$R232),"")</f>
        <v/>
      </c>
      <c r="AS232" s="41" t="str">
        <f>IF(AND($G232='Povolené hodnoty'!$B$13,$H232=AS$4),SUM($I232,$L232,$O232,$R232),"")</f>
        <v/>
      </c>
      <c r="AT232" s="39" t="str">
        <f>IF(AND($G232='Povolené hodnoty'!$B$14,$H232=AT$4),SUM($I232,$L232,$O232,$R232),"")</f>
        <v/>
      </c>
      <c r="AU232" s="458" t="str">
        <f>IF(AND($G232='Povolené hodnoty'!$B$14,$H232=AU$4),SUM($I232,$L232,$O232,$R232),"")</f>
        <v/>
      </c>
      <c r="AV232" s="41" t="str">
        <f>IF(AND($G232='Povolené hodnoty'!$B$14,$H232=AV$4),SUM($I232,$L232,$O232,$R232),"")</f>
        <v/>
      </c>
      <c r="AW232" s="39" t="str">
        <f>IF(AND($G232='Povolené hodnoty'!$B$13,$H232=AW$4),SUM($J232,$M232,$P232,$S232),"")</f>
        <v/>
      </c>
      <c r="AX232" s="458" t="str">
        <f>IF(AND($G232='Povolené hodnoty'!$B$13,$H232=AX$4),SUM($J232,$M232,$P232,$S232),"")</f>
        <v/>
      </c>
      <c r="AY232" s="458" t="str">
        <f>IF(AND($G232='Povolené hodnoty'!$B$13,$H232=AY$4),SUM($J232,$M232,$P232,$S232),"")</f>
        <v/>
      </c>
      <c r="AZ232" s="458" t="str">
        <f>IF(AND($G232='Povolené hodnoty'!$B$13,$H232=AZ$4),SUM($J232,$M232,$P232,$S232),"")</f>
        <v/>
      </c>
      <c r="BA232" s="458" t="str">
        <f>IF(AND($G232='Povolené hodnoty'!$B$13,$H232=BA$4),SUM($J232,$M232,$P232,$S232),"")</f>
        <v/>
      </c>
      <c r="BB232" s="40" t="str">
        <f>IF(AND($G232='Povolené hodnoty'!$B$13,$H232=BB$4),SUM($J232,$M232,$P232,$S232),"")</f>
        <v/>
      </c>
      <c r="BC232" s="40" t="str">
        <f>IF(AND($G232='Povolené hodnoty'!$B$13,$H232=BC$4),SUM($J232,$M232,$P232,$S232),"")</f>
        <v/>
      </c>
      <c r="BD232" s="40" t="str">
        <f>IF(AND($G232='Povolené hodnoty'!$B$13,$H232=BD$4),SUM($J232,$M232,$P232,$S232),"")</f>
        <v/>
      </c>
      <c r="BE232" s="41" t="str">
        <f>IF(AND($G232='Povolené hodnoty'!$B$13,$H232=BE$4),SUM($J232,$M232,$P232,$S232),"")</f>
        <v/>
      </c>
      <c r="BF232" s="39" t="str">
        <f>IF(AND($G232='Povolené hodnoty'!$B$14,$H232=BF$4),SUM($J232,$M232,$P232,$S232),"")</f>
        <v/>
      </c>
      <c r="BG232" s="458" t="str">
        <f>IF(AND($G232='Povolené hodnoty'!$B$14,$H232=BG$4),SUM($J232,$M232,$P232,$S232),"")</f>
        <v/>
      </c>
      <c r="BH232" s="458" t="str">
        <f>IF(AND($G232='Povolené hodnoty'!$B$14,$H232=BH$4),SUM($J232,$M232,$P232,$S232),"")</f>
        <v/>
      </c>
      <c r="BI232" s="458" t="str">
        <f>IF(AND($G232='Povolené hodnoty'!$B$14,$H232=BI$4),SUM($J232,$M232,$P232,$S232),"")</f>
        <v/>
      </c>
      <c r="BJ232" s="458" t="str">
        <f>IF(AND($G232='Povolené hodnoty'!$B$14,$H232=BJ$4),SUM($J232,$M232,$P232,$S232),"")</f>
        <v/>
      </c>
      <c r="BK232" s="40" t="str">
        <f>IF(AND($G232='Povolené hodnoty'!$B$14,$H232=BK$4),SUM($J232,$M232,$P232,$S232),"")</f>
        <v/>
      </c>
      <c r="BL232" s="40" t="str">
        <f>IF(AND($G232='Povolené hodnoty'!$B$14,$H232=BL$4),SUM($J232,$M232,$P232,$S232),"")</f>
        <v/>
      </c>
      <c r="BM232" s="41" t="str">
        <f>IF(AND($G232='Povolené hodnoty'!$B$14,$H232=BM$4),SUM($J232,$M232,$P232,$S232),"")</f>
        <v/>
      </c>
      <c r="BO232" s="18" t="b">
        <f t="shared" si="141"/>
        <v>0</v>
      </c>
      <c r="BP232" s="18" t="b">
        <f t="shared" si="112"/>
        <v>0</v>
      </c>
      <c r="BQ232" s="18" t="b">
        <f>AND(E232&lt;&gt;'Povolené hodnoty'!$B$6,F232&lt;&gt;'Povolené hodnoty'!$D$7,F232&lt;&gt;'Povolené hodnoty'!$D$8,OR(SUM(I232,L232,O232,R232)&lt;&gt;SUM(W232:X232,AA232:AG232),SUM(J232,M232,P232,S232)&lt;&gt;SUM(Y232:Z232,AH232:AK232),COUNT(I232:J232,L232:M232,O232:P232,R232:S232)&lt;&gt;COUNT(W232:AK232)))</f>
        <v>0</v>
      </c>
      <c r="BR232" s="18" t="b">
        <f>OR(AND(E232='Povolené hodnoty'!$B$6,$BR$5),AND(E232='Povolené hodnoty'!$B$6,H232&lt;&gt;'Povolené hodnoty'!$E$26,H232&lt;&gt;'Povolené hodnoty'!$E$35),AND(E232&lt;&gt;'Povolené hodnoty'!$B$6,OR(H232='Povolené hodnoty'!$E$26,H232='Povolené hodnoty'!$E$35)))</f>
        <v>0</v>
      </c>
      <c r="BS232" s="18" t="b">
        <f>OR(AND(G232&lt;&gt;'Povolené hodnoty'!$B$13,OR(H232='Povolené hodnoty'!$E$21,H232='Povolené hodnoty'!$E$22,H232='Povolené hodnoty'!$E$23,H232='Povolené hodnoty'!$E$24,H232='Povolené hodnoty'!$E$26,H232='Povolené hodnoty'!$E$36)),COUNT(I232:J232,L232:M232,O232:P232,R232:S232)&lt;&gt;COUNT(AL232:BM232))</f>
        <v>0</v>
      </c>
      <c r="BT232" s="18" t="b">
        <f t="shared" si="113"/>
        <v>0</v>
      </c>
      <c r="BV232" s="39" t="str">
        <f t="shared" si="114"/>
        <v/>
      </c>
      <c r="BW232" s="458" t="str">
        <f t="shared" si="115"/>
        <v/>
      </c>
      <c r="BX232" s="458" t="str">
        <f t="shared" si="116"/>
        <v/>
      </c>
      <c r="BY232" s="458" t="str">
        <f t="shared" si="117"/>
        <v/>
      </c>
      <c r="BZ232" s="458" t="str">
        <f t="shared" si="118"/>
        <v/>
      </c>
      <c r="CA232" s="40" t="str">
        <f t="shared" si="119"/>
        <v/>
      </c>
      <c r="CB232" s="40" t="str">
        <f t="shared" si="120"/>
        <v/>
      </c>
      <c r="CC232" s="39" t="str">
        <f t="shared" si="121"/>
        <v/>
      </c>
      <c r="CD232" s="458" t="str">
        <f t="shared" si="122"/>
        <v/>
      </c>
      <c r="CE232" s="41" t="str">
        <f t="shared" si="123"/>
        <v/>
      </c>
      <c r="CF232" s="39" t="str">
        <f t="shared" si="124"/>
        <v/>
      </c>
      <c r="CG232" s="458" t="str">
        <f t="shared" si="125"/>
        <v/>
      </c>
      <c r="CH232" s="458" t="str">
        <f t="shared" si="126"/>
        <v/>
      </c>
      <c r="CI232" s="458" t="str">
        <f t="shared" si="127"/>
        <v/>
      </c>
      <c r="CJ232" s="458" t="str">
        <f t="shared" si="128"/>
        <v/>
      </c>
      <c r="CK232" s="40" t="str">
        <f t="shared" si="129"/>
        <v/>
      </c>
      <c r="CL232" s="40" t="str">
        <f t="shared" si="130"/>
        <v/>
      </c>
      <c r="CM232" s="40" t="str">
        <f t="shared" si="131"/>
        <v/>
      </c>
      <c r="CN232" s="39" t="str">
        <f t="shared" si="132"/>
        <v/>
      </c>
      <c r="CO232" s="458" t="str">
        <f t="shared" si="133"/>
        <v/>
      </c>
      <c r="CP232" s="458" t="str">
        <f t="shared" si="134"/>
        <v/>
      </c>
      <c r="CQ232" s="458" t="str">
        <f t="shared" si="135"/>
        <v/>
      </c>
      <c r="CR232" s="458" t="str">
        <f t="shared" si="136"/>
        <v/>
      </c>
      <c r="CS232" s="40" t="str">
        <f t="shared" si="137"/>
        <v/>
      </c>
      <c r="CT232" s="40" t="str">
        <f t="shared" si="138"/>
        <v/>
      </c>
      <c r="CU232" s="41" t="str">
        <f t="shared" si="139"/>
        <v/>
      </c>
    </row>
    <row r="233" spans="1:99" x14ac:dyDescent="0.2">
      <c r="A233" s="77">
        <f t="shared" si="140"/>
        <v>228</v>
      </c>
      <c r="B233" s="81"/>
      <c r="C233" s="82"/>
      <c r="D233" s="71"/>
      <c r="E233" s="72"/>
      <c r="F233" s="73"/>
      <c r="G233" s="443"/>
      <c r="H233" s="443"/>
      <c r="I233" s="74"/>
      <c r="J233" s="75"/>
      <c r="K233" s="41">
        <f t="shared" si="109"/>
        <v>3625</v>
      </c>
      <c r="L233" s="104"/>
      <c r="M233" s="105"/>
      <c r="N233" s="106">
        <f t="shared" si="110"/>
        <v>537.05999999999995</v>
      </c>
      <c r="O233" s="104"/>
      <c r="P233" s="105"/>
      <c r="Q233" s="106">
        <f t="shared" si="142"/>
        <v>10045.83</v>
      </c>
      <c r="R233" s="104"/>
      <c r="S233" s="105"/>
      <c r="T233" s="106">
        <f t="shared" si="143"/>
        <v>0</v>
      </c>
      <c r="U233" s="439"/>
      <c r="V233" s="42">
        <f t="shared" si="111"/>
        <v>228</v>
      </c>
      <c r="W233" s="39" t="str">
        <f>IF(AND(E233='Povolené hodnoty'!$B$4,F233=2),I233+L233+O233+R233,"")</f>
        <v/>
      </c>
      <c r="X233" s="41" t="str">
        <f>IF(AND(E233='Povolené hodnoty'!$B$4,F233=1),I233+L233+O233+R233,"")</f>
        <v/>
      </c>
      <c r="Y233" s="39" t="str">
        <f>IF(AND(E233='Povolené hodnoty'!$B$4,F233=10),J233+M233+P233+S233,"")</f>
        <v/>
      </c>
      <c r="Z233" s="41" t="str">
        <f>IF(AND(E233='Povolené hodnoty'!$B$4,F233=9),J233+M233+P233+S233,"")</f>
        <v/>
      </c>
      <c r="AA233" s="39" t="str">
        <f>IF(AND(E233&lt;&gt;'Povolené hodnoty'!$B$4,F233=2),I233+L233+O233+R233,"")</f>
        <v/>
      </c>
      <c r="AB233" s="40" t="str">
        <f>IF(AND(E233&lt;&gt;'Povolené hodnoty'!$B$4,F233=3),I233+L233+O233+R233,"")</f>
        <v/>
      </c>
      <c r="AC233" s="40" t="str">
        <f>IF(AND(E233&lt;&gt;'Povolené hodnoty'!$B$4,F233=4),I233+L233+O233+R233,"")</f>
        <v/>
      </c>
      <c r="AD233" s="40" t="str">
        <f>IF(AND(E233&lt;&gt;'Povolené hodnoty'!$B$4,F233="5a"),I233-J233+L233-M233+O233-P233+R233-S233,"")</f>
        <v/>
      </c>
      <c r="AE233" s="40" t="str">
        <f>IF(AND(E233&lt;&gt;'Povolené hodnoty'!$B$4,F233="5b"),I233-J233+L233-M233+O233-P233+R233-S233,"")</f>
        <v/>
      </c>
      <c r="AF233" s="40" t="str">
        <f>IF(AND(E233&lt;&gt;'Povolené hodnoty'!$B$4,F233=6),I233+L233+O233+R233,"")</f>
        <v/>
      </c>
      <c r="AG233" s="41" t="str">
        <f>IF(AND(E233&lt;&gt;'Povolené hodnoty'!$B$4,F233=7),I233+L233+O233+R233,"")</f>
        <v/>
      </c>
      <c r="AH233" s="39" t="str">
        <f>IF(AND(E233&lt;&gt;'Povolené hodnoty'!$B$4,F233=10),J233+M233+P233+S233,"")</f>
        <v/>
      </c>
      <c r="AI233" s="40" t="str">
        <f>IF(AND(E233&lt;&gt;'Povolené hodnoty'!$B$4,F233=11),J233+M233+P233+S233,"")</f>
        <v/>
      </c>
      <c r="AJ233" s="40" t="str">
        <f>IF(AND(E233&lt;&gt;'Povolené hodnoty'!$B$4,F233=12),J233+M233+P233+S233,"")</f>
        <v/>
      </c>
      <c r="AK233" s="41" t="str">
        <f>IF(AND(E233&lt;&gt;'Povolené hodnoty'!$B$4,F233=13),J233+M233+P233+S233,"")</f>
        <v/>
      </c>
      <c r="AL233" s="39" t="str">
        <f>IF(AND($G233='Povolené hodnoty'!$B$13,$H233=AL$4),SUM($I233,$L233,$O233,$R233),"")</f>
        <v/>
      </c>
      <c r="AM233" s="458" t="str">
        <f>IF(AND($G233='Povolené hodnoty'!$B$13,$H233=AM$4),SUM($I233,$L233,$O233,$R233),"")</f>
        <v/>
      </c>
      <c r="AN233" s="458" t="str">
        <f>IF(AND($G233='Povolené hodnoty'!$B$13,$H233=AN$4),SUM($I233,$L233,$O233,$R233),"")</f>
        <v/>
      </c>
      <c r="AO233" s="458" t="str">
        <f>IF(AND($G233='Povolené hodnoty'!$B$13,$H233=AO$4),SUM($I233,$L233,$O233,$R233),"")</f>
        <v/>
      </c>
      <c r="AP233" s="458" t="str">
        <f>IF(AND($G233='Povolené hodnoty'!$B$13,$H233=AP$4),SUM($I233,$L233,$O233,$R233),"")</f>
        <v/>
      </c>
      <c r="AQ233" s="40" t="str">
        <f>IF(AND($G233='Povolené hodnoty'!$B$13,OR($H233=AQ$4,$H233='Povolené hodnoty'!$E$36)),SUM($I233,-$J233,$L233,-$M233,$O233,-$P233,$R233,-$S233),"")</f>
        <v/>
      </c>
      <c r="AR233" s="40" t="str">
        <f>IF(AND($G233='Povolené hodnoty'!$B$13,$H233=AR$4),SUM($I233,$L233,$O233,$R233),"")</f>
        <v/>
      </c>
      <c r="AS233" s="41" t="str">
        <f>IF(AND($G233='Povolené hodnoty'!$B$13,$H233=AS$4),SUM($I233,$L233,$O233,$R233),"")</f>
        <v/>
      </c>
      <c r="AT233" s="39" t="str">
        <f>IF(AND($G233='Povolené hodnoty'!$B$14,$H233=AT$4),SUM($I233,$L233,$O233,$R233),"")</f>
        <v/>
      </c>
      <c r="AU233" s="458" t="str">
        <f>IF(AND($G233='Povolené hodnoty'!$B$14,$H233=AU$4),SUM($I233,$L233,$O233,$R233),"")</f>
        <v/>
      </c>
      <c r="AV233" s="41" t="str">
        <f>IF(AND($G233='Povolené hodnoty'!$B$14,$H233=AV$4),SUM($I233,$L233,$O233,$R233),"")</f>
        <v/>
      </c>
      <c r="AW233" s="39" t="str">
        <f>IF(AND($G233='Povolené hodnoty'!$B$13,$H233=AW$4),SUM($J233,$M233,$P233,$S233),"")</f>
        <v/>
      </c>
      <c r="AX233" s="458" t="str">
        <f>IF(AND($G233='Povolené hodnoty'!$B$13,$H233=AX$4),SUM($J233,$M233,$P233,$S233),"")</f>
        <v/>
      </c>
      <c r="AY233" s="458" t="str">
        <f>IF(AND($G233='Povolené hodnoty'!$B$13,$H233=AY$4),SUM($J233,$M233,$P233,$S233),"")</f>
        <v/>
      </c>
      <c r="AZ233" s="458" t="str">
        <f>IF(AND($G233='Povolené hodnoty'!$B$13,$H233=AZ$4),SUM($J233,$M233,$P233,$S233),"")</f>
        <v/>
      </c>
      <c r="BA233" s="458" t="str">
        <f>IF(AND($G233='Povolené hodnoty'!$B$13,$H233=BA$4),SUM($J233,$M233,$P233,$S233),"")</f>
        <v/>
      </c>
      <c r="BB233" s="40" t="str">
        <f>IF(AND($G233='Povolené hodnoty'!$B$13,$H233=BB$4),SUM($J233,$M233,$P233,$S233),"")</f>
        <v/>
      </c>
      <c r="BC233" s="40" t="str">
        <f>IF(AND($G233='Povolené hodnoty'!$B$13,$H233=BC$4),SUM($J233,$M233,$P233,$S233),"")</f>
        <v/>
      </c>
      <c r="BD233" s="40" t="str">
        <f>IF(AND($G233='Povolené hodnoty'!$B$13,$H233=BD$4),SUM($J233,$M233,$P233,$S233),"")</f>
        <v/>
      </c>
      <c r="BE233" s="41" t="str">
        <f>IF(AND($G233='Povolené hodnoty'!$B$13,$H233=BE$4),SUM($J233,$M233,$P233,$S233),"")</f>
        <v/>
      </c>
      <c r="BF233" s="39" t="str">
        <f>IF(AND($G233='Povolené hodnoty'!$B$14,$H233=BF$4),SUM($J233,$M233,$P233,$S233),"")</f>
        <v/>
      </c>
      <c r="BG233" s="458" t="str">
        <f>IF(AND($G233='Povolené hodnoty'!$B$14,$H233=BG$4),SUM($J233,$M233,$P233,$S233),"")</f>
        <v/>
      </c>
      <c r="BH233" s="458" t="str">
        <f>IF(AND($G233='Povolené hodnoty'!$B$14,$H233=BH$4),SUM($J233,$M233,$P233,$S233),"")</f>
        <v/>
      </c>
      <c r="BI233" s="458" t="str">
        <f>IF(AND($G233='Povolené hodnoty'!$B$14,$H233=BI$4),SUM($J233,$M233,$P233,$S233),"")</f>
        <v/>
      </c>
      <c r="BJ233" s="458" t="str">
        <f>IF(AND($G233='Povolené hodnoty'!$B$14,$H233=BJ$4),SUM($J233,$M233,$P233,$S233),"")</f>
        <v/>
      </c>
      <c r="BK233" s="40" t="str">
        <f>IF(AND($G233='Povolené hodnoty'!$B$14,$H233=BK$4),SUM($J233,$M233,$P233,$S233),"")</f>
        <v/>
      </c>
      <c r="BL233" s="40" t="str">
        <f>IF(AND($G233='Povolené hodnoty'!$B$14,$H233=BL$4),SUM($J233,$M233,$P233,$S233),"")</f>
        <v/>
      </c>
      <c r="BM233" s="41" t="str">
        <f>IF(AND($G233='Povolené hodnoty'!$B$14,$H233=BM$4),SUM($J233,$M233,$P233,$S233),"")</f>
        <v/>
      </c>
      <c r="BO233" s="18" t="b">
        <f t="shared" si="141"/>
        <v>0</v>
      </c>
      <c r="BP233" s="18" t="b">
        <f t="shared" si="112"/>
        <v>0</v>
      </c>
      <c r="BQ233" s="18" t="b">
        <f>AND(E233&lt;&gt;'Povolené hodnoty'!$B$6,F233&lt;&gt;'Povolené hodnoty'!$D$7,F233&lt;&gt;'Povolené hodnoty'!$D$8,OR(SUM(I233,L233,O233,R233)&lt;&gt;SUM(W233:X233,AA233:AG233),SUM(J233,M233,P233,S233)&lt;&gt;SUM(Y233:Z233,AH233:AK233),COUNT(I233:J233,L233:M233,O233:P233,R233:S233)&lt;&gt;COUNT(W233:AK233)))</f>
        <v>0</v>
      </c>
      <c r="BR233" s="18" t="b">
        <f>OR(AND(E233='Povolené hodnoty'!$B$6,$BR$5),AND(E233='Povolené hodnoty'!$B$6,H233&lt;&gt;'Povolené hodnoty'!$E$26,H233&lt;&gt;'Povolené hodnoty'!$E$35),AND(E233&lt;&gt;'Povolené hodnoty'!$B$6,OR(H233='Povolené hodnoty'!$E$26,H233='Povolené hodnoty'!$E$35)))</f>
        <v>0</v>
      </c>
      <c r="BS233" s="18" t="b">
        <f>OR(AND(G233&lt;&gt;'Povolené hodnoty'!$B$13,OR(H233='Povolené hodnoty'!$E$21,H233='Povolené hodnoty'!$E$22,H233='Povolené hodnoty'!$E$23,H233='Povolené hodnoty'!$E$24,H233='Povolené hodnoty'!$E$26,H233='Povolené hodnoty'!$E$36)),COUNT(I233:J233,L233:M233,O233:P233,R233:S233)&lt;&gt;COUNT(AL233:BM233))</f>
        <v>0</v>
      </c>
      <c r="BT233" s="18" t="b">
        <f t="shared" si="113"/>
        <v>0</v>
      </c>
      <c r="BV233" s="39" t="str">
        <f t="shared" si="114"/>
        <v/>
      </c>
      <c r="BW233" s="458" t="str">
        <f t="shared" si="115"/>
        <v/>
      </c>
      <c r="BX233" s="458" t="str">
        <f t="shared" si="116"/>
        <v/>
      </c>
      <c r="BY233" s="458" t="str">
        <f t="shared" si="117"/>
        <v/>
      </c>
      <c r="BZ233" s="458" t="str">
        <f t="shared" si="118"/>
        <v/>
      </c>
      <c r="CA233" s="40" t="str">
        <f t="shared" si="119"/>
        <v/>
      </c>
      <c r="CB233" s="40" t="str">
        <f t="shared" si="120"/>
        <v/>
      </c>
      <c r="CC233" s="39" t="str">
        <f t="shared" si="121"/>
        <v/>
      </c>
      <c r="CD233" s="458" t="str">
        <f t="shared" si="122"/>
        <v/>
      </c>
      <c r="CE233" s="41" t="str">
        <f t="shared" si="123"/>
        <v/>
      </c>
      <c r="CF233" s="39" t="str">
        <f t="shared" si="124"/>
        <v/>
      </c>
      <c r="CG233" s="458" t="str">
        <f t="shared" si="125"/>
        <v/>
      </c>
      <c r="CH233" s="458" t="str">
        <f t="shared" si="126"/>
        <v/>
      </c>
      <c r="CI233" s="458" t="str">
        <f t="shared" si="127"/>
        <v/>
      </c>
      <c r="CJ233" s="458" t="str">
        <f t="shared" si="128"/>
        <v/>
      </c>
      <c r="CK233" s="40" t="str">
        <f t="shared" si="129"/>
        <v/>
      </c>
      <c r="CL233" s="40" t="str">
        <f t="shared" si="130"/>
        <v/>
      </c>
      <c r="CM233" s="40" t="str">
        <f t="shared" si="131"/>
        <v/>
      </c>
      <c r="CN233" s="39" t="str">
        <f t="shared" si="132"/>
        <v/>
      </c>
      <c r="CO233" s="458" t="str">
        <f t="shared" si="133"/>
        <v/>
      </c>
      <c r="CP233" s="458" t="str">
        <f t="shared" si="134"/>
        <v/>
      </c>
      <c r="CQ233" s="458" t="str">
        <f t="shared" si="135"/>
        <v/>
      </c>
      <c r="CR233" s="458" t="str">
        <f t="shared" si="136"/>
        <v/>
      </c>
      <c r="CS233" s="40" t="str">
        <f t="shared" si="137"/>
        <v/>
      </c>
      <c r="CT233" s="40" t="str">
        <f t="shared" si="138"/>
        <v/>
      </c>
      <c r="CU233" s="41" t="str">
        <f t="shared" si="139"/>
        <v/>
      </c>
    </row>
    <row r="234" spans="1:99" x14ac:dyDescent="0.2">
      <c r="A234" s="77">
        <f t="shared" si="140"/>
        <v>229</v>
      </c>
      <c r="B234" s="81"/>
      <c r="C234" s="82"/>
      <c r="D234" s="71"/>
      <c r="E234" s="72"/>
      <c r="F234" s="73"/>
      <c r="G234" s="443"/>
      <c r="H234" s="443"/>
      <c r="I234" s="74"/>
      <c r="J234" s="75"/>
      <c r="K234" s="41">
        <f t="shared" si="109"/>
        <v>3625</v>
      </c>
      <c r="L234" s="104"/>
      <c r="M234" s="105"/>
      <c r="N234" s="106">
        <f t="shared" si="110"/>
        <v>537.05999999999995</v>
      </c>
      <c r="O234" s="104"/>
      <c r="P234" s="105"/>
      <c r="Q234" s="106">
        <f t="shared" si="142"/>
        <v>10045.83</v>
      </c>
      <c r="R234" s="104"/>
      <c r="S234" s="105"/>
      <c r="T234" s="106">
        <f t="shared" si="143"/>
        <v>0</v>
      </c>
      <c r="U234" s="439"/>
      <c r="V234" s="42">
        <f t="shared" si="111"/>
        <v>229</v>
      </c>
      <c r="W234" s="39" t="str">
        <f>IF(AND(E234='Povolené hodnoty'!$B$4,F234=2),I234+L234+O234+R234,"")</f>
        <v/>
      </c>
      <c r="X234" s="41" t="str">
        <f>IF(AND(E234='Povolené hodnoty'!$B$4,F234=1),I234+L234+O234+R234,"")</f>
        <v/>
      </c>
      <c r="Y234" s="39" t="str">
        <f>IF(AND(E234='Povolené hodnoty'!$B$4,F234=10),J234+M234+P234+S234,"")</f>
        <v/>
      </c>
      <c r="Z234" s="41" t="str">
        <f>IF(AND(E234='Povolené hodnoty'!$B$4,F234=9),J234+M234+P234+S234,"")</f>
        <v/>
      </c>
      <c r="AA234" s="39" t="str">
        <f>IF(AND(E234&lt;&gt;'Povolené hodnoty'!$B$4,F234=2),I234+L234+O234+R234,"")</f>
        <v/>
      </c>
      <c r="AB234" s="40" t="str">
        <f>IF(AND(E234&lt;&gt;'Povolené hodnoty'!$B$4,F234=3),I234+L234+O234+R234,"")</f>
        <v/>
      </c>
      <c r="AC234" s="40" t="str">
        <f>IF(AND(E234&lt;&gt;'Povolené hodnoty'!$B$4,F234=4),I234+L234+O234+R234,"")</f>
        <v/>
      </c>
      <c r="AD234" s="40" t="str">
        <f>IF(AND(E234&lt;&gt;'Povolené hodnoty'!$B$4,F234="5a"),I234-J234+L234-M234+O234-P234+R234-S234,"")</f>
        <v/>
      </c>
      <c r="AE234" s="40" t="str">
        <f>IF(AND(E234&lt;&gt;'Povolené hodnoty'!$B$4,F234="5b"),I234-J234+L234-M234+O234-P234+R234-S234,"")</f>
        <v/>
      </c>
      <c r="AF234" s="40" t="str">
        <f>IF(AND(E234&lt;&gt;'Povolené hodnoty'!$B$4,F234=6),I234+L234+O234+R234,"")</f>
        <v/>
      </c>
      <c r="AG234" s="41" t="str">
        <f>IF(AND(E234&lt;&gt;'Povolené hodnoty'!$B$4,F234=7),I234+L234+O234+R234,"")</f>
        <v/>
      </c>
      <c r="AH234" s="39" t="str">
        <f>IF(AND(E234&lt;&gt;'Povolené hodnoty'!$B$4,F234=10),J234+M234+P234+S234,"")</f>
        <v/>
      </c>
      <c r="AI234" s="40" t="str">
        <f>IF(AND(E234&lt;&gt;'Povolené hodnoty'!$B$4,F234=11),J234+M234+P234+S234,"")</f>
        <v/>
      </c>
      <c r="AJ234" s="40" t="str">
        <f>IF(AND(E234&lt;&gt;'Povolené hodnoty'!$B$4,F234=12),J234+M234+P234+S234,"")</f>
        <v/>
      </c>
      <c r="AK234" s="41" t="str">
        <f>IF(AND(E234&lt;&gt;'Povolené hodnoty'!$B$4,F234=13),J234+M234+P234+S234,"")</f>
        <v/>
      </c>
      <c r="AL234" s="39" t="str">
        <f>IF(AND($G234='Povolené hodnoty'!$B$13,$H234=AL$4),SUM($I234,$L234,$O234,$R234),"")</f>
        <v/>
      </c>
      <c r="AM234" s="458" t="str">
        <f>IF(AND($G234='Povolené hodnoty'!$B$13,$H234=AM$4),SUM($I234,$L234,$O234,$R234),"")</f>
        <v/>
      </c>
      <c r="AN234" s="458" t="str">
        <f>IF(AND($G234='Povolené hodnoty'!$B$13,$H234=AN$4),SUM($I234,$L234,$O234,$R234),"")</f>
        <v/>
      </c>
      <c r="AO234" s="458" t="str">
        <f>IF(AND($G234='Povolené hodnoty'!$B$13,$H234=AO$4),SUM($I234,$L234,$O234,$R234),"")</f>
        <v/>
      </c>
      <c r="AP234" s="458" t="str">
        <f>IF(AND($G234='Povolené hodnoty'!$B$13,$H234=AP$4),SUM($I234,$L234,$O234,$R234),"")</f>
        <v/>
      </c>
      <c r="AQ234" s="40" t="str">
        <f>IF(AND($G234='Povolené hodnoty'!$B$13,OR($H234=AQ$4,$H234='Povolené hodnoty'!$E$36)),SUM($I234,-$J234,$L234,-$M234,$O234,-$P234,$R234,-$S234),"")</f>
        <v/>
      </c>
      <c r="AR234" s="40" t="str">
        <f>IF(AND($G234='Povolené hodnoty'!$B$13,$H234=AR$4),SUM($I234,$L234,$O234,$R234),"")</f>
        <v/>
      </c>
      <c r="AS234" s="41" t="str">
        <f>IF(AND($G234='Povolené hodnoty'!$B$13,$H234=AS$4),SUM($I234,$L234,$O234,$R234),"")</f>
        <v/>
      </c>
      <c r="AT234" s="39" t="str">
        <f>IF(AND($G234='Povolené hodnoty'!$B$14,$H234=AT$4),SUM($I234,$L234,$O234,$R234),"")</f>
        <v/>
      </c>
      <c r="AU234" s="458" t="str">
        <f>IF(AND($G234='Povolené hodnoty'!$B$14,$H234=AU$4),SUM($I234,$L234,$O234,$R234),"")</f>
        <v/>
      </c>
      <c r="AV234" s="41" t="str">
        <f>IF(AND($G234='Povolené hodnoty'!$B$14,$H234=AV$4),SUM($I234,$L234,$O234,$R234),"")</f>
        <v/>
      </c>
      <c r="AW234" s="39" t="str">
        <f>IF(AND($G234='Povolené hodnoty'!$B$13,$H234=AW$4),SUM($J234,$M234,$P234,$S234),"")</f>
        <v/>
      </c>
      <c r="AX234" s="458" t="str">
        <f>IF(AND($G234='Povolené hodnoty'!$B$13,$H234=AX$4),SUM($J234,$M234,$P234,$S234),"")</f>
        <v/>
      </c>
      <c r="AY234" s="458" t="str">
        <f>IF(AND($G234='Povolené hodnoty'!$B$13,$H234=AY$4),SUM($J234,$M234,$P234,$S234),"")</f>
        <v/>
      </c>
      <c r="AZ234" s="458" t="str">
        <f>IF(AND($G234='Povolené hodnoty'!$B$13,$H234=AZ$4),SUM($J234,$M234,$P234,$S234),"")</f>
        <v/>
      </c>
      <c r="BA234" s="458" t="str">
        <f>IF(AND($G234='Povolené hodnoty'!$B$13,$H234=BA$4),SUM($J234,$M234,$P234,$S234),"")</f>
        <v/>
      </c>
      <c r="BB234" s="40" t="str">
        <f>IF(AND($G234='Povolené hodnoty'!$B$13,$H234=BB$4),SUM($J234,$M234,$P234,$S234),"")</f>
        <v/>
      </c>
      <c r="BC234" s="40" t="str">
        <f>IF(AND($G234='Povolené hodnoty'!$B$13,$H234=BC$4),SUM($J234,$M234,$P234,$S234),"")</f>
        <v/>
      </c>
      <c r="BD234" s="40" t="str">
        <f>IF(AND($G234='Povolené hodnoty'!$B$13,$H234=BD$4),SUM($J234,$M234,$P234,$S234),"")</f>
        <v/>
      </c>
      <c r="BE234" s="41" t="str">
        <f>IF(AND($G234='Povolené hodnoty'!$B$13,$H234=BE$4),SUM($J234,$M234,$P234,$S234),"")</f>
        <v/>
      </c>
      <c r="BF234" s="39" t="str">
        <f>IF(AND($G234='Povolené hodnoty'!$B$14,$H234=BF$4),SUM($J234,$M234,$P234,$S234),"")</f>
        <v/>
      </c>
      <c r="BG234" s="458" t="str">
        <f>IF(AND($G234='Povolené hodnoty'!$B$14,$H234=BG$4),SUM($J234,$M234,$P234,$S234),"")</f>
        <v/>
      </c>
      <c r="BH234" s="458" t="str">
        <f>IF(AND($G234='Povolené hodnoty'!$B$14,$H234=BH$4),SUM($J234,$M234,$P234,$S234),"")</f>
        <v/>
      </c>
      <c r="BI234" s="458" t="str">
        <f>IF(AND($G234='Povolené hodnoty'!$B$14,$H234=BI$4),SUM($J234,$M234,$P234,$S234),"")</f>
        <v/>
      </c>
      <c r="BJ234" s="458" t="str">
        <f>IF(AND($G234='Povolené hodnoty'!$B$14,$H234=BJ$4),SUM($J234,$M234,$P234,$S234),"")</f>
        <v/>
      </c>
      <c r="BK234" s="40" t="str">
        <f>IF(AND($G234='Povolené hodnoty'!$B$14,$H234=BK$4),SUM($J234,$M234,$P234,$S234),"")</f>
        <v/>
      </c>
      <c r="BL234" s="40" t="str">
        <f>IF(AND($G234='Povolené hodnoty'!$B$14,$H234=BL$4),SUM($J234,$M234,$P234,$S234),"")</f>
        <v/>
      </c>
      <c r="BM234" s="41" t="str">
        <f>IF(AND($G234='Povolené hodnoty'!$B$14,$H234=BM$4),SUM($J234,$M234,$P234,$S234),"")</f>
        <v/>
      </c>
      <c r="BO234" s="18" t="b">
        <f t="shared" si="141"/>
        <v>0</v>
      </c>
      <c r="BP234" s="18" t="b">
        <f t="shared" si="112"/>
        <v>0</v>
      </c>
      <c r="BQ234" s="18" t="b">
        <f>AND(E234&lt;&gt;'Povolené hodnoty'!$B$6,F234&lt;&gt;'Povolené hodnoty'!$D$7,F234&lt;&gt;'Povolené hodnoty'!$D$8,OR(SUM(I234,L234,O234,R234)&lt;&gt;SUM(W234:X234,AA234:AG234),SUM(J234,M234,P234,S234)&lt;&gt;SUM(Y234:Z234,AH234:AK234),COUNT(I234:J234,L234:M234,O234:P234,R234:S234)&lt;&gt;COUNT(W234:AK234)))</f>
        <v>0</v>
      </c>
      <c r="BR234" s="18" t="b">
        <f>OR(AND(E234='Povolené hodnoty'!$B$6,$BR$5),AND(E234='Povolené hodnoty'!$B$6,H234&lt;&gt;'Povolené hodnoty'!$E$26,H234&lt;&gt;'Povolené hodnoty'!$E$35),AND(E234&lt;&gt;'Povolené hodnoty'!$B$6,OR(H234='Povolené hodnoty'!$E$26,H234='Povolené hodnoty'!$E$35)))</f>
        <v>0</v>
      </c>
      <c r="BS234" s="18" t="b">
        <f>OR(AND(G234&lt;&gt;'Povolené hodnoty'!$B$13,OR(H234='Povolené hodnoty'!$E$21,H234='Povolené hodnoty'!$E$22,H234='Povolené hodnoty'!$E$23,H234='Povolené hodnoty'!$E$24,H234='Povolené hodnoty'!$E$26,H234='Povolené hodnoty'!$E$36)),COUNT(I234:J234,L234:M234,O234:P234,R234:S234)&lt;&gt;COUNT(AL234:BM234))</f>
        <v>0</v>
      </c>
      <c r="BT234" s="18" t="b">
        <f t="shared" si="113"/>
        <v>0</v>
      </c>
      <c r="BV234" s="39" t="str">
        <f t="shared" si="114"/>
        <v/>
      </c>
      <c r="BW234" s="458" t="str">
        <f t="shared" si="115"/>
        <v/>
      </c>
      <c r="BX234" s="458" t="str">
        <f t="shared" si="116"/>
        <v/>
      </c>
      <c r="BY234" s="458" t="str">
        <f t="shared" si="117"/>
        <v/>
      </c>
      <c r="BZ234" s="458" t="str">
        <f t="shared" si="118"/>
        <v/>
      </c>
      <c r="CA234" s="40" t="str">
        <f t="shared" si="119"/>
        <v/>
      </c>
      <c r="CB234" s="40" t="str">
        <f t="shared" si="120"/>
        <v/>
      </c>
      <c r="CC234" s="39" t="str">
        <f t="shared" si="121"/>
        <v/>
      </c>
      <c r="CD234" s="458" t="str">
        <f t="shared" si="122"/>
        <v/>
      </c>
      <c r="CE234" s="41" t="str">
        <f t="shared" si="123"/>
        <v/>
      </c>
      <c r="CF234" s="39" t="str">
        <f t="shared" si="124"/>
        <v/>
      </c>
      <c r="CG234" s="458" t="str">
        <f t="shared" si="125"/>
        <v/>
      </c>
      <c r="CH234" s="458" t="str">
        <f t="shared" si="126"/>
        <v/>
      </c>
      <c r="CI234" s="458" t="str">
        <f t="shared" si="127"/>
        <v/>
      </c>
      <c r="CJ234" s="458" t="str">
        <f t="shared" si="128"/>
        <v/>
      </c>
      <c r="CK234" s="40" t="str">
        <f t="shared" si="129"/>
        <v/>
      </c>
      <c r="CL234" s="40" t="str">
        <f t="shared" si="130"/>
        <v/>
      </c>
      <c r="CM234" s="40" t="str">
        <f t="shared" si="131"/>
        <v/>
      </c>
      <c r="CN234" s="39" t="str">
        <f t="shared" si="132"/>
        <v/>
      </c>
      <c r="CO234" s="458" t="str">
        <f t="shared" si="133"/>
        <v/>
      </c>
      <c r="CP234" s="458" t="str">
        <f t="shared" si="134"/>
        <v/>
      </c>
      <c r="CQ234" s="458" t="str">
        <f t="shared" si="135"/>
        <v/>
      </c>
      <c r="CR234" s="458" t="str">
        <f t="shared" si="136"/>
        <v/>
      </c>
      <c r="CS234" s="40" t="str">
        <f t="shared" si="137"/>
        <v/>
      </c>
      <c r="CT234" s="40" t="str">
        <f t="shared" si="138"/>
        <v/>
      </c>
      <c r="CU234" s="41" t="str">
        <f t="shared" si="139"/>
        <v/>
      </c>
    </row>
    <row r="235" spans="1:99" x14ac:dyDescent="0.2">
      <c r="A235" s="77">
        <f t="shared" si="140"/>
        <v>230</v>
      </c>
      <c r="B235" s="81"/>
      <c r="C235" s="82"/>
      <c r="D235" s="71"/>
      <c r="E235" s="72"/>
      <c r="F235" s="73"/>
      <c r="G235" s="443"/>
      <c r="H235" s="443"/>
      <c r="I235" s="74"/>
      <c r="J235" s="75"/>
      <c r="K235" s="41">
        <f t="shared" si="109"/>
        <v>3625</v>
      </c>
      <c r="L235" s="104"/>
      <c r="M235" s="105"/>
      <c r="N235" s="106">
        <f t="shared" si="110"/>
        <v>537.05999999999995</v>
      </c>
      <c r="O235" s="104"/>
      <c r="P235" s="105"/>
      <c r="Q235" s="106">
        <f t="shared" si="142"/>
        <v>10045.83</v>
      </c>
      <c r="R235" s="104"/>
      <c r="S235" s="105"/>
      <c r="T235" s="106">
        <f t="shared" si="143"/>
        <v>0</v>
      </c>
      <c r="U235" s="439"/>
      <c r="V235" s="42">
        <f t="shared" si="111"/>
        <v>230</v>
      </c>
      <c r="W235" s="39" t="str">
        <f>IF(AND(E235='Povolené hodnoty'!$B$4,F235=2),I235+L235+O235+R235,"")</f>
        <v/>
      </c>
      <c r="X235" s="41" t="str">
        <f>IF(AND(E235='Povolené hodnoty'!$B$4,F235=1),I235+L235+O235+R235,"")</f>
        <v/>
      </c>
      <c r="Y235" s="39" t="str">
        <f>IF(AND(E235='Povolené hodnoty'!$B$4,F235=10),J235+M235+P235+S235,"")</f>
        <v/>
      </c>
      <c r="Z235" s="41" t="str">
        <f>IF(AND(E235='Povolené hodnoty'!$B$4,F235=9),J235+M235+P235+S235,"")</f>
        <v/>
      </c>
      <c r="AA235" s="39" t="str">
        <f>IF(AND(E235&lt;&gt;'Povolené hodnoty'!$B$4,F235=2),I235+L235+O235+R235,"")</f>
        <v/>
      </c>
      <c r="AB235" s="40" t="str">
        <f>IF(AND(E235&lt;&gt;'Povolené hodnoty'!$B$4,F235=3),I235+L235+O235+R235,"")</f>
        <v/>
      </c>
      <c r="AC235" s="40" t="str">
        <f>IF(AND(E235&lt;&gt;'Povolené hodnoty'!$B$4,F235=4),I235+L235+O235+R235,"")</f>
        <v/>
      </c>
      <c r="AD235" s="40" t="str">
        <f>IF(AND(E235&lt;&gt;'Povolené hodnoty'!$B$4,F235="5a"),I235-J235+L235-M235+O235-P235+R235-S235,"")</f>
        <v/>
      </c>
      <c r="AE235" s="40" t="str">
        <f>IF(AND(E235&lt;&gt;'Povolené hodnoty'!$B$4,F235="5b"),I235-J235+L235-M235+O235-P235+R235-S235,"")</f>
        <v/>
      </c>
      <c r="AF235" s="40" t="str">
        <f>IF(AND(E235&lt;&gt;'Povolené hodnoty'!$B$4,F235=6),I235+L235+O235+R235,"")</f>
        <v/>
      </c>
      <c r="AG235" s="41" t="str">
        <f>IF(AND(E235&lt;&gt;'Povolené hodnoty'!$B$4,F235=7),I235+L235+O235+R235,"")</f>
        <v/>
      </c>
      <c r="AH235" s="39" t="str">
        <f>IF(AND(E235&lt;&gt;'Povolené hodnoty'!$B$4,F235=10),J235+M235+P235+S235,"")</f>
        <v/>
      </c>
      <c r="AI235" s="40" t="str">
        <f>IF(AND(E235&lt;&gt;'Povolené hodnoty'!$B$4,F235=11),J235+M235+P235+S235,"")</f>
        <v/>
      </c>
      <c r="AJ235" s="40" t="str">
        <f>IF(AND(E235&lt;&gt;'Povolené hodnoty'!$B$4,F235=12),J235+M235+P235+S235,"")</f>
        <v/>
      </c>
      <c r="AK235" s="41" t="str">
        <f>IF(AND(E235&lt;&gt;'Povolené hodnoty'!$B$4,F235=13),J235+M235+P235+S235,"")</f>
        <v/>
      </c>
      <c r="AL235" s="39" t="str">
        <f>IF(AND($G235='Povolené hodnoty'!$B$13,$H235=AL$4),SUM($I235,$L235,$O235,$R235),"")</f>
        <v/>
      </c>
      <c r="AM235" s="458" t="str">
        <f>IF(AND($G235='Povolené hodnoty'!$B$13,$H235=AM$4),SUM($I235,$L235,$O235,$R235),"")</f>
        <v/>
      </c>
      <c r="AN235" s="458" t="str">
        <f>IF(AND($G235='Povolené hodnoty'!$B$13,$H235=AN$4),SUM($I235,$L235,$O235,$R235),"")</f>
        <v/>
      </c>
      <c r="AO235" s="458" t="str">
        <f>IF(AND($G235='Povolené hodnoty'!$B$13,$H235=AO$4),SUM($I235,$L235,$O235,$R235),"")</f>
        <v/>
      </c>
      <c r="AP235" s="458" t="str">
        <f>IF(AND($G235='Povolené hodnoty'!$B$13,$H235=AP$4),SUM($I235,$L235,$O235,$R235),"")</f>
        <v/>
      </c>
      <c r="AQ235" s="40" t="str">
        <f>IF(AND($G235='Povolené hodnoty'!$B$13,OR($H235=AQ$4,$H235='Povolené hodnoty'!$E$36)),SUM($I235,-$J235,$L235,-$M235,$O235,-$P235,$R235,-$S235),"")</f>
        <v/>
      </c>
      <c r="AR235" s="40" t="str">
        <f>IF(AND($G235='Povolené hodnoty'!$B$13,$H235=AR$4),SUM($I235,$L235,$O235,$R235),"")</f>
        <v/>
      </c>
      <c r="AS235" s="41" t="str">
        <f>IF(AND($G235='Povolené hodnoty'!$B$13,$H235=AS$4),SUM($I235,$L235,$O235,$R235),"")</f>
        <v/>
      </c>
      <c r="AT235" s="39" t="str">
        <f>IF(AND($G235='Povolené hodnoty'!$B$14,$H235=AT$4),SUM($I235,$L235,$O235,$R235),"")</f>
        <v/>
      </c>
      <c r="AU235" s="458" t="str">
        <f>IF(AND($G235='Povolené hodnoty'!$B$14,$H235=AU$4),SUM($I235,$L235,$O235,$R235),"")</f>
        <v/>
      </c>
      <c r="AV235" s="41" t="str">
        <f>IF(AND($G235='Povolené hodnoty'!$B$14,$H235=AV$4),SUM($I235,$L235,$O235,$R235),"")</f>
        <v/>
      </c>
      <c r="AW235" s="39" t="str">
        <f>IF(AND($G235='Povolené hodnoty'!$B$13,$H235=AW$4),SUM($J235,$M235,$P235,$S235),"")</f>
        <v/>
      </c>
      <c r="AX235" s="458" t="str">
        <f>IF(AND($G235='Povolené hodnoty'!$B$13,$H235=AX$4),SUM($J235,$M235,$P235,$S235),"")</f>
        <v/>
      </c>
      <c r="AY235" s="458" t="str">
        <f>IF(AND($G235='Povolené hodnoty'!$B$13,$H235=AY$4),SUM($J235,$M235,$P235,$S235),"")</f>
        <v/>
      </c>
      <c r="AZ235" s="458" t="str">
        <f>IF(AND($G235='Povolené hodnoty'!$B$13,$H235=AZ$4),SUM($J235,$M235,$P235,$S235),"")</f>
        <v/>
      </c>
      <c r="BA235" s="458" t="str">
        <f>IF(AND($G235='Povolené hodnoty'!$B$13,$H235=BA$4),SUM($J235,$M235,$P235,$S235),"")</f>
        <v/>
      </c>
      <c r="BB235" s="40" t="str">
        <f>IF(AND($G235='Povolené hodnoty'!$B$13,$H235=BB$4),SUM($J235,$M235,$P235,$S235),"")</f>
        <v/>
      </c>
      <c r="BC235" s="40" t="str">
        <f>IF(AND($G235='Povolené hodnoty'!$B$13,$H235=BC$4),SUM($J235,$M235,$P235,$S235),"")</f>
        <v/>
      </c>
      <c r="BD235" s="40" t="str">
        <f>IF(AND($G235='Povolené hodnoty'!$B$13,$H235=BD$4),SUM($J235,$M235,$P235,$S235),"")</f>
        <v/>
      </c>
      <c r="BE235" s="41" t="str">
        <f>IF(AND($G235='Povolené hodnoty'!$B$13,$H235=BE$4),SUM($J235,$M235,$P235,$S235),"")</f>
        <v/>
      </c>
      <c r="BF235" s="39" t="str">
        <f>IF(AND($G235='Povolené hodnoty'!$B$14,$H235=BF$4),SUM($J235,$M235,$P235,$S235),"")</f>
        <v/>
      </c>
      <c r="BG235" s="458" t="str">
        <f>IF(AND($G235='Povolené hodnoty'!$B$14,$H235=BG$4),SUM($J235,$M235,$P235,$S235),"")</f>
        <v/>
      </c>
      <c r="BH235" s="458" t="str">
        <f>IF(AND($G235='Povolené hodnoty'!$B$14,$H235=BH$4),SUM($J235,$M235,$P235,$S235),"")</f>
        <v/>
      </c>
      <c r="BI235" s="458" t="str">
        <f>IF(AND($G235='Povolené hodnoty'!$B$14,$H235=BI$4),SUM($J235,$M235,$P235,$S235),"")</f>
        <v/>
      </c>
      <c r="BJ235" s="458" t="str">
        <f>IF(AND($G235='Povolené hodnoty'!$B$14,$H235=BJ$4),SUM($J235,$M235,$P235,$S235),"")</f>
        <v/>
      </c>
      <c r="BK235" s="40" t="str">
        <f>IF(AND($G235='Povolené hodnoty'!$B$14,$H235=BK$4),SUM($J235,$M235,$P235,$S235),"")</f>
        <v/>
      </c>
      <c r="BL235" s="40" t="str">
        <f>IF(AND($G235='Povolené hodnoty'!$B$14,$H235=BL$4),SUM($J235,$M235,$P235,$S235),"")</f>
        <v/>
      </c>
      <c r="BM235" s="41" t="str">
        <f>IF(AND($G235='Povolené hodnoty'!$B$14,$H235=BM$4),SUM($J235,$M235,$P235,$S235),"")</f>
        <v/>
      </c>
      <c r="BO235" s="18" t="b">
        <f t="shared" si="141"/>
        <v>0</v>
      </c>
      <c r="BP235" s="18" t="b">
        <f t="shared" si="112"/>
        <v>0</v>
      </c>
      <c r="BQ235" s="18" t="b">
        <f>AND(E235&lt;&gt;'Povolené hodnoty'!$B$6,F235&lt;&gt;'Povolené hodnoty'!$D$7,F235&lt;&gt;'Povolené hodnoty'!$D$8,OR(SUM(I235,L235,O235,R235)&lt;&gt;SUM(W235:X235,AA235:AG235),SUM(J235,M235,P235,S235)&lt;&gt;SUM(Y235:Z235,AH235:AK235),COUNT(I235:J235,L235:M235,O235:P235,R235:S235)&lt;&gt;COUNT(W235:AK235)))</f>
        <v>0</v>
      </c>
      <c r="BR235" s="18" t="b">
        <f>OR(AND(E235='Povolené hodnoty'!$B$6,$BR$5),AND(E235='Povolené hodnoty'!$B$6,H235&lt;&gt;'Povolené hodnoty'!$E$26,H235&lt;&gt;'Povolené hodnoty'!$E$35),AND(E235&lt;&gt;'Povolené hodnoty'!$B$6,OR(H235='Povolené hodnoty'!$E$26,H235='Povolené hodnoty'!$E$35)))</f>
        <v>0</v>
      </c>
      <c r="BS235" s="18" t="b">
        <f>OR(AND(G235&lt;&gt;'Povolené hodnoty'!$B$13,OR(H235='Povolené hodnoty'!$E$21,H235='Povolené hodnoty'!$E$22,H235='Povolené hodnoty'!$E$23,H235='Povolené hodnoty'!$E$24,H235='Povolené hodnoty'!$E$26,H235='Povolené hodnoty'!$E$36)),COUNT(I235:J235,L235:M235,O235:P235,R235:S235)&lt;&gt;COUNT(AL235:BM235))</f>
        <v>0</v>
      </c>
      <c r="BT235" s="18" t="b">
        <f t="shared" si="113"/>
        <v>0</v>
      </c>
      <c r="BV235" s="39" t="str">
        <f t="shared" si="114"/>
        <v/>
      </c>
      <c r="BW235" s="458" t="str">
        <f t="shared" si="115"/>
        <v/>
      </c>
      <c r="BX235" s="458" t="str">
        <f t="shared" si="116"/>
        <v/>
      </c>
      <c r="BY235" s="458" t="str">
        <f t="shared" si="117"/>
        <v/>
      </c>
      <c r="BZ235" s="458" t="str">
        <f t="shared" si="118"/>
        <v/>
      </c>
      <c r="CA235" s="40" t="str">
        <f t="shared" si="119"/>
        <v/>
      </c>
      <c r="CB235" s="40" t="str">
        <f t="shared" si="120"/>
        <v/>
      </c>
      <c r="CC235" s="39" t="str">
        <f t="shared" si="121"/>
        <v/>
      </c>
      <c r="CD235" s="458" t="str">
        <f t="shared" si="122"/>
        <v/>
      </c>
      <c r="CE235" s="41" t="str">
        <f t="shared" si="123"/>
        <v/>
      </c>
      <c r="CF235" s="39" t="str">
        <f t="shared" si="124"/>
        <v/>
      </c>
      <c r="CG235" s="458" t="str">
        <f t="shared" si="125"/>
        <v/>
      </c>
      <c r="CH235" s="458" t="str">
        <f t="shared" si="126"/>
        <v/>
      </c>
      <c r="CI235" s="458" t="str">
        <f t="shared" si="127"/>
        <v/>
      </c>
      <c r="CJ235" s="458" t="str">
        <f t="shared" si="128"/>
        <v/>
      </c>
      <c r="CK235" s="40" t="str">
        <f t="shared" si="129"/>
        <v/>
      </c>
      <c r="CL235" s="40" t="str">
        <f t="shared" si="130"/>
        <v/>
      </c>
      <c r="CM235" s="40" t="str">
        <f t="shared" si="131"/>
        <v/>
      </c>
      <c r="CN235" s="39" t="str">
        <f t="shared" si="132"/>
        <v/>
      </c>
      <c r="CO235" s="458" t="str">
        <f t="shared" si="133"/>
        <v/>
      </c>
      <c r="CP235" s="458" t="str">
        <f t="shared" si="134"/>
        <v/>
      </c>
      <c r="CQ235" s="458" t="str">
        <f t="shared" si="135"/>
        <v/>
      </c>
      <c r="CR235" s="458" t="str">
        <f t="shared" si="136"/>
        <v/>
      </c>
      <c r="CS235" s="40" t="str">
        <f t="shared" si="137"/>
        <v/>
      </c>
      <c r="CT235" s="40" t="str">
        <f t="shared" si="138"/>
        <v/>
      </c>
      <c r="CU235" s="41" t="str">
        <f t="shared" si="139"/>
        <v/>
      </c>
    </row>
    <row r="236" spans="1:99" x14ac:dyDescent="0.2">
      <c r="A236" s="77">
        <f t="shared" si="140"/>
        <v>231</v>
      </c>
      <c r="B236" s="81"/>
      <c r="C236" s="82"/>
      <c r="D236" s="71"/>
      <c r="E236" s="72"/>
      <c r="F236" s="73"/>
      <c r="G236" s="443"/>
      <c r="H236" s="443"/>
      <c r="I236" s="74"/>
      <c r="J236" s="75"/>
      <c r="K236" s="41">
        <f t="shared" si="109"/>
        <v>3625</v>
      </c>
      <c r="L236" s="104"/>
      <c r="M236" s="105"/>
      <c r="N236" s="106">
        <f t="shared" si="110"/>
        <v>537.05999999999995</v>
      </c>
      <c r="O236" s="104"/>
      <c r="P236" s="105"/>
      <c r="Q236" s="106">
        <f t="shared" si="142"/>
        <v>10045.83</v>
      </c>
      <c r="R236" s="104"/>
      <c r="S236" s="105"/>
      <c r="T236" s="106">
        <f t="shared" si="143"/>
        <v>0</v>
      </c>
      <c r="U236" s="439"/>
      <c r="V236" s="42">
        <f t="shared" si="111"/>
        <v>231</v>
      </c>
      <c r="W236" s="39" t="str">
        <f>IF(AND(E236='Povolené hodnoty'!$B$4,F236=2),I236+L236+O236+R236,"")</f>
        <v/>
      </c>
      <c r="X236" s="41" t="str">
        <f>IF(AND(E236='Povolené hodnoty'!$B$4,F236=1),I236+L236+O236+R236,"")</f>
        <v/>
      </c>
      <c r="Y236" s="39" t="str">
        <f>IF(AND(E236='Povolené hodnoty'!$B$4,F236=10),J236+M236+P236+S236,"")</f>
        <v/>
      </c>
      <c r="Z236" s="41" t="str">
        <f>IF(AND(E236='Povolené hodnoty'!$B$4,F236=9),J236+M236+P236+S236,"")</f>
        <v/>
      </c>
      <c r="AA236" s="39" t="str">
        <f>IF(AND(E236&lt;&gt;'Povolené hodnoty'!$B$4,F236=2),I236+L236+O236+R236,"")</f>
        <v/>
      </c>
      <c r="AB236" s="40" t="str">
        <f>IF(AND(E236&lt;&gt;'Povolené hodnoty'!$B$4,F236=3),I236+L236+O236+R236,"")</f>
        <v/>
      </c>
      <c r="AC236" s="40" t="str">
        <f>IF(AND(E236&lt;&gt;'Povolené hodnoty'!$B$4,F236=4),I236+L236+O236+R236,"")</f>
        <v/>
      </c>
      <c r="AD236" s="40" t="str">
        <f>IF(AND(E236&lt;&gt;'Povolené hodnoty'!$B$4,F236="5a"),I236-J236+L236-M236+O236-P236+R236-S236,"")</f>
        <v/>
      </c>
      <c r="AE236" s="40" t="str">
        <f>IF(AND(E236&lt;&gt;'Povolené hodnoty'!$B$4,F236="5b"),I236-J236+L236-M236+O236-P236+R236-S236,"")</f>
        <v/>
      </c>
      <c r="AF236" s="40" t="str">
        <f>IF(AND(E236&lt;&gt;'Povolené hodnoty'!$B$4,F236=6),I236+L236+O236+R236,"")</f>
        <v/>
      </c>
      <c r="AG236" s="41" t="str">
        <f>IF(AND(E236&lt;&gt;'Povolené hodnoty'!$B$4,F236=7),I236+L236+O236+R236,"")</f>
        <v/>
      </c>
      <c r="AH236" s="39" t="str">
        <f>IF(AND(E236&lt;&gt;'Povolené hodnoty'!$B$4,F236=10),J236+M236+P236+S236,"")</f>
        <v/>
      </c>
      <c r="AI236" s="40" t="str">
        <f>IF(AND(E236&lt;&gt;'Povolené hodnoty'!$B$4,F236=11),J236+M236+P236+S236,"")</f>
        <v/>
      </c>
      <c r="AJ236" s="40" t="str">
        <f>IF(AND(E236&lt;&gt;'Povolené hodnoty'!$B$4,F236=12),J236+M236+P236+S236,"")</f>
        <v/>
      </c>
      <c r="AK236" s="41" t="str">
        <f>IF(AND(E236&lt;&gt;'Povolené hodnoty'!$B$4,F236=13),J236+M236+P236+S236,"")</f>
        <v/>
      </c>
      <c r="AL236" s="39" t="str">
        <f>IF(AND($G236='Povolené hodnoty'!$B$13,$H236=AL$4),SUM($I236,$L236,$O236,$R236),"")</f>
        <v/>
      </c>
      <c r="AM236" s="458" t="str">
        <f>IF(AND($G236='Povolené hodnoty'!$B$13,$H236=AM$4),SUM($I236,$L236,$O236,$R236),"")</f>
        <v/>
      </c>
      <c r="AN236" s="458" t="str">
        <f>IF(AND($G236='Povolené hodnoty'!$B$13,$H236=AN$4),SUM($I236,$L236,$O236,$R236),"")</f>
        <v/>
      </c>
      <c r="AO236" s="458" t="str">
        <f>IF(AND($G236='Povolené hodnoty'!$B$13,$H236=AO$4),SUM($I236,$L236,$O236,$R236),"")</f>
        <v/>
      </c>
      <c r="AP236" s="458" t="str">
        <f>IF(AND($G236='Povolené hodnoty'!$B$13,$H236=AP$4),SUM($I236,$L236,$O236,$R236),"")</f>
        <v/>
      </c>
      <c r="AQ236" s="40" t="str">
        <f>IF(AND($G236='Povolené hodnoty'!$B$13,OR($H236=AQ$4,$H236='Povolené hodnoty'!$E$36)),SUM($I236,-$J236,$L236,-$M236,$O236,-$P236,$R236,-$S236),"")</f>
        <v/>
      </c>
      <c r="AR236" s="40" t="str">
        <f>IF(AND($G236='Povolené hodnoty'!$B$13,$H236=AR$4),SUM($I236,$L236,$O236,$R236),"")</f>
        <v/>
      </c>
      <c r="AS236" s="41" t="str">
        <f>IF(AND($G236='Povolené hodnoty'!$B$13,$H236=AS$4),SUM($I236,$L236,$O236,$R236),"")</f>
        <v/>
      </c>
      <c r="AT236" s="39" t="str">
        <f>IF(AND($G236='Povolené hodnoty'!$B$14,$H236=AT$4),SUM($I236,$L236,$O236,$R236),"")</f>
        <v/>
      </c>
      <c r="AU236" s="458" t="str">
        <f>IF(AND($G236='Povolené hodnoty'!$B$14,$H236=AU$4),SUM($I236,$L236,$O236,$R236),"")</f>
        <v/>
      </c>
      <c r="AV236" s="41" t="str">
        <f>IF(AND($G236='Povolené hodnoty'!$B$14,$H236=AV$4),SUM($I236,$L236,$O236,$R236),"")</f>
        <v/>
      </c>
      <c r="AW236" s="39" t="str">
        <f>IF(AND($G236='Povolené hodnoty'!$B$13,$H236=AW$4),SUM($J236,$M236,$P236,$S236),"")</f>
        <v/>
      </c>
      <c r="AX236" s="458" t="str">
        <f>IF(AND($G236='Povolené hodnoty'!$B$13,$H236=AX$4),SUM($J236,$M236,$P236,$S236),"")</f>
        <v/>
      </c>
      <c r="AY236" s="458" t="str">
        <f>IF(AND($G236='Povolené hodnoty'!$B$13,$H236=AY$4),SUM($J236,$M236,$P236,$S236),"")</f>
        <v/>
      </c>
      <c r="AZ236" s="458" t="str">
        <f>IF(AND($G236='Povolené hodnoty'!$B$13,$H236=AZ$4),SUM($J236,$M236,$P236,$S236),"")</f>
        <v/>
      </c>
      <c r="BA236" s="458" t="str">
        <f>IF(AND($G236='Povolené hodnoty'!$B$13,$H236=BA$4),SUM($J236,$M236,$P236,$S236),"")</f>
        <v/>
      </c>
      <c r="BB236" s="40" t="str">
        <f>IF(AND($G236='Povolené hodnoty'!$B$13,$H236=BB$4),SUM($J236,$M236,$P236,$S236),"")</f>
        <v/>
      </c>
      <c r="BC236" s="40" t="str">
        <f>IF(AND($G236='Povolené hodnoty'!$B$13,$H236=BC$4),SUM($J236,$M236,$P236,$S236),"")</f>
        <v/>
      </c>
      <c r="BD236" s="40" t="str">
        <f>IF(AND($G236='Povolené hodnoty'!$B$13,$H236=BD$4),SUM($J236,$M236,$P236,$S236),"")</f>
        <v/>
      </c>
      <c r="BE236" s="41" t="str">
        <f>IF(AND($G236='Povolené hodnoty'!$B$13,$H236=BE$4),SUM($J236,$M236,$P236,$S236),"")</f>
        <v/>
      </c>
      <c r="BF236" s="39" t="str">
        <f>IF(AND($G236='Povolené hodnoty'!$B$14,$H236=BF$4),SUM($J236,$M236,$P236,$S236),"")</f>
        <v/>
      </c>
      <c r="BG236" s="458" t="str">
        <f>IF(AND($G236='Povolené hodnoty'!$B$14,$H236=BG$4),SUM($J236,$M236,$P236,$S236),"")</f>
        <v/>
      </c>
      <c r="BH236" s="458" t="str">
        <f>IF(AND($G236='Povolené hodnoty'!$B$14,$H236=BH$4),SUM($J236,$M236,$P236,$S236),"")</f>
        <v/>
      </c>
      <c r="BI236" s="458" t="str">
        <f>IF(AND($G236='Povolené hodnoty'!$B$14,$H236=BI$4),SUM($J236,$M236,$P236,$S236),"")</f>
        <v/>
      </c>
      <c r="BJ236" s="458" t="str">
        <f>IF(AND($G236='Povolené hodnoty'!$B$14,$H236=BJ$4),SUM($J236,$M236,$P236,$S236),"")</f>
        <v/>
      </c>
      <c r="BK236" s="40" t="str">
        <f>IF(AND($G236='Povolené hodnoty'!$B$14,$H236=BK$4),SUM($J236,$M236,$P236,$S236),"")</f>
        <v/>
      </c>
      <c r="BL236" s="40" t="str">
        <f>IF(AND($G236='Povolené hodnoty'!$B$14,$H236=BL$4),SUM($J236,$M236,$P236,$S236),"")</f>
        <v/>
      </c>
      <c r="BM236" s="41" t="str">
        <f>IF(AND($G236='Povolené hodnoty'!$B$14,$H236=BM$4),SUM($J236,$M236,$P236,$S236),"")</f>
        <v/>
      </c>
      <c r="BO236" s="18" t="b">
        <f t="shared" si="141"/>
        <v>0</v>
      </c>
      <c r="BP236" s="18" t="b">
        <f t="shared" si="112"/>
        <v>0</v>
      </c>
      <c r="BQ236" s="18" t="b">
        <f>AND(E236&lt;&gt;'Povolené hodnoty'!$B$6,F236&lt;&gt;'Povolené hodnoty'!$D$7,F236&lt;&gt;'Povolené hodnoty'!$D$8,OR(SUM(I236,L236,O236,R236)&lt;&gt;SUM(W236:X236,AA236:AG236),SUM(J236,M236,P236,S236)&lt;&gt;SUM(Y236:Z236,AH236:AK236),COUNT(I236:J236,L236:M236,O236:P236,R236:S236)&lt;&gt;COUNT(W236:AK236)))</f>
        <v>0</v>
      </c>
      <c r="BR236" s="18" t="b">
        <f>OR(AND(E236='Povolené hodnoty'!$B$6,$BR$5),AND(E236='Povolené hodnoty'!$B$6,H236&lt;&gt;'Povolené hodnoty'!$E$26,H236&lt;&gt;'Povolené hodnoty'!$E$35),AND(E236&lt;&gt;'Povolené hodnoty'!$B$6,OR(H236='Povolené hodnoty'!$E$26,H236='Povolené hodnoty'!$E$35)))</f>
        <v>0</v>
      </c>
      <c r="BS236" s="18" t="b">
        <f>OR(AND(G236&lt;&gt;'Povolené hodnoty'!$B$13,OR(H236='Povolené hodnoty'!$E$21,H236='Povolené hodnoty'!$E$22,H236='Povolené hodnoty'!$E$23,H236='Povolené hodnoty'!$E$24,H236='Povolené hodnoty'!$E$26,H236='Povolené hodnoty'!$E$36)),COUNT(I236:J236,L236:M236,O236:P236,R236:S236)&lt;&gt;COUNT(AL236:BM236))</f>
        <v>0</v>
      </c>
      <c r="BT236" s="18" t="b">
        <f t="shared" si="113"/>
        <v>0</v>
      </c>
      <c r="BV236" s="39" t="str">
        <f t="shared" si="114"/>
        <v/>
      </c>
      <c r="BW236" s="458" t="str">
        <f t="shared" si="115"/>
        <v/>
      </c>
      <c r="BX236" s="458" t="str">
        <f t="shared" si="116"/>
        <v/>
      </c>
      <c r="BY236" s="458" t="str">
        <f t="shared" si="117"/>
        <v/>
      </c>
      <c r="BZ236" s="458" t="str">
        <f t="shared" si="118"/>
        <v/>
      </c>
      <c r="CA236" s="40" t="str">
        <f t="shared" si="119"/>
        <v/>
      </c>
      <c r="CB236" s="40" t="str">
        <f t="shared" si="120"/>
        <v/>
      </c>
      <c r="CC236" s="39" t="str">
        <f t="shared" si="121"/>
        <v/>
      </c>
      <c r="CD236" s="458" t="str">
        <f t="shared" si="122"/>
        <v/>
      </c>
      <c r="CE236" s="41" t="str">
        <f t="shared" si="123"/>
        <v/>
      </c>
      <c r="CF236" s="39" t="str">
        <f t="shared" si="124"/>
        <v/>
      </c>
      <c r="CG236" s="458" t="str">
        <f t="shared" si="125"/>
        <v/>
      </c>
      <c r="CH236" s="458" t="str">
        <f t="shared" si="126"/>
        <v/>
      </c>
      <c r="CI236" s="458" t="str">
        <f t="shared" si="127"/>
        <v/>
      </c>
      <c r="CJ236" s="458" t="str">
        <f t="shared" si="128"/>
        <v/>
      </c>
      <c r="CK236" s="40" t="str">
        <f t="shared" si="129"/>
        <v/>
      </c>
      <c r="CL236" s="40" t="str">
        <f t="shared" si="130"/>
        <v/>
      </c>
      <c r="CM236" s="40" t="str">
        <f t="shared" si="131"/>
        <v/>
      </c>
      <c r="CN236" s="39" t="str">
        <f t="shared" si="132"/>
        <v/>
      </c>
      <c r="CO236" s="458" t="str">
        <f t="shared" si="133"/>
        <v/>
      </c>
      <c r="CP236" s="458" t="str">
        <f t="shared" si="134"/>
        <v/>
      </c>
      <c r="CQ236" s="458" t="str">
        <f t="shared" si="135"/>
        <v/>
      </c>
      <c r="CR236" s="458" t="str">
        <f t="shared" si="136"/>
        <v/>
      </c>
      <c r="CS236" s="40" t="str">
        <f t="shared" si="137"/>
        <v/>
      </c>
      <c r="CT236" s="40" t="str">
        <f t="shared" si="138"/>
        <v/>
      </c>
      <c r="CU236" s="41" t="str">
        <f t="shared" si="139"/>
        <v/>
      </c>
    </row>
    <row r="237" spans="1:99" x14ac:dyDescent="0.2">
      <c r="A237" s="77">
        <f t="shared" si="140"/>
        <v>232</v>
      </c>
      <c r="B237" s="81"/>
      <c r="C237" s="82"/>
      <c r="D237" s="71"/>
      <c r="E237" s="72"/>
      <c r="F237" s="73"/>
      <c r="G237" s="443"/>
      <c r="H237" s="443"/>
      <c r="I237" s="74"/>
      <c r="J237" s="75"/>
      <c r="K237" s="41">
        <f t="shared" ref="K237:K300" si="144">K236+I237-J237</f>
        <v>3625</v>
      </c>
      <c r="L237" s="104"/>
      <c r="M237" s="105"/>
      <c r="N237" s="106">
        <f t="shared" ref="N237:N300" si="145">N236+L237-M237</f>
        <v>537.05999999999995</v>
      </c>
      <c r="O237" s="104"/>
      <c r="P237" s="105"/>
      <c r="Q237" s="106">
        <f t="shared" si="142"/>
        <v>10045.83</v>
      </c>
      <c r="R237" s="104"/>
      <c r="S237" s="105"/>
      <c r="T237" s="106">
        <f t="shared" si="143"/>
        <v>0</v>
      </c>
      <c r="U237" s="439"/>
      <c r="V237" s="42">
        <f t="shared" si="111"/>
        <v>232</v>
      </c>
      <c r="W237" s="39" t="str">
        <f>IF(AND(E237='Povolené hodnoty'!$B$4,F237=2),I237+L237+O237+R237,"")</f>
        <v/>
      </c>
      <c r="X237" s="41" t="str">
        <f>IF(AND(E237='Povolené hodnoty'!$B$4,F237=1),I237+L237+O237+R237,"")</f>
        <v/>
      </c>
      <c r="Y237" s="39" t="str">
        <f>IF(AND(E237='Povolené hodnoty'!$B$4,F237=10),J237+M237+P237+S237,"")</f>
        <v/>
      </c>
      <c r="Z237" s="41" t="str">
        <f>IF(AND(E237='Povolené hodnoty'!$B$4,F237=9),J237+M237+P237+S237,"")</f>
        <v/>
      </c>
      <c r="AA237" s="39" t="str">
        <f>IF(AND(E237&lt;&gt;'Povolené hodnoty'!$B$4,F237=2),I237+L237+O237+R237,"")</f>
        <v/>
      </c>
      <c r="AB237" s="40" t="str">
        <f>IF(AND(E237&lt;&gt;'Povolené hodnoty'!$B$4,F237=3),I237+L237+O237+R237,"")</f>
        <v/>
      </c>
      <c r="AC237" s="40" t="str">
        <f>IF(AND(E237&lt;&gt;'Povolené hodnoty'!$B$4,F237=4),I237+L237+O237+R237,"")</f>
        <v/>
      </c>
      <c r="AD237" s="40" t="str">
        <f>IF(AND(E237&lt;&gt;'Povolené hodnoty'!$B$4,F237="5a"),I237-J237+L237-M237+O237-P237+R237-S237,"")</f>
        <v/>
      </c>
      <c r="AE237" s="40" t="str">
        <f>IF(AND(E237&lt;&gt;'Povolené hodnoty'!$B$4,F237="5b"),I237-J237+L237-M237+O237-P237+R237-S237,"")</f>
        <v/>
      </c>
      <c r="AF237" s="40" t="str">
        <f>IF(AND(E237&lt;&gt;'Povolené hodnoty'!$B$4,F237=6),I237+L237+O237+R237,"")</f>
        <v/>
      </c>
      <c r="AG237" s="41" t="str">
        <f>IF(AND(E237&lt;&gt;'Povolené hodnoty'!$B$4,F237=7),I237+L237+O237+R237,"")</f>
        <v/>
      </c>
      <c r="AH237" s="39" t="str">
        <f>IF(AND(E237&lt;&gt;'Povolené hodnoty'!$B$4,F237=10),J237+M237+P237+S237,"")</f>
        <v/>
      </c>
      <c r="AI237" s="40" t="str">
        <f>IF(AND(E237&lt;&gt;'Povolené hodnoty'!$B$4,F237=11),J237+M237+P237+S237,"")</f>
        <v/>
      </c>
      <c r="AJ237" s="40" t="str">
        <f>IF(AND(E237&lt;&gt;'Povolené hodnoty'!$B$4,F237=12),J237+M237+P237+S237,"")</f>
        <v/>
      </c>
      <c r="AK237" s="41" t="str">
        <f>IF(AND(E237&lt;&gt;'Povolené hodnoty'!$B$4,F237=13),J237+M237+P237+S237,"")</f>
        <v/>
      </c>
      <c r="AL237" s="39" t="str">
        <f>IF(AND($G237='Povolené hodnoty'!$B$13,$H237=AL$4),SUM($I237,$L237,$O237,$R237),"")</f>
        <v/>
      </c>
      <c r="AM237" s="458" t="str">
        <f>IF(AND($G237='Povolené hodnoty'!$B$13,$H237=AM$4),SUM($I237,$L237,$O237,$R237),"")</f>
        <v/>
      </c>
      <c r="AN237" s="458" t="str">
        <f>IF(AND($G237='Povolené hodnoty'!$B$13,$H237=AN$4),SUM($I237,$L237,$O237,$R237),"")</f>
        <v/>
      </c>
      <c r="AO237" s="458" t="str">
        <f>IF(AND($G237='Povolené hodnoty'!$B$13,$H237=AO$4),SUM($I237,$L237,$O237,$R237),"")</f>
        <v/>
      </c>
      <c r="AP237" s="458" t="str">
        <f>IF(AND($G237='Povolené hodnoty'!$B$13,$H237=AP$4),SUM($I237,$L237,$O237,$R237),"")</f>
        <v/>
      </c>
      <c r="AQ237" s="40" t="str">
        <f>IF(AND($G237='Povolené hodnoty'!$B$13,OR($H237=AQ$4,$H237='Povolené hodnoty'!$E$36)),SUM($I237,-$J237,$L237,-$M237,$O237,-$P237,$R237,-$S237),"")</f>
        <v/>
      </c>
      <c r="AR237" s="40" t="str">
        <f>IF(AND($G237='Povolené hodnoty'!$B$13,$H237=AR$4),SUM($I237,$L237,$O237,$R237),"")</f>
        <v/>
      </c>
      <c r="AS237" s="41" t="str">
        <f>IF(AND($G237='Povolené hodnoty'!$B$13,$H237=AS$4),SUM($I237,$L237,$O237,$R237),"")</f>
        <v/>
      </c>
      <c r="AT237" s="39" t="str">
        <f>IF(AND($G237='Povolené hodnoty'!$B$14,$H237=AT$4),SUM($I237,$L237,$O237,$R237),"")</f>
        <v/>
      </c>
      <c r="AU237" s="458" t="str">
        <f>IF(AND($G237='Povolené hodnoty'!$B$14,$H237=AU$4),SUM($I237,$L237,$O237,$R237),"")</f>
        <v/>
      </c>
      <c r="AV237" s="41" t="str">
        <f>IF(AND($G237='Povolené hodnoty'!$B$14,$H237=AV$4),SUM($I237,$L237,$O237,$R237),"")</f>
        <v/>
      </c>
      <c r="AW237" s="39" t="str">
        <f>IF(AND($G237='Povolené hodnoty'!$B$13,$H237=AW$4),SUM($J237,$M237,$P237,$S237),"")</f>
        <v/>
      </c>
      <c r="AX237" s="458" t="str">
        <f>IF(AND($G237='Povolené hodnoty'!$B$13,$H237=AX$4),SUM($J237,$M237,$P237,$S237),"")</f>
        <v/>
      </c>
      <c r="AY237" s="458" t="str">
        <f>IF(AND($G237='Povolené hodnoty'!$B$13,$H237=AY$4),SUM($J237,$M237,$P237,$S237),"")</f>
        <v/>
      </c>
      <c r="AZ237" s="458" t="str">
        <f>IF(AND($G237='Povolené hodnoty'!$B$13,$H237=AZ$4),SUM($J237,$M237,$P237,$S237),"")</f>
        <v/>
      </c>
      <c r="BA237" s="458" t="str">
        <f>IF(AND($G237='Povolené hodnoty'!$B$13,$H237=BA$4),SUM($J237,$M237,$P237,$S237),"")</f>
        <v/>
      </c>
      <c r="BB237" s="40" t="str">
        <f>IF(AND($G237='Povolené hodnoty'!$B$13,$H237=BB$4),SUM($J237,$M237,$P237,$S237),"")</f>
        <v/>
      </c>
      <c r="BC237" s="40" t="str">
        <f>IF(AND($G237='Povolené hodnoty'!$B$13,$H237=BC$4),SUM($J237,$M237,$P237,$S237),"")</f>
        <v/>
      </c>
      <c r="BD237" s="40" t="str">
        <f>IF(AND($G237='Povolené hodnoty'!$B$13,$H237=BD$4),SUM($J237,$M237,$P237,$S237),"")</f>
        <v/>
      </c>
      <c r="BE237" s="41" t="str">
        <f>IF(AND($G237='Povolené hodnoty'!$B$13,$H237=BE$4),SUM($J237,$M237,$P237,$S237),"")</f>
        <v/>
      </c>
      <c r="BF237" s="39" t="str">
        <f>IF(AND($G237='Povolené hodnoty'!$B$14,$H237=BF$4),SUM($J237,$M237,$P237,$S237),"")</f>
        <v/>
      </c>
      <c r="BG237" s="458" t="str">
        <f>IF(AND($G237='Povolené hodnoty'!$B$14,$H237=BG$4),SUM($J237,$M237,$P237,$S237),"")</f>
        <v/>
      </c>
      <c r="BH237" s="458" t="str">
        <f>IF(AND($G237='Povolené hodnoty'!$B$14,$H237=BH$4),SUM($J237,$M237,$P237,$S237),"")</f>
        <v/>
      </c>
      <c r="BI237" s="458" t="str">
        <f>IF(AND($G237='Povolené hodnoty'!$B$14,$H237=BI$4),SUM($J237,$M237,$P237,$S237),"")</f>
        <v/>
      </c>
      <c r="BJ237" s="458" t="str">
        <f>IF(AND($G237='Povolené hodnoty'!$B$14,$H237=BJ$4),SUM($J237,$M237,$P237,$S237),"")</f>
        <v/>
      </c>
      <c r="BK237" s="40" t="str">
        <f>IF(AND($G237='Povolené hodnoty'!$B$14,$H237=BK$4),SUM($J237,$M237,$P237,$S237),"")</f>
        <v/>
      </c>
      <c r="BL237" s="40" t="str">
        <f>IF(AND($G237='Povolené hodnoty'!$B$14,$H237=BL$4),SUM($J237,$M237,$P237,$S237),"")</f>
        <v/>
      </c>
      <c r="BM237" s="41" t="str">
        <f>IF(AND($G237='Povolené hodnoty'!$B$14,$H237=BM$4),SUM($J237,$M237,$P237,$S237),"")</f>
        <v/>
      </c>
      <c r="BO237" s="18" t="b">
        <f t="shared" si="141"/>
        <v>0</v>
      </c>
      <c r="BP237" s="18" t="b">
        <f t="shared" si="112"/>
        <v>0</v>
      </c>
      <c r="BQ237" s="18" t="b">
        <f>AND(E237&lt;&gt;'Povolené hodnoty'!$B$6,F237&lt;&gt;'Povolené hodnoty'!$D$7,F237&lt;&gt;'Povolené hodnoty'!$D$8,OR(SUM(I237,L237,O237,R237)&lt;&gt;SUM(W237:X237,AA237:AG237),SUM(J237,M237,P237,S237)&lt;&gt;SUM(Y237:Z237,AH237:AK237),COUNT(I237:J237,L237:M237,O237:P237,R237:S237)&lt;&gt;COUNT(W237:AK237)))</f>
        <v>0</v>
      </c>
      <c r="BR237" s="18" t="b">
        <f>OR(AND(E237='Povolené hodnoty'!$B$6,$BR$5),AND(E237='Povolené hodnoty'!$B$6,H237&lt;&gt;'Povolené hodnoty'!$E$26,H237&lt;&gt;'Povolené hodnoty'!$E$35),AND(E237&lt;&gt;'Povolené hodnoty'!$B$6,OR(H237='Povolené hodnoty'!$E$26,H237='Povolené hodnoty'!$E$35)))</f>
        <v>0</v>
      </c>
      <c r="BS237" s="18" t="b">
        <f>OR(AND(G237&lt;&gt;'Povolené hodnoty'!$B$13,OR(H237='Povolené hodnoty'!$E$21,H237='Povolené hodnoty'!$E$22,H237='Povolené hodnoty'!$E$23,H237='Povolené hodnoty'!$E$24,H237='Povolené hodnoty'!$E$26,H237='Povolené hodnoty'!$E$36)),COUNT(I237:J237,L237:M237,O237:P237,R237:S237)&lt;&gt;COUNT(AL237:BM237))</f>
        <v>0</v>
      </c>
      <c r="BT237" s="18" t="b">
        <f t="shared" si="113"/>
        <v>0</v>
      </c>
      <c r="BV237" s="39" t="str">
        <f t="shared" si="114"/>
        <v/>
      </c>
      <c r="BW237" s="458" t="str">
        <f t="shared" si="115"/>
        <v/>
      </c>
      <c r="BX237" s="458" t="str">
        <f t="shared" si="116"/>
        <v/>
      </c>
      <c r="BY237" s="458" t="str">
        <f t="shared" si="117"/>
        <v/>
      </c>
      <c r="BZ237" s="458" t="str">
        <f t="shared" si="118"/>
        <v/>
      </c>
      <c r="CA237" s="40" t="str">
        <f t="shared" si="119"/>
        <v/>
      </c>
      <c r="CB237" s="40" t="str">
        <f t="shared" si="120"/>
        <v/>
      </c>
      <c r="CC237" s="39" t="str">
        <f t="shared" si="121"/>
        <v/>
      </c>
      <c r="CD237" s="458" t="str">
        <f t="shared" si="122"/>
        <v/>
      </c>
      <c r="CE237" s="41" t="str">
        <f t="shared" si="123"/>
        <v/>
      </c>
      <c r="CF237" s="39" t="str">
        <f t="shared" si="124"/>
        <v/>
      </c>
      <c r="CG237" s="458" t="str">
        <f t="shared" si="125"/>
        <v/>
      </c>
      <c r="CH237" s="458" t="str">
        <f t="shared" si="126"/>
        <v/>
      </c>
      <c r="CI237" s="458" t="str">
        <f t="shared" si="127"/>
        <v/>
      </c>
      <c r="CJ237" s="458" t="str">
        <f t="shared" si="128"/>
        <v/>
      </c>
      <c r="CK237" s="40" t="str">
        <f t="shared" si="129"/>
        <v/>
      </c>
      <c r="CL237" s="40" t="str">
        <f t="shared" si="130"/>
        <v/>
      </c>
      <c r="CM237" s="40" t="str">
        <f t="shared" si="131"/>
        <v/>
      </c>
      <c r="CN237" s="39" t="str">
        <f t="shared" si="132"/>
        <v/>
      </c>
      <c r="CO237" s="458" t="str">
        <f t="shared" si="133"/>
        <v/>
      </c>
      <c r="CP237" s="458" t="str">
        <f t="shared" si="134"/>
        <v/>
      </c>
      <c r="CQ237" s="458" t="str">
        <f t="shared" si="135"/>
        <v/>
      </c>
      <c r="CR237" s="458" t="str">
        <f t="shared" si="136"/>
        <v/>
      </c>
      <c r="CS237" s="40" t="str">
        <f t="shared" si="137"/>
        <v/>
      </c>
      <c r="CT237" s="40" t="str">
        <f t="shared" si="138"/>
        <v/>
      </c>
      <c r="CU237" s="41" t="str">
        <f t="shared" si="139"/>
        <v/>
      </c>
    </row>
    <row r="238" spans="1:99" x14ac:dyDescent="0.2">
      <c r="A238" s="77">
        <f t="shared" si="140"/>
        <v>233</v>
      </c>
      <c r="B238" s="81"/>
      <c r="C238" s="82"/>
      <c r="D238" s="71"/>
      <c r="E238" s="72"/>
      <c r="F238" s="73"/>
      <c r="G238" s="443"/>
      <c r="H238" s="443"/>
      <c r="I238" s="74"/>
      <c r="J238" s="75"/>
      <c r="K238" s="41">
        <f t="shared" si="144"/>
        <v>3625</v>
      </c>
      <c r="L238" s="104"/>
      <c r="M238" s="105"/>
      <c r="N238" s="106">
        <f t="shared" si="145"/>
        <v>537.05999999999995</v>
      </c>
      <c r="O238" s="104"/>
      <c r="P238" s="105"/>
      <c r="Q238" s="106">
        <f t="shared" si="142"/>
        <v>10045.83</v>
      </c>
      <c r="R238" s="104"/>
      <c r="S238" s="105"/>
      <c r="T238" s="106">
        <f t="shared" si="143"/>
        <v>0</v>
      </c>
      <c r="U238" s="439"/>
      <c r="V238" s="42">
        <f t="shared" si="111"/>
        <v>233</v>
      </c>
      <c r="W238" s="39" t="str">
        <f>IF(AND(E238='Povolené hodnoty'!$B$4,F238=2),I238+L238+O238+R238,"")</f>
        <v/>
      </c>
      <c r="X238" s="41" t="str">
        <f>IF(AND(E238='Povolené hodnoty'!$B$4,F238=1),I238+L238+O238+R238,"")</f>
        <v/>
      </c>
      <c r="Y238" s="39" t="str">
        <f>IF(AND(E238='Povolené hodnoty'!$B$4,F238=10),J238+M238+P238+S238,"")</f>
        <v/>
      </c>
      <c r="Z238" s="41" t="str">
        <f>IF(AND(E238='Povolené hodnoty'!$B$4,F238=9),J238+M238+P238+S238,"")</f>
        <v/>
      </c>
      <c r="AA238" s="39" t="str">
        <f>IF(AND(E238&lt;&gt;'Povolené hodnoty'!$B$4,F238=2),I238+L238+O238+R238,"")</f>
        <v/>
      </c>
      <c r="AB238" s="40" t="str">
        <f>IF(AND(E238&lt;&gt;'Povolené hodnoty'!$B$4,F238=3),I238+L238+O238+R238,"")</f>
        <v/>
      </c>
      <c r="AC238" s="40" t="str">
        <f>IF(AND(E238&lt;&gt;'Povolené hodnoty'!$B$4,F238=4),I238+L238+O238+R238,"")</f>
        <v/>
      </c>
      <c r="AD238" s="40" t="str">
        <f>IF(AND(E238&lt;&gt;'Povolené hodnoty'!$B$4,F238="5a"),I238-J238+L238-M238+O238-P238+R238-S238,"")</f>
        <v/>
      </c>
      <c r="AE238" s="40" t="str">
        <f>IF(AND(E238&lt;&gt;'Povolené hodnoty'!$B$4,F238="5b"),I238-J238+L238-M238+O238-P238+R238-S238,"")</f>
        <v/>
      </c>
      <c r="AF238" s="40" t="str">
        <f>IF(AND(E238&lt;&gt;'Povolené hodnoty'!$B$4,F238=6),I238+L238+O238+R238,"")</f>
        <v/>
      </c>
      <c r="AG238" s="41" t="str">
        <f>IF(AND(E238&lt;&gt;'Povolené hodnoty'!$B$4,F238=7),I238+L238+O238+R238,"")</f>
        <v/>
      </c>
      <c r="AH238" s="39" t="str">
        <f>IF(AND(E238&lt;&gt;'Povolené hodnoty'!$B$4,F238=10),J238+M238+P238+S238,"")</f>
        <v/>
      </c>
      <c r="AI238" s="40" t="str">
        <f>IF(AND(E238&lt;&gt;'Povolené hodnoty'!$B$4,F238=11),J238+M238+P238+S238,"")</f>
        <v/>
      </c>
      <c r="AJ238" s="40" t="str">
        <f>IF(AND(E238&lt;&gt;'Povolené hodnoty'!$B$4,F238=12),J238+M238+P238+S238,"")</f>
        <v/>
      </c>
      <c r="AK238" s="41" t="str">
        <f>IF(AND(E238&lt;&gt;'Povolené hodnoty'!$B$4,F238=13),J238+M238+P238+S238,"")</f>
        <v/>
      </c>
      <c r="AL238" s="39" t="str">
        <f>IF(AND($G238='Povolené hodnoty'!$B$13,$H238=AL$4),SUM($I238,$L238,$O238,$R238),"")</f>
        <v/>
      </c>
      <c r="AM238" s="458" t="str">
        <f>IF(AND($G238='Povolené hodnoty'!$B$13,$H238=AM$4),SUM($I238,$L238,$O238,$R238),"")</f>
        <v/>
      </c>
      <c r="AN238" s="458" t="str">
        <f>IF(AND($G238='Povolené hodnoty'!$B$13,$H238=AN$4),SUM($I238,$L238,$O238,$R238),"")</f>
        <v/>
      </c>
      <c r="AO238" s="458" t="str">
        <f>IF(AND($G238='Povolené hodnoty'!$B$13,$H238=AO$4),SUM($I238,$L238,$O238,$R238),"")</f>
        <v/>
      </c>
      <c r="AP238" s="458" t="str">
        <f>IF(AND($G238='Povolené hodnoty'!$B$13,$H238=AP$4),SUM($I238,$L238,$O238,$R238),"")</f>
        <v/>
      </c>
      <c r="AQ238" s="40" t="str">
        <f>IF(AND($G238='Povolené hodnoty'!$B$13,OR($H238=AQ$4,$H238='Povolené hodnoty'!$E$36)),SUM($I238,-$J238,$L238,-$M238,$O238,-$P238,$R238,-$S238),"")</f>
        <v/>
      </c>
      <c r="AR238" s="40" t="str">
        <f>IF(AND($G238='Povolené hodnoty'!$B$13,$H238=AR$4),SUM($I238,$L238,$O238,$R238),"")</f>
        <v/>
      </c>
      <c r="AS238" s="41" t="str">
        <f>IF(AND($G238='Povolené hodnoty'!$B$13,$H238=AS$4),SUM($I238,$L238,$O238,$R238),"")</f>
        <v/>
      </c>
      <c r="AT238" s="39" t="str">
        <f>IF(AND($G238='Povolené hodnoty'!$B$14,$H238=AT$4),SUM($I238,$L238,$O238,$R238),"")</f>
        <v/>
      </c>
      <c r="AU238" s="458" t="str">
        <f>IF(AND($G238='Povolené hodnoty'!$B$14,$H238=AU$4),SUM($I238,$L238,$O238,$R238),"")</f>
        <v/>
      </c>
      <c r="AV238" s="41" t="str">
        <f>IF(AND($G238='Povolené hodnoty'!$B$14,$H238=AV$4),SUM($I238,$L238,$O238,$R238),"")</f>
        <v/>
      </c>
      <c r="AW238" s="39" t="str">
        <f>IF(AND($G238='Povolené hodnoty'!$B$13,$H238=AW$4),SUM($J238,$M238,$P238,$S238),"")</f>
        <v/>
      </c>
      <c r="AX238" s="458" t="str">
        <f>IF(AND($G238='Povolené hodnoty'!$B$13,$H238=AX$4),SUM($J238,$M238,$P238,$S238),"")</f>
        <v/>
      </c>
      <c r="AY238" s="458" t="str">
        <f>IF(AND($G238='Povolené hodnoty'!$B$13,$H238=AY$4),SUM($J238,$M238,$P238,$S238),"")</f>
        <v/>
      </c>
      <c r="AZ238" s="458" t="str">
        <f>IF(AND($G238='Povolené hodnoty'!$B$13,$H238=AZ$4),SUM($J238,$M238,$P238,$S238),"")</f>
        <v/>
      </c>
      <c r="BA238" s="458" t="str">
        <f>IF(AND($G238='Povolené hodnoty'!$B$13,$H238=BA$4),SUM($J238,$M238,$P238,$S238),"")</f>
        <v/>
      </c>
      <c r="BB238" s="40" t="str">
        <f>IF(AND($G238='Povolené hodnoty'!$B$13,$H238=BB$4),SUM($J238,$M238,$P238,$S238),"")</f>
        <v/>
      </c>
      <c r="BC238" s="40" t="str">
        <f>IF(AND($G238='Povolené hodnoty'!$B$13,$H238=BC$4),SUM($J238,$M238,$P238,$S238),"")</f>
        <v/>
      </c>
      <c r="BD238" s="40" t="str">
        <f>IF(AND($G238='Povolené hodnoty'!$B$13,$H238=BD$4),SUM($J238,$M238,$P238,$S238),"")</f>
        <v/>
      </c>
      <c r="BE238" s="41" t="str">
        <f>IF(AND($G238='Povolené hodnoty'!$B$13,$H238=BE$4),SUM($J238,$M238,$P238,$S238),"")</f>
        <v/>
      </c>
      <c r="BF238" s="39" t="str">
        <f>IF(AND($G238='Povolené hodnoty'!$B$14,$H238=BF$4),SUM($J238,$M238,$P238,$S238),"")</f>
        <v/>
      </c>
      <c r="BG238" s="458" t="str">
        <f>IF(AND($G238='Povolené hodnoty'!$B$14,$H238=BG$4),SUM($J238,$M238,$P238,$S238),"")</f>
        <v/>
      </c>
      <c r="BH238" s="458" t="str">
        <f>IF(AND($G238='Povolené hodnoty'!$B$14,$H238=BH$4),SUM($J238,$M238,$P238,$S238),"")</f>
        <v/>
      </c>
      <c r="BI238" s="458" t="str">
        <f>IF(AND($G238='Povolené hodnoty'!$B$14,$H238=BI$4),SUM($J238,$M238,$P238,$S238),"")</f>
        <v/>
      </c>
      <c r="BJ238" s="458" t="str">
        <f>IF(AND($G238='Povolené hodnoty'!$B$14,$H238=BJ$4),SUM($J238,$M238,$P238,$S238),"")</f>
        <v/>
      </c>
      <c r="BK238" s="40" t="str">
        <f>IF(AND($G238='Povolené hodnoty'!$B$14,$H238=BK$4),SUM($J238,$M238,$P238,$S238),"")</f>
        <v/>
      </c>
      <c r="BL238" s="40" t="str">
        <f>IF(AND($G238='Povolené hodnoty'!$B$14,$H238=BL$4),SUM($J238,$M238,$P238,$S238),"")</f>
        <v/>
      </c>
      <c r="BM238" s="41" t="str">
        <f>IF(AND($G238='Povolené hodnoty'!$B$14,$H238=BM$4),SUM($J238,$M238,$P238,$S238),"")</f>
        <v/>
      </c>
      <c r="BO238" s="18" t="b">
        <f t="shared" si="141"/>
        <v>0</v>
      </c>
      <c r="BP238" s="18" t="b">
        <f t="shared" si="112"/>
        <v>0</v>
      </c>
      <c r="BQ238" s="18" t="b">
        <f>AND(E238&lt;&gt;'Povolené hodnoty'!$B$6,F238&lt;&gt;'Povolené hodnoty'!$D$7,F238&lt;&gt;'Povolené hodnoty'!$D$8,OR(SUM(I238,L238,O238,R238)&lt;&gt;SUM(W238:X238,AA238:AG238),SUM(J238,M238,P238,S238)&lt;&gt;SUM(Y238:Z238,AH238:AK238),COUNT(I238:J238,L238:M238,O238:P238,R238:S238)&lt;&gt;COUNT(W238:AK238)))</f>
        <v>0</v>
      </c>
      <c r="BR238" s="18" t="b">
        <f>OR(AND(E238='Povolené hodnoty'!$B$6,$BR$5),AND(E238='Povolené hodnoty'!$B$6,H238&lt;&gt;'Povolené hodnoty'!$E$26,H238&lt;&gt;'Povolené hodnoty'!$E$35),AND(E238&lt;&gt;'Povolené hodnoty'!$B$6,OR(H238='Povolené hodnoty'!$E$26,H238='Povolené hodnoty'!$E$35)))</f>
        <v>0</v>
      </c>
      <c r="BS238" s="18" t="b">
        <f>OR(AND(G238&lt;&gt;'Povolené hodnoty'!$B$13,OR(H238='Povolené hodnoty'!$E$21,H238='Povolené hodnoty'!$E$22,H238='Povolené hodnoty'!$E$23,H238='Povolené hodnoty'!$E$24,H238='Povolené hodnoty'!$E$26,H238='Povolené hodnoty'!$E$36)),COUNT(I238:J238,L238:M238,O238:P238,R238:S238)&lt;&gt;COUNT(AL238:BM238))</f>
        <v>0</v>
      </c>
      <c r="BT238" s="18" t="b">
        <f t="shared" si="113"/>
        <v>0</v>
      </c>
      <c r="BV238" s="39" t="str">
        <f t="shared" si="114"/>
        <v/>
      </c>
      <c r="BW238" s="458" t="str">
        <f t="shared" si="115"/>
        <v/>
      </c>
      <c r="BX238" s="458" t="str">
        <f t="shared" si="116"/>
        <v/>
      </c>
      <c r="BY238" s="458" t="str">
        <f t="shared" si="117"/>
        <v/>
      </c>
      <c r="BZ238" s="458" t="str">
        <f t="shared" si="118"/>
        <v/>
      </c>
      <c r="CA238" s="40" t="str">
        <f t="shared" si="119"/>
        <v/>
      </c>
      <c r="CB238" s="40" t="str">
        <f t="shared" si="120"/>
        <v/>
      </c>
      <c r="CC238" s="39" t="str">
        <f t="shared" si="121"/>
        <v/>
      </c>
      <c r="CD238" s="458" t="str">
        <f t="shared" si="122"/>
        <v/>
      </c>
      <c r="CE238" s="41" t="str">
        <f t="shared" si="123"/>
        <v/>
      </c>
      <c r="CF238" s="39" t="str">
        <f t="shared" si="124"/>
        <v/>
      </c>
      <c r="CG238" s="458" t="str">
        <f t="shared" si="125"/>
        <v/>
      </c>
      <c r="CH238" s="458" t="str">
        <f t="shared" si="126"/>
        <v/>
      </c>
      <c r="CI238" s="458" t="str">
        <f t="shared" si="127"/>
        <v/>
      </c>
      <c r="CJ238" s="458" t="str">
        <f t="shared" si="128"/>
        <v/>
      </c>
      <c r="CK238" s="40" t="str">
        <f t="shared" si="129"/>
        <v/>
      </c>
      <c r="CL238" s="40" t="str">
        <f t="shared" si="130"/>
        <v/>
      </c>
      <c r="CM238" s="40" t="str">
        <f t="shared" si="131"/>
        <v/>
      </c>
      <c r="CN238" s="39" t="str">
        <f t="shared" si="132"/>
        <v/>
      </c>
      <c r="CO238" s="458" t="str">
        <f t="shared" si="133"/>
        <v/>
      </c>
      <c r="CP238" s="458" t="str">
        <f t="shared" si="134"/>
        <v/>
      </c>
      <c r="CQ238" s="458" t="str">
        <f t="shared" si="135"/>
        <v/>
      </c>
      <c r="CR238" s="458" t="str">
        <f t="shared" si="136"/>
        <v/>
      </c>
      <c r="CS238" s="40" t="str">
        <f t="shared" si="137"/>
        <v/>
      </c>
      <c r="CT238" s="40" t="str">
        <f t="shared" si="138"/>
        <v/>
      </c>
      <c r="CU238" s="41" t="str">
        <f t="shared" si="139"/>
        <v/>
      </c>
    </row>
    <row r="239" spans="1:99" x14ac:dyDescent="0.2">
      <c r="A239" s="77">
        <f t="shared" si="140"/>
        <v>234</v>
      </c>
      <c r="B239" s="81"/>
      <c r="C239" s="82"/>
      <c r="D239" s="71"/>
      <c r="E239" s="72"/>
      <c r="F239" s="73"/>
      <c r="G239" s="443"/>
      <c r="H239" s="443"/>
      <c r="I239" s="74"/>
      <c r="J239" s="75"/>
      <c r="K239" s="41">
        <f t="shared" si="144"/>
        <v>3625</v>
      </c>
      <c r="L239" s="104"/>
      <c r="M239" s="105"/>
      <c r="N239" s="106">
        <f t="shared" si="145"/>
        <v>537.05999999999995</v>
      </c>
      <c r="O239" s="104"/>
      <c r="P239" s="105"/>
      <c r="Q239" s="106">
        <f t="shared" si="142"/>
        <v>10045.83</v>
      </c>
      <c r="R239" s="104"/>
      <c r="S239" s="105"/>
      <c r="T239" s="106">
        <f t="shared" si="143"/>
        <v>0</v>
      </c>
      <c r="U239" s="439"/>
      <c r="V239" s="42">
        <f t="shared" si="111"/>
        <v>234</v>
      </c>
      <c r="W239" s="39" t="str">
        <f>IF(AND(E239='Povolené hodnoty'!$B$4,F239=2),I239+L239+O239+R239,"")</f>
        <v/>
      </c>
      <c r="X239" s="41" t="str">
        <f>IF(AND(E239='Povolené hodnoty'!$B$4,F239=1),I239+L239+O239+R239,"")</f>
        <v/>
      </c>
      <c r="Y239" s="39" t="str">
        <f>IF(AND(E239='Povolené hodnoty'!$B$4,F239=10),J239+M239+P239+S239,"")</f>
        <v/>
      </c>
      <c r="Z239" s="41" t="str">
        <f>IF(AND(E239='Povolené hodnoty'!$B$4,F239=9),J239+M239+P239+S239,"")</f>
        <v/>
      </c>
      <c r="AA239" s="39" t="str">
        <f>IF(AND(E239&lt;&gt;'Povolené hodnoty'!$B$4,F239=2),I239+L239+O239+R239,"")</f>
        <v/>
      </c>
      <c r="AB239" s="40" t="str">
        <f>IF(AND(E239&lt;&gt;'Povolené hodnoty'!$B$4,F239=3),I239+L239+O239+R239,"")</f>
        <v/>
      </c>
      <c r="AC239" s="40" t="str">
        <f>IF(AND(E239&lt;&gt;'Povolené hodnoty'!$B$4,F239=4),I239+L239+O239+R239,"")</f>
        <v/>
      </c>
      <c r="AD239" s="40" t="str">
        <f>IF(AND(E239&lt;&gt;'Povolené hodnoty'!$B$4,F239="5a"),I239-J239+L239-M239+O239-P239+R239-S239,"")</f>
        <v/>
      </c>
      <c r="AE239" s="40" t="str">
        <f>IF(AND(E239&lt;&gt;'Povolené hodnoty'!$B$4,F239="5b"),I239-J239+L239-M239+O239-P239+R239-S239,"")</f>
        <v/>
      </c>
      <c r="AF239" s="40" t="str">
        <f>IF(AND(E239&lt;&gt;'Povolené hodnoty'!$B$4,F239=6),I239+L239+O239+R239,"")</f>
        <v/>
      </c>
      <c r="AG239" s="41" t="str">
        <f>IF(AND(E239&lt;&gt;'Povolené hodnoty'!$B$4,F239=7),I239+L239+O239+R239,"")</f>
        <v/>
      </c>
      <c r="AH239" s="39" t="str">
        <f>IF(AND(E239&lt;&gt;'Povolené hodnoty'!$B$4,F239=10),J239+M239+P239+S239,"")</f>
        <v/>
      </c>
      <c r="AI239" s="40" t="str">
        <f>IF(AND(E239&lt;&gt;'Povolené hodnoty'!$B$4,F239=11),J239+M239+P239+S239,"")</f>
        <v/>
      </c>
      <c r="AJ239" s="40" t="str">
        <f>IF(AND(E239&lt;&gt;'Povolené hodnoty'!$B$4,F239=12),J239+M239+P239+S239,"")</f>
        <v/>
      </c>
      <c r="AK239" s="41" t="str">
        <f>IF(AND(E239&lt;&gt;'Povolené hodnoty'!$B$4,F239=13),J239+M239+P239+S239,"")</f>
        <v/>
      </c>
      <c r="AL239" s="39" t="str">
        <f>IF(AND($G239='Povolené hodnoty'!$B$13,$H239=AL$4),SUM($I239,$L239,$O239,$R239),"")</f>
        <v/>
      </c>
      <c r="AM239" s="458" t="str">
        <f>IF(AND($G239='Povolené hodnoty'!$B$13,$H239=AM$4),SUM($I239,$L239,$O239,$R239),"")</f>
        <v/>
      </c>
      <c r="AN239" s="458" t="str">
        <f>IF(AND($G239='Povolené hodnoty'!$B$13,$H239=AN$4),SUM($I239,$L239,$O239,$R239),"")</f>
        <v/>
      </c>
      <c r="AO239" s="458" t="str">
        <f>IF(AND($G239='Povolené hodnoty'!$B$13,$H239=AO$4),SUM($I239,$L239,$O239,$R239),"")</f>
        <v/>
      </c>
      <c r="AP239" s="458" t="str">
        <f>IF(AND($G239='Povolené hodnoty'!$B$13,$H239=AP$4),SUM($I239,$L239,$O239,$R239),"")</f>
        <v/>
      </c>
      <c r="AQ239" s="40" t="str">
        <f>IF(AND($G239='Povolené hodnoty'!$B$13,OR($H239=AQ$4,$H239='Povolené hodnoty'!$E$36)),SUM($I239,-$J239,$L239,-$M239,$O239,-$P239,$R239,-$S239),"")</f>
        <v/>
      </c>
      <c r="AR239" s="40" t="str">
        <f>IF(AND($G239='Povolené hodnoty'!$B$13,$H239=AR$4),SUM($I239,$L239,$O239,$R239),"")</f>
        <v/>
      </c>
      <c r="AS239" s="41" t="str">
        <f>IF(AND($G239='Povolené hodnoty'!$B$13,$H239=AS$4),SUM($I239,$L239,$O239,$R239),"")</f>
        <v/>
      </c>
      <c r="AT239" s="39" t="str">
        <f>IF(AND($G239='Povolené hodnoty'!$B$14,$H239=AT$4),SUM($I239,$L239,$O239,$R239),"")</f>
        <v/>
      </c>
      <c r="AU239" s="458" t="str">
        <f>IF(AND($G239='Povolené hodnoty'!$B$14,$H239=AU$4),SUM($I239,$L239,$O239,$R239),"")</f>
        <v/>
      </c>
      <c r="AV239" s="41" t="str">
        <f>IF(AND($G239='Povolené hodnoty'!$B$14,$H239=AV$4),SUM($I239,$L239,$O239,$R239),"")</f>
        <v/>
      </c>
      <c r="AW239" s="39" t="str">
        <f>IF(AND($G239='Povolené hodnoty'!$B$13,$H239=AW$4),SUM($J239,$M239,$P239,$S239),"")</f>
        <v/>
      </c>
      <c r="AX239" s="458" t="str">
        <f>IF(AND($G239='Povolené hodnoty'!$B$13,$H239=AX$4),SUM($J239,$M239,$P239,$S239),"")</f>
        <v/>
      </c>
      <c r="AY239" s="458" t="str">
        <f>IF(AND($G239='Povolené hodnoty'!$B$13,$H239=AY$4),SUM($J239,$M239,$P239,$S239),"")</f>
        <v/>
      </c>
      <c r="AZ239" s="458" t="str">
        <f>IF(AND($G239='Povolené hodnoty'!$B$13,$H239=AZ$4),SUM($J239,$M239,$P239,$S239),"")</f>
        <v/>
      </c>
      <c r="BA239" s="458" t="str">
        <f>IF(AND($G239='Povolené hodnoty'!$B$13,$H239=BA$4),SUM($J239,$M239,$P239,$S239),"")</f>
        <v/>
      </c>
      <c r="BB239" s="40" t="str">
        <f>IF(AND($G239='Povolené hodnoty'!$B$13,$H239=BB$4),SUM($J239,$M239,$P239,$S239),"")</f>
        <v/>
      </c>
      <c r="BC239" s="40" t="str">
        <f>IF(AND($G239='Povolené hodnoty'!$B$13,$H239=BC$4),SUM($J239,$M239,$P239,$S239),"")</f>
        <v/>
      </c>
      <c r="BD239" s="40" t="str">
        <f>IF(AND($G239='Povolené hodnoty'!$B$13,$H239=BD$4),SUM($J239,$M239,$P239,$S239),"")</f>
        <v/>
      </c>
      <c r="BE239" s="41" t="str">
        <f>IF(AND($G239='Povolené hodnoty'!$B$13,$H239=BE$4),SUM($J239,$M239,$P239,$S239),"")</f>
        <v/>
      </c>
      <c r="BF239" s="39" t="str">
        <f>IF(AND($G239='Povolené hodnoty'!$B$14,$H239=BF$4),SUM($J239,$M239,$P239,$S239),"")</f>
        <v/>
      </c>
      <c r="BG239" s="458" t="str">
        <f>IF(AND($G239='Povolené hodnoty'!$B$14,$H239=BG$4),SUM($J239,$M239,$P239,$S239),"")</f>
        <v/>
      </c>
      <c r="BH239" s="458" t="str">
        <f>IF(AND($G239='Povolené hodnoty'!$B$14,$H239=BH$4),SUM($J239,$M239,$P239,$S239),"")</f>
        <v/>
      </c>
      <c r="BI239" s="458" t="str">
        <f>IF(AND($G239='Povolené hodnoty'!$B$14,$H239=BI$4),SUM($J239,$M239,$P239,$S239),"")</f>
        <v/>
      </c>
      <c r="BJ239" s="458" t="str">
        <f>IF(AND($G239='Povolené hodnoty'!$B$14,$H239=BJ$4),SUM($J239,$M239,$P239,$S239),"")</f>
        <v/>
      </c>
      <c r="BK239" s="40" t="str">
        <f>IF(AND($G239='Povolené hodnoty'!$B$14,$H239=BK$4),SUM($J239,$M239,$P239,$S239),"")</f>
        <v/>
      </c>
      <c r="BL239" s="40" t="str">
        <f>IF(AND($G239='Povolené hodnoty'!$B$14,$H239=BL$4),SUM($J239,$M239,$P239,$S239),"")</f>
        <v/>
      </c>
      <c r="BM239" s="41" t="str">
        <f>IF(AND($G239='Povolené hodnoty'!$B$14,$H239=BM$4),SUM($J239,$M239,$P239,$S239),"")</f>
        <v/>
      </c>
      <c r="BO239" s="18" t="b">
        <f t="shared" si="141"/>
        <v>0</v>
      </c>
      <c r="BP239" s="18" t="b">
        <f t="shared" si="112"/>
        <v>0</v>
      </c>
      <c r="BQ239" s="18" t="b">
        <f>AND(E239&lt;&gt;'Povolené hodnoty'!$B$6,F239&lt;&gt;'Povolené hodnoty'!$D$7,F239&lt;&gt;'Povolené hodnoty'!$D$8,OR(SUM(I239,L239,O239,R239)&lt;&gt;SUM(W239:X239,AA239:AG239),SUM(J239,M239,P239,S239)&lt;&gt;SUM(Y239:Z239,AH239:AK239),COUNT(I239:J239,L239:M239,O239:P239,R239:S239)&lt;&gt;COUNT(W239:AK239)))</f>
        <v>0</v>
      </c>
      <c r="BR239" s="18" t="b">
        <f>OR(AND(E239='Povolené hodnoty'!$B$6,$BR$5),AND(E239='Povolené hodnoty'!$B$6,H239&lt;&gt;'Povolené hodnoty'!$E$26,H239&lt;&gt;'Povolené hodnoty'!$E$35),AND(E239&lt;&gt;'Povolené hodnoty'!$B$6,OR(H239='Povolené hodnoty'!$E$26,H239='Povolené hodnoty'!$E$35)))</f>
        <v>0</v>
      </c>
      <c r="BS239" s="18" t="b">
        <f>OR(AND(G239&lt;&gt;'Povolené hodnoty'!$B$13,OR(H239='Povolené hodnoty'!$E$21,H239='Povolené hodnoty'!$E$22,H239='Povolené hodnoty'!$E$23,H239='Povolené hodnoty'!$E$24,H239='Povolené hodnoty'!$E$26,H239='Povolené hodnoty'!$E$36)),COUNT(I239:J239,L239:M239,O239:P239,R239:S239)&lt;&gt;COUNT(AL239:BM239))</f>
        <v>0</v>
      </c>
      <c r="BT239" s="18" t="b">
        <f t="shared" si="113"/>
        <v>0</v>
      </c>
      <c r="BV239" s="39" t="str">
        <f t="shared" si="114"/>
        <v/>
      </c>
      <c r="BW239" s="458" t="str">
        <f t="shared" si="115"/>
        <v/>
      </c>
      <c r="BX239" s="458" t="str">
        <f t="shared" si="116"/>
        <v/>
      </c>
      <c r="BY239" s="458" t="str">
        <f t="shared" si="117"/>
        <v/>
      </c>
      <c r="BZ239" s="458" t="str">
        <f t="shared" si="118"/>
        <v/>
      </c>
      <c r="CA239" s="40" t="str">
        <f t="shared" si="119"/>
        <v/>
      </c>
      <c r="CB239" s="40" t="str">
        <f t="shared" si="120"/>
        <v/>
      </c>
      <c r="CC239" s="39" t="str">
        <f t="shared" si="121"/>
        <v/>
      </c>
      <c r="CD239" s="458" t="str">
        <f t="shared" si="122"/>
        <v/>
      </c>
      <c r="CE239" s="41" t="str">
        <f t="shared" si="123"/>
        <v/>
      </c>
      <c r="CF239" s="39" t="str">
        <f t="shared" si="124"/>
        <v/>
      </c>
      <c r="CG239" s="458" t="str">
        <f t="shared" si="125"/>
        <v/>
      </c>
      <c r="CH239" s="458" t="str">
        <f t="shared" si="126"/>
        <v/>
      </c>
      <c r="CI239" s="458" t="str">
        <f t="shared" si="127"/>
        <v/>
      </c>
      <c r="CJ239" s="458" t="str">
        <f t="shared" si="128"/>
        <v/>
      </c>
      <c r="CK239" s="40" t="str">
        <f t="shared" si="129"/>
        <v/>
      </c>
      <c r="CL239" s="40" t="str">
        <f t="shared" si="130"/>
        <v/>
      </c>
      <c r="CM239" s="40" t="str">
        <f t="shared" si="131"/>
        <v/>
      </c>
      <c r="CN239" s="39" t="str">
        <f t="shared" si="132"/>
        <v/>
      </c>
      <c r="CO239" s="458" t="str">
        <f t="shared" si="133"/>
        <v/>
      </c>
      <c r="CP239" s="458" t="str">
        <f t="shared" si="134"/>
        <v/>
      </c>
      <c r="CQ239" s="458" t="str">
        <f t="shared" si="135"/>
        <v/>
      </c>
      <c r="CR239" s="458" t="str">
        <f t="shared" si="136"/>
        <v/>
      </c>
      <c r="CS239" s="40" t="str">
        <f t="shared" si="137"/>
        <v/>
      </c>
      <c r="CT239" s="40" t="str">
        <f t="shared" si="138"/>
        <v/>
      </c>
      <c r="CU239" s="41" t="str">
        <f t="shared" si="139"/>
        <v/>
      </c>
    </row>
    <row r="240" spans="1:99" x14ac:dyDescent="0.2">
      <c r="A240" s="77">
        <f t="shared" si="140"/>
        <v>235</v>
      </c>
      <c r="B240" s="81"/>
      <c r="C240" s="82"/>
      <c r="D240" s="71"/>
      <c r="E240" s="72"/>
      <c r="F240" s="73"/>
      <c r="G240" s="443"/>
      <c r="H240" s="443"/>
      <c r="I240" s="74"/>
      <c r="J240" s="75"/>
      <c r="K240" s="41">
        <f t="shared" si="144"/>
        <v>3625</v>
      </c>
      <c r="L240" s="104"/>
      <c r="M240" s="105"/>
      <c r="N240" s="106">
        <f t="shared" si="145"/>
        <v>537.05999999999995</v>
      </c>
      <c r="O240" s="104"/>
      <c r="P240" s="105"/>
      <c r="Q240" s="106">
        <f t="shared" si="142"/>
        <v>10045.83</v>
      </c>
      <c r="R240" s="104"/>
      <c r="S240" s="105"/>
      <c r="T240" s="106">
        <f t="shared" si="143"/>
        <v>0</v>
      </c>
      <c r="U240" s="439"/>
      <c r="V240" s="42">
        <f t="shared" si="111"/>
        <v>235</v>
      </c>
      <c r="W240" s="39" t="str">
        <f>IF(AND(E240='Povolené hodnoty'!$B$4,F240=2),I240+L240+O240+R240,"")</f>
        <v/>
      </c>
      <c r="X240" s="41" t="str">
        <f>IF(AND(E240='Povolené hodnoty'!$B$4,F240=1),I240+L240+O240+R240,"")</f>
        <v/>
      </c>
      <c r="Y240" s="39" t="str">
        <f>IF(AND(E240='Povolené hodnoty'!$B$4,F240=10),J240+M240+P240+S240,"")</f>
        <v/>
      </c>
      <c r="Z240" s="41" t="str">
        <f>IF(AND(E240='Povolené hodnoty'!$B$4,F240=9),J240+M240+P240+S240,"")</f>
        <v/>
      </c>
      <c r="AA240" s="39" t="str">
        <f>IF(AND(E240&lt;&gt;'Povolené hodnoty'!$B$4,F240=2),I240+L240+O240+R240,"")</f>
        <v/>
      </c>
      <c r="AB240" s="40" t="str">
        <f>IF(AND(E240&lt;&gt;'Povolené hodnoty'!$B$4,F240=3),I240+L240+O240+R240,"")</f>
        <v/>
      </c>
      <c r="AC240" s="40" t="str">
        <f>IF(AND(E240&lt;&gt;'Povolené hodnoty'!$B$4,F240=4),I240+L240+O240+R240,"")</f>
        <v/>
      </c>
      <c r="AD240" s="40" t="str">
        <f>IF(AND(E240&lt;&gt;'Povolené hodnoty'!$B$4,F240="5a"),I240-J240+L240-M240+O240-P240+R240-S240,"")</f>
        <v/>
      </c>
      <c r="AE240" s="40" t="str">
        <f>IF(AND(E240&lt;&gt;'Povolené hodnoty'!$B$4,F240="5b"),I240-J240+L240-M240+O240-P240+R240-S240,"")</f>
        <v/>
      </c>
      <c r="AF240" s="40" t="str">
        <f>IF(AND(E240&lt;&gt;'Povolené hodnoty'!$B$4,F240=6),I240+L240+O240+R240,"")</f>
        <v/>
      </c>
      <c r="AG240" s="41" t="str">
        <f>IF(AND(E240&lt;&gt;'Povolené hodnoty'!$B$4,F240=7),I240+L240+O240+R240,"")</f>
        <v/>
      </c>
      <c r="AH240" s="39" t="str">
        <f>IF(AND(E240&lt;&gt;'Povolené hodnoty'!$B$4,F240=10),J240+M240+P240+S240,"")</f>
        <v/>
      </c>
      <c r="AI240" s="40" t="str">
        <f>IF(AND(E240&lt;&gt;'Povolené hodnoty'!$B$4,F240=11),J240+M240+P240+S240,"")</f>
        <v/>
      </c>
      <c r="AJ240" s="40" t="str">
        <f>IF(AND(E240&lt;&gt;'Povolené hodnoty'!$B$4,F240=12),J240+M240+P240+S240,"")</f>
        <v/>
      </c>
      <c r="AK240" s="41" t="str">
        <f>IF(AND(E240&lt;&gt;'Povolené hodnoty'!$B$4,F240=13),J240+M240+P240+S240,"")</f>
        <v/>
      </c>
      <c r="AL240" s="39" t="str">
        <f>IF(AND($G240='Povolené hodnoty'!$B$13,$H240=AL$4),SUM($I240,$L240,$O240,$R240),"")</f>
        <v/>
      </c>
      <c r="AM240" s="458" t="str">
        <f>IF(AND($G240='Povolené hodnoty'!$B$13,$H240=AM$4),SUM($I240,$L240,$O240,$R240),"")</f>
        <v/>
      </c>
      <c r="AN240" s="458" t="str">
        <f>IF(AND($G240='Povolené hodnoty'!$B$13,$H240=AN$4),SUM($I240,$L240,$O240,$R240),"")</f>
        <v/>
      </c>
      <c r="AO240" s="458" t="str">
        <f>IF(AND($G240='Povolené hodnoty'!$B$13,$H240=AO$4),SUM($I240,$L240,$O240,$R240),"")</f>
        <v/>
      </c>
      <c r="AP240" s="458" t="str">
        <f>IF(AND($G240='Povolené hodnoty'!$B$13,$H240=AP$4),SUM($I240,$L240,$O240,$R240),"")</f>
        <v/>
      </c>
      <c r="AQ240" s="40" t="str">
        <f>IF(AND($G240='Povolené hodnoty'!$B$13,OR($H240=AQ$4,$H240='Povolené hodnoty'!$E$36)),SUM($I240,-$J240,$L240,-$M240,$O240,-$P240,$R240,-$S240),"")</f>
        <v/>
      </c>
      <c r="AR240" s="40" t="str">
        <f>IF(AND($G240='Povolené hodnoty'!$B$13,$H240=AR$4),SUM($I240,$L240,$O240,$R240),"")</f>
        <v/>
      </c>
      <c r="AS240" s="41" t="str">
        <f>IF(AND($G240='Povolené hodnoty'!$B$13,$H240=AS$4),SUM($I240,$L240,$O240,$R240),"")</f>
        <v/>
      </c>
      <c r="AT240" s="39" t="str">
        <f>IF(AND($G240='Povolené hodnoty'!$B$14,$H240=AT$4),SUM($I240,$L240,$O240,$R240),"")</f>
        <v/>
      </c>
      <c r="AU240" s="458" t="str">
        <f>IF(AND($G240='Povolené hodnoty'!$B$14,$H240=AU$4),SUM($I240,$L240,$O240,$R240),"")</f>
        <v/>
      </c>
      <c r="AV240" s="41" t="str">
        <f>IF(AND($G240='Povolené hodnoty'!$B$14,$H240=AV$4),SUM($I240,$L240,$O240,$R240),"")</f>
        <v/>
      </c>
      <c r="AW240" s="39" t="str">
        <f>IF(AND($G240='Povolené hodnoty'!$B$13,$H240=AW$4),SUM($J240,$M240,$P240,$S240),"")</f>
        <v/>
      </c>
      <c r="AX240" s="458" t="str">
        <f>IF(AND($G240='Povolené hodnoty'!$B$13,$H240=AX$4),SUM($J240,$M240,$P240,$S240),"")</f>
        <v/>
      </c>
      <c r="AY240" s="458" t="str">
        <f>IF(AND($G240='Povolené hodnoty'!$B$13,$H240=AY$4),SUM($J240,$M240,$P240,$S240),"")</f>
        <v/>
      </c>
      <c r="AZ240" s="458" t="str">
        <f>IF(AND($G240='Povolené hodnoty'!$B$13,$H240=AZ$4),SUM($J240,$M240,$P240,$S240),"")</f>
        <v/>
      </c>
      <c r="BA240" s="458" t="str">
        <f>IF(AND($G240='Povolené hodnoty'!$B$13,$H240=BA$4),SUM($J240,$M240,$P240,$S240),"")</f>
        <v/>
      </c>
      <c r="BB240" s="40" t="str">
        <f>IF(AND($G240='Povolené hodnoty'!$B$13,$H240=BB$4),SUM($J240,$M240,$P240,$S240),"")</f>
        <v/>
      </c>
      <c r="BC240" s="40" t="str">
        <f>IF(AND($G240='Povolené hodnoty'!$B$13,$H240=BC$4),SUM($J240,$M240,$P240,$S240),"")</f>
        <v/>
      </c>
      <c r="BD240" s="40" t="str">
        <f>IF(AND($G240='Povolené hodnoty'!$B$13,$H240=BD$4),SUM($J240,$M240,$P240,$S240),"")</f>
        <v/>
      </c>
      <c r="BE240" s="41" t="str">
        <f>IF(AND($G240='Povolené hodnoty'!$B$13,$H240=BE$4),SUM($J240,$M240,$P240,$S240),"")</f>
        <v/>
      </c>
      <c r="BF240" s="39" t="str">
        <f>IF(AND($G240='Povolené hodnoty'!$B$14,$H240=BF$4),SUM($J240,$M240,$P240,$S240),"")</f>
        <v/>
      </c>
      <c r="BG240" s="458" t="str">
        <f>IF(AND($G240='Povolené hodnoty'!$B$14,$H240=BG$4),SUM($J240,$M240,$P240,$S240),"")</f>
        <v/>
      </c>
      <c r="BH240" s="458" t="str">
        <f>IF(AND($G240='Povolené hodnoty'!$B$14,$H240=BH$4),SUM($J240,$M240,$P240,$S240),"")</f>
        <v/>
      </c>
      <c r="BI240" s="458" t="str">
        <f>IF(AND($G240='Povolené hodnoty'!$B$14,$H240=BI$4),SUM($J240,$M240,$P240,$S240),"")</f>
        <v/>
      </c>
      <c r="BJ240" s="458" t="str">
        <f>IF(AND($G240='Povolené hodnoty'!$B$14,$H240=BJ$4),SUM($J240,$M240,$P240,$S240),"")</f>
        <v/>
      </c>
      <c r="BK240" s="40" t="str">
        <f>IF(AND($G240='Povolené hodnoty'!$B$14,$H240=BK$4),SUM($J240,$M240,$P240,$S240),"")</f>
        <v/>
      </c>
      <c r="BL240" s="40" t="str">
        <f>IF(AND($G240='Povolené hodnoty'!$B$14,$H240=BL$4),SUM($J240,$M240,$P240,$S240),"")</f>
        <v/>
      </c>
      <c r="BM240" s="41" t="str">
        <f>IF(AND($G240='Povolené hodnoty'!$B$14,$H240=BM$4),SUM($J240,$M240,$P240,$S240),"")</f>
        <v/>
      </c>
      <c r="BO240" s="18" t="b">
        <f t="shared" si="141"/>
        <v>0</v>
      </c>
      <c r="BP240" s="18" t="b">
        <f t="shared" si="112"/>
        <v>0</v>
      </c>
      <c r="BQ240" s="18" t="b">
        <f>AND(E240&lt;&gt;'Povolené hodnoty'!$B$6,F240&lt;&gt;'Povolené hodnoty'!$D$7,F240&lt;&gt;'Povolené hodnoty'!$D$8,OR(SUM(I240,L240,O240,R240)&lt;&gt;SUM(W240:X240,AA240:AG240),SUM(J240,M240,P240,S240)&lt;&gt;SUM(Y240:Z240,AH240:AK240),COUNT(I240:J240,L240:M240,O240:P240,R240:S240)&lt;&gt;COUNT(W240:AK240)))</f>
        <v>0</v>
      </c>
      <c r="BR240" s="18" t="b">
        <f>OR(AND(E240='Povolené hodnoty'!$B$6,$BR$5),AND(E240='Povolené hodnoty'!$B$6,H240&lt;&gt;'Povolené hodnoty'!$E$26,H240&lt;&gt;'Povolené hodnoty'!$E$35),AND(E240&lt;&gt;'Povolené hodnoty'!$B$6,OR(H240='Povolené hodnoty'!$E$26,H240='Povolené hodnoty'!$E$35)))</f>
        <v>0</v>
      </c>
      <c r="BS240" s="18" t="b">
        <f>OR(AND(G240&lt;&gt;'Povolené hodnoty'!$B$13,OR(H240='Povolené hodnoty'!$E$21,H240='Povolené hodnoty'!$E$22,H240='Povolené hodnoty'!$E$23,H240='Povolené hodnoty'!$E$24,H240='Povolené hodnoty'!$E$26,H240='Povolené hodnoty'!$E$36)),COUNT(I240:J240,L240:M240,O240:P240,R240:S240)&lt;&gt;COUNT(AL240:BM240))</f>
        <v>0</v>
      </c>
      <c r="BT240" s="18" t="b">
        <f t="shared" si="113"/>
        <v>0</v>
      </c>
      <c r="BV240" s="39" t="str">
        <f t="shared" si="114"/>
        <v/>
      </c>
      <c r="BW240" s="458" t="str">
        <f t="shared" si="115"/>
        <v/>
      </c>
      <c r="BX240" s="458" t="str">
        <f t="shared" si="116"/>
        <v/>
      </c>
      <c r="BY240" s="458" t="str">
        <f t="shared" si="117"/>
        <v/>
      </c>
      <c r="BZ240" s="458" t="str">
        <f t="shared" si="118"/>
        <v/>
      </c>
      <c r="CA240" s="40" t="str">
        <f t="shared" si="119"/>
        <v/>
      </c>
      <c r="CB240" s="40" t="str">
        <f t="shared" si="120"/>
        <v/>
      </c>
      <c r="CC240" s="39" t="str">
        <f t="shared" si="121"/>
        <v/>
      </c>
      <c r="CD240" s="458" t="str">
        <f t="shared" si="122"/>
        <v/>
      </c>
      <c r="CE240" s="41" t="str">
        <f t="shared" si="123"/>
        <v/>
      </c>
      <c r="CF240" s="39" t="str">
        <f t="shared" si="124"/>
        <v/>
      </c>
      <c r="CG240" s="458" t="str">
        <f t="shared" si="125"/>
        <v/>
      </c>
      <c r="CH240" s="458" t="str">
        <f t="shared" si="126"/>
        <v/>
      </c>
      <c r="CI240" s="458" t="str">
        <f t="shared" si="127"/>
        <v/>
      </c>
      <c r="CJ240" s="458" t="str">
        <f t="shared" si="128"/>
        <v/>
      </c>
      <c r="CK240" s="40" t="str">
        <f t="shared" si="129"/>
        <v/>
      </c>
      <c r="CL240" s="40" t="str">
        <f t="shared" si="130"/>
        <v/>
      </c>
      <c r="CM240" s="40" t="str">
        <f t="shared" si="131"/>
        <v/>
      </c>
      <c r="CN240" s="39" t="str">
        <f t="shared" si="132"/>
        <v/>
      </c>
      <c r="CO240" s="458" t="str">
        <f t="shared" si="133"/>
        <v/>
      </c>
      <c r="CP240" s="458" t="str">
        <f t="shared" si="134"/>
        <v/>
      </c>
      <c r="CQ240" s="458" t="str">
        <f t="shared" si="135"/>
        <v/>
      </c>
      <c r="CR240" s="458" t="str">
        <f t="shared" si="136"/>
        <v/>
      </c>
      <c r="CS240" s="40" t="str">
        <f t="shared" si="137"/>
        <v/>
      </c>
      <c r="CT240" s="40" t="str">
        <f t="shared" si="138"/>
        <v/>
      </c>
      <c r="CU240" s="41" t="str">
        <f t="shared" si="139"/>
        <v/>
      </c>
    </row>
    <row r="241" spans="1:99" x14ac:dyDescent="0.2">
      <c r="A241" s="77">
        <f t="shared" si="140"/>
        <v>236</v>
      </c>
      <c r="B241" s="81"/>
      <c r="C241" s="82"/>
      <c r="D241" s="71"/>
      <c r="E241" s="72"/>
      <c r="F241" s="73"/>
      <c r="G241" s="443"/>
      <c r="H241" s="443"/>
      <c r="I241" s="74"/>
      <c r="J241" s="75"/>
      <c r="K241" s="41">
        <f t="shared" si="144"/>
        <v>3625</v>
      </c>
      <c r="L241" s="104"/>
      <c r="M241" s="105"/>
      <c r="N241" s="106">
        <f t="shared" si="145"/>
        <v>537.05999999999995</v>
      </c>
      <c r="O241" s="104"/>
      <c r="P241" s="105"/>
      <c r="Q241" s="106">
        <f t="shared" si="142"/>
        <v>10045.83</v>
      </c>
      <c r="R241" s="104"/>
      <c r="S241" s="105"/>
      <c r="T241" s="106">
        <f t="shared" si="143"/>
        <v>0</v>
      </c>
      <c r="U241" s="439"/>
      <c r="V241" s="42">
        <f t="shared" si="111"/>
        <v>236</v>
      </c>
      <c r="W241" s="39" t="str">
        <f>IF(AND(E241='Povolené hodnoty'!$B$4,F241=2),I241+L241+O241+R241,"")</f>
        <v/>
      </c>
      <c r="X241" s="41" t="str">
        <f>IF(AND(E241='Povolené hodnoty'!$B$4,F241=1),I241+L241+O241+R241,"")</f>
        <v/>
      </c>
      <c r="Y241" s="39" t="str">
        <f>IF(AND(E241='Povolené hodnoty'!$B$4,F241=10),J241+M241+P241+S241,"")</f>
        <v/>
      </c>
      <c r="Z241" s="41" t="str">
        <f>IF(AND(E241='Povolené hodnoty'!$B$4,F241=9),J241+M241+P241+S241,"")</f>
        <v/>
      </c>
      <c r="AA241" s="39" t="str">
        <f>IF(AND(E241&lt;&gt;'Povolené hodnoty'!$B$4,F241=2),I241+L241+O241+R241,"")</f>
        <v/>
      </c>
      <c r="AB241" s="40" t="str">
        <f>IF(AND(E241&lt;&gt;'Povolené hodnoty'!$B$4,F241=3),I241+L241+O241+R241,"")</f>
        <v/>
      </c>
      <c r="AC241" s="40" t="str">
        <f>IF(AND(E241&lt;&gt;'Povolené hodnoty'!$B$4,F241=4),I241+L241+O241+R241,"")</f>
        <v/>
      </c>
      <c r="AD241" s="40" t="str">
        <f>IF(AND(E241&lt;&gt;'Povolené hodnoty'!$B$4,F241="5a"),I241-J241+L241-M241+O241-P241+R241-S241,"")</f>
        <v/>
      </c>
      <c r="AE241" s="40" t="str">
        <f>IF(AND(E241&lt;&gt;'Povolené hodnoty'!$B$4,F241="5b"),I241-J241+L241-M241+O241-P241+R241-S241,"")</f>
        <v/>
      </c>
      <c r="AF241" s="40" t="str">
        <f>IF(AND(E241&lt;&gt;'Povolené hodnoty'!$B$4,F241=6),I241+L241+O241+R241,"")</f>
        <v/>
      </c>
      <c r="AG241" s="41" t="str">
        <f>IF(AND(E241&lt;&gt;'Povolené hodnoty'!$B$4,F241=7),I241+L241+O241+R241,"")</f>
        <v/>
      </c>
      <c r="AH241" s="39" t="str">
        <f>IF(AND(E241&lt;&gt;'Povolené hodnoty'!$B$4,F241=10),J241+M241+P241+S241,"")</f>
        <v/>
      </c>
      <c r="AI241" s="40" t="str">
        <f>IF(AND(E241&lt;&gt;'Povolené hodnoty'!$B$4,F241=11),J241+M241+P241+S241,"")</f>
        <v/>
      </c>
      <c r="AJ241" s="40" t="str">
        <f>IF(AND(E241&lt;&gt;'Povolené hodnoty'!$B$4,F241=12),J241+M241+P241+S241,"")</f>
        <v/>
      </c>
      <c r="AK241" s="41" t="str">
        <f>IF(AND(E241&lt;&gt;'Povolené hodnoty'!$B$4,F241=13),J241+M241+P241+S241,"")</f>
        <v/>
      </c>
      <c r="AL241" s="39" t="str">
        <f>IF(AND($G241='Povolené hodnoty'!$B$13,$H241=AL$4),SUM($I241,$L241,$O241,$R241),"")</f>
        <v/>
      </c>
      <c r="AM241" s="458" t="str">
        <f>IF(AND($G241='Povolené hodnoty'!$B$13,$H241=AM$4),SUM($I241,$L241,$O241,$R241),"")</f>
        <v/>
      </c>
      <c r="AN241" s="458" t="str">
        <f>IF(AND($G241='Povolené hodnoty'!$B$13,$H241=AN$4),SUM($I241,$L241,$O241,$R241),"")</f>
        <v/>
      </c>
      <c r="AO241" s="458" t="str">
        <f>IF(AND($G241='Povolené hodnoty'!$B$13,$H241=AO$4),SUM($I241,$L241,$O241,$R241),"")</f>
        <v/>
      </c>
      <c r="AP241" s="458" t="str">
        <f>IF(AND($G241='Povolené hodnoty'!$B$13,$H241=AP$4),SUM($I241,$L241,$O241,$R241),"")</f>
        <v/>
      </c>
      <c r="AQ241" s="40" t="str">
        <f>IF(AND($G241='Povolené hodnoty'!$B$13,OR($H241=AQ$4,$H241='Povolené hodnoty'!$E$36)),SUM($I241,-$J241,$L241,-$M241,$O241,-$P241,$R241,-$S241),"")</f>
        <v/>
      </c>
      <c r="AR241" s="40" t="str">
        <f>IF(AND($G241='Povolené hodnoty'!$B$13,$H241=AR$4),SUM($I241,$L241,$O241,$R241),"")</f>
        <v/>
      </c>
      <c r="AS241" s="41" t="str">
        <f>IF(AND($G241='Povolené hodnoty'!$B$13,$H241=AS$4),SUM($I241,$L241,$O241,$R241),"")</f>
        <v/>
      </c>
      <c r="AT241" s="39" t="str">
        <f>IF(AND($G241='Povolené hodnoty'!$B$14,$H241=AT$4),SUM($I241,$L241,$O241,$R241),"")</f>
        <v/>
      </c>
      <c r="AU241" s="458" t="str">
        <f>IF(AND($G241='Povolené hodnoty'!$B$14,$H241=AU$4),SUM($I241,$L241,$O241,$R241),"")</f>
        <v/>
      </c>
      <c r="AV241" s="41" t="str">
        <f>IF(AND($G241='Povolené hodnoty'!$B$14,$H241=AV$4),SUM($I241,$L241,$O241,$R241),"")</f>
        <v/>
      </c>
      <c r="AW241" s="39" t="str">
        <f>IF(AND($G241='Povolené hodnoty'!$B$13,$H241=AW$4),SUM($J241,$M241,$P241,$S241),"")</f>
        <v/>
      </c>
      <c r="AX241" s="458" t="str">
        <f>IF(AND($G241='Povolené hodnoty'!$B$13,$H241=AX$4),SUM($J241,$M241,$P241,$S241),"")</f>
        <v/>
      </c>
      <c r="AY241" s="458" t="str">
        <f>IF(AND($G241='Povolené hodnoty'!$B$13,$H241=AY$4),SUM($J241,$M241,$P241,$S241),"")</f>
        <v/>
      </c>
      <c r="AZ241" s="458" t="str">
        <f>IF(AND($G241='Povolené hodnoty'!$B$13,$H241=AZ$4),SUM($J241,$M241,$P241,$S241),"")</f>
        <v/>
      </c>
      <c r="BA241" s="458" t="str">
        <f>IF(AND($G241='Povolené hodnoty'!$B$13,$H241=BA$4),SUM($J241,$M241,$P241,$S241),"")</f>
        <v/>
      </c>
      <c r="BB241" s="40" t="str">
        <f>IF(AND($G241='Povolené hodnoty'!$B$13,$H241=BB$4),SUM($J241,$M241,$P241,$S241),"")</f>
        <v/>
      </c>
      <c r="BC241" s="40" t="str">
        <f>IF(AND($G241='Povolené hodnoty'!$B$13,$H241=BC$4),SUM($J241,$M241,$P241,$S241),"")</f>
        <v/>
      </c>
      <c r="BD241" s="40" t="str">
        <f>IF(AND($G241='Povolené hodnoty'!$B$13,$H241=BD$4),SUM($J241,$M241,$P241,$S241),"")</f>
        <v/>
      </c>
      <c r="BE241" s="41" t="str">
        <f>IF(AND($G241='Povolené hodnoty'!$B$13,$H241=BE$4),SUM($J241,$M241,$P241,$S241),"")</f>
        <v/>
      </c>
      <c r="BF241" s="39" t="str">
        <f>IF(AND($G241='Povolené hodnoty'!$B$14,$H241=BF$4),SUM($J241,$M241,$P241,$S241),"")</f>
        <v/>
      </c>
      <c r="BG241" s="458" t="str">
        <f>IF(AND($G241='Povolené hodnoty'!$B$14,$H241=BG$4),SUM($J241,$M241,$P241,$S241),"")</f>
        <v/>
      </c>
      <c r="BH241" s="458" t="str">
        <f>IF(AND($G241='Povolené hodnoty'!$B$14,$H241=BH$4),SUM($J241,$M241,$P241,$S241),"")</f>
        <v/>
      </c>
      <c r="BI241" s="458" t="str">
        <f>IF(AND($G241='Povolené hodnoty'!$B$14,$H241=BI$4),SUM($J241,$M241,$P241,$S241),"")</f>
        <v/>
      </c>
      <c r="BJ241" s="458" t="str">
        <f>IF(AND($G241='Povolené hodnoty'!$B$14,$H241=BJ$4),SUM($J241,$M241,$P241,$S241),"")</f>
        <v/>
      </c>
      <c r="BK241" s="40" t="str">
        <f>IF(AND($G241='Povolené hodnoty'!$B$14,$H241=BK$4),SUM($J241,$M241,$P241,$S241),"")</f>
        <v/>
      </c>
      <c r="BL241" s="40" t="str">
        <f>IF(AND($G241='Povolené hodnoty'!$B$14,$H241=BL$4),SUM($J241,$M241,$P241,$S241),"")</f>
        <v/>
      </c>
      <c r="BM241" s="41" t="str">
        <f>IF(AND($G241='Povolené hodnoty'!$B$14,$H241=BM$4),SUM($J241,$M241,$P241,$S241),"")</f>
        <v/>
      </c>
      <c r="BO241" s="18" t="b">
        <f t="shared" si="141"/>
        <v>0</v>
      </c>
      <c r="BP241" s="18" t="b">
        <f t="shared" si="112"/>
        <v>0</v>
      </c>
      <c r="BQ241" s="18" t="b">
        <f>AND(E241&lt;&gt;'Povolené hodnoty'!$B$6,F241&lt;&gt;'Povolené hodnoty'!$D$7,F241&lt;&gt;'Povolené hodnoty'!$D$8,OR(SUM(I241,L241,O241,R241)&lt;&gt;SUM(W241:X241,AA241:AG241),SUM(J241,M241,P241,S241)&lt;&gt;SUM(Y241:Z241,AH241:AK241),COUNT(I241:J241,L241:M241,O241:P241,R241:S241)&lt;&gt;COUNT(W241:AK241)))</f>
        <v>0</v>
      </c>
      <c r="BR241" s="18" t="b">
        <f>OR(AND(E241='Povolené hodnoty'!$B$6,$BR$5),AND(E241='Povolené hodnoty'!$B$6,H241&lt;&gt;'Povolené hodnoty'!$E$26,H241&lt;&gt;'Povolené hodnoty'!$E$35),AND(E241&lt;&gt;'Povolené hodnoty'!$B$6,OR(H241='Povolené hodnoty'!$E$26,H241='Povolené hodnoty'!$E$35)))</f>
        <v>0</v>
      </c>
      <c r="BS241" s="18" t="b">
        <f>OR(AND(G241&lt;&gt;'Povolené hodnoty'!$B$13,OR(H241='Povolené hodnoty'!$E$21,H241='Povolené hodnoty'!$E$22,H241='Povolené hodnoty'!$E$23,H241='Povolené hodnoty'!$E$24,H241='Povolené hodnoty'!$E$26,H241='Povolené hodnoty'!$E$36)),COUNT(I241:J241,L241:M241,O241:P241,R241:S241)&lt;&gt;COUNT(AL241:BM241))</f>
        <v>0</v>
      </c>
      <c r="BT241" s="18" t="b">
        <f t="shared" si="113"/>
        <v>0</v>
      </c>
      <c r="BV241" s="39" t="str">
        <f t="shared" si="114"/>
        <v/>
      </c>
      <c r="BW241" s="458" t="str">
        <f t="shared" si="115"/>
        <v/>
      </c>
      <c r="BX241" s="458" t="str">
        <f t="shared" si="116"/>
        <v/>
      </c>
      <c r="BY241" s="458" t="str">
        <f t="shared" si="117"/>
        <v/>
      </c>
      <c r="BZ241" s="458" t="str">
        <f t="shared" si="118"/>
        <v/>
      </c>
      <c r="CA241" s="40" t="str">
        <f t="shared" si="119"/>
        <v/>
      </c>
      <c r="CB241" s="40" t="str">
        <f t="shared" si="120"/>
        <v/>
      </c>
      <c r="CC241" s="39" t="str">
        <f t="shared" si="121"/>
        <v/>
      </c>
      <c r="CD241" s="458" t="str">
        <f t="shared" si="122"/>
        <v/>
      </c>
      <c r="CE241" s="41" t="str">
        <f t="shared" si="123"/>
        <v/>
      </c>
      <c r="CF241" s="39" t="str">
        <f t="shared" si="124"/>
        <v/>
      </c>
      <c r="CG241" s="458" t="str">
        <f t="shared" si="125"/>
        <v/>
      </c>
      <c r="CH241" s="458" t="str">
        <f t="shared" si="126"/>
        <v/>
      </c>
      <c r="CI241" s="458" t="str">
        <f t="shared" si="127"/>
        <v/>
      </c>
      <c r="CJ241" s="458" t="str">
        <f t="shared" si="128"/>
        <v/>
      </c>
      <c r="CK241" s="40" t="str">
        <f t="shared" si="129"/>
        <v/>
      </c>
      <c r="CL241" s="40" t="str">
        <f t="shared" si="130"/>
        <v/>
      </c>
      <c r="CM241" s="40" t="str">
        <f t="shared" si="131"/>
        <v/>
      </c>
      <c r="CN241" s="39" t="str">
        <f t="shared" si="132"/>
        <v/>
      </c>
      <c r="CO241" s="458" t="str">
        <f t="shared" si="133"/>
        <v/>
      </c>
      <c r="CP241" s="458" t="str">
        <f t="shared" si="134"/>
        <v/>
      </c>
      <c r="CQ241" s="458" t="str">
        <f t="shared" si="135"/>
        <v/>
      </c>
      <c r="CR241" s="458" t="str">
        <f t="shared" si="136"/>
        <v/>
      </c>
      <c r="CS241" s="40" t="str">
        <f t="shared" si="137"/>
        <v/>
      </c>
      <c r="CT241" s="40" t="str">
        <f t="shared" si="138"/>
        <v/>
      </c>
      <c r="CU241" s="41" t="str">
        <f t="shared" si="139"/>
        <v/>
      </c>
    </row>
    <row r="242" spans="1:99" x14ac:dyDescent="0.2">
      <c r="A242" s="77">
        <f t="shared" si="140"/>
        <v>237</v>
      </c>
      <c r="B242" s="81"/>
      <c r="C242" s="82"/>
      <c r="D242" s="71"/>
      <c r="E242" s="72"/>
      <c r="F242" s="73"/>
      <c r="G242" s="443"/>
      <c r="H242" s="443"/>
      <c r="I242" s="74"/>
      <c r="J242" s="75"/>
      <c r="K242" s="41">
        <f t="shared" si="144"/>
        <v>3625</v>
      </c>
      <c r="L242" s="104"/>
      <c r="M242" s="105"/>
      <c r="N242" s="106">
        <f t="shared" si="145"/>
        <v>537.05999999999995</v>
      </c>
      <c r="O242" s="104"/>
      <c r="P242" s="105"/>
      <c r="Q242" s="106">
        <f t="shared" si="142"/>
        <v>10045.83</v>
      </c>
      <c r="R242" s="104"/>
      <c r="S242" s="105"/>
      <c r="T242" s="106">
        <f t="shared" si="143"/>
        <v>0</v>
      </c>
      <c r="U242" s="439"/>
      <c r="V242" s="42">
        <f t="shared" si="111"/>
        <v>237</v>
      </c>
      <c r="W242" s="39" t="str">
        <f>IF(AND(E242='Povolené hodnoty'!$B$4,F242=2),I242+L242+O242+R242,"")</f>
        <v/>
      </c>
      <c r="X242" s="41" t="str">
        <f>IF(AND(E242='Povolené hodnoty'!$B$4,F242=1),I242+L242+O242+R242,"")</f>
        <v/>
      </c>
      <c r="Y242" s="39" t="str">
        <f>IF(AND(E242='Povolené hodnoty'!$B$4,F242=10),J242+M242+P242+S242,"")</f>
        <v/>
      </c>
      <c r="Z242" s="41" t="str">
        <f>IF(AND(E242='Povolené hodnoty'!$B$4,F242=9),J242+M242+P242+S242,"")</f>
        <v/>
      </c>
      <c r="AA242" s="39" t="str">
        <f>IF(AND(E242&lt;&gt;'Povolené hodnoty'!$B$4,F242=2),I242+L242+O242+R242,"")</f>
        <v/>
      </c>
      <c r="AB242" s="40" t="str">
        <f>IF(AND(E242&lt;&gt;'Povolené hodnoty'!$B$4,F242=3),I242+L242+O242+R242,"")</f>
        <v/>
      </c>
      <c r="AC242" s="40" t="str">
        <f>IF(AND(E242&lt;&gt;'Povolené hodnoty'!$B$4,F242=4),I242+L242+O242+R242,"")</f>
        <v/>
      </c>
      <c r="AD242" s="40" t="str">
        <f>IF(AND(E242&lt;&gt;'Povolené hodnoty'!$B$4,F242="5a"),I242-J242+L242-M242+O242-P242+R242-S242,"")</f>
        <v/>
      </c>
      <c r="AE242" s="40" t="str">
        <f>IF(AND(E242&lt;&gt;'Povolené hodnoty'!$B$4,F242="5b"),I242-J242+L242-M242+O242-P242+R242-S242,"")</f>
        <v/>
      </c>
      <c r="AF242" s="40" t="str">
        <f>IF(AND(E242&lt;&gt;'Povolené hodnoty'!$B$4,F242=6),I242+L242+O242+R242,"")</f>
        <v/>
      </c>
      <c r="AG242" s="41" t="str">
        <f>IF(AND(E242&lt;&gt;'Povolené hodnoty'!$B$4,F242=7),I242+L242+O242+R242,"")</f>
        <v/>
      </c>
      <c r="AH242" s="39" t="str">
        <f>IF(AND(E242&lt;&gt;'Povolené hodnoty'!$B$4,F242=10),J242+M242+P242+S242,"")</f>
        <v/>
      </c>
      <c r="AI242" s="40" t="str">
        <f>IF(AND(E242&lt;&gt;'Povolené hodnoty'!$B$4,F242=11),J242+M242+P242+S242,"")</f>
        <v/>
      </c>
      <c r="AJ242" s="40" t="str">
        <f>IF(AND(E242&lt;&gt;'Povolené hodnoty'!$B$4,F242=12),J242+M242+P242+S242,"")</f>
        <v/>
      </c>
      <c r="AK242" s="41" t="str">
        <f>IF(AND(E242&lt;&gt;'Povolené hodnoty'!$B$4,F242=13),J242+M242+P242+S242,"")</f>
        <v/>
      </c>
      <c r="AL242" s="39" t="str">
        <f>IF(AND($G242='Povolené hodnoty'!$B$13,$H242=AL$4),SUM($I242,$L242,$O242,$R242),"")</f>
        <v/>
      </c>
      <c r="AM242" s="458" t="str">
        <f>IF(AND($G242='Povolené hodnoty'!$B$13,$H242=AM$4),SUM($I242,$L242,$O242,$R242),"")</f>
        <v/>
      </c>
      <c r="AN242" s="458" t="str">
        <f>IF(AND($G242='Povolené hodnoty'!$B$13,$H242=AN$4),SUM($I242,$L242,$O242,$R242),"")</f>
        <v/>
      </c>
      <c r="AO242" s="458" t="str">
        <f>IF(AND($G242='Povolené hodnoty'!$B$13,$H242=AO$4),SUM($I242,$L242,$O242,$R242),"")</f>
        <v/>
      </c>
      <c r="AP242" s="458" t="str">
        <f>IF(AND($G242='Povolené hodnoty'!$B$13,$H242=AP$4),SUM($I242,$L242,$O242,$R242),"")</f>
        <v/>
      </c>
      <c r="AQ242" s="40" t="str">
        <f>IF(AND($G242='Povolené hodnoty'!$B$13,OR($H242=AQ$4,$H242='Povolené hodnoty'!$E$36)),SUM($I242,-$J242,$L242,-$M242,$O242,-$P242,$R242,-$S242),"")</f>
        <v/>
      </c>
      <c r="AR242" s="40" t="str">
        <f>IF(AND($G242='Povolené hodnoty'!$B$13,$H242=AR$4),SUM($I242,$L242,$O242,$R242),"")</f>
        <v/>
      </c>
      <c r="AS242" s="41" t="str">
        <f>IF(AND($G242='Povolené hodnoty'!$B$13,$H242=AS$4),SUM($I242,$L242,$O242,$R242),"")</f>
        <v/>
      </c>
      <c r="AT242" s="39" t="str">
        <f>IF(AND($G242='Povolené hodnoty'!$B$14,$H242=AT$4),SUM($I242,$L242,$O242,$R242),"")</f>
        <v/>
      </c>
      <c r="AU242" s="458" t="str">
        <f>IF(AND($G242='Povolené hodnoty'!$B$14,$H242=AU$4),SUM($I242,$L242,$O242,$R242),"")</f>
        <v/>
      </c>
      <c r="AV242" s="41" t="str">
        <f>IF(AND($G242='Povolené hodnoty'!$B$14,$H242=AV$4),SUM($I242,$L242,$O242,$R242),"")</f>
        <v/>
      </c>
      <c r="AW242" s="39" t="str">
        <f>IF(AND($G242='Povolené hodnoty'!$B$13,$H242=AW$4),SUM($J242,$M242,$P242,$S242),"")</f>
        <v/>
      </c>
      <c r="AX242" s="458" t="str">
        <f>IF(AND($G242='Povolené hodnoty'!$B$13,$H242=AX$4),SUM($J242,$M242,$P242,$S242),"")</f>
        <v/>
      </c>
      <c r="AY242" s="458" t="str">
        <f>IF(AND($G242='Povolené hodnoty'!$B$13,$H242=AY$4),SUM($J242,$M242,$P242,$S242),"")</f>
        <v/>
      </c>
      <c r="AZ242" s="458" t="str">
        <f>IF(AND($G242='Povolené hodnoty'!$B$13,$H242=AZ$4),SUM($J242,$M242,$P242,$S242),"")</f>
        <v/>
      </c>
      <c r="BA242" s="458" t="str">
        <f>IF(AND($G242='Povolené hodnoty'!$B$13,$H242=BA$4),SUM($J242,$M242,$P242,$S242),"")</f>
        <v/>
      </c>
      <c r="BB242" s="40" t="str">
        <f>IF(AND($G242='Povolené hodnoty'!$B$13,$H242=BB$4),SUM($J242,$M242,$P242,$S242),"")</f>
        <v/>
      </c>
      <c r="BC242" s="40" t="str">
        <f>IF(AND($G242='Povolené hodnoty'!$B$13,$H242=BC$4),SUM($J242,$M242,$P242,$S242),"")</f>
        <v/>
      </c>
      <c r="BD242" s="40" t="str">
        <f>IF(AND($G242='Povolené hodnoty'!$B$13,$H242=BD$4),SUM($J242,$M242,$P242,$S242),"")</f>
        <v/>
      </c>
      <c r="BE242" s="41" t="str">
        <f>IF(AND($G242='Povolené hodnoty'!$B$13,$H242=BE$4),SUM($J242,$M242,$P242,$S242),"")</f>
        <v/>
      </c>
      <c r="BF242" s="39" t="str">
        <f>IF(AND($G242='Povolené hodnoty'!$B$14,$H242=BF$4),SUM($J242,$M242,$P242,$S242),"")</f>
        <v/>
      </c>
      <c r="BG242" s="458" t="str">
        <f>IF(AND($G242='Povolené hodnoty'!$B$14,$H242=BG$4),SUM($J242,$M242,$P242,$S242),"")</f>
        <v/>
      </c>
      <c r="BH242" s="458" t="str">
        <f>IF(AND($G242='Povolené hodnoty'!$B$14,$H242=BH$4),SUM($J242,$M242,$P242,$S242),"")</f>
        <v/>
      </c>
      <c r="BI242" s="458" t="str">
        <f>IF(AND($G242='Povolené hodnoty'!$B$14,$H242=BI$4),SUM($J242,$M242,$P242,$S242),"")</f>
        <v/>
      </c>
      <c r="BJ242" s="458" t="str">
        <f>IF(AND($G242='Povolené hodnoty'!$B$14,$H242=BJ$4),SUM($J242,$M242,$P242,$S242),"")</f>
        <v/>
      </c>
      <c r="BK242" s="40" t="str">
        <f>IF(AND($G242='Povolené hodnoty'!$B$14,$H242=BK$4),SUM($J242,$M242,$P242,$S242),"")</f>
        <v/>
      </c>
      <c r="BL242" s="40" t="str">
        <f>IF(AND($G242='Povolené hodnoty'!$B$14,$H242=BL$4),SUM($J242,$M242,$P242,$S242),"")</f>
        <v/>
      </c>
      <c r="BM242" s="41" t="str">
        <f>IF(AND($G242='Povolené hodnoty'!$B$14,$H242=BM$4),SUM($J242,$M242,$P242,$S242),"")</f>
        <v/>
      </c>
      <c r="BO242" s="18" t="b">
        <f t="shared" si="141"/>
        <v>0</v>
      </c>
      <c r="BP242" s="18" t="b">
        <f t="shared" si="112"/>
        <v>0</v>
      </c>
      <c r="BQ242" s="18" t="b">
        <f>AND(E242&lt;&gt;'Povolené hodnoty'!$B$6,F242&lt;&gt;'Povolené hodnoty'!$D$7,F242&lt;&gt;'Povolené hodnoty'!$D$8,OR(SUM(I242,L242,O242,R242)&lt;&gt;SUM(W242:X242,AA242:AG242),SUM(J242,M242,P242,S242)&lt;&gt;SUM(Y242:Z242,AH242:AK242),COUNT(I242:J242,L242:M242,O242:P242,R242:S242)&lt;&gt;COUNT(W242:AK242)))</f>
        <v>0</v>
      </c>
      <c r="BR242" s="18" t="b">
        <f>OR(AND(E242='Povolené hodnoty'!$B$6,$BR$5),AND(E242='Povolené hodnoty'!$B$6,H242&lt;&gt;'Povolené hodnoty'!$E$26,H242&lt;&gt;'Povolené hodnoty'!$E$35),AND(E242&lt;&gt;'Povolené hodnoty'!$B$6,OR(H242='Povolené hodnoty'!$E$26,H242='Povolené hodnoty'!$E$35)))</f>
        <v>0</v>
      </c>
      <c r="BS242" s="18" t="b">
        <f>OR(AND(G242&lt;&gt;'Povolené hodnoty'!$B$13,OR(H242='Povolené hodnoty'!$E$21,H242='Povolené hodnoty'!$E$22,H242='Povolené hodnoty'!$E$23,H242='Povolené hodnoty'!$E$24,H242='Povolené hodnoty'!$E$26,H242='Povolené hodnoty'!$E$36)),COUNT(I242:J242,L242:M242,O242:P242,R242:S242)&lt;&gt;COUNT(AL242:BM242))</f>
        <v>0</v>
      </c>
      <c r="BT242" s="18" t="b">
        <f t="shared" si="113"/>
        <v>0</v>
      </c>
      <c r="BV242" s="39" t="str">
        <f t="shared" si="114"/>
        <v/>
      </c>
      <c r="BW242" s="458" t="str">
        <f t="shared" si="115"/>
        <v/>
      </c>
      <c r="BX242" s="458" t="str">
        <f t="shared" si="116"/>
        <v/>
      </c>
      <c r="BY242" s="458" t="str">
        <f t="shared" si="117"/>
        <v/>
      </c>
      <c r="BZ242" s="458" t="str">
        <f t="shared" si="118"/>
        <v/>
      </c>
      <c r="CA242" s="40" t="str">
        <f t="shared" si="119"/>
        <v/>
      </c>
      <c r="CB242" s="40" t="str">
        <f t="shared" si="120"/>
        <v/>
      </c>
      <c r="CC242" s="39" t="str">
        <f t="shared" si="121"/>
        <v/>
      </c>
      <c r="CD242" s="458" t="str">
        <f t="shared" si="122"/>
        <v/>
      </c>
      <c r="CE242" s="41" t="str">
        <f t="shared" si="123"/>
        <v/>
      </c>
      <c r="CF242" s="39" t="str">
        <f t="shared" si="124"/>
        <v/>
      </c>
      <c r="CG242" s="458" t="str">
        <f t="shared" si="125"/>
        <v/>
      </c>
      <c r="CH242" s="458" t="str">
        <f t="shared" si="126"/>
        <v/>
      </c>
      <c r="CI242" s="458" t="str">
        <f t="shared" si="127"/>
        <v/>
      </c>
      <c r="CJ242" s="458" t="str">
        <f t="shared" si="128"/>
        <v/>
      </c>
      <c r="CK242" s="40" t="str">
        <f t="shared" si="129"/>
        <v/>
      </c>
      <c r="CL242" s="40" t="str">
        <f t="shared" si="130"/>
        <v/>
      </c>
      <c r="CM242" s="40" t="str">
        <f t="shared" si="131"/>
        <v/>
      </c>
      <c r="CN242" s="39" t="str">
        <f t="shared" si="132"/>
        <v/>
      </c>
      <c r="CO242" s="458" t="str">
        <f t="shared" si="133"/>
        <v/>
      </c>
      <c r="CP242" s="458" t="str">
        <f t="shared" si="134"/>
        <v/>
      </c>
      <c r="CQ242" s="458" t="str">
        <f t="shared" si="135"/>
        <v/>
      </c>
      <c r="CR242" s="458" t="str">
        <f t="shared" si="136"/>
        <v/>
      </c>
      <c r="CS242" s="40" t="str">
        <f t="shared" si="137"/>
        <v/>
      </c>
      <c r="CT242" s="40" t="str">
        <f t="shared" si="138"/>
        <v/>
      </c>
      <c r="CU242" s="41" t="str">
        <f t="shared" si="139"/>
        <v/>
      </c>
    </row>
    <row r="243" spans="1:99" x14ac:dyDescent="0.2">
      <c r="A243" s="77">
        <f t="shared" si="140"/>
        <v>238</v>
      </c>
      <c r="B243" s="81"/>
      <c r="C243" s="82"/>
      <c r="D243" s="71"/>
      <c r="E243" s="72"/>
      <c r="F243" s="73"/>
      <c r="G243" s="443"/>
      <c r="H243" s="443"/>
      <c r="I243" s="74"/>
      <c r="J243" s="75"/>
      <c r="K243" s="41">
        <f t="shared" si="144"/>
        <v>3625</v>
      </c>
      <c r="L243" s="104"/>
      <c r="M243" s="105"/>
      <c r="N243" s="106">
        <f t="shared" si="145"/>
        <v>537.05999999999995</v>
      </c>
      <c r="O243" s="104"/>
      <c r="P243" s="105"/>
      <c r="Q243" s="106">
        <f t="shared" si="142"/>
        <v>10045.83</v>
      </c>
      <c r="R243" s="104"/>
      <c r="S243" s="105"/>
      <c r="T243" s="106">
        <f t="shared" si="143"/>
        <v>0</v>
      </c>
      <c r="U243" s="439"/>
      <c r="V243" s="42">
        <f t="shared" si="111"/>
        <v>238</v>
      </c>
      <c r="W243" s="39" t="str">
        <f>IF(AND(E243='Povolené hodnoty'!$B$4,F243=2),I243+L243+O243+R243,"")</f>
        <v/>
      </c>
      <c r="X243" s="41" t="str">
        <f>IF(AND(E243='Povolené hodnoty'!$B$4,F243=1),I243+L243+O243+R243,"")</f>
        <v/>
      </c>
      <c r="Y243" s="39" t="str">
        <f>IF(AND(E243='Povolené hodnoty'!$B$4,F243=10),J243+M243+P243+S243,"")</f>
        <v/>
      </c>
      <c r="Z243" s="41" t="str">
        <f>IF(AND(E243='Povolené hodnoty'!$B$4,F243=9),J243+M243+P243+S243,"")</f>
        <v/>
      </c>
      <c r="AA243" s="39" t="str">
        <f>IF(AND(E243&lt;&gt;'Povolené hodnoty'!$B$4,F243=2),I243+L243+O243+R243,"")</f>
        <v/>
      </c>
      <c r="AB243" s="40" t="str">
        <f>IF(AND(E243&lt;&gt;'Povolené hodnoty'!$B$4,F243=3),I243+L243+O243+R243,"")</f>
        <v/>
      </c>
      <c r="AC243" s="40" t="str">
        <f>IF(AND(E243&lt;&gt;'Povolené hodnoty'!$B$4,F243=4),I243+L243+O243+R243,"")</f>
        <v/>
      </c>
      <c r="AD243" s="40" t="str">
        <f>IF(AND(E243&lt;&gt;'Povolené hodnoty'!$B$4,F243="5a"),I243-J243+L243-M243+O243-P243+R243-S243,"")</f>
        <v/>
      </c>
      <c r="AE243" s="40" t="str">
        <f>IF(AND(E243&lt;&gt;'Povolené hodnoty'!$B$4,F243="5b"),I243-J243+L243-M243+O243-P243+R243-S243,"")</f>
        <v/>
      </c>
      <c r="AF243" s="40" t="str">
        <f>IF(AND(E243&lt;&gt;'Povolené hodnoty'!$B$4,F243=6),I243+L243+O243+R243,"")</f>
        <v/>
      </c>
      <c r="AG243" s="41" t="str">
        <f>IF(AND(E243&lt;&gt;'Povolené hodnoty'!$B$4,F243=7),I243+L243+O243+R243,"")</f>
        <v/>
      </c>
      <c r="AH243" s="39" t="str">
        <f>IF(AND(E243&lt;&gt;'Povolené hodnoty'!$B$4,F243=10),J243+M243+P243+S243,"")</f>
        <v/>
      </c>
      <c r="AI243" s="40" t="str">
        <f>IF(AND(E243&lt;&gt;'Povolené hodnoty'!$B$4,F243=11),J243+M243+P243+S243,"")</f>
        <v/>
      </c>
      <c r="AJ243" s="40" t="str">
        <f>IF(AND(E243&lt;&gt;'Povolené hodnoty'!$B$4,F243=12),J243+M243+P243+S243,"")</f>
        <v/>
      </c>
      <c r="AK243" s="41" t="str">
        <f>IF(AND(E243&lt;&gt;'Povolené hodnoty'!$B$4,F243=13),J243+M243+P243+S243,"")</f>
        <v/>
      </c>
      <c r="AL243" s="39" t="str">
        <f>IF(AND($G243='Povolené hodnoty'!$B$13,$H243=AL$4),SUM($I243,$L243,$O243,$R243),"")</f>
        <v/>
      </c>
      <c r="AM243" s="458" t="str">
        <f>IF(AND($G243='Povolené hodnoty'!$B$13,$H243=AM$4),SUM($I243,$L243,$O243,$R243),"")</f>
        <v/>
      </c>
      <c r="AN243" s="458" t="str">
        <f>IF(AND($G243='Povolené hodnoty'!$B$13,$H243=AN$4),SUM($I243,$L243,$O243,$R243),"")</f>
        <v/>
      </c>
      <c r="AO243" s="458" t="str">
        <f>IF(AND($G243='Povolené hodnoty'!$B$13,$H243=AO$4),SUM($I243,$L243,$O243,$R243),"")</f>
        <v/>
      </c>
      <c r="AP243" s="458" t="str">
        <f>IF(AND($G243='Povolené hodnoty'!$B$13,$H243=AP$4),SUM($I243,$L243,$O243,$R243),"")</f>
        <v/>
      </c>
      <c r="AQ243" s="40" t="str">
        <f>IF(AND($G243='Povolené hodnoty'!$B$13,OR($H243=AQ$4,$H243='Povolené hodnoty'!$E$36)),SUM($I243,-$J243,$L243,-$M243,$O243,-$P243,$R243,-$S243),"")</f>
        <v/>
      </c>
      <c r="AR243" s="40" t="str">
        <f>IF(AND($G243='Povolené hodnoty'!$B$13,$H243=AR$4),SUM($I243,$L243,$O243,$R243),"")</f>
        <v/>
      </c>
      <c r="AS243" s="41" t="str">
        <f>IF(AND($G243='Povolené hodnoty'!$B$13,$H243=AS$4),SUM($I243,$L243,$O243,$R243),"")</f>
        <v/>
      </c>
      <c r="AT243" s="39" t="str">
        <f>IF(AND($G243='Povolené hodnoty'!$B$14,$H243=AT$4),SUM($I243,$L243,$O243,$R243),"")</f>
        <v/>
      </c>
      <c r="AU243" s="458" t="str">
        <f>IF(AND($G243='Povolené hodnoty'!$B$14,$H243=AU$4),SUM($I243,$L243,$O243,$R243),"")</f>
        <v/>
      </c>
      <c r="AV243" s="41" t="str">
        <f>IF(AND($G243='Povolené hodnoty'!$B$14,$H243=AV$4),SUM($I243,$L243,$O243,$R243),"")</f>
        <v/>
      </c>
      <c r="AW243" s="39" t="str">
        <f>IF(AND($G243='Povolené hodnoty'!$B$13,$H243=AW$4),SUM($J243,$M243,$P243,$S243),"")</f>
        <v/>
      </c>
      <c r="AX243" s="458" t="str">
        <f>IF(AND($G243='Povolené hodnoty'!$B$13,$H243=AX$4),SUM($J243,$M243,$P243,$S243),"")</f>
        <v/>
      </c>
      <c r="AY243" s="458" t="str">
        <f>IF(AND($G243='Povolené hodnoty'!$B$13,$H243=AY$4),SUM($J243,$M243,$P243,$S243),"")</f>
        <v/>
      </c>
      <c r="AZ243" s="458" t="str">
        <f>IF(AND($G243='Povolené hodnoty'!$B$13,$H243=AZ$4),SUM($J243,$M243,$P243,$S243),"")</f>
        <v/>
      </c>
      <c r="BA243" s="458" t="str">
        <f>IF(AND($G243='Povolené hodnoty'!$B$13,$H243=BA$4),SUM($J243,$M243,$P243,$S243),"")</f>
        <v/>
      </c>
      <c r="BB243" s="40" t="str">
        <f>IF(AND($G243='Povolené hodnoty'!$B$13,$H243=BB$4),SUM($J243,$M243,$P243,$S243),"")</f>
        <v/>
      </c>
      <c r="BC243" s="40" t="str">
        <f>IF(AND($G243='Povolené hodnoty'!$B$13,$H243=BC$4),SUM($J243,$M243,$P243,$S243),"")</f>
        <v/>
      </c>
      <c r="BD243" s="40" t="str">
        <f>IF(AND($G243='Povolené hodnoty'!$B$13,$H243=BD$4),SUM($J243,$M243,$P243,$S243),"")</f>
        <v/>
      </c>
      <c r="BE243" s="41" t="str">
        <f>IF(AND($G243='Povolené hodnoty'!$B$13,$H243=BE$4),SUM($J243,$M243,$P243,$S243),"")</f>
        <v/>
      </c>
      <c r="BF243" s="39" t="str">
        <f>IF(AND($G243='Povolené hodnoty'!$B$14,$H243=BF$4),SUM($J243,$M243,$P243,$S243),"")</f>
        <v/>
      </c>
      <c r="BG243" s="458" t="str">
        <f>IF(AND($G243='Povolené hodnoty'!$B$14,$H243=BG$4),SUM($J243,$M243,$P243,$S243),"")</f>
        <v/>
      </c>
      <c r="BH243" s="458" t="str">
        <f>IF(AND($G243='Povolené hodnoty'!$B$14,$H243=BH$4),SUM($J243,$M243,$P243,$S243),"")</f>
        <v/>
      </c>
      <c r="BI243" s="458" t="str">
        <f>IF(AND($G243='Povolené hodnoty'!$B$14,$H243=BI$4),SUM($J243,$M243,$P243,$S243),"")</f>
        <v/>
      </c>
      <c r="BJ243" s="458" t="str">
        <f>IF(AND($G243='Povolené hodnoty'!$B$14,$H243=BJ$4),SUM($J243,$M243,$P243,$S243),"")</f>
        <v/>
      </c>
      <c r="BK243" s="40" t="str">
        <f>IF(AND($G243='Povolené hodnoty'!$B$14,$H243=BK$4),SUM($J243,$M243,$P243,$S243),"")</f>
        <v/>
      </c>
      <c r="BL243" s="40" t="str">
        <f>IF(AND($G243='Povolené hodnoty'!$B$14,$H243=BL$4),SUM($J243,$M243,$P243,$S243),"")</f>
        <v/>
      </c>
      <c r="BM243" s="41" t="str">
        <f>IF(AND($G243='Povolené hodnoty'!$B$14,$H243=BM$4),SUM($J243,$M243,$P243,$S243),"")</f>
        <v/>
      </c>
      <c r="BO243" s="18" t="b">
        <f t="shared" si="141"/>
        <v>0</v>
      </c>
      <c r="BP243" s="18" t="b">
        <f t="shared" si="112"/>
        <v>0</v>
      </c>
      <c r="BQ243" s="18" t="b">
        <f>AND(E243&lt;&gt;'Povolené hodnoty'!$B$6,F243&lt;&gt;'Povolené hodnoty'!$D$7,F243&lt;&gt;'Povolené hodnoty'!$D$8,OR(SUM(I243,L243,O243,R243)&lt;&gt;SUM(W243:X243,AA243:AG243),SUM(J243,M243,P243,S243)&lt;&gt;SUM(Y243:Z243,AH243:AK243),COUNT(I243:J243,L243:M243,O243:P243,R243:S243)&lt;&gt;COUNT(W243:AK243)))</f>
        <v>0</v>
      </c>
      <c r="BR243" s="18" t="b">
        <f>OR(AND(E243='Povolené hodnoty'!$B$6,$BR$5),AND(E243='Povolené hodnoty'!$B$6,H243&lt;&gt;'Povolené hodnoty'!$E$26,H243&lt;&gt;'Povolené hodnoty'!$E$35),AND(E243&lt;&gt;'Povolené hodnoty'!$B$6,OR(H243='Povolené hodnoty'!$E$26,H243='Povolené hodnoty'!$E$35)))</f>
        <v>0</v>
      </c>
      <c r="BS243" s="18" t="b">
        <f>OR(AND(G243&lt;&gt;'Povolené hodnoty'!$B$13,OR(H243='Povolené hodnoty'!$E$21,H243='Povolené hodnoty'!$E$22,H243='Povolené hodnoty'!$E$23,H243='Povolené hodnoty'!$E$24,H243='Povolené hodnoty'!$E$26,H243='Povolené hodnoty'!$E$36)),COUNT(I243:J243,L243:M243,O243:P243,R243:S243)&lt;&gt;COUNT(AL243:BM243))</f>
        <v>0</v>
      </c>
      <c r="BT243" s="18" t="b">
        <f t="shared" si="113"/>
        <v>0</v>
      </c>
      <c r="BV243" s="39" t="str">
        <f t="shared" si="114"/>
        <v/>
      </c>
      <c r="BW243" s="458" t="str">
        <f t="shared" si="115"/>
        <v/>
      </c>
      <c r="BX243" s="458" t="str">
        <f t="shared" si="116"/>
        <v/>
      </c>
      <c r="BY243" s="458" t="str">
        <f t="shared" si="117"/>
        <v/>
      </c>
      <c r="BZ243" s="458" t="str">
        <f t="shared" si="118"/>
        <v/>
      </c>
      <c r="CA243" s="40" t="str">
        <f t="shared" si="119"/>
        <v/>
      </c>
      <c r="CB243" s="40" t="str">
        <f t="shared" si="120"/>
        <v/>
      </c>
      <c r="CC243" s="39" t="str">
        <f t="shared" si="121"/>
        <v/>
      </c>
      <c r="CD243" s="458" t="str">
        <f t="shared" si="122"/>
        <v/>
      </c>
      <c r="CE243" s="41" t="str">
        <f t="shared" si="123"/>
        <v/>
      </c>
      <c r="CF243" s="39" t="str">
        <f t="shared" si="124"/>
        <v/>
      </c>
      <c r="CG243" s="458" t="str">
        <f t="shared" si="125"/>
        <v/>
      </c>
      <c r="CH243" s="458" t="str">
        <f t="shared" si="126"/>
        <v/>
      </c>
      <c r="CI243" s="458" t="str">
        <f t="shared" si="127"/>
        <v/>
      </c>
      <c r="CJ243" s="458" t="str">
        <f t="shared" si="128"/>
        <v/>
      </c>
      <c r="CK243" s="40" t="str">
        <f t="shared" si="129"/>
        <v/>
      </c>
      <c r="CL243" s="40" t="str">
        <f t="shared" si="130"/>
        <v/>
      </c>
      <c r="CM243" s="40" t="str">
        <f t="shared" si="131"/>
        <v/>
      </c>
      <c r="CN243" s="39" t="str">
        <f t="shared" si="132"/>
        <v/>
      </c>
      <c r="CO243" s="458" t="str">
        <f t="shared" si="133"/>
        <v/>
      </c>
      <c r="CP243" s="458" t="str">
        <f t="shared" si="134"/>
        <v/>
      </c>
      <c r="CQ243" s="458" t="str">
        <f t="shared" si="135"/>
        <v/>
      </c>
      <c r="CR243" s="458" t="str">
        <f t="shared" si="136"/>
        <v/>
      </c>
      <c r="CS243" s="40" t="str">
        <f t="shared" si="137"/>
        <v/>
      </c>
      <c r="CT243" s="40" t="str">
        <f t="shared" si="138"/>
        <v/>
      </c>
      <c r="CU243" s="41" t="str">
        <f t="shared" si="139"/>
        <v/>
      </c>
    </row>
    <row r="244" spans="1:99" x14ac:dyDescent="0.2">
      <c r="A244" s="77">
        <f t="shared" si="140"/>
        <v>239</v>
      </c>
      <c r="B244" s="81"/>
      <c r="C244" s="82"/>
      <c r="D244" s="71"/>
      <c r="E244" s="72"/>
      <c r="F244" s="73"/>
      <c r="G244" s="443"/>
      <c r="H244" s="443"/>
      <c r="I244" s="74"/>
      <c r="J244" s="75"/>
      <c r="K244" s="41">
        <f t="shared" si="144"/>
        <v>3625</v>
      </c>
      <c r="L244" s="104"/>
      <c r="M244" s="105"/>
      <c r="N244" s="106">
        <f t="shared" si="145"/>
        <v>537.05999999999995</v>
      </c>
      <c r="O244" s="104"/>
      <c r="P244" s="105"/>
      <c r="Q244" s="106">
        <f t="shared" si="142"/>
        <v>10045.83</v>
      </c>
      <c r="R244" s="104"/>
      <c r="S244" s="105"/>
      <c r="T244" s="106">
        <f t="shared" si="143"/>
        <v>0</v>
      </c>
      <c r="U244" s="439"/>
      <c r="V244" s="42">
        <f t="shared" si="111"/>
        <v>239</v>
      </c>
      <c r="W244" s="39" t="str">
        <f>IF(AND(E244='Povolené hodnoty'!$B$4,F244=2),I244+L244+O244+R244,"")</f>
        <v/>
      </c>
      <c r="X244" s="41" t="str">
        <f>IF(AND(E244='Povolené hodnoty'!$B$4,F244=1),I244+L244+O244+R244,"")</f>
        <v/>
      </c>
      <c r="Y244" s="39" t="str">
        <f>IF(AND(E244='Povolené hodnoty'!$B$4,F244=10),J244+M244+P244+S244,"")</f>
        <v/>
      </c>
      <c r="Z244" s="41" t="str">
        <f>IF(AND(E244='Povolené hodnoty'!$B$4,F244=9),J244+M244+P244+S244,"")</f>
        <v/>
      </c>
      <c r="AA244" s="39" t="str">
        <f>IF(AND(E244&lt;&gt;'Povolené hodnoty'!$B$4,F244=2),I244+L244+O244+R244,"")</f>
        <v/>
      </c>
      <c r="AB244" s="40" t="str">
        <f>IF(AND(E244&lt;&gt;'Povolené hodnoty'!$B$4,F244=3),I244+L244+O244+R244,"")</f>
        <v/>
      </c>
      <c r="AC244" s="40" t="str">
        <f>IF(AND(E244&lt;&gt;'Povolené hodnoty'!$B$4,F244=4),I244+L244+O244+R244,"")</f>
        <v/>
      </c>
      <c r="AD244" s="40" t="str">
        <f>IF(AND(E244&lt;&gt;'Povolené hodnoty'!$B$4,F244="5a"),I244-J244+L244-M244+O244-P244+R244-S244,"")</f>
        <v/>
      </c>
      <c r="AE244" s="40" t="str">
        <f>IF(AND(E244&lt;&gt;'Povolené hodnoty'!$B$4,F244="5b"),I244-J244+L244-M244+O244-P244+R244-S244,"")</f>
        <v/>
      </c>
      <c r="AF244" s="40" t="str">
        <f>IF(AND(E244&lt;&gt;'Povolené hodnoty'!$B$4,F244=6),I244+L244+O244+R244,"")</f>
        <v/>
      </c>
      <c r="AG244" s="41" t="str">
        <f>IF(AND(E244&lt;&gt;'Povolené hodnoty'!$B$4,F244=7),I244+L244+O244+R244,"")</f>
        <v/>
      </c>
      <c r="AH244" s="39" t="str">
        <f>IF(AND(E244&lt;&gt;'Povolené hodnoty'!$B$4,F244=10),J244+M244+P244+S244,"")</f>
        <v/>
      </c>
      <c r="AI244" s="40" t="str">
        <f>IF(AND(E244&lt;&gt;'Povolené hodnoty'!$B$4,F244=11),J244+M244+P244+S244,"")</f>
        <v/>
      </c>
      <c r="AJ244" s="40" t="str">
        <f>IF(AND(E244&lt;&gt;'Povolené hodnoty'!$B$4,F244=12),J244+M244+P244+S244,"")</f>
        <v/>
      </c>
      <c r="AK244" s="41" t="str">
        <f>IF(AND(E244&lt;&gt;'Povolené hodnoty'!$B$4,F244=13),J244+M244+P244+S244,"")</f>
        <v/>
      </c>
      <c r="AL244" s="39" t="str">
        <f>IF(AND($G244='Povolené hodnoty'!$B$13,$H244=AL$4),SUM($I244,$L244,$O244,$R244),"")</f>
        <v/>
      </c>
      <c r="AM244" s="458" t="str">
        <f>IF(AND($G244='Povolené hodnoty'!$B$13,$H244=AM$4),SUM($I244,$L244,$O244,$R244),"")</f>
        <v/>
      </c>
      <c r="AN244" s="458" t="str">
        <f>IF(AND($G244='Povolené hodnoty'!$B$13,$H244=AN$4),SUM($I244,$L244,$O244,$R244),"")</f>
        <v/>
      </c>
      <c r="AO244" s="458" t="str">
        <f>IF(AND($G244='Povolené hodnoty'!$B$13,$H244=AO$4),SUM($I244,$L244,$O244,$R244),"")</f>
        <v/>
      </c>
      <c r="AP244" s="458" t="str">
        <f>IF(AND($G244='Povolené hodnoty'!$B$13,$H244=AP$4),SUM($I244,$L244,$O244,$R244),"")</f>
        <v/>
      </c>
      <c r="AQ244" s="40" t="str">
        <f>IF(AND($G244='Povolené hodnoty'!$B$13,OR($H244=AQ$4,$H244='Povolené hodnoty'!$E$36)),SUM($I244,-$J244,$L244,-$M244,$O244,-$P244,$R244,-$S244),"")</f>
        <v/>
      </c>
      <c r="AR244" s="40" t="str">
        <f>IF(AND($G244='Povolené hodnoty'!$B$13,$H244=AR$4),SUM($I244,$L244,$O244,$R244),"")</f>
        <v/>
      </c>
      <c r="AS244" s="41" t="str">
        <f>IF(AND($G244='Povolené hodnoty'!$B$13,$H244=AS$4),SUM($I244,$L244,$O244,$R244),"")</f>
        <v/>
      </c>
      <c r="AT244" s="39" t="str">
        <f>IF(AND($G244='Povolené hodnoty'!$B$14,$H244=AT$4),SUM($I244,$L244,$O244,$R244),"")</f>
        <v/>
      </c>
      <c r="AU244" s="458" t="str">
        <f>IF(AND($G244='Povolené hodnoty'!$B$14,$H244=AU$4),SUM($I244,$L244,$O244,$R244),"")</f>
        <v/>
      </c>
      <c r="AV244" s="41" t="str">
        <f>IF(AND($G244='Povolené hodnoty'!$B$14,$H244=AV$4),SUM($I244,$L244,$O244,$R244),"")</f>
        <v/>
      </c>
      <c r="AW244" s="39" t="str">
        <f>IF(AND($G244='Povolené hodnoty'!$B$13,$H244=AW$4),SUM($J244,$M244,$P244,$S244),"")</f>
        <v/>
      </c>
      <c r="AX244" s="458" t="str">
        <f>IF(AND($G244='Povolené hodnoty'!$B$13,$H244=AX$4),SUM($J244,$M244,$P244,$S244),"")</f>
        <v/>
      </c>
      <c r="AY244" s="458" t="str">
        <f>IF(AND($G244='Povolené hodnoty'!$B$13,$H244=AY$4),SUM($J244,$M244,$P244,$S244),"")</f>
        <v/>
      </c>
      <c r="AZ244" s="458" t="str">
        <f>IF(AND($G244='Povolené hodnoty'!$B$13,$H244=AZ$4),SUM($J244,$M244,$P244,$S244),"")</f>
        <v/>
      </c>
      <c r="BA244" s="458" t="str">
        <f>IF(AND($G244='Povolené hodnoty'!$B$13,$H244=BA$4),SUM($J244,$M244,$P244,$S244),"")</f>
        <v/>
      </c>
      <c r="BB244" s="40" t="str">
        <f>IF(AND($G244='Povolené hodnoty'!$B$13,$H244=BB$4),SUM($J244,$M244,$P244,$S244),"")</f>
        <v/>
      </c>
      <c r="BC244" s="40" t="str">
        <f>IF(AND($G244='Povolené hodnoty'!$B$13,$H244=BC$4),SUM($J244,$M244,$P244,$S244),"")</f>
        <v/>
      </c>
      <c r="BD244" s="40" t="str">
        <f>IF(AND($G244='Povolené hodnoty'!$B$13,$H244=BD$4),SUM($J244,$M244,$P244,$S244),"")</f>
        <v/>
      </c>
      <c r="BE244" s="41" t="str">
        <f>IF(AND($G244='Povolené hodnoty'!$B$13,$H244=BE$4),SUM($J244,$M244,$P244,$S244),"")</f>
        <v/>
      </c>
      <c r="BF244" s="39" t="str">
        <f>IF(AND($G244='Povolené hodnoty'!$B$14,$H244=BF$4),SUM($J244,$M244,$P244,$S244),"")</f>
        <v/>
      </c>
      <c r="BG244" s="458" t="str">
        <f>IF(AND($G244='Povolené hodnoty'!$B$14,$H244=BG$4),SUM($J244,$M244,$P244,$S244),"")</f>
        <v/>
      </c>
      <c r="BH244" s="458" t="str">
        <f>IF(AND($G244='Povolené hodnoty'!$B$14,$H244=BH$4),SUM($J244,$M244,$P244,$S244),"")</f>
        <v/>
      </c>
      <c r="BI244" s="458" t="str">
        <f>IF(AND($G244='Povolené hodnoty'!$B$14,$H244=BI$4),SUM($J244,$M244,$P244,$S244),"")</f>
        <v/>
      </c>
      <c r="BJ244" s="458" t="str">
        <f>IF(AND($G244='Povolené hodnoty'!$B$14,$H244=BJ$4),SUM($J244,$M244,$P244,$S244),"")</f>
        <v/>
      </c>
      <c r="BK244" s="40" t="str">
        <f>IF(AND($G244='Povolené hodnoty'!$B$14,$H244=BK$4),SUM($J244,$M244,$P244,$S244),"")</f>
        <v/>
      </c>
      <c r="BL244" s="40" t="str">
        <f>IF(AND($G244='Povolené hodnoty'!$B$14,$H244=BL$4),SUM($J244,$M244,$P244,$S244),"")</f>
        <v/>
      </c>
      <c r="BM244" s="41" t="str">
        <f>IF(AND($G244='Povolené hodnoty'!$B$14,$H244=BM$4),SUM($J244,$M244,$P244,$S244),"")</f>
        <v/>
      </c>
      <c r="BO244" s="18" t="b">
        <f t="shared" si="141"/>
        <v>0</v>
      </c>
      <c r="BP244" s="18" t="b">
        <f t="shared" si="112"/>
        <v>0</v>
      </c>
      <c r="BQ244" s="18" t="b">
        <f>AND(E244&lt;&gt;'Povolené hodnoty'!$B$6,F244&lt;&gt;'Povolené hodnoty'!$D$7,F244&lt;&gt;'Povolené hodnoty'!$D$8,OR(SUM(I244,L244,O244,R244)&lt;&gt;SUM(W244:X244,AA244:AG244),SUM(J244,M244,P244,S244)&lt;&gt;SUM(Y244:Z244,AH244:AK244),COUNT(I244:J244,L244:M244,O244:P244,R244:S244)&lt;&gt;COUNT(W244:AK244)))</f>
        <v>0</v>
      </c>
      <c r="BR244" s="18" t="b">
        <f>OR(AND(E244='Povolené hodnoty'!$B$6,$BR$5),AND(E244='Povolené hodnoty'!$B$6,H244&lt;&gt;'Povolené hodnoty'!$E$26,H244&lt;&gt;'Povolené hodnoty'!$E$35),AND(E244&lt;&gt;'Povolené hodnoty'!$B$6,OR(H244='Povolené hodnoty'!$E$26,H244='Povolené hodnoty'!$E$35)))</f>
        <v>0</v>
      </c>
      <c r="BS244" s="18" t="b">
        <f>OR(AND(G244&lt;&gt;'Povolené hodnoty'!$B$13,OR(H244='Povolené hodnoty'!$E$21,H244='Povolené hodnoty'!$E$22,H244='Povolené hodnoty'!$E$23,H244='Povolené hodnoty'!$E$24,H244='Povolené hodnoty'!$E$26,H244='Povolené hodnoty'!$E$36)),COUNT(I244:J244,L244:M244,O244:P244,R244:S244)&lt;&gt;COUNT(AL244:BM244))</f>
        <v>0</v>
      </c>
      <c r="BT244" s="18" t="b">
        <f t="shared" si="113"/>
        <v>0</v>
      </c>
      <c r="BV244" s="39" t="str">
        <f t="shared" si="114"/>
        <v/>
      </c>
      <c r="BW244" s="458" t="str">
        <f t="shared" si="115"/>
        <v/>
      </c>
      <c r="BX244" s="458" t="str">
        <f t="shared" si="116"/>
        <v/>
      </c>
      <c r="BY244" s="458" t="str">
        <f t="shared" si="117"/>
        <v/>
      </c>
      <c r="BZ244" s="458" t="str">
        <f t="shared" si="118"/>
        <v/>
      </c>
      <c r="CA244" s="40" t="str">
        <f t="shared" si="119"/>
        <v/>
      </c>
      <c r="CB244" s="40" t="str">
        <f t="shared" si="120"/>
        <v/>
      </c>
      <c r="CC244" s="39" t="str">
        <f t="shared" si="121"/>
        <v/>
      </c>
      <c r="CD244" s="458" t="str">
        <f t="shared" si="122"/>
        <v/>
      </c>
      <c r="CE244" s="41" t="str">
        <f t="shared" si="123"/>
        <v/>
      </c>
      <c r="CF244" s="39" t="str">
        <f t="shared" si="124"/>
        <v/>
      </c>
      <c r="CG244" s="458" t="str">
        <f t="shared" si="125"/>
        <v/>
      </c>
      <c r="CH244" s="458" t="str">
        <f t="shared" si="126"/>
        <v/>
      </c>
      <c r="CI244" s="458" t="str">
        <f t="shared" si="127"/>
        <v/>
      </c>
      <c r="CJ244" s="458" t="str">
        <f t="shared" si="128"/>
        <v/>
      </c>
      <c r="CK244" s="40" t="str">
        <f t="shared" si="129"/>
        <v/>
      </c>
      <c r="CL244" s="40" t="str">
        <f t="shared" si="130"/>
        <v/>
      </c>
      <c r="CM244" s="40" t="str">
        <f t="shared" si="131"/>
        <v/>
      </c>
      <c r="CN244" s="39" t="str">
        <f t="shared" si="132"/>
        <v/>
      </c>
      <c r="CO244" s="458" t="str">
        <f t="shared" si="133"/>
        <v/>
      </c>
      <c r="CP244" s="458" t="str">
        <f t="shared" si="134"/>
        <v/>
      </c>
      <c r="CQ244" s="458" t="str">
        <f t="shared" si="135"/>
        <v/>
      </c>
      <c r="CR244" s="458" t="str">
        <f t="shared" si="136"/>
        <v/>
      </c>
      <c r="CS244" s="40" t="str">
        <f t="shared" si="137"/>
        <v/>
      </c>
      <c r="CT244" s="40" t="str">
        <f t="shared" si="138"/>
        <v/>
      </c>
      <c r="CU244" s="41" t="str">
        <f t="shared" si="139"/>
        <v/>
      </c>
    </row>
    <row r="245" spans="1:99" x14ac:dyDescent="0.2">
      <c r="A245" s="77">
        <f t="shared" si="140"/>
        <v>240</v>
      </c>
      <c r="B245" s="81"/>
      <c r="C245" s="82"/>
      <c r="D245" s="71"/>
      <c r="E245" s="72"/>
      <c r="F245" s="73"/>
      <c r="G245" s="443"/>
      <c r="H245" s="443"/>
      <c r="I245" s="74"/>
      <c r="J245" s="75"/>
      <c r="K245" s="41">
        <f t="shared" si="144"/>
        <v>3625</v>
      </c>
      <c r="L245" s="104"/>
      <c r="M245" s="105"/>
      <c r="N245" s="106">
        <f t="shared" si="145"/>
        <v>537.05999999999995</v>
      </c>
      <c r="O245" s="104"/>
      <c r="P245" s="105"/>
      <c r="Q245" s="106">
        <f t="shared" si="142"/>
        <v>10045.83</v>
      </c>
      <c r="R245" s="104"/>
      <c r="S245" s="105"/>
      <c r="T245" s="106">
        <f t="shared" si="143"/>
        <v>0</v>
      </c>
      <c r="U245" s="439"/>
      <c r="V245" s="42">
        <f t="shared" si="111"/>
        <v>240</v>
      </c>
      <c r="W245" s="39" t="str">
        <f>IF(AND(E245='Povolené hodnoty'!$B$4,F245=2),I245+L245+O245+R245,"")</f>
        <v/>
      </c>
      <c r="X245" s="41" t="str">
        <f>IF(AND(E245='Povolené hodnoty'!$B$4,F245=1),I245+L245+O245+R245,"")</f>
        <v/>
      </c>
      <c r="Y245" s="39" t="str">
        <f>IF(AND(E245='Povolené hodnoty'!$B$4,F245=10),J245+M245+P245+S245,"")</f>
        <v/>
      </c>
      <c r="Z245" s="41" t="str">
        <f>IF(AND(E245='Povolené hodnoty'!$B$4,F245=9),J245+M245+P245+S245,"")</f>
        <v/>
      </c>
      <c r="AA245" s="39" t="str">
        <f>IF(AND(E245&lt;&gt;'Povolené hodnoty'!$B$4,F245=2),I245+L245+O245+R245,"")</f>
        <v/>
      </c>
      <c r="AB245" s="40" t="str">
        <f>IF(AND(E245&lt;&gt;'Povolené hodnoty'!$B$4,F245=3),I245+L245+O245+R245,"")</f>
        <v/>
      </c>
      <c r="AC245" s="40" t="str">
        <f>IF(AND(E245&lt;&gt;'Povolené hodnoty'!$B$4,F245=4),I245+L245+O245+R245,"")</f>
        <v/>
      </c>
      <c r="AD245" s="40" t="str">
        <f>IF(AND(E245&lt;&gt;'Povolené hodnoty'!$B$4,F245="5a"),I245-J245+L245-M245+O245-P245+R245-S245,"")</f>
        <v/>
      </c>
      <c r="AE245" s="40" t="str">
        <f>IF(AND(E245&lt;&gt;'Povolené hodnoty'!$B$4,F245="5b"),I245-J245+L245-M245+O245-P245+R245-S245,"")</f>
        <v/>
      </c>
      <c r="AF245" s="40" t="str">
        <f>IF(AND(E245&lt;&gt;'Povolené hodnoty'!$B$4,F245=6),I245+L245+O245+R245,"")</f>
        <v/>
      </c>
      <c r="AG245" s="41" t="str">
        <f>IF(AND(E245&lt;&gt;'Povolené hodnoty'!$B$4,F245=7),I245+L245+O245+R245,"")</f>
        <v/>
      </c>
      <c r="AH245" s="39" t="str">
        <f>IF(AND(E245&lt;&gt;'Povolené hodnoty'!$B$4,F245=10),J245+M245+P245+S245,"")</f>
        <v/>
      </c>
      <c r="AI245" s="40" t="str">
        <f>IF(AND(E245&lt;&gt;'Povolené hodnoty'!$B$4,F245=11),J245+M245+P245+S245,"")</f>
        <v/>
      </c>
      <c r="AJ245" s="40" t="str">
        <f>IF(AND(E245&lt;&gt;'Povolené hodnoty'!$B$4,F245=12),J245+M245+P245+S245,"")</f>
        <v/>
      </c>
      <c r="AK245" s="41" t="str">
        <f>IF(AND(E245&lt;&gt;'Povolené hodnoty'!$B$4,F245=13),J245+M245+P245+S245,"")</f>
        <v/>
      </c>
      <c r="AL245" s="39" t="str">
        <f>IF(AND($G245='Povolené hodnoty'!$B$13,$H245=AL$4),SUM($I245,$L245,$O245,$R245),"")</f>
        <v/>
      </c>
      <c r="AM245" s="458" t="str">
        <f>IF(AND($G245='Povolené hodnoty'!$B$13,$H245=AM$4),SUM($I245,$L245,$O245,$R245),"")</f>
        <v/>
      </c>
      <c r="AN245" s="458" t="str">
        <f>IF(AND($G245='Povolené hodnoty'!$B$13,$H245=AN$4),SUM($I245,$L245,$O245,$R245),"")</f>
        <v/>
      </c>
      <c r="AO245" s="458" t="str">
        <f>IF(AND($G245='Povolené hodnoty'!$B$13,$H245=AO$4),SUM($I245,$L245,$O245,$R245),"")</f>
        <v/>
      </c>
      <c r="AP245" s="458" t="str">
        <f>IF(AND($G245='Povolené hodnoty'!$B$13,$H245=AP$4),SUM($I245,$L245,$O245,$R245),"")</f>
        <v/>
      </c>
      <c r="AQ245" s="40" t="str">
        <f>IF(AND($G245='Povolené hodnoty'!$B$13,OR($H245=AQ$4,$H245='Povolené hodnoty'!$E$36)),SUM($I245,-$J245,$L245,-$M245,$O245,-$P245,$R245,-$S245),"")</f>
        <v/>
      </c>
      <c r="AR245" s="40" t="str">
        <f>IF(AND($G245='Povolené hodnoty'!$B$13,$H245=AR$4),SUM($I245,$L245,$O245,$R245),"")</f>
        <v/>
      </c>
      <c r="AS245" s="41" t="str">
        <f>IF(AND($G245='Povolené hodnoty'!$B$13,$H245=AS$4),SUM($I245,$L245,$O245,$R245),"")</f>
        <v/>
      </c>
      <c r="AT245" s="39" t="str">
        <f>IF(AND($G245='Povolené hodnoty'!$B$14,$H245=AT$4),SUM($I245,$L245,$O245,$R245),"")</f>
        <v/>
      </c>
      <c r="AU245" s="458" t="str">
        <f>IF(AND($G245='Povolené hodnoty'!$B$14,$H245=AU$4),SUM($I245,$L245,$O245,$R245),"")</f>
        <v/>
      </c>
      <c r="AV245" s="41" t="str">
        <f>IF(AND($G245='Povolené hodnoty'!$B$14,$H245=AV$4),SUM($I245,$L245,$O245,$R245),"")</f>
        <v/>
      </c>
      <c r="AW245" s="39" t="str">
        <f>IF(AND($G245='Povolené hodnoty'!$B$13,$H245=AW$4),SUM($J245,$M245,$P245,$S245),"")</f>
        <v/>
      </c>
      <c r="AX245" s="458" t="str">
        <f>IF(AND($G245='Povolené hodnoty'!$B$13,$H245=AX$4),SUM($J245,$M245,$P245,$S245),"")</f>
        <v/>
      </c>
      <c r="AY245" s="458" t="str">
        <f>IF(AND($G245='Povolené hodnoty'!$B$13,$H245=AY$4),SUM($J245,$M245,$P245,$S245),"")</f>
        <v/>
      </c>
      <c r="AZ245" s="458" t="str">
        <f>IF(AND($G245='Povolené hodnoty'!$B$13,$H245=AZ$4),SUM($J245,$M245,$P245,$S245),"")</f>
        <v/>
      </c>
      <c r="BA245" s="458" t="str">
        <f>IF(AND($G245='Povolené hodnoty'!$B$13,$H245=BA$4),SUM($J245,$M245,$P245,$S245),"")</f>
        <v/>
      </c>
      <c r="BB245" s="40" t="str">
        <f>IF(AND($G245='Povolené hodnoty'!$B$13,$H245=BB$4),SUM($J245,$M245,$P245,$S245),"")</f>
        <v/>
      </c>
      <c r="BC245" s="40" t="str">
        <f>IF(AND($G245='Povolené hodnoty'!$B$13,$H245=BC$4),SUM($J245,$M245,$P245,$S245),"")</f>
        <v/>
      </c>
      <c r="BD245" s="40" t="str">
        <f>IF(AND($G245='Povolené hodnoty'!$B$13,$H245=BD$4),SUM($J245,$M245,$P245,$S245),"")</f>
        <v/>
      </c>
      <c r="BE245" s="41" t="str">
        <f>IF(AND($G245='Povolené hodnoty'!$B$13,$H245=BE$4),SUM($J245,$M245,$P245,$S245),"")</f>
        <v/>
      </c>
      <c r="BF245" s="39" t="str">
        <f>IF(AND($G245='Povolené hodnoty'!$B$14,$H245=BF$4),SUM($J245,$M245,$P245,$S245),"")</f>
        <v/>
      </c>
      <c r="BG245" s="458" t="str">
        <f>IF(AND($G245='Povolené hodnoty'!$B$14,$H245=BG$4),SUM($J245,$M245,$P245,$S245),"")</f>
        <v/>
      </c>
      <c r="BH245" s="458" t="str">
        <f>IF(AND($G245='Povolené hodnoty'!$B$14,$H245=BH$4),SUM($J245,$M245,$P245,$S245),"")</f>
        <v/>
      </c>
      <c r="BI245" s="458" t="str">
        <f>IF(AND($G245='Povolené hodnoty'!$B$14,$H245=BI$4),SUM($J245,$M245,$P245,$S245),"")</f>
        <v/>
      </c>
      <c r="BJ245" s="458" t="str">
        <f>IF(AND($G245='Povolené hodnoty'!$B$14,$H245=BJ$4),SUM($J245,$M245,$P245,$S245),"")</f>
        <v/>
      </c>
      <c r="BK245" s="40" t="str">
        <f>IF(AND($G245='Povolené hodnoty'!$B$14,$H245=BK$4),SUM($J245,$M245,$P245,$S245),"")</f>
        <v/>
      </c>
      <c r="BL245" s="40" t="str">
        <f>IF(AND($G245='Povolené hodnoty'!$B$14,$H245=BL$4),SUM($J245,$M245,$P245,$S245),"")</f>
        <v/>
      </c>
      <c r="BM245" s="41" t="str">
        <f>IF(AND($G245='Povolené hodnoty'!$B$14,$H245=BM$4),SUM($J245,$M245,$P245,$S245),"")</f>
        <v/>
      </c>
      <c r="BO245" s="18" t="b">
        <f t="shared" si="141"/>
        <v>0</v>
      </c>
      <c r="BP245" s="18" t="b">
        <f t="shared" si="112"/>
        <v>0</v>
      </c>
      <c r="BQ245" s="18" t="b">
        <f>AND(E245&lt;&gt;'Povolené hodnoty'!$B$6,F245&lt;&gt;'Povolené hodnoty'!$D$7,F245&lt;&gt;'Povolené hodnoty'!$D$8,OR(SUM(I245,L245,O245,R245)&lt;&gt;SUM(W245:X245,AA245:AG245),SUM(J245,M245,P245,S245)&lt;&gt;SUM(Y245:Z245,AH245:AK245),COUNT(I245:J245,L245:M245,O245:P245,R245:S245)&lt;&gt;COUNT(W245:AK245)))</f>
        <v>0</v>
      </c>
      <c r="BR245" s="18" t="b">
        <f>OR(AND(E245='Povolené hodnoty'!$B$6,$BR$5),AND(E245='Povolené hodnoty'!$B$6,H245&lt;&gt;'Povolené hodnoty'!$E$26,H245&lt;&gt;'Povolené hodnoty'!$E$35),AND(E245&lt;&gt;'Povolené hodnoty'!$B$6,OR(H245='Povolené hodnoty'!$E$26,H245='Povolené hodnoty'!$E$35)))</f>
        <v>0</v>
      </c>
      <c r="BS245" s="18" t="b">
        <f>OR(AND(G245&lt;&gt;'Povolené hodnoty'!$B$13,OR(H245='Povolené hodnoty'!$E$21,H245='Povolené hodnoty'!$E$22,H245='Povolené hodnoty'!$E$23,H245='Povolené hodnoty'!$E$24,H245='Povolené hodnoty'!$E$26,H245='Povolené hodnoty'!$E$36)),COUNT(I245:J245,L245:M245,O245:P245,R245:S245)&lt;&gt;COUNT(AL245:BM245))</f>
        <v>0</v>
      </c>
      <c r="BT245" s="18" t="b">
        <f t="shared" si="113"/>
        <v>0</v>
      </c>
      <c r="BV245" s="39" t="str">
        <f t="shared" si="114"/>
        <v/>
      </c>
      <c r="BW245" s="458" t="str">
        <f t="shared" si="115"/>
        <v/>
      </c>
      <c r="BX245" s="458" t="str">
        <f t="shared" si="116"/>
        <v/>
      </c>
      <c r="BY245" s="458" t="str">
        <f t="shared" si="117"/>
        <v/>
      </c>
      <c r="BZ245" s="458" t="str">
        <f t="shared" si="118"/>
        <v/>
      </c>
      <c r="CA245" s="40" t="str">
        <f t="shared" si="119"/>
        <v/>
      </c>
      <c r="CB245" s="40" t="str">
        <f t="shared" si="120"/>
        <v/>
      </c>
      <c r="CC245" s="39" t="str">
        <f t="shared" si="121"/>
        <v/>
      </c>
      <c r="CD245" s="458" t="str">
        <f t="shared" si="122"/>
        <v/>
      </c>
      <c r="CE245" s="41" t="str">
        <f t="shared" si="123"/>
        <v/>
      </c>
      <c r="CF245" s="39" t="str">
        <f t="shared" si="124"/>
        <v/>
      </c>
      <c r="CG245" s="458" t="str">
        <f t="shared" si="125"/>
        <v/>
      </c>
      <c r="CH245" s="458" t="str">
        <f t="shared" si="126"/>
        <v/>
      </c>
      <c r="CI245" s="458" t="str">
        <f t="shared" si="127"/>
        <v/>
      </c>
      <c r="CJ245" s="458" t="str">
        <f t="shared" si="128"/>
        <v/>
      </c>
      <c r="CK245" s="40" t="str">
        <f t="shared" si="129"/>
        <v/>
      </c>
      <c r="CL245" s="40" t="str">
        <f t="shared" si="130"/>
        <v/>
      </c>
      <c r="CM245" s="40" t="str">
        <f t="shared" si="131"/>
        <v/>
      </c>
      <c r="CN245" s="39" t="str">
        <f t="shared" si="132"/>
        <v/>
      </c>
      <c r="CO245" s="458" t="str">
        <f t="shared" si="133"/>
        <v/>
      </c>
      <c r="CP245" s="458" t="str">
        <f t="shared" si="134"/>
        <v/>
      </c>
      <c r="CQ245" s="458" t="str">
        <f t="shared" si="135"/>
        <v/>
      </c>
      <c r="CR245" s="458" t="str">
        <f t="shared" si="136"/>
        <v/>
      </c>
      <c r="CS245" s="40" t="str">
        <f t="shared" si="137"/>
        <v/>
      </c>
      <c r="CT245" s="40" t="str">
        <f t="shared" si="138"/>
        <v/>
      </c>
      <c r="CU245" s="41" t="str">
        <f t="shared" si="139"/>
        <v/>
      </c>
    </row>
    <row r="246" spans="1:99" x14ac:dyDescent="0.2">
      <c r="A246" s="77">
        <f t="shared" si="140"/>
        <v>241</v>
      </c>
      <c r="B246" s="81"/>
      <c r="C246" s="82"/>
      <c r="D246" s="71"/>
      <c r="E246" s="72"/>
      <c r="F246" s="73"/>
      <c r="G246" s="443"/>
      <c r="H246" s="443"/>
      <c r="I246" s="74"/>
      <c r="J246" s="75"/>
      <c r="K246" s="41">
        <f t="shared" si="144"/>
        <v>3625</v>
      </c>
      <c r="L246" s="104"/>
      <c r="M246" s="105"/>
      <c r="N246" s="106">
        <f t="shared" si="145"/>
        <v>537.05999999999995</v>
      </c>
      <c r="O246" s="104"/>
      <c r="P246" s="105"/>
      <c r="Q246" s="106">
        <f t="shared" si="142"/>
        <v>10045.83</v>
      </c>
      <c r="R246" s="104"/>
      <c r="S246" s="105"/>
      <c r="T246" s="106">
        <f t="shared" si="143"/>
        <v>0</v>
      </c>
      <c r="U246" s="439"/>
      <c r="V246" s="42">
        <f t="shared" si="111"/>
        <v>241</v>
      </c>
      <c r="W246" s="39" t="str">
        <f>IF(AND(E246='Povolené hodnoty'!$B$4,F246=2),I246+L246+O246+R246,"")</f>
        <v/>
      </c>
      <c r="X246" s="41" t="str">
        <f>IF(AND(E246='Povolené hodnoty'!$B$4,F246=1),I246+L246+O246+R246,"")</f>
        <v/>
      </c>
      <c r="Y246" s="39" t="str">
        <f>IF(AND(E246='Povolené hodnoty'!$B$4,F246=10),J246+M246+P246+S246,"")</f>
        <v/>
      </c>
      <c r="Z246" s="41" t="str">
        <f>IF(AND(E246='Povolené hodnoty'!$B$4,F246=9),J246+M246+P246+S246,"")</f>
        <v/>
      </c>
      <c r="AA246" s="39" t="str">
        <f>IF(AND(E246&lt;&gt;'Povolené hodnoty'!$B$4,F246=2),I246+L246+O246+R246,"")</f>
        <v/>
      </c>
      <c r="AB246" s="40" t="str">
        <f>IF(AND(E246&lt;&gt;'Povolené hodnoty'!$B$4,F246=3),I246+L246+O246+R246,"")</f>
        <v/>
      </c>
      <c r="AC246" s="40" t="str">
        <f>IF(AND(E246&lt;&gt;'Povolené hodnoty'!$B$4,F246=4),I246+L246+O246+R246,"")</f>
        <v/>
      </c>
      <c r="AD246" s="40" t="str">
        <f>IF(AND(E246&lt;&gt;'Povolené hodnoty'!$B$4,F246="5a"),I246-J246+L246-M246+O246-P246+R246-S246,"")</f>
        <v/>
      </c>
      <c r="AE246" s="40" t="str">
        <f>IF(AND(E246&lt;&gt;'Povolené hodnoty'!$B$4,F246="5b"),I246-J246+L246-M246+O246-P246+R246-S246,"")</f>
        <v/>
      </c>
      <c r="AF246" s="40" t="str">
        <f>IF(AND(E246&lt;&gt;'Povolené hodnoty'!$B$4,F246=6),I246+L246+O246+R246,"")</f>
        <v/>
      </c>
      <c r="AG246" s="41" t="str">
        <f>IF(AND(E246&lt;&gt;'Povolené hodnoty'!$B$4,F246=7),I246+L246+O246+R246,"")</f>
        <v/>
      </c>
      <c r="AH246" s="39" t="str">
        <f>IF(AND(E246&lt;&gt;'Povolené hodnoty'!$B$4,F246=10),J246+M246+P246+S246,"")</f>
        <v/>
      </c>
      <c r="AI246" s="40" t="str">
        <f>IF(AND(E246&lt;&gt;'Povolené hodnoty'!$B$4,F246=11),J246+M246+P246+S246,"")</f>
        <v/>
      </c>
      <c r="AJ246" s="40" t="str">
        <f>IF(AND(E246&lt;&gt;'Povolené hodnoty'!$B$4,F246=12),J246+M246+P246+S246,"")</f>
        <v/>
      </c>
      <c r="AK246" s="41" t="str">
        <f>IF(AND(E246&lt;&gt;'Povolené hodnoty'!$B$4,F246=13),J246+M246+P246+S246,"")</f>
        <v/>
      </c>
      <c r="AL246" s="39" t="str">
        <f>IF(AND($G246='Povolené hodnoty'!$B$13,$H246=AL$4),SUM($I246,$L246,$O246,$R246),"")</f>
        <v/>
      </c>
      <c r="AM246" s="458" t="str">
        <f>IF(AND($G246='Povolené hodnoty'!$B$13,$H246=AM$4),SUM($I246,$L246,$O246,$R246),"")</f>
        <v/>
      </c>
      <c r="AN246" s="458" t="str">
        <f>IF(AND($G246='Povolené hodnoty'!$B$13,$H246=AN$4),SUM($I246,$L246,$O246,$R246),"")</f>
        <v/>
      </c>
      <c r="AO246" s="458" t="str">
        <f>IF(AND($G246='Povolené hodnoty'!$B$13,$H246=AO$4),SUM($I246,$L246,$O246,$R246),"")</f>
        <v/>
      </c>
      <c r="AP246" s="458" t="str">
        <f>IF(AND($G246='Povolené hodnoty'!$B$13,$H246=AP$4),SUM($I246,$L246,$O246,$R246),"")</f>
        <v/>
      </c>
      <c r="AQ246" s="40" t="str">
        <f>IF(AND($G246='Povolené hodnoty'!$B$13,OR($H246=AQ$4,$H246='Povolené hodnoty'!$E$36)),SUM($I246,-$J246,$L246,-$M246,$O246,-$P246,$R246,-$S246),"")</f>
        <v/>
      </c>
      <c r="AR246" s="40" t="str">
        <f>IF(AND($G246='Povolené hodnoty'!$B$13,$H246=AR$4),SUM($I246,$L246,$O246,$R246),"")</f>
        <v/>
      </c>
      <c r="AS246" s="41" t="str">
        <f>IF(AND($G246='Povolené hodnoty'!$B$13,$H246=AS$4),SUM($I246,$L246,$O246,$R246),"")</f>
        <v/>
      </c>
      <c r="AT246" s="39" t="str">
        <f>IF(AND($G246='Povolené hodnoty'!$B$14,$H246=AT$4),SUM($I246,$L246,$O246,$R246),"")</f>
        <v/>
      </c>
      <c r="AU246" s="458" t="str">
        <f>IF(AND($G246='Povolené hodnoty'!$B$14,$H246=AU$4),SUM($I246,$L246,$O246,$R246),"")</f>
        <v/>
      </c>
      <c r="AV246" s="41" t="str">
        <f>IF(AND($G246='Povolené hodnoty'!$B$14,$H246=AV$4),SUM($I246,$L246,$O246,$R246),"")</f>
        <v/>
      </c>
      <c r="AW246" s="39" t="str">
        <f>IF(AND($G246='Povolené hodnoty'!$B$13,$H246=AW$4),SUM($J246,$M246,$P246,$S246),"")</f>
        <v/>
      </c>
      <c r="AX246" s="458" t="str">
        <f>IF(AND($G246='Povolené hodnoty'!$B$13,$H246=AX$4),SUM($J246,$M246,$P246,$S246),"")</f>
        <v/>
      </c>
      <c r="AY246" s="458" t="str">
        <f>IF(AND($G246='Povolené hodnoty'!$B$13,$H246=AY$4),SUM($J246,$M246,$P246,$S246),"")</f>
        <v/>
      </c>
      <c r="AZ246" s="458" t="str">
        <f>IF(AND($G246='Povolené hodnoty'!$B$13,$H246=AZ$4),SUM($J246,$M246,$P246,$S246),"")</f>
        <v/>
      </c>
      <c r="BA246" s="458" t="str">
        <f>IF(AND($G246='Povolené hodnoty'!$B$13,$H246=BA$4),SUM($J246,$M246,$P246,$S246),"")</f>
        <v/>
      </c>
      <c r="BB246" s="40" t="str">
        <f>IF(AND($G246='Povolené hodnoty'!$B$13,$H246=BB$4),SUM($J246,$M246,$P246,$S246),"")</f>
        <v/>
      </c>
      <c r="BC246" s="40" t="str">
        <f>IF(AND($G246='Povolené hodnoty'!$B$13,$H246=BC$4),SUM($J246,$M246,$P246,$S246),"")</f>
        <v/>
      </c>
      <c r="BD246" s="40" t="str">
        <f>IF(AND($G246='Povolené hodnoty'!$B$13,$H246=BD$4),SUM($J246,$M246,$P246,$S246),"")</f>
        <v/>
      </c>
      <c r="BE246" s="41" t="str">
        <f>IF(AND($G246='Povolené hodnoty'!$B$13,$H246=BE$4),SUM($J246,$M246,$P246,$S246),"")</f>
        <v/>
      </c>
      <c r="BF246" s="39" t="str">
        <f>IF(AND($G246='Povolené hodnoty'!$B$14,$H246=BF$4),SUM($J246,$M246,$P246,$S246),"")</f>
        <v/>
      </c>
      <c r="BG246" s="458" t="str">
        <f>IF(AND($G246='Povolené hodnoty'!$B$14,$H246=BG$4),SUM($J246,$M246,$P246,$S246),"")</f>
        <v/>
      </c>
      <c r="BH246" s="458" t="str">
        <f>IF(AND($G246='Povolené hodnoty'!$B$14,$H246=BH$4),SUM($J246,$M246,$P246,$S246),"")</f>
        <v/>
      </c>
      <c r="BI246" s="458" t="str">
        <f>IF(AND($G246='Povolené hodnoty'!$B$14,$H246=BI$4),SUM($J246,$M246,$P246,$S246),"")</f>
        <v/>
      </c>
      <c r="BJ246" s="458" t="str">
        <f>IF(AND($G246='Povolené hodnoty'!$B$14,$H246=BJ$4),SUM($J246,$M246,$P246,$S246),"")</f>
        <v/>
      </c>
      <c r="BK246" s="40" t="str">
        <f>IF(AND($G246='Povolené hodnoty'!$B$14,$H246=BK$4),SUM($J246,$M246,$P246,$S246),"")</f>
        <v/>
      </c>
      <c r="BL246" s="40" t="str">
        <f>IF(AND($G246='Povolené hodnoty'!$B$14,$H246=BL$4),SUM($J246,$M246,$P246,$S246),"")</f>
        <v/>
      </c>
      <c r="BM246" s="41" t="str">
        <f>IF(AND($G246='Povolené hodnoty'!$B$14,$H246=BM$4),SUM($J246,$M246,$P246,$S246),"")</f>
        <v/>
      </c>
      <c r="BO246" s="18" t="b">
        <f t="shared" si="141"/>
        <v>0</v>
      </c>
      <c r="BP246" s="18" t="b">
        <f t="shared" si="112"/>
        <v>0</v>
      </c>
      <c r="BQ246" s="18" t="b">
        <f>AND(E246&lt;&gt;'Povolené hodnoty'!$B$6,F246&lt;&gt;'Povolené hodnoty'!$D$7,F246&lt;&gt;'Povolené hodnoty'!$D$8,OR(SUM(I246,L246,O246,R246)&lt;&gt;SUM(W246:X246,AA246:AG246),SUM(J246,M246,P246,S246)&lt;&gt;SUM(Y246:Z246,AH246:AK246),COUNT(I246:J246,L246:M246,O246:P246,R246:S246)&lt;&gt;COUNT(W246:AK246)))</f>
        <v>0</v>
      </c>
      <c r="BR246" s="18" t="b">
        <f>OR(AND(E246='Povolené hodnoty'!$B$6,$BR$5),AND(E246='Povolené hodnoty'!$B$6,H246&lt;&gt;'Povolené hodnoty'!$E$26,H246&lt;&gt;'Povolené hodnoty'!$E$35),AND(E246&lt;&gt;'Povolené hodnoty'!$B$6,OR(H246='Povolené hodnoty'!$E$26,H246='Povolené hodnoty'!$E$35)))</f>
        <v>0</v>
      </c>
      <c r="BS246" s="18" t="b">
        <f>OR(AND(G246&lt;&gt;'Povolené hodnoty'!$B$13,OR(H246='Povolené hodnoty'!$E$21,H246='Povolené hodnoty'!$E$22,H246='Povolené hodnoty'!$E$23,H246='Povolené hodnoty'!$E$24,H246='Povolené hodnoty'!$E$26,H246='Povolené hodnoty'!$E$36)),COUNT(I246:J246,L246:M246,O246:P246,R246:S246)&lt;&gt;COUNT(AL246:BM246))</f>
        <v>0</v>
      </c>
      <c r="BT246" s="18" t="b">
        <f t="shared" si="113"/>
        <v>0</v>
      </c>
      <c r="BV246" s="39" t="str">
        <f t="shared" si="114"/>
        <v/>
      </c>
      <c r="BW246" s="458" t="str">
        <f t="shared" si="115"/>
        <v/>
      </c>
      <c r="BX246" s="458" t="str">
        <f t="shared" si="116"/>
        <v/>
      </c>
      <c r="BY246" s="458" t="str">
        <f t="shared" si="117"/>
        <v/>
      </c>
      <c r="BZ246" s="458" t="str">
        <f t="shared" si="118"/>
        <v/>
      </c>
      <c r="CA246" s="40" t="str">
        <f t="shared" si="119"/>
        <v/>
      </c>
      <c r="CB246" s="40" t="str">
        <f t="shared" si="120"/>
        <v/>
      </c>
      <c r="CC246" s="39" t="str">
        <f t="shared" si="121"/>
        <v/>
      </c>
      <c r="CD246" s="458" t="str">
        <f t="shared" si="122"/>
        <v/>
      </c>
      <c r="CE246" s="41" t="str">
        <f t="shared" si="123"/>
        <v/>
      </c>
      <c r="CF246" s="39" t="str">
        <f t="shared" si="124"/>
        <v/>
      </c>
      <c r="CG246" s="458" t="str">
        <f t="shared" si="125"/>
        <v/>
      </c>
      <c r="CH246" s="458" t="str">
        <f t="shared" si="126"/>
        <v/>
      </c>
      <c r="CI246" s="458" t="str">
        <f t="shared" si="127"/>
        <v/>
      </c>
      <c r="CJ246" s="458" t="str">
        <f t="shared" si="128"/>
        <v/>
      </c>
      <c r="CK246" s="40" t="str">
        <f t="shared" si="129"/>
        <v/>
      </c>
      <c r="CL246" s="40" t="str">
        <f t="shared" si="130"/>
        <v/>
      </c>
      <c r="CM246" s="40" t="str">
        <f t="shared" si="131"/>
        <v/>
      </c>
      <c r="CN246" s="39" t="str">
        <f t="shared" si="132"/>
        <v/>
      </c>
      <c r="CO246" s="458" t="str">
        <f t="shared" si="133"/>
        <v/>
      </c>
      <c r="CP246" s="458" t="str">
        <f t="shared" si="134"/>
        <v/>
      </c>
      <c r="CQ246" s="458" t="str">
        <f t="shared" si="135"/>
        <v/>
      </c>
      <c r="CR246" s="458" t="str">
        <f t="shared" si="136"/>
        <v/>
      </c>
      <c r="CS246" s="40" t="str">
        <f t="shared" si="137"/>
        <v/>
      </c>
      <c r="CT246" s="40" t="str">
        <f t="shared" si="138"/>
        <v/>
      </c>
      <c r="CU246" s="41" t="str">
        <f t="shared" si="139"/>
        <v/>
      </c>
    </row>
    <row r="247" spans="1:99" x14ac:dyDescent="0.2">
      <c r="A247" s="77">
        <f t="shared" si="140"/>
        <v>242</v>
      </c>
      <c r="B247" s="81"/>
      <c r="C247" s="82"/>
      <c r="D247" s="71"/>
      <c r="E247" s="72"/>
      <c r="F247" s="73"/>
      <c r="G247" s="443"/>
      <c r="H247" s="443"/>
      <c r="I247" s="74"/>
      <c r="J247" s="75"/>
      <c r="K247" s="41">
        <f t="shared" si="144"/>
        <v>3625</v>
      </c>
      <c r="L247" s="104"/>
      <c r="M247" s="105"/>
      <c r="N247" s="106">
        <f t="shared" si="145"/>
        <v>537.05999999999995</v>
      </c>
      <c r="O247" s="104"/>
      <c r="P247" s="105"/>
      <c r="Q247" s="106">
        <f t="shared" si="142"/>
        <v>10045.83</v>
      </c>
      <c r="R247" s="104"/>
      <c r="S247" s="105"/>
      <c r="T247" s="106">
        <f t="shared" si="143"/>
        <v>0</v>
      </c>
      <c r="U247" s="439"/>
      <c r="V247" s="42">
        <f t="shared" si="111"/>
        <v>242</v>
      </c>
      <c r="W247" s="39" t="str">
        <f>IF(AND(E247='Povolené hodnoty'!$B$4,F247=2),I247+L247+O247+R247,"")</f>
        <v/>
      </c>
      <c r="X247" s="41" t="str">
        <f>IF(AND(E247='Povolené hodnoty'!$B$4,F247=1),I247+L247+O247+R247,"")</f>
        <v/>
      </c>
      <c r="Y247" s="39" t="str">
        <f>IF(AND(E247='Povolené hodnoty'!$B$4,F247=10),J247+M247+P247+S247,"")</f>
        <v/>
      </c>
      <c r="Z247" s="41" t="str">
        <f>IF(AND(E247='Povolené hodnoty'!$B$4,F247=9),J247+M247+P247+S247,"")</f>
        <v/>
      </c>
      <c r="AA247" s="39" t="str">
        <f>IF(AND(E247&lt;&gt;'Povolené hodnoty'!$B$4,F247=2),I247+L247+O247+R247,"")</f>
        <v/>
      </c>
      <c r="AB247" s="40" t="str">
        <f>IF(AND(E247&lt;&gt;'Povolené hodnoty'!$B$4,F247=3),I247+L247+O247+R247,"")</f>
        <v/>
      </c>
      <c r="AC247" s="40" t="str">
        <f>IF(AND(E247&lt;&gt;'Povolené hodnoty'!$B$4,F247=4),I247+L247+O247+R247,"")</f>
        <v/>
      </c>
      <c r="AD247" s="40" t="str">
        <f>IF(AND(E247&lt;&gt;'Povolené hodnoty'!$B$4,F247="5a"),I247-J247+L247-M247+O247-P247+R247-S247,"")</f>
        <v/>
      </c>
      <c r="AE247" s="40" t="str">
        <f>IF(AND(E247&lt;&gt;'Povolené hodnoty'!$B$4,F247="5b"),I247-J247+L247-M247+O247-P247+R247-S247,"")</f>
        <v/>
      </c>
      <c r="AF247" s="40" t="str">
        <f>IF(AND(E247&lt;&gt;'Povolené hodnoty'!$B$4,F247=6),I247+L247+O247+R247,"")</f>
        <v/>
      </c>
      <c r="AG247" s="41" t="str">
        <f>IF(AND(E247&lt;&gt;'Povolené hodnoty'!$B$4,F247=7),I247+L247+O247+R247,"")</f>
        <v/>
      </c>
      <c r="AH247" s="39" t="str">
        <f>IF(AND(E247&lt;&gt;'Povolené hodnoty'!$B$4,F247=10),J247+M247+P247+S247,"")</f>
        <v/>
      </c>
      <c r="AI247" s="40" t="str">
        <f>IF(AND(E247&lt;&gt;'Povolené hodnoty'!$B$4,F247=11),J247+M247+P247+S247,"")</f>
        <v/>
      </c>
      <c r="AJ247" s="40" t="str">
        <f>IF(AND(E247&lt;&gt;'Povolené hodnoty'!$B$4,F247=12),J247+M247+P247+S247,"")</f>
        <v/>
      </c>
      <c r="AK247" s="41" t="str">
        <f>IF(AND(E247&lt;&gt;'Povolené hodnoty'!$B$4,F247=13),J247+M247+P247+S247,"")</f>
        <v/>
      </c>
      <c r="AL247" s="39" t="str">
        <f>IF(AND($G247='Povolené hodnoty'!$B$13,$H247=AL$4),SUM($I247,$L247,$O247,$R247),"")</f>
        <v/>
      </c>
      <c r="AM247" s="458" t="str">
        <f>IF(AND($G247='Povolené hodnoty'!$B$13,$H247=AM$4),SUM($I247,$L247,$O247,$R247),"")</f>
        <v/>
      </c>
      <c r="AN247" s="458" t="str">
        <f>IF(AND($G247='Povolené hodnoty'!$B$13,$H247=AN$4),SUM($I247,$L247,$O247,$R247),"")</f>
        <v/>
      </c>
      <c r="AO247" s="458" t="str">
        <f>IF(AND($G247='Povolené hodnoty'!$B$13,$H247=AO$4),SUM($I247,$L247,$O247,$R247),"")</f>
        <v/>
      </c>
      <c r="AP247" s="458" t="str">
        <f>IF(AND($G247='Povolené hodnoty'!$B$13,$H247=AP$4),SUM($I247,$L247,$O247,$R247),"")</f>
        <v/>
      </c>
      <c r="AQ247" s="40" t="str">
        <f>IF(AND($G247='Povolené hodnoty'!$B$13,OR($H247=AQ$4,$H247='Povolené hodnoty'!$E$36)),SUM($I247,-$J247,$L247,-$M247,$O247,-$P247,$R247,-$S247),"")</f>
        <v/>
      </c>
      <c r="AR247" s="40" t="str">
        <f>IF(AND($G247='Povolené hodnoty'!$B$13,$H247=AR$4),SUM($I247,$L247,$O247,$R247),"")</f>
        <v/>
      </c>
      <c r="AS247" s="41" t="str">
        <f>IF(AND($G247='Povolené hodnoty'!$B$13,$H247=AS$4),SUM($I247,$L247,$O247,$R247),"")</f>
        <v/>
      </c>
      <c r="AT247" s="39" t="str">
        <f>IF(AND($G247='Povolené hodnoty'!$B$14,$H247=AT$4),SUM($I247,$L247,$O247,$R247),"")</f>
        <v/>
      </c>
      <c r="AU247" s="458" t="str">
        <f>IF(AND($G247='Povolené hodnoty'!$B$14,$H247=AU$4),SUM($I247,$L247,$O247,$R247),"")</f>
        <v/>
      </c>
      <c r="AV247" s="41" t="str">
        <f>IF(AND($G247='Povolené hodnoty'!$B$14,$H247=AV$4),SUM($I247,$L247,$O247,$R247),"")</f>
        <v/>
      </c>
      <c r="AW247" s="39" t="str">
        <f>IF(AND($G247='Povolené hodnoty'!$B$13,$H247=AW$4),SUM($J247,$M247,$P247,$S247),"")</f>
        <v/>
      </c>
      <c r="AX247" s="458" t="str">
        <f>IF(AND($G247='Povolené hodnoty'!$B$13,$H247=AX$4),SUM($J247,$M247,$P247,$S247),"")</f>
        <v/>
      </c>
      <c r="AY247" s="458" t="str">
        <f>IF(AND($G247='Povolené hodnoty'!$B$13,$H247=AY$4),SUM($J247,$M247,$P247,$S247),"")</f>
        <v/>
      </c>
      <c r="AZ247" s="458" t="str">
        <f>IF(AND($G247='Povolené hodnoty'!$B$13,$H247=AZ$4),SUM($J247,$M247,$P247,$S247),"")</f>
        <v/>
      </c>
      <c r="BA247" s="458" t="str">
        <f>IF(AND($G247='Povolené hodnoty'!$B$13,$H247=BA$4),SUM($J247,$M247,$P247,$S247),"")</f>
        <v/>
      </c>
      <c r="BB247" s="40" t="str">
        <f>IF(AND($G247='Povolené hodnoty'!$B$13,$H247=BB$4),SUM($J247,$M247,$P247,$S247),"")</f>
        <v/>
      </c>
      <c r="BC247" s="40" t="str">
        <f>IF(AND($G247='Povolené hodnoty'!$B$13,$H247=BC$4),SUM($J247,$M247,$P247,$S247),"")</f>
        <v/>
      </c>
      <c r="BD247" s="40" t="str">
        <f>IF(AND($G247='Povolené hodnoty'!$B$13,$H247=BD$4),SUM($J247,$M247,$P247,$S247),"")</f>
        <v/>
      </c>
      <c r="BE247" s="41" t="str">
        <f>IF(AND($G247='Povolené hodnoty'!$B$13,$H247=BE$4),SUM($J247,$M247,$P247,$S247),"")</f>
        <v/>
      </c>
      <c r="BF247" s="39" t="str">
        <f>IF(AND($G247='Povolené hodnoty'!$B$14,$H247=BF$4),SUM($J247,$M247,$P247,$S247),"")</f>
        <v/>
      </c>
      <c r="BG247" s="458" t="str">
        <f>IF(AND($G247='Povolené hodnoty'!$B$14,$H247=BG$4),SUM($J247,$M247,$P247,$S247),"")</f>
        <v/>
      </c>
      <c r="BH247" s="458" t="str">
        <f>IF(AND($G247='Povolené hodnoty'!$B$14,$H247=BH$4),SUM($J247,$M247,$P247,$S247),"")</f>
        <v/>
      </c>
      <c r="BI247" s="458" t="str">
        <f>IF(AND($G247='Povolené hodnoty'!$B$14,$H247=BI$4),SUM($J247,$M247,$P247,$S247),"")</f>
        <v/>
      </c>
      <c r="BJ247" s="458" t="str">
        <f>IF(AND($G247='Povolené hodnoty'!$B$14,$H247=BJ$4),SUM($J247,$M247,$P247,$S247),"")</f>
        <v/>
      </c>
      <c r="BK247" s="40" t="str">
        <f>IF(AND($G247='Povolené hodnoty'!$B$14,$H247=BK$4),SUM($J247,$M247,$P247,$S247),"")</f>
        <v/>
      </c>
      <c r="BL247" s="40" t="str">
        <f>IF(AND($G247='Povolené hodnoty'!$B$14,$H247=BL$4),SUM($J247,$M247,$P247,$S247),"")</f>
        <v/>
      </c>
      <c r="BM247" s="41" t="str">
        <f>IF(AND($G247='Povolené hodnoty'!$B$14,$H247=BM$4),SUM($J247,$M247,$P247,$S247),"")</f>
        <v/>
      </c>
      <c r="BO247" s="18" t="b">
        <f t="shared" si="141"/>
        <v>0</v>
      </c>
      <c r="BP247" s="18" t="b">
        <f t="shared" si="112"/>
        <v>0</v>
      </c>
      <c r="BQ247" s="18" t="b">
        <f>AND(E247&lt;&gt;'Povolené hodnoty'!$B$6,F247&lt;&gt;'Povolené hodnoty'!$D$7,F247&lt;&gt;'Povolené hodnoty'!$D$8,OR(SUM(I247,L247,O247,R247)&lt;&gt;SUM(W247:X247,AA247:AG247),SUM(J247,M247,P247,S247)&lt;&gt;SUM(Y247:Z247,AH247:AK247),COUNT(I247:J247,L247:M247,O247:P247,R247:S247)&lt;&gt;COUNT(W247:AK247)))</f>
        <v>0</v>
      </c>
      <c r="BR247" s="18" t="b">
        <f>OR(AND(E247='Povolené hodnoty'!$B$6,$BR$5),AND(E247='Povolené hodnoty'!$B$6,H247&lt;&gt;'Povolené hodnoty'!$E$26,H247&lt;&gt;'Povolené hodnoty'!$E$35),AND(E247&lt;&gt;'Povolené hodnoty'!$B$6,OR(H247='Povolené hodnoty'!$E$26,H247='Povolené hodnoty'!$E$35)))</f>
        <v>0</v>
      </c>
      <c r="BS247" s="18" t="b">
        <f>OR(AND(G247&lt;&gt;'Povolené hodnoty'!$B$13,OR(H247='Povolené hodnoty'!$E$21,H247='Povolené hodnoty'!$E$22,H247='Povolené hodnoty'!$E$23,H247='Povolené hodnoty'!$E$24,H247='Povolené hodnoty'!$E$26,H247='Povolené hodnoty'!$E$36)),COUNT(I247:J247,L247:M247,O247:P247,R247:S247)&lt;&gt;COUNT(AL247:BM247))</f>
        <v>0</v>
      </c>
      <c r="BT247" s="18" t="b">
        <f t="shared" si="113"/>
        <v>0</v>
      </c>
      <c r="BV247" s="39" t="str">
        <f t="shared" si="114"/>
        <v/>
      </c>
      <c r="BW247" s="458" t="str">
        <f t="shared" si="115"/>
        <v/>
      </c>
      <c r="BX247" s="458" t="str">
        <f t="shared" si="116"/>
        <v/>
      </c>
      <c r="BY247" s="458" t="str">
        <f t="shared" si="117"/>
        <v/>
      </c>
      <c r="BZ247" s="458" t="str">
        <f t="shared" si="118"/>
        <v/>
      </c>
      <c r="CA247" s="40" t="str">
        <f t="shared" si="119"/>
        <v/>
      </c>
      <c r="CB247" s="40" t="str">
        <f t="shared" si="120"/>
        <v/>
      </c>
      <c r="CC247" s="39" t="str">
        <f t="shared" si="121"/>
        <v/>
      </c>
      <c r="CD247" s="458" t="str">
        <f t="shared" si="122"/>
        <v/>
      </c>
      <c r="CE247" s="41" t="str">
        <f t="shared" si="123"/>
        <v/>
      </c>
      <c r="CF247" s="39" t="str">
        <f t="shared" si="124"/>
        <v/>
      </c>
      <c r="CG247" s="458" t="str">
        <f t="shared" si="125"/>
        <v/>
      </c>
      <c r="CH247" s="458" t="str">
        <f t="shared" si="126"/>
        <v/>
      </c>
      <c r="CI247" s="458" t="str">
        <f t="shared" si="127"/>
        <v/>
      </c>
      <c r="CJ247" s="458" t="str">
        <f t="shared" si="128"/>
        <v/>
      </c>
      <c r="CK247" s="40" t="str">
        <f t="shared" si="129"/>
        <v/>
      </c>
      <c r="CL247" s="40" t="str">
        <f t="shared" si="130"/>
        <v/>
      </c>
      <c r="CM247" s="40" t="str">
        <f t="shared" si="131"/>
        <v/>
      </c>
      <c r="CN247" s="39" t="str">
        <f t="shared" si="132"/>
        <v/>
      </c>
      <c r="CO247" s="458" t="str">
        <f t="shared" si="133"/>
        <v/>
      </c>
      <c r="CP247" s="458" t="str">
        <f t="shared" si="134"/>
        <v/>
      </c>
      <c r="CQ247" s="458" t="str">
        <f t="shared" si="135"/>
        <v/>
      </c>
      <c r="CR247" s="458" t="str">
        <f t="shared" si="136"/>
        <v/>
      </c>
      <c r="CS247" s="40" t="str">
        <f t="shared" si="137"/>
        <v/>
      </c>
      <c r="CT247" s="40" t="str">
        <f t="shared" si="138"/>
        <v/>
      </c>
      <c r="CU247" s="41" t="str">
        <f t="shared" si="139"/>
        <v/>
      </c>
    </row>
    <row r="248" spans="1:99" x14ac:dyDescent="0.2">
      <c r="A248" s="77">
        <f t="shared" si="140"/>
        <v>243</v>
      </c>
      <c r="B248" s="81"/>
      <c r="C248" s="82"/>
      <c r="D248" s="71"/>
      <c r="E248" s="72"/>
      <c r="F248" s="73"/>
      <c r="G248" s="443"/>
      <c r="H248" s="443"/>
      <c r="I248" s="74"/>
      <c r="J248" s="75"/>
      <c r="K248" s="41">
        <f t="shared" si="144"/>
        <v>3625</v>
      </c>
      <c r="L248" s="104"/>
      <c r="M248" s="105"/>
      <c r="N248" s="106">
        <f t="shared" si="145"/>
        <v>537.05999999999995</v>
      </c>
      <c r="O248" s="104"/>
      <c r="P248" s="105"/>
      <c r="Q248" s="106">
        <f t="shared" si="142"/>
        <v>10045.83</v>
      </c>
      <c r="R248" s="104"/>
      <c r="S248" s="105"/>
      <c r="T248" s="106">
        <f t="shared" si="143"/>
        <v>0</v>
      </c>
      <c r="U248" s="439"/>
      <c r="V248" s="42">
        <f t="shared" si="111"/>
        <v>243</v>
      </c>
      <c r="W248" s="39" t="str">
        <f>IF(AND(E248='Povolené hodnoty'!$B$4,F248=2),I248+L248+O248+R248,"")</f>
        <v/>
      </c>
      <c r="X248" s="41" t="str">
        <f>IF(AND(E248='Povolené hodnoty'!$B$4,F248=1),I248+L248+O248+R248,"")</f>
        <v/>
      </c>
      <c r="Y248" s="39" t="str">
        <f>IF(AND(E248='Povolené hodnoty'!$B$4,F248=10),J248+M248+P248+S248,"")</f>
        <v/>
      </c>
      <c r="Z248" s="41" t="str">
        <f>IF(AND(E248='Povolené hodnoty'!$B$4,F248=9),J248+M248+P248+S248,"")</f>
        <v/>
      </c>
      <c r="AA248" s="39" t="str">
        <f>IF(AND(E248&lt;&gt;'Povolené hodnoty'!$B$4,F248=2),I248+L248+O248+R248,"")</f>
        <v/>
      </c>
      <c r="AB248" s="40" t="str">
        <f>IF(AND(E248&lt;&gt;'Povolené hodnoty'!$B$4,F248=3),I248+L248+O248+R248,"")</f>
        <v/>
      </c>
      <c r="AC248" s="40" t="str">
        <f>IF(AND(E248&lt;&gt;'Povolené hodnoty'!$B$4,F248=4),I248+L248+O248+R248,"")</f>
        <v/>
      </c>
      <c r="AD248" s="40" t="str">
        <f>IF(AND(E248&lt;&gt;'Povolené hodnoty'!$B$4,F248="5a"),I248-J248+L248-M248+O248-P248+R248-S248,"")</f>
        <v/>
      </c>
      <c r="AE248" s="40" t="str">
        <f>IF(AND(E248&lt;&gt;'Povolené hodnoty'!$B$4,F248="5b"),I248-J248+L248-M248+O248-P248+R248-S248,"")</f>
        <v/>
      </c>
      <c r="AF248" s="40" t="str">
        <f>IF(AND(E248&lt;&gt;'Povolené hodnoty'!$B$4,F248=6),I248+L248+O248+R248,"")</f>
        <v/>
      </c>
      <c r="AG248" s="41" t="str">
        <f>IF(AND(E248&lt;&gt;'Povolené hodnoty'!$B$4,F248=7),I248+L248+O248+R248,"")</f>
        <v/>
      </c>
      <c r="AH248" s="39" t="str">
        <f>IF(AND(E248&lt;&gt;'Povolené hodnoty'!$B$4,F248=10),J248+M248+P248+S248,"")</f>
        <v/>
      </c>
      <c r="AI248" s="40" t="str">
        <f>IF(AND(E248&lt;&gt;'Povolené hodnoty'!$B$4,F248=11),J248+M248+P248+S248,"")</f>
        <v/>
      </c>
      <c r="AJ248" s="40" t="str">
        <f>IF(AND(E248&lt;&gt;'Povolené hodnoty'!$B$4,F248=12),J248+M248+P248+S248,"")</f>
        <v/>
      </c>
      <c r="AK248" s="41" t="str">
        <f>IF(AND(E248&lt;&gt;'Povolené hodnoty'!$B$4,F248=13),J248+M248+P248+S248,"")</f>
        <v/>
      </c>
      <c r="AL248" s="39" t="str">
        <f>IF(AND($G248='Povolené hodnoty'!$B$13,$H248=AL$4),SUM($I248,$L248,$O248,$R248),"")</f>
        <v/>
      </c>
      <c r="AM248" s="458" t="str">
        <f>IF(AND($G248='Povolené hodnoty'!$B$13,$H248=AM$4),SUM($I248,$L248,$O248,$R248),"")</f>
        <v/>
      </c>
      <c r="AN248" s="458" t="str">
        <f>IF(AND($G248='Povolené hodnoty'!$B$13,$H248=AN$4),SUM($I248,$L248,$O248,$R248),"")</f>
        <v/>
      </c>
      <c r="AO248" s="458" t="str">
        <f>IF(AND($G248='Povolené hodnoty'!$B$13,$H248=AO$4),SUM($I248,$L248,$O248,$R248),"")</f>
        <v/>
      </c>
      <c r="AP248" s="458" t="str">
        <f>IF(AND($G248='Povolené hodnoty'!$B$13,$H248=AP$4),SUM($I248,$L248,$O248,$R248),"")</f>
        <v/>
      </c>
      <c r="AQ248" s="40" t="str">
        <f>IF(AND($G248='Povolené hodnoty'!$B$13,OR($H248=AQ$4,$H248='Povolené hodnoty'!$E$36)),SUM($I248,-$J248,$L248,-$M248,$O248,-$P248,$R248,-$S248),"")</f>
        <v/>
      </c>
      <c r="AR248" s="40" t="str">
        <f>IF(AND($G248='Povolené hodnoty'!$B$13,$H248=AR$4),SUM($I248,$L248,$O248,$R248),"")</f>
        <v/>
      </c>
      <c r="AS248" s="41" t="str">
        <f>IF(AND($G248='Povolené hodnoty'!$B$13,$H248=AS$4),SUM($I248,$L248,$O248,$R248),"")</f>
        <v/>
      </c>
      <c r="AT248" s="39" t="str">
        <f>IF(AND($G248='Povolené hodnoty'!$B$14,$H248=AT$4),SUM($I248,$L248,$O248,$R248),"")</f>
        <v/>
      </c>
      <c r="AU248" s="458" t="str">
        <f>IF(AND($G248='Povolené hodnoty'!$B$14,$H248=AU$4),SUM($I248,$L248,$O248,$R248),"")</f>
        <v/>
      </c>
      <c r="AV248" s="41" t="str">
        <f>IF(AND($G248='Povolené hodnoty'!$B$14,$H248=AV$4),SUM($I248,$L248,$O248,$R248),"")</f>
        <v/>
      </c>
      <c r="AW248" s="39" t="str">
        <f>IF(AND($G248='Povolené hodnoty'!$B$13,$H248=AW$4),SUM($J248,$M248,$P248,$S248),"")</f>
        <v/>
      </c>
      <c r="AX248" s="458" t="str">
        <f>IF(AND($G248='Povolené hodnoty'!$B$13,$H248=AX$4),SUM($J248,$M248,$P248,$S248),"")</f>
        <v/>
      </c>
      <c r="AY248" s="458" t="str">
        <f>IF(AND($G248='Povolené hodnoty'!$B$13,$H248=AY$4),SUM($J248,$M248,$P248,$S248),"")</f>
        <v/>
      </c>
      <c r="AZ248" s="458" t="str">
        <f>IF(AND($G248='Povolené hodnoty'!$B$13,$H248=AZ$4),SUM($J248,$M248,$P248,$S248),"")</f>
        <v/>
      </c>
      <c r="BA248" s="458" t="str">
        <f>IF(AND($G248='Povolené hodnoty'!$B$13,$H248=BA$4),SUM($J248,$M248,$P248,$S248),"")</f>
        <v/>
      </c>
      <c r="BB248" s="40" t="str">
        <f>IF(AND($G248='Povolené hodnoty'!$B$13,$H248=BB$4),SUM($J248,$M248,$P248,$S248),"")</f>
        <v/>
      </c>
      <c r="BC248" s="40" t="str">
        <f>IF(AND($G248='Povolené hodnoty'!$B$13,$H248=BC$4),SUM($J248,$M248,$P248,$S248),"")</f>
        <v/>
      </c>
      <c r="BD248" s="40" t="str">
        <f>IF(AND($G248='Povolené hodnoty'!$B$13,$H248=BD$4),SUM($J248,$M248,$P248,$S248),"")</f>
        <v/>
      </c>
      <c r="BE248" s="41" t="str">
        <f>IF(AND($G248='Povolené hodnoty'!$B$13,$H248=BE$4),SUM($J248,$M248,$P248,$S248),"")</f>
        <v/>
      </c>
      <c r="BF248" s="39" t="str">
        <f>IF(AND($G248='Povolené hodnoty'!$B$14,$H248=BF$4),SUM($J248,$M248,$P248,$S248),"")</f>
        <v/>
      </c>
      <c r="BG248" s="458" t="str">
        <f>IF(AND($G248='Povolené hodnoty'!$B$14,$H248=BG$4),SUM($J248,$M248,$P248,$S248),"")</f>
        <v/>
      </c>
      <c r="BH248" s="458" t="str">
        <f>IF(AND($G248='Povolené hodnoty'!$B$14,$H248=BH$4),SUM($J248,$M248,$P248,$S248),"")</f>
        <v/>
      </c>
      <c r="BI248" s="458" t="str">
        <f>IF(AND($G248='Povolené hodnoty'!$B$14,$H248=BI$4),SUM($J248,$M248,$P248,$S248),"")</f>
        <v/>
      </c>
      <c r="BJ248" s="458" t="str">
        <f>IF(AND($G248='Povolené hodnoty'!$B$14,$H248=BJ$4),SUM($J248,$M248,$P248,$S248),"")</f>
        <v/>
      </c>
      <c r="BK248" s="40" t="str">
        <f>IF(AND($G248='Povolené hodnoty'!$B$14,$H248=BK$4),SUM($J248,$M248,$P248,$S248),"")</f>
        <v/>
      </c>
      <c r="BL248" s="40" t="str">
        <f>IF(AND($G248='Povolené hodnoty'!$B$14,$H248=BL$4),SUM($J248,$M248,$P248,$S248),"")</f>
        <v/>
      </c>
      <c r="BM248" s="41" t="str">
        <f>IF(AND($G248='Povolené hodnoty'!$B$14,$H248=BM$4),SUM($J248,$M248,$P248,$S248),"")</f>
        <v/>
      </c>
      <c r="BO248" s="18" t="b">
        <f t="shared" si="141"/>
        <v>0</v>
      </c>
      <c r="BP248" s="18" t="b">
        <f t="shared" si="112"/>
        <v>0</v>
      </c>
      <c r="BQ248" s="18" t="b">
        <f>AND(E248&lt;&gt;'Povolené hodnoty'!$B$6,F248&lt;&gt;'Povolené hodnoty'!$D$7,F248&lt;&gt;'Povolené hodnoty'!$D$8,OR(SUM(I248,L248,O248,R248)&lt;&gt;SUM(W248:X248,AA248:AG248),SUM(J248,M248,P248,S248)&lt;&gt;SUM(Y248:Z248,AH248:AK248),COUNT(I248:J248,L248:M248,O248:P248,R248:S248)&lt;&gt;COUNT(W248:AK248)))</f>
        <v>0</v>
      </c>
      <c r="BR248" s="18" t="b">
        <f>OR(AND(E248='Povolené hodnoty'!$B$6,$BR$5),AND(E248='Povolené hodnoty'!$B$6,H248&lt;&gt;'Povolené hodnoty'!$E$26,H248&lt;&gt;'Povolené hodnoty'!$E$35),AND(E248&lt;&gt;'Povolené hodnoty'!$B$6,OR(H248='Povolené hodnoty'!$E$26,H248='Povolené hodnoty'!$E$35)))</f>
        <v>0</v>
      </c>
      <c r="BS248" s="18" t="b">
        <f>OR(AND(G248&lt;&gt;'Povolené hodnoty'!$B$13,OR(H248='Povolené hodnoty'!$E$21,H248='Povolené hodnoty'!$E$22,H248='Povolené hodnoty'!$E$23,H248='Povolené hodnoty'!$E$24,H248='Povolené hodnoty'!$E$26,H248='Povolené hodnoty'!$E$36)),COUNT(I248:J248,L248:M248,O248:P248,R248:S248)&lt;&gt;COUNT(AL248:BM248))</f>
        <v>0</v>
      </c>
      <c r="BT248" s="18" t="b">
        <f t="shared" si="113"/>
        <v>0</v>
      </c>
      <c r="BV248" s="39" t="str">
        <f t="shared" si="114"/>
        <v/>
      </c>
      <c r="BW248" s="458" t="str">
        <f t="shared" si="115"/>
        <v/>
      </c>
      <c r="BX248" s="458" t="str">
        <f t="shared" si="116"/>
        <v/>
      </c>
      <c r="BY248" s="458" t="str">
        <f t="shared" si="117"/>
        <v/>
      </c>
      <c r="BZ248" s="458" t="str">
        <f t="shared" si="118"/>
        <v/>
      </c>
      <c r="CA248" s="40" t="str">
        <f t="shared" si="119"/>
        <v/>
      </c>
      <c r="CB248" s="40" t="str">
        <f t="shared" si="120"/>
        <v/>
      </c>
      <c r="CC248" s="39" t="str">
        <f t="shared" si="121"/>
        <v/>
      </c>
      <c r="CD248" s="458" t="str">
        <f t="shared" si="122"/>
        <v/>
      </c>
      <c r="CE248" s="41" t="str">
        <f t="shared" si="123"/>
        <v/>
      </c>
      <c r="CF248" s="39" t="str">
        <f t="shared" si="124"/>
        <v/>
      </c>
      <c r="CG248" s="458" t="str">
        <f t="shared" si="125"/>
        <v/>
      </c>
      <c r="CH248" s="458" t="str">
        <f t="shared" si="126"/>
        <v/>
      </c>
      <c r="CI248" s="458" t="str">
        <f t="shared" si="127"/>
        <v/>
      </c>
      <c r="CJ248" s="458" t="str">
        <f t="shared" si="128"/>
        <v/>
      </c>
      <c r="CK248" s="40" t="str">
        <f t="shared" si="129"/>
        <v/>
      </c>
      <c r="CL248" s="40" t="str">
        <f t="shared" si="130"/>
        <v/>
      </c>
      <c r="CM248" s="40" t="str">
        <f t="shared" si="131"/>
        <v/>
      </c>
      <c r="CN248" s="39" t="str">
        <f t="shared" si="132"/>
        <v/>
      </c>
      <c r="CO248" s="458" t="str">
        <f t="shared" si="133"/>
        <v/>
      </c>
      <c r="CP248" s="458" t="str">
        <f t="shared" si="134"/>
        <v/>
      </c>
      <c r="CQ248" s="458" t="str">
        <f t="shared" si="135"/>
        <v/>
      </c>
      <c r="CR248" s="458" t="str">
        <f t="shared" si="136"/>
        <v/>
      </c>
      <c r="CS248" s="40" t="str">
        <f t="shared" si="137"/>
        <v/>
      </c>
      <c r="CT248" s="40" t="str">
        <f t="shared" si="138"/>
        <v/>
      </c>
      <c r="CU248" s="41" t="str">
        <f t="shared" si="139"/>
        <v/>
      </c>
    </row>
    <row r="249" spans="1:99" x14ac:dyDescent="0.2">
      <c r="A249" s="77">
        <f t="shared" si="140"/>
        <v>244</v>
      </c>
      <c r="B249" s="81"/>
      <c r="C249" s="82"/>
      <c r="D249" s="71"/>
      <c r="E249" s="72"/>
      <c r="F249" s="73"/>
      <c r="G249" s="443"/>
      <c r="H249" s="443"/>
      <c r="I249" s="74"/>
      <c r="J249" s="75"/>
      <c r="K249" s="41">
        <f t="shared" si="144"/>
        <v>3625</v>
      </c>
      <c r="L249" s="104"/>
      <c r="M249" s="105"/>
      <c r="N249" s="106">
        <f t="shared" si="145"/>
        <v>537.05999999999995</v>
      </c>
      <c r="O249" s="104"/>
      <c r="P249" s="105"/>
      <c r="Q249" s="106">
        <f t="shared" si="142"/>
        <v>10045.83</v>
      </c>
      <c r="R249" s="104"/>
      <c r="S249" s="105"/>
      <c r="T249" s="106">
        <f t="shared" si="143"/>
        <v>0</v>
      </c>
      <c r="U249" s="439"/>
      <c r="V249" s="42">
        <f t="shared" si="111"/>
        <v>244</v>
      </c>
      <c r="W249" s="39" t="str">
        <f>IF(AND(E249='Povolené hodnoty'!$B$4,F249=2),I249+L249+O249+R249,"")</f>
        <v/>
      </c>
      <c r="X249" s="41" t="str">
        <f>IF(AND(E249='Povolené hodnoty'!$B$4,F249=1),I249+L249+O249+R249,"")</f>
        <v/>
      </c>
      <c r="Y249" s="39" t="str">
        <f>IF(AND(E249='Povolené hodnoty'!$B$4,F249=10),J249+M249+P249+S249,"")</f>
        <v/>
      </c>
      <c r="Z249" s="41" t="str">
        <f>IF(AND(E249='Povolené hodnoty'!$B$4,F249=9),J249+M249+P249+S249,"")</f>
        <v/>
      </c>
      <c r="AA249" s="39" t="str">
        <f>IF(AND(E249&lt;&gt;'Povolené hodnoty'!$B$4,F249=2),I249+L249+O249+R249,"")</f>
        <v/>
      </c>
      <c r="AB249" s="40" t="str">
        <f>IF(AND(E249&lt;&gt;'Povolené hodnoty'!$B$4,F249=3),I249+L249+O249+R249,"")</f>
        <v/>
      </c>
      <c r="AC249" s="40" t="str">
        <f>IF(AND(E249&lt;&gt;'Povolené hodnoty'!$B$4,F249=4),I249+L249+O249+R249,"")</f>
        <v/>
      </c>
      <c r="AD249" s="40" t="str">
        <f>IF(AND(E249&lt;&gt;'Povolené hodnoty'!$B$4,F249="5a"),I249-J249+L249-M249+O249-P249+R249-S249,"")</f>
        <v/>
      </c>
      <c r="AE249" s="40" t="str">
        <f>IF(AND(E249&lt;&gt;'Povolené hodnoty'!$B$4,F249="5b"),I249-J249+L249-M249+O249-P249+R249-S249,"")</f>
        <v/>
      </c>
      <c r="AF249" s="40" t="str">
        <f>IF(AND(E249&lt;&gt;'Povolené hodnoty'!$B$4,F249=6),I249+L249+O249+R249,"")</f>
        <v/>
      </c>
      <c r="AG249" s="41" t="str">
        <f>IF(AND(E249&lt;&gt;'Povolené hodnoty'!$B$4,F249=7),I249+L249+O249+R249,"")</f>
        <v/>
      </c>
      <c r="AH249" s="39" t="str">
        <f>IF(AND(E249&lt;&gt;'Povolené hodnoty'!$B$4,F249=10),J249+M249+P249+S249,"")</f>
        <v/>
      </c>
      <c r="AI249" s="40" t="str">
        <f>IF(AND(E249&lt;&gt;'Povolené hodnoty'!$B$4,F249=11),J249+M249+P249+S249,"")</f>
        <v/>
      </c>
      <c r="AJ249" s="40" t="str">
        <f>IF(AND(E249&lt;&gt;'Povolené hodnoty'!$B$4,F249=12),J249+M249+P249+S249,"")</f>
        <v/>
      </c>
      <c r="AK249" s="41" t="str">
        <f>IF(AND(E249&lt;&gt;'Povolené hodnoty'!$B$4,F249=13),J249+M249+P249+S249,"")</f>
        <v/>
      </c>
      <c r="AL249" s="39" t="str">
        <f>IF(AND($G249='Povolené hodnoty'!$B$13,$H249=AL$4),SUM($I249,$L249,$O249,$R249),"")</f>
        <v/>
      </c>
      <c r="AM249" s="458" t="str">
        <f>IF(AND($G249='Povolené hodnoty'!$B$13,$H249=AM$4),SUM($I249,$L249,$O249,$R249),"")</f>
        <v/>
      </c>
      <c r="AN249" s="458" t="str">
        <f>IF(AND($G249='Povolené hodnoty'!$B$13,$H249=AN$4),SUM($I249,$L249,$O249,$R249),"")</f>
        <v/>
      </c>
      <c r="AO249" s="458" t="str">
        <f>IF(AND($G249='Povolené hodnoty'!$B$13,$H249=AO$4),SUM($I249,$L249,$O249,$R249),"")</f>
        <v/>
      </c>
      <c r="AP249" s="458" t="str">
        <f>IF(AND($G249='Povolené hodnoty'!$B$13,$H249=AP$4),SUM($I249,$L249,$O249,$R249),"")</f>
        <v/>
      </c>
      <c r="AQ249" s="40" t="str">
        <f>IF(AND($G249='Povolené hodnoty'!$B$13,OR($H249=AQ$4,$H249='Povolené hodnoty'!$E$36)),SUM($I249,-$J249,$L249,-$M249,$O249,-$P249,$R249,-$S249),"")</f>
        <v/>
      </c>
      <c r="AR249" s="40" t="str">
        <f>IF(AND($G249='Povolené hodnoty'!$B$13,$H249=AR$4),SUM($I249,$L249,$O249,$R249),"")</f>
        <v/>
      </c>
      <c r="AS249" s="41" t="str">
        <f>IF(AND($G249='Povolené hodnoty'!$B$13,$H249=AS$4),SUM($I249,$L249,$O249,$R249),"")</f>
        <v/>
      </c>
      <c r="AT249" s="39" t="str">
        <f>IF(AND($G249='Povolené hodnoty'!$B$14,$H249=AT$4),SUM($I249,$L249,$O249,$R249),"")</f>
        <v/>
      </c>
      <c r="AU249" s="458" t="str">
        <f>IF(AND($G249='Povolené hodnoty'!$B$14,$H249=AU$4),SUM($I249,$L249,$O249,$R249),"")</f>
        <v/>
      </c>
      <c r="AV249" s="41" t="str">
        <f>IF(AND($G249='Povolené hodnoty'!$B$14,$H249=AV$4),SUM($I249,$L249,$O249,$R249),"")</f>
        <v/>
      </c>
      <c r="AW249" s="39" t="str">
        <f>IF(AND($G249='Povolené hodnoty'!$B$13,$H249=AW$4),SUM($J249,$M249,$P249,$S249),"")</f>
        <v/>
      </c>
      <c r="AX249" s="458" t="str">
        <f>IF(AND($G249='Povolené hodnoty'!$B$13,$H249=AX$4),SUM($J249,$M249,$P249,$S249),"")</f>
        <v/>
      </c>
      <c r="AY249" s="458" t="str">
        <f>IF(AND($G249='Povolené hodnoty'!$B$13,$H249=AY$4),SUM($J249,$M249,$P249,$S249),"")</f>
        <v/>
      </c>
      <c r="AZ249" s="458" t="str">
        <f>IF(AND($G249='Povolené hodnoty'!$B$13,$H249=AZ$4),SUM($J249,$M249,$P249,$S249),"")</f>
        <v/>
      </c>
      <c r="BA249" s="458" t="str">
        <f>IF(AND($G249='Povolené hodnoty'!$B$13,$H249=BA$4),SUM($J249,$M249,$P249,$S249),"")</f>
        <v/>
      </c>
      <c r="BB249" s="40" t="str">
        <f>IF(AND($G249='Povolené hodnoty'!$B$13,$H249=BB$4),SUM($J249,$M249,$P249,$S249),"")</f>
        <v/>
      </c>
      <c r="BC249" s="40" t="str">
        <f>IF(AND($G249='Povolené hodnoty'!$B$13,$H249=BC$4),SUM($J249,$M249,$P249,$S249),"")</f>
        <v/>
      </c>
      <c r="BD249" s="40" t="str">
        <f>IF(AND($G249='Povolené hodnoty'!$B$13,$H249=BD$4),SUM($J249,$M249,$P249,$S249),"")</f>
        <v/>
      </c>
      <c r="BE249" s="41" t="str">
        <f>IF(AND($G249='Povolené hodnoty'!$B$13,$H249=BE$4),SUM($J249,$M249,$P249,$S249),"")</f>
        <v/>
      </c>
      <c r="BF249" s="39" t="str">
        <f>IF(AND($G249='Povolené hodnoty'!$B$14,$H249=BF$4),SUM($J249,$M249,$P249,$S249),"")</f>
        <v/>
      </c>
      <c r="BG249" s="458" t="str">
        <f>IF(AND($G249='Povolené hodnoty'!$B$14,$H249=BG$4),SUM($J249,$M249,$P249,$S249),"")</f>
        <v/>
      </c>
      <c r="BH249" s="458" t="str">
        <f>IF(AND($G249='Povolené hodnoty'!$B$14,$H249=BH$4),SUM($J249,$M249,$P249,$S249),"")</f>
        <v/>
      </c>
      <c r="BI249" s="458" t="str">
        <f>IF(AND($G249='Povolené hodnoty'!$B$14,$H249=BI$4),SUM($J249,$M249,$P249,$S249),"")</f>
        <v/>
      </c>
      <c r="BJ249" s="458" t="str">
        <f>IF(AND($G249='Povolené hodnoty'!$B$14,$H249=BJ$4),SUM($J249,$M249,$P249,$S249),"")</f>
        <v/>
      </c>
      <c r="BK249" s="40" t="str">
        <f>IF(AND($G249='Povolené hodnoty'!$B$14,$H249=BK$4),SUM($J249,$M249,$P249,$S249),"")</f>
        <v/>
      </c>
      <c r="BL249" s="40" t="str">
        <f>IF(AND($G249='Povolené hodnoty'!$B$14,$H249=BL$4),SUM($J249,$M249,$P249,$S249),"")</f>
        <v/>
      </c>
      <c r="BM249" s="41" t="str">
        <f>IF(AND($G249='Povolené hodnoty'!$B$14,$H249=BM$4),SUM($J249,$M249,$P249,$S249),"")</f>
        <v/>
      </c>
      <c r="BO249" s="18" t="b">
        <f t="shared" si="141"/>
        <v>0</v>
      </c>
      <c r="BP249" s="18" t="b">
        <f t="shared" si="112"/>
        <v>0</v>
      </c>
      <c r="BQ249" s="18" t="b">
        <f>AND(E249&lt;&gt;'Povolené hodnoty'!$B$6,F249&lt;&gt;'Povolené hodnoty'!$D$7,F249&lt;&gt;'Povolené hodnoty'!$D$8,OR(SUM(I249,L249,O249,R249)&lt;&gt;SUM(W249:X249,AA249:AG249),SUM(J249,M249,P249,S249)&lt;&gt;SUM(Y249:Z249,AH249:AK249),COUNT(I249:J249,L249:M249,O249:P249,R249:S249)&lt;&gt;COUNT(W249:AK249)))</f>
        <v>0</v>
      </c>
      <c r="BR249" s="18" t="b">
        <f>OR(AND(E249='Povolené hodnoty'!$B$6,$BR$5),AND(E249='Povolené hodnoty'!$B$6,H249&lt;&gt;'Povolené hodnoty'!$E$26,H249&lt;&gt;'Povolené hodnoty'!$E$35),AND(E249&lt;&gt;'Povolené hodnoty'!$B$6,OR(H249='Povolené hodnoty'!$E$26,H249='Povolené hodnoty'!$E$35)))</f>
        <v>0</v>
      </c>
      <c r="BS249" s="18" t="b">
        <f>OR(AND(G249&lt;&gt;'Povolené hodnoty'!$B$13,OR(H249='Povolené hodnoty'!$E$21,H249='Povolené hodnoty'!$E$22,H249='Povolené hodnoty'!$E$23,H249='Povolené hodnoty'!$E$24,H249='Povolené hodnoty'!$E$26,H249='Povolené hodnoty'!$E$36)),COUNT(I249:J249,L249:M249,O249:P249,R249:S249)&lt;&gt;COUNT(AL249:BM249))</f>
        <v>0</v>
      </c>
      <c r="BT249" s="18" t="b">
        <f t="shared" si="113"/>
        <v>0</v>
      </c>
      <c r="BV249" s="39" t="str">
        <f t="shared" si="114"/>
        <v/>
      </c>
      <c r="BW249" s="458" t="str">
        <f t="shared" si="115"/>
        <v/>
      </c>
      <c r="BX249" s="458" t="str">
        <f t="shared" si="116"/>
        <v/>
      </c>
      <c r="BY249" s="458" t="str">
        <f t="shared" si="117"/>
        <v/>
      </c>
      <c r="BZ249" s="458" t="str">
        <f t="shared" si="118"/>
        <v/>
      </c>
      <c r="CA249" s="40" t="str">
        <f t="shared" si="119"/>
        <v/>
      </c>
      <c r="CB249" s="40" t="str">
        <f t="shared" si="120"/>
        <v/>
      </c>
      <c r="CC249" s="39" t="str">
        <f t="shared" si="121"/>
        <v/>
      </c>
      <c r="CD249" s="458" t="str">
        <f t="shared" si="122"/>
        <v/>
      </c>
      <c r="CE249" s="41" t="str">
        <f t="shared" si="123"/>
        <v/>
      </c>
      <c r="CF249" s="39" t="str">
        <f t="shared" si="124"/>
        <v/>
      </c>
      <c r="CG249" s="458" t="str">
        <f t="shared" si="125"/>
        <v/>
      </c>
      <c r="CH249" s="458" t="str">
        <f t="shared" si="126"/>
        <v/>
      </c>
      <c r="CI249" s="458" t="str">
        <f t="shared" si="127"/>
        <v/>
      </c>
      <c r="CJ249" s="458" t="str">
        <f t="shared" si="128"/>
        <v/>
      </c>
      <c r="CK249" s="40" t="str">
        <f t="shared" si="129"/>
        <v/>
      </c>
      <c r="CL249" s="40" t="str">
        <f t="shared" si="130"/>
        <v/>
      </c>
      <c r="CM249" s="40" t="str">
        <f t="shared" si="131"/>
        <v/>
      </c>
      <c r="CN249" s="39" t="str">
        <f t="shared" si="132"/>
        <v/>
      </c>
      <c r="CO249" s="458" t="str">
        <f t="shared" si="133"/>
        <v/>
      </c>
      <c r="CP249" s="458" t="str">
        <f t="shared" si="134"/>
        <v/>
      </c>
      <c r="CQ249" s="458" t="str">
        <f t="shared" si="135"/>
        <v/>
      </c>
      <c r="CR249" s="458" t="str">
        <f t="shared" si="136"/>
        <v/>
      </c>
      <c r="CS249" s="40" t="str">
        <f t="shared" si="137"/>
        <v/>
      </c>
      <c r="CT249" s="40" t="str">
        <f t="shared" si="138"/>
        <v/>
      </c>
      <c r="CU249" s="41" t="str">
        <f t="shared" si="139"/>
        <v/>
      </c>
    </row>
    <row r="250" spans="1:99" x14ac:dyDescent="0.2">
      <c r="A250" s="77">
        <f t="shared" si="140"/>
        <v>245</v>
      </c>
      <c r="B250" s="81"/>
      <c r="C250" s="82"/>
      <c r="D250" s="71"/>
      <c r="E250" s="72"/>
      <c r="F250" s="73"/>
      <c r="G250" s="443"/>
      <c r="H250" s="443"/>
      <c r="I250" s="74"/>
      <c r="J250" s="75"/>
      <c r="K250" s="41">
        <f t="shared" si="144"/>
        <v>3625</v>
      </c>
      <c r="L250" s="104"/>
      <c r="M250" s="105"/>
      <c r="N250" s="106">
        <f t="shared" si="145"/>
        <v>537.05999999999995</v>
      </c>
      <c r="O250" s="104"/>
      <c r="P250" s="105"/>
      <c r="Q250" s="106">
        <f t="shared" si="142"/>
        <v>10045.83</v>
      </c>
      <c r="R250" s="104"/>
      <c r="S250" s="105"/>
      <c r="T250" s="106">
        <f t="shared" si="143"/>
        <v>0</v>
      </c>
      <c r="U250" s="439"/>
      <c r="V250" s="42">
        <f t="shared" si="111"/>
        <v>245</v>
      </c>
      <c r="W250" s="39" t="str">
        <f>IF(AND(E250='Povolené hodnoty'!$B$4,F250=2),I250+L250+O250+R250,"")</f>
        <v/>
      </c>
      <c r="X250" s="41" t="str">
        <f>IF(AND(E250='Povolené hodnoty'!$B$4,F250=1),I250+L250+O250+R250,"")</f>
        <v/>
      </c>
      <c r="Y250" s="39" t="str">
        <f>IF(AND(E250='Povolené hodnoty'!$B$4,F250=10),J250+M250+P250+S250,"")</f>
        <v/>
      </c>
      <c r="Z250" s="41" t="str">
        <f>IF(AND(E250='Povolené hodnoty'!$B$4,F250=9),J250+M250+P250+S250,"")</f>
        <v/>
      </c>
      <c r="AA250" s="39" t="str">
        <f>IF(AND(E250&lt;&gt;'Povolené hodnoty'!$B$4,F250=2),I250+L250+O250+R250,"")</f>
        <v/>
      </c>
      <c r="AB250" s="40" t="str">
        <f>IF(AND(E250&lt;&gt;'Povolené hodnoty'!$B$4,F250=3),I250+L250+O250+R250,"")</f>
        <v/>
      </c>
      <c r="AC250" s="40" t="str">
        <f>IF(AND(E250&lt;&gt;'Povolené hodnoty'!$B$4,F250=4),I250+L250+O250+R250,"")</f>
        <v/>
      </c>
      <c r="AD250" s="40" t="str">
        <f>IF(AND(E250&lt;&gt;'Povolené hodnoty'!$B$4,F250="5a"),I250-J250+L250-M250+O250-P250+R250-S250,"")</f>
        <v/>
      </c>
      <c r="AE250" s="40" t="str">
        <f>IF(AND(E250&lt;&gt;'Povolené hodnoty'!$B$4,F250="5b"),I250-J250+L250-M250+O250-P250+R250-S250,"")</f>
        <v/>
      </c>
      <c r="AF250" s="40" t="str">
        <f>IF(AND(E250&lt;&gt;'Povolené hodnoty'!$B$4,F250=6),I250+L250+O250+R250,"")</f>
        <v/>
      </c>
      <c r="AG250" s="41" t="str">
        <f>IF(AND(E250&lt;&gt;'Povolené hodnoty'!$B$4,F250=7),I250+L250+O250+R250,"")</f>
        <v/>
      </c>
      <c r="AH250" s="39" t="str">
        <f>IF(AND(E250&lt;&gt;'Povolené hodnoty'!$B$4,F250=10),J250+M250+P250+S250,"")</f>
        <v/>
      </c>
      <c r="AI250" s="40" t="str">
        <f>IF(AND(E250&lt;&gt;'Povolené hodnoty'!$B$4,F250=11),J250+M250+P250+S250,"")</f>
        <v/>
      </c>
      <c r="AJ250" s="40" t="str">
        <f>IF(AND(E250&lt;&gt;'Povolené hodnoty'!$B$4,F250=12),J250+M250+P250+S250,"")</f>
        <v/>
      </c>
      <c r="AK250" s="41" t="str">
        <f>IF(AND(E250&lt;&gt;'Povolené hodnoty'!$B$4,F250=13),J250+M250+P250+S250,"")</f>
        <v/>
      </c>
      <c r="AL250" s="39" t="str">
        <f>IF(AND($G250='Povolené hodnoty'!$B$13,$H250=AL$4),SUM($I250,$L250,$O250,$R250),"")</f>
        <v/>
      </c>
      <c r="AM250" s="458" t="str">
        <f>IF(AND($G250='Povolené hodnoty'!$B$13,$H250=AM$4),SUM($I250,$L250,$O250,$R250),"")</f>
        <v/>
      </c>
      <c r="AN250" s="458" t="str">
        <f>IF(AND($G250='Povolené hodnoty'!$B$13,$H250=AN$4),SUM($I250,$L250,$O250,$R250),"")</f>
        <v/>
      </c>
      <c r="AO250" s="458" t="str">
        <f>IF(AND($G250='Povolené hodnoty'!$B$13,$H250=AO$4),SUM($I250,$L250,$O250,$R250),"")</f>
        <v/>
      </c>
      <c r="AP250" s="458" t="str">
        <f>IF(AND($G250='Povolené hodnoty'!$B$13,$H250=AP$4),SUM($I250,$L250,$O250,$R250),"")</f>
        <v/>
      </c>
      <c r="AQ250" s="40" t="str">
        <f>IF(AND($G250='Povolené hodnoty'!$B$13,OR($H250=AQ$4,$H250='Povolené hodnoty'!$E$36)),SUM($I250,-$J250,$L250,-$M250,$O250,-$P250,$R250,-$S250),"")</f>
        <v/>
      </c>
      <c r="AR250" s="40" t="str">
        <f>IF(AND($G250='Povolené hodnoty'!$B$13,$H250=AR$4),SUM($I250,$L250,$O250,$R250),"")</f>
        <v/>
      </c>
      <c r="AS250" s="41" t="str">
        <f>IF(AND($G250='Povolené hodnoty'!$B$13,$H250=AS$4),SUM($I250,$L250,$O250,$R250),"")</f>
        <v/>
      </c>
      <c r="AT250" s="39" t="str">
        <f>IF(AND($G250='Povolené hodnoty'!$B$14,$H250=AT$4),SUM($I250,$L250,$O250,$R250),"")</f>
        <v/>
      </c>
      <c r="AU250" s="458" t="str">
        <f>IF(AND($G250='Povolené hodnoty'!$B$14,$H250=AU$4),SUM($I250,$L250,$O250,$R250),"")</f>
        <v/>
      </c>
      <c r="AV250" s="41" t="str">
        <f>IF(AND($G250='Povolené hodnoty'!$B$14,$H250=AV$4),SUM($I250,$L250,$O250,$R250),"")</f>
        <v/>
      </c>
      <c r="AW250" s="39" t="str">
        <f>IF(AND($G250='Povolené hodnoty'!$B$13,$H250=AW$4),SUM($J250,$M250,$P250,$S250),"")</f>
        <v/>
      </c>
      <c r="AX250" s="458" t="str">
        <f>IF(AND($G250='Povolené hodnoty'!$B$13,$H250=AX$4),SUM($J250,$M250,$P250,$S250),"")</f>
        <v/>
      </c>
      <c r="AY250" s="458" t="str">
        <f>IF(AND($G250='Povolené hodnoty'!$B$13,$H250=AY$4),SUM($J250,$M250,$P250,$S250),"")</f>
        <v/>
      </c>
      <c r="AZ250" s="458" t="str">
        <f>IF(AND($G250='Povolené hodnoty'!$B$13,$H250=AZ$4),SUM($J250,$M250,$P250,$S250),"")</f>
        <v/>
      </c>
      <c r="BA250" s="458" t="str">
        <f>IF(AND($G250='Povolené hodnoty'!$B$13,$H250=BA$4),SUM($J250,$M250,$P250,$S250),"")</f>
        <v/>
      </c>
      <c r="BB250" s="40" t="str">
        <f>IF(AND($G250='Povolené hodnoty'!$B$13,$H250=BB$4),SUM($J250,$M250,$P250,$S250),"")</f>
        <v/>
      </c>
      <c r="BC250" s="40" t="str">
        <f>IF(AND($G250='Povolené hodnoty'!$B$13,$H250=BC$4),SUM($J250,$M250,$P250,$S250),"")</f>
        <v/>
      </c>
      <c r="BD250" s="40" t="str">
        <f>IF(AND($G250='Povolené hodnoty'!$B$13,$H250=BD$4),SUM($J250,$M250,$P250,$S250),"")</f>
        <v/>
      </c>
      <c r="BE250" s="41" t="str">
        <f>IF(AND($G250='Povolené hodnoty'!$B$13,$H250=BE$4),SUM($J250,$M250,$P250,$S250),"")</f>
        <v/>
      </c>
      <c r="BF250" s="39" t="str">
        <f>IF(AND($G250='Povolené hodnoty'!$B$14,$H250=BF$4),SUM($J250,$M250,$P250,$S250),"")</f>
        <v/>
      </c>
      <c r="BG250" s="458" t="str">
        <f>IF(AND($G250='Povolené hodnoty'!$B$14,$H250=BG$4),SUM($J250,$M250,$P250,$S250),"")</f>
        <v/>
      </c>
      <c r="BH250" s="458" t="str">
        <f>IF(AND($G250='Povolené hodnoty'!$B$14,$H250=BH$4),SUM($J250,$M250,$P250,$S250),"")</f>
        <v/>
      </c>
      <c r="BI250" s="458" t="str">
        <f>IF(AND($G250='Povolené hodnoty'!$B$14,$H250=BI$4),SUM($J250,$M250,$P250,$S250),"")</f>
        <v/>
      </c>
      <c r="BJ250" s="458" t="str">
        <f>IF(AND($G250='Povolené hodnoty'!$B$14,$H250=BJ$4),SUM($J250,$M250,$P250,$S250),"")</f>
        <v/>
      </c>
      <c r="BK250" s="40" t="str">
        <f>IF(AND($G250='Povolené hodnoty'!$B$14,$H250=BK$4),SUM($J250,$M250,$P250,$S250),"")</f>
        <v/>
      </c>
      <c r="BL250" s="40" t="str">
        <f>IF(AND($G250='Povolené hodnoty'!$B$14,$H250=BL$4),SUM($J250,$M250,$P250,$S250),"")</f>
        <v/>
      </c>
      <c r="BM250" s="41" t="str">
        <f>IF(AND($G250='Povolené hodnoty'!$B$14,$H250=BM$4),SUM($J250,$M250,$P250,$S250),"")</f>
        <v/>
      </c>
      <c r="BO250" s="18" t="b">
        <f t="shared" si="141"/>
        <v>0</v>
      </c>
      <c r="BP250" s="18" t="b">
        <f t="shared" si="112"/>
        <v>0</v>
      </c>
      <c r="BQ250" s="18" t="b">
        <f>AND(E250&lt;&gt;'Povolené hodnoty'!$B$6,F250&lt;&gt;'Povolené hodnoty'!$D$7,F250&lt;&gt;'Povolené hodnoty'!$D$8,OR(SUM(I250,L250,O250,R250)&lt;&gt;SUM(W250:X250,AA250:AG250),SUM(J250,M250,P250,S250)&lt;&gt;SUM(Y250:Z250,AH250:AK250),COUNT(I250:J250,L250:M250,O250:P250,R250:S250)&lt;&gt;COUNT(W250:AK250)))</f>
        <v>0</v>
      </c>
      <c r="BR250" s="18" t="b">
        <f>OR(AND(E250='Povolené hodnoty'!$B$6,$BR$5),AND(E250='Povolené hodnoty'!$B$6,H250&lt;&gt;'Povolené hodnoty'!$E$26,H250&lt;&gt;'Povolené hodnoty'!$E$35),AND(E250&lt;&gt;'Povolené hodnoty'!$B$6,OR(H250='Povolené hodnoty'!$E$26,H250='Povolené hodnoty'!$E$35)))</f>
        <v>0</v>
      </c>
      <c r="BS250" s="18" t="b">
        <f>OR(AND(G250&lt;&gt;'Povolené hodnoty'!$B$13,OR(H250='Povolené hodnoty'!$E$21,H250='Povolené hodnoty'!$E$22,H250='Povolené hodnoty'!$E$23,H250='Povolené hodnoty'!$E$24,H250='Povolené hodnoty'!$E$26,H250='Povolené hodnoty'!$E$36)),COUNT(I250:J250,L250:M250,O250:P250,R250:S250)&lt;&gt;COUNT(AL250:BM250))</f>
        <v>0</v>
      </c>
      <c r="BT250" s="18" t="b">
        <f t="shared" si="113"/>
        <v>0</v>
      </c>
      <c r="BV250" s="39" t="str">
        <f t="shared" si="114"/>
        <v/>
      </c>
      <c r="BW250" s="458" t="str">
        <f t="shared" si="115"/>
        <v/>
      </c>
      <c r="BX250" s="458" t="str">
        <f t="shared" si="116"/>
        <v/>
      </c>
      <c r="BY250" s="458" t="str">
        <f t="shared" si="117"/>
        <v/>
      </c>
      <c r="BZ250" s="458" t="str">
        <f t="shared" si="118"/>
        <v/>
      </c>
      <c r="CA250" s="40" t="str">
        <f t="shared" si="119"/>
        <v/>
      </c>
      <c r="CB250" s="40" t="str">
        <f t="shared" si="120"/>
        <v/>
      </c>
      <c r="CC250" s="39" t="str">
        <f t="shared" si="121"/>
        <v/>
      </c>
      <c r="CD250" s="458" t="str">
        <f t="shared" si="122"/>
        <v/>
      </c>
      <c r="CE250" s="41" t="str">
        <f t="shared" si="123"/>
        <v/>
      </c>
      <c r="CF250" s="39" t="str">
        <f t="shared" si="124"/>
        <v/>
      </c>
      <c r="CG250" s="458" t="str">
        <f t="shared" si="125"/>
        <v/>
      </c>
      <c r="CH250" s="458" t="str">
        <f t="shared" si="126"/>
        <v/>
      </c>
      <c r="CI250" s="458" t="str">
        <f t="shared" si="127"/>
        <v/>
      </c>
      <c r="CJ250" s="458" t="str">
        <f t="shared" si="128"/>
        <v/>
      </c>
      <c r="CK250" s="40" t="str">
        <f t="shared" si="129"/>
        <v/>
      </c>
      <c r="CL250" s="40" t="str">
        <f t="shared" si="130"/>
        <v/>
      </c>
      <c r="CM250" s="40" t="str">
        <f t="shared" si="131"/>
        <v/>
      </c>
      <c r="CN250" s="39" t="str">
        <f t="shared" si="132"/>
        <v/>
      </c>
      <c r="CO250" s="458" t="str">
        <f t="shared" si="133"/>
        <v/>
      </c>
      <c r="CP250" s="458" t="str">
        <f t="shared" si="134"/>
        <v/>
      </c>
      <c r="CQ250" s="458" t="str">
        <f t="shared" si="135"/>
        <v/>
      </c>
      <c r="CR250" s="458" t="str">
        <f t="shared" si="136"/>
        <v/>
      </c>
      <c r="CS250" s="40" t="str">
        <f t="shared" si="137"/>
        <v/>
      </c>
      <c r="CT250" s="40" t="str">
        <f t="shared" si="138"/>
        <v/>
      </c>
      <c r="CU250" s="41" t="str">
        <f t="shared" si="139"/>
        <v/>
      </c>
    </row>
    <row r="251" spans="1:99" x14ac:dyDescent="0.2">
      <c r="A251" s="77">
        <f t="shared" si="140"/>
        <v>246</v>
      </c>
      <c r="B251" s="81"/>
      <c r="C251" s="82"/>
      <c r="D251" s="71"/>
      <c r="E251" s="72"/>
      <c r="F251" s="73"/>
      <c r="G251" s="443"/>
      <c r="H251" s="443"/>
      <c r="I251" s="74"/>
      <c r="J251" s="75"/>
      <c r="K251" s="41">
        <f t="shared" si="144"/>
        <v>3625</v>
      </c>
      <c r="L251" s="104"/>
      <c r="M251" s="105"/>
      <c r="N251" s="106">
        <f t="shared" si="145"/>
        <v>537.05999999999995</v>
      </c>
      <c r="O251" s="104"/>
      <c r="P251" s="105"/>
      <c r="Q251" s="106">
        <f t="shared" si="142"/>
        <v>10045.83</v>
      </c>
      <c r="R251" s="104"/>
      <c r="S251" s="105"/>
      <c r="T251" s="106">
        <f t="shared" si="143"/>
        <v>0</v>
      </c>
      <c r="U251" s="439"/>
      <c r="V251" s="42">
        <f t="shared" si="111"/>
        <v>246</v>
      </c>
      <c r="W251" s="39" t="str">
        <f>IF(AND(E251='Povolené hodnoty'!$B$4,F251=2),I251+L251+O251+R251,"")</f>
        <v/>
      </c>
      <c r="X251" s="41" t="str">
        <f>IF(AND(E251='Povolené hodnoty'!$B$4,F251=1),I251+L251+O251+R251,"")</f>
        <v/>
      </c>
      <c r="Y251" s="39" t="str">
        <f>IF(AND(E251='Povolené hodnoty'!$B$4,F251=10),J251+M251+P251+S251,"")</f>
        <v/>
      </c>
      <c r="Z251" s="41" t="str">
        <f>IF(AND(E251='Povolené hodnoty'!$B$4,F251=9),J251+M251+P251+S251,"")</f>
        <v/>
      </c>
      <c r="AA251" s="39" t="str">
        <f>IF(AND(E251&lt;&gt;'Povolené hodnoty'!$B$4,F251=2),I251+L251+O251+R251,"")</f>
        <v/>
      </c>
      <c r="AB251" s="40" t="str">
        <f>IF(AND(E251&lt;&gt;'Povolené hodnoty'!$B$4,F251=3),I251+L251+O251+R251,"")</f>
        <v/>
      </c>
      <c r="AC251" s="40" t="str">
        <f>IF(AND(E251&lt;&gt;'Povolené hodnoty'!$B$4,F251=4),I251+L251+O251+R251,"")</f>
        <v/>
      </c>
      <c r="AD251" s="40" t="str">
        <f>IF(AND(E251&lt;&gt;'Povolené hodnoty'!$B$4,F251="5a"),I251-J251+L251-M251+O251-P251+R251-S251,"")</f>
        <v/>
      </c>
      <c r="AE251" s="40" t="str">
        <f>IF(AND(E251&lt;&gt;'Povolené hodnoty'!$B$4,F251="5b"),I251-J251+L251-M251+O251-P251+R251-S251,"")</f>
        <v/>
      </c>
      <c r="AF251" s="40" t="str">
        <f>IF(AND(E251&lt;&gt;'Povolené hodnoty'!$B$4,F251=6),I251+L251+O251+R251,"")</f>
        <v/>
      </c>
      <c r="AG251" s="41" t="str">
        <f>IF(AND(E251&lt;&gt;'Povolené hodnoty'!$B$4,F251=7),I251+L251+O251+R251,"")</f>
        <v/>
      </c>
      <c r="AH251" s="39" t="str">
        <f>IF(AND(E251&lt;&gt;'Povolené hodnoty'!$B$4,F251=10),J251+M251+P251+S251,"")</f>
        <v/>
      </c>
      <c r="AI251" s="40" t="str">
        <f>IF(AND(E251&lt;&gt;'Povolené hodnoty'!$B$4,F251=11),J251+M251+P251+S251,"")</f>
        <v/>
      </c>
      <c r="AJ251" s="40" t="str">
        <f>IF(AND(E251&lt;&gt;'Povolené hodnoty'!$B$4,F251=12),J251+M251+P251+S251,"")</f>
        <v/>
      </c>
      <c r="AK251" s="41" t="str">
        <f>IF(AND(E251&lt;&gt;'Povolené hodnoty'!$B$4,F251=13),J251+M251+P251+S251,"")</f>
        <v/>
      </c>
      <c r="AL251" s="39" t="str">
        <f>IF(AND($G251='Povolené hodnoty'!$B$13,$H251=AL$4),SUM($I251,$L251,$O251,$R251),"")</f>
        <v/>
      </c>
      <c r="AM251" s="458" t="str">
        <f>IF(AND($G251='Povolené hodnoty'!$B$13,$H251=AM$4),SUM($I251,$L251,$O251,$R251),"")</f>
        <v/>
      </c>
      <c r="AN251" s="458" t="str">
        <f>IF(AND($G251='Povolené hodnoty'!$B$13,$H251=AN$4),SUM($I251,$L251,$O251,$R251),"")</f>
        <v/>
      </c>
      <c r="AO251" s="458" t="str">
        <f>IF(AND($G251='Povolené hodnoty'!$B$13,$H251=AO$4),SUM($I251,$L251,$O251,$R251),"")</f>
        <v/>
      </c>
      <c r="AP251" s="458" t="str">
        <f>IF(AND($G251='Povolené hodnoty'!$B$13,$H251=AP$4),SUM($I251,$L251,$O251,$R251),"")</f>
        <v/>
      </c>
      <c r="AQ251" s="40" t="str">
        <f>IF(AND($G251='Povolené hodnoty'!$B$13,OR($H251=AQ$4,$H251='Povolené hodnoty'!$E$36)),SUM($I251,-$J251,$L251,-$M251,$O251,-$P251,$R251,-$S251),"")</f>
        <v/>
      </c>
      <c r="AR251" s="40" t="str">
        <f>IF(AND($G251='Povolené hodnoty'!$B$13,$H251=AR$4),SUM($I251,$L251,$O251,$R251),"")</f>
        <v/>
      </c>
      <c r="AS251" s="41" t="str">
        <f>IF(AND($G251='Povolené hodnoty'!$B$13,$H251=AS$4),SUM($I251,$L251,$O251,$R251),"")</f>
        <v/>
      </c>
      <c r="AT251" s="39" t="str">
        <f>IF(AND($G251='Povolené hodnoty'!$B$14,$H251=AT$4),SUM($I251,$L251,$O251,$R251),"")</f>
        <v/>
      </c>
      <c r="AU251" s="458" t="str">
        <f>IF(AND($G251='Povolené hodnoty'!$B$14,$H251=AU$4),SUM($I251,$L251,$O251,$R251),"")</f>
        <v/>
      </c>
      <c r="AV251" s="41" t="str">
        <f>IF(AND($G251='Povolené hodnoty'!$B$14,$H251=AV$4),SUM($I251,$L251,$O251,$R251),"")</f>
        <v/>
      </c>
      <c r="AW251" s="39" t="str">
        <f>IF(AND($G251='Povolené hodnoty'!$B$13,$H251=AW$4),SUM($J251,$M251,$P251,$S251),"")</f>
        <v/>
      </c>
      <c r="AX251" s="458" t="str">
        <f>IF(AND($G251='Povolené hodnoty'!$B$13,$H251=AX$4),SUM($J251,$M251,$P251,$S251),"")</f>
        <v/>
      </c>
      <c r="AY251" s="458" t="str">
        <f>IF(AND($G251='Povolené hodnoty'!$B$13,$H251=AY$4),SUM($J251,$M251,$P251,$S251),"")</f>
        <v/>
      </c>
      <c r="AZ251" s="458" t="str">
        <f>IF(AND($G251='Povolené hodnoty'!$B$13,$H251=AZ$4),SUM($J251,$M251,$P251,$S251),"")</f>
        <v/>
      </c>
      <c r="BA251" s="458" t="str">
        <f>IF(AND($G251='Povolené hodnoty'!$B$13,$H251=BA$4),SUM($J251,$M251,$P251,$S251),"")</f>
        <v/>
      </c>
      <c r="BB251" s="40" t="str">
        <f>IF(AND($G251='Povolené hodnoty'!$B$13,$H251=BB$4),SUM($J251,$M251,$P251,$S251),"")</f>
        <v/>
      </c>
      <c r="BC251" s="40" t="str">
        <f>IF(AND($G251='Povolené hodnoty'!$B$13,$H251=BC$4),SUM($J251,$M251,$P251,$S251),"")</f>
        <v/>
      </c>
      <c r="BD251" s="40" t="str">
        <f>IF(AND($G251='Povolené hodnoty'!$B$13,$H251=BD$4),SUM($J251,$M251,$P251,$S251),"")</f>
        <v/>
      </c>
      <c r="BE251" s="41" t="str">
        <f>IF(AND($G251='Povolené hodnoty'!$B$13,$H251=BE$4),SUM($J251,$M251,$P251,$S251),"")</f>
        <v/>
      </c>
      <c r="BF251" s="39" t="str">
        <f>IF(AND($G251='Povolené hodnoty'!$B$14,$H251=BF$4),SUM($J251,$M251,$P251,$S251),"")</f>
        <v/>
      </c>
      <c r="BG251" s="458" t="str">
        <f>IF(AND($G251='Povolené hodnoty'!$B$14,$H251=BG$4),SUM($J251,$M251,$P251,$S251),"")</f>
        <v/>
      </c>
      <c r="BH251" s="458" t="str">
        <f>IF(AND($G251='Povolené hodnoty'!$B$14,$H251=BH$4),SUM($J251,$M251,$P251,$S251),"")</f>
        <v/>
      </c>
      <c r="BI251" s="458" t="str">
        <f>IF(AND($G251='Povolené hodnoty'!$B$14,$H251=BI$4),SUM($J251,$M251,$P251,$S251),"")</f>
        <v/>
      </c>
      <c r="BJ251" s="458" t="str">
        <f>IF(AND($G251='Povolené hodnoty'!$B$14,$H251=BJ$4),SUM($J251,$M251,$P251,$S251),"")</f>
        <v/>
      </c>
      <c r="BK251" s="40" t="str">
        <f>IF(AND($G251='Povolené hodnoty'!$B$14,$H251=BK$4),SUM($J251,$M251,$P251,$S251),"")</f>
        <v/>
      </c>
      <c r="BL251" s="40" t="str">
        <f>IF(AND($G251='Povolené hodnoty'!$B$14,$H251=BL$4),SUM($J251,$M251,$P251,$S251),"")</f>
        <v/>
      </c>
      <c r="BM251" s="41" t="str">
        <f>IF(AND($G251='Povolené hodnoty'!$B$14,$H251=BM$4),SUM($J251,$M251,$P251,$S251),"")</f>
        <v/>
      </c>
      <c r="BO251" s="18" t="b">
        <f t="shared" si="141"/>
        <v>0</v>
      </c>
      <c r="BP251" s="18" t="b">
        <f t="shared" si="112"/>
        <v>0</v>
      </c>
      <c r="BQ251" s="18" t="b">
        <f>AND(E251&lt;&gt;'Povolené hodnoty'!$B$6,F251&lt;&gt;'Povolené hodnoty'!$D$7,F251&lt;&gt;'Povolené hodnoty'!$D$8,OR(SUM(I251,L251,O251,R251)&lt;&gt;SUM(W251:X251,AA251:AG251),SUM(J251,M251,P251,S251)&lt;&gt;SUM(Y251:Z251,AH251:AK251),COUNT(I251:J251,L251:M251,O251:P251,R251:S251)&lt;&gt;COUNT(W251:AK251)))</f>
        <v>0</v>
      </c>
      <c r="BR251" s="18" t="b">
        <f>OR(AND(E251='Povolené hodnoty'!$B$6,$BR$5),AND(E251='Povolené hodnoty'!$B$6,H251&lt;&gt;'Povolené hodnoty'!$E$26,H251&lt;&gt;'Povolené hodnoty'!$E$35),AND(E251&lt;&gt;'Povolené hodnoty'!$B$6,OR(H251='Povolené hodnoty'!$E$26,H251='Povolené hodnoty'!$E$35)))</f>
        <v>0</v>
      </c>
      <c r="BS251" s="18" t="b">
        <f>OR(AND(G251&lt;&gt;'Povolené hodnoty'!$B$13,OR(H251='Povolené hodnoty'!$E$21,H251='Povolené hodnoty'!$E$22,H251='Povolené hodnoty'!$E$23,H251='Povolené hodnoty'!$E$24,H251='Povolené hodnoty'!$E$26,H251='Povolené hodnoty'!$E$36)),COUNT(I251:J251,L251:M251,O251:P251,R251:S251)&lt;&gt;COUNT(AL251:BM251))</f>
        <v>0</v>
      </c>
      <c r="BT251" s="18" t="b">
        <f t="shared" si="113"/>
        <v>0</v>
      </c>
      <c r="BV251" s="39" t="str">
        <f t="shared" si="114"/>
        <v/>
      </c>
      <c r="BW251" s="458" t="str">
        <f t="shared" si="115"/>
        <v/>
      </c>
      <c r="BX251" s="458" t="str">
        <f t="shared" si="116"/>
        <v/>
      </c>
      <c r="BY251" s="458" t="str">
        <f t="shared" si="117"/>
        <v/>
      </c>
      <c r="BZ251" s="458" t="str">
        <f t="shared" si="118"/>
        <v/>
      </c>
      <c r="CA251" s="40" t="str">
        <f t="shared" si="119"/>
        <v/>
      </c>
      <c r="CB251" s="40" t="str">
        <f t="shared" si="120"/>
        <v/>
      </c>
      <c r="CC251" s="39" t="str">
        <f t="shared" si="121"/>
        <v/>
      </c>
      <c r="CD251" s="458" t="str">
        <f t="shared" si="122"/>
        <v/>
      </c>
      <c r="CE251" s="41" t="str">
        <f t="shared" si="123"/>
        <v/>
      </c>
      <c r="CF251" s="39" t="str">
        <f t="shared" si="124"/>
        <v/>
      </c>
      <c r="CG251" s="458" t="str">
        <f t="shared" si="125"/>
        <v/>
      </c>
      <c r="CH251" s="458" t="str">
        <f t="shared" si="126"/>
        <v/>
      </c>
      <c r="CI251" s="458" t="str">
        <f t="shared" si="127"/>
        <v/>
      </c>
      <c r="CJ251" s="458" t="str">
        <f t="shared" si="128"/>
        <v/>
      </c>
      <c r="CK251" s="40" t="str">
        <f t="shared" si="129"/>
        <v/>
      </c>
      <c r="CL251" s="40" t="str">
        <f t="shared" si="130"/>
        <v/>
      </c>
      <c r="CM251" s="40" t="str">
        <f t="shared" si="131"/>
        <v/>
      </c>
      <c r="CN251" s="39" t="str">
        <f t="shared" si="132"/>
        <v/>
      </c>
      <c r="CO251" s="458" t="str">
        <f t="shared" si="133"/>
        <v/>
      </c>
      <c r="CP251" s="458" t="str">
        <f t="shared" si="134"/>
        <v/>
      </c>
      <c r="CQ251" s="458" t="str">
        <f t="shared" si="135"/>
        <v/>
      </c>
      <c r="CR251" s="458" t="str">
        <f t="shared" si="136"/>
        <v/>
      </c>
      <c r="CS251" s="40" t="str">
        <f t="shared" si="137"/>
        <v/>
      </c>
      <c r="CT251" s="40" t="str">
        <f t="shared" si="138"/>
        <v/>
      </c>
      <c r="CU251" s="41" t="str">
        <f t="shared" si="139"/>
        <v/>
      </c>
    </row>
    <row r="252" spans="1:99" x14ac:dyDescent="0.2">
      <c r="A252" s="77">
        <f t="shared" si="140"/>
        <v>247</v>
      </c>
      <c r="B252" s="81"/>
      <c r="C252" s="82"/>
      <c r="D252" s="71"/>
      <c r="E252" s="72"/>
      <c r="F252" s="73"/>
      <c r="G252" s="443"/>
      <c r="H252" s="443"/>
      <c r="I252" s="74"/>
      <c r="J252" s="75"/>
      <c r="K252" s="41">
        <f t="shared" si="144"/>
        <v>3625</v>
      </c>
      <c r="L252" s="104"/>
      <c r="M252" s="105"/>
      <c r="N252" s="106">
        <f t="shared" si="145"/>
        <v>537.05999999999995</v>
      </c>
      <c r="O252" s="104"/>
      <c r="P252" s="105"/>
      <c r="Q252" s="106">
        <f t="shared" si="142"/>
        <v>10045.83</v>
      </c>
      <c r="R252" s="104"/>
      <c r="S252" s="105"/>
      <c r="T252" s="106">
        <f t="shared" si="143"/>
        <v>0</v>
      </c>
      <c r="U252" s="439"/>
      <c r="V252" s="42">
        <f t="shared" si="111"/>
        <v>247</v>
      </c>
      <c r="W252" s="39" t="str">
        <f>IF(AND(E252='Povolené hodnoty'!$B$4,F252=2),I252+L252+O252+R252,"")</f>
        <v/>
      </c>
      <c r="X252" s="41" t="str">
        <f>IF(AND(E252='Povolené hodnoty'!$B$4,F252=1),I252+L252+O252+R252,"")</f>
        <v/>
      </c>
      <c r="Y252" s="39" t="str">
        <f>IF(AND(E252='Povolené hodnoty'!$B$4,F252=10),J252+M252+P252+S252,"")</f>
        <v/>
      </c>
      <c r="Z252" s="41" t="str">
        <f>IF(AND(E252='Povolené hodnoty'!$B$4,F252=9),J252+M252+P252+S252,"")</f>
        <v/>
      </c>
      <c r="AA252" s="39" t="str">
        <f>IF(AND(E252&lt;&gt;'Povolené hodnoty'!$B$4,F252=2),I252+L252+O252+R252,"")</f>
        <v/>
      </c>
      <c r="AB252" s="40" t="str">
        <f>IF(AND(E252&lt;&gt;'Povolené hodnoty'!$B$4,F252=3),I252+L252+O252+R252,"")</f>
        <v/>
      </c>
      <c r="AC252" s="40" t="str">
        <f>IF(AND(E252&lt;&gt;'Povolené hodnoty'!$B$4,F252=4),I252+L252+O252+R252,"")</f>
        <v/>
      </c>
      <c r="AD252" s="40" t="str">
        <f>IF(AND(E252&lt;&gt;'Povolené hodnoty'!$B$4,F252="5a"),I252-J252+L252-M252+O252-P252+R252-S252,"")</f>
        <v/>
      </c>
      <c r="AE252" s="40" t="str">
        <f>IF(AND(E252&lt;&gt;'Povolené hodnoty'!$B$4,F252="5b"),I252-J252+L252-M252+O252-P252+R252-S252,"")</f>
        <v/>
      </c>
      <c r="AF252" s="40" t="str">
        <f>IF(AND(E252&lt;&gt;'Povolené hodnoty'!$B$4,F252=6),I252+L252+O252+R252,"")</f>
        <v/>
      </c>
      <c r="AG252" s="41" t="str">
        <f>IF(AND(E252&lt;&gt;'Povolené hodnoty'!$B$4,F252=7),I252+L252+O252+R252,"")</f>
        <v/>
      </c>
      <c r="AH252" s="39" t="str">
        <f>IF(AND(E252&lt;&gt;'Povolené hodnoty'!$B$4,F252=10),J252+M252+P252+S252,"")</f>
        <v/>
      </c>
      <c r="AI252" s="40" t="str">
        <f>IF(AND(E252&lt;&gt;'Povolené hodnoty'!$B$4,F252=11),J252+M252+P252+S252,"")</f>
        <v/>
      </c>
      <c r="AJ252" s="40" t="str">
        <f>IF(AND(E252&lt;&gt;'Povolené hodnoty'!$B$4,F252=12),J252+M252+P252+S252,"")</f>
        <v/>
      </c>
      <c r="AK252" s="41" t="str">
        <f>IF(AND(E252&lt;&gt;'Povolené hodnoty'!$B$4,F252=13),J252+M252+P252+S252,"")</f>
        <v/>
      </c>
      <c r="AL252" s="39" t="str">
        <f>IF(AND($G252='Povolené hodnoty'!$B$13,$H252=AL$4),SUM($I252,$L252,$O252,$R252),"")</f>
        <v/>
      </c>
      <c r="AM252" s="458" t="str">
        <f>IF(AND($G252='Povolené hodnoty'!$B$13,$H252=AM$4),SUM($I252,$L252,$O252,$R252),"")</f>
        <v/>
      </c>
      <c r="AN252" s="458" t="str">
        <f>IF(AND($G252='Povolené hodnoty'!$B$13,$H252=AN$4),SUM($I252,$L252,$O252,$R252),"")</f>
        <v/>
      </c>
      <c r="AO252" s="458" t="str">
        <f>IF(AND($G252='Povolené hodnoty'!$B$13,$H252=AO$4),SUM($I252,$L252,$O252,$R252),"")</f>
        <v/>
      </c>
      <c r="AP252" s="458" t="str">
        <f>IF(AND($G252='Povolené hodnoty'!$B$13,$H252=AP$4),SUM($I252,$L252,$O252,$R252),"")</f>
        <v/>
      </c>
      <c r="AQ252" s="40" t="str">
        <f>IF(AND($G252='Povolené hodnoty'!$B$13,OR($H252=AQ$4,$H252='Povolené hodnoty'!$E$36)),SUM($I252,-$J252,$L252,-$M252,$O252,-$P252,$R252,-$S252),"")</f>
        <v/>
      </c>
      <c r="AR252" s="40" t="str">
        <f>IF(AND($G252='Povolené hodnoty'!$B$13,$H252=AR$4),SUM($I252,$L252,$O252,$R252),"")</f>
        <v/>
      </c>
      <c r="AS252" s="41" t="str">
        <f>IF(AND($G252='Povolené hodnoty'!$B$13,$H252=AS$4),SUM($I252,$L252,$O252,$R252),"")</f>
        <v/>
      </c>
      <c r="AT252" s="39" t="str">
        <f>IF(AND($G252='Povolené hodnoty'!$B$14,$H252=AT$4),SUM($I252,$L252,$O252,$R252),"")</f>
        <v/>
      </c>
      <c r="AU252" s="458" t="str">
        <f>IF(AND($G252='Povolené hodnoty'!$B$14,$H252=AU$4),SUM($I252,$L252,$O252,$R252),"")</f>
        <v/>
      </c>
      <c r="AV252" s="41" t="str">
        <f>IF(AND($G252='Povolené hodnoty'!$B$14,$H252=AV$4),SUM($I252,$L252,$O252,$R252),"")</f>
        <v/>
      </c>
      <c r="AW252" s="39" t="str">
        <f>IF(AND($G252='Povolené hodnoty'!$B$13,$H252=AW$4),SUM($J252,$M252,$P252,$S252),"")</f>
        <v/>
      </c>
      <c r="AX252" s="458" t="str">
        <f>IF(AND($G252='Povolené hodnoty'!$B$13,$H252=AX$4),SUM($J252,$M252,$P252,$S252),"")</f>
        <v/>
      </c>
      <c r="AY252" s="458" t="str">
        <f>IF(AND($G252='Povolené hodnoty'!$B$13,$H252=AY$4),SUM($J252,$M252,$P252,$S252),"")</f>
        <v/>
      </c>
      <c r="AZ252" s="458" t="str">
        <f>IF(AND($G252='Povolené hodnoty'!$B$13,$H252=AZ$4),SUM($J252,$M252,$P252,$S252),"")</f>
        <v/>
      </c>
      <c r="BA252" s="458" t="str">
        <f>IF(AND($G252='Povolené hodnoty'!$B$13,$H252=BA$4),SUM($J252,$M252,$P252,$S252),"")</f>
        <v/>
      </c>
      <c r="BB252" s="40" t="str">
        <f>IF(AND($G252='Povolené hodnoty'!$B$13,$H252=BB$4),SUM($J252,$M252,$P252,$S252),"")</f>
        <v/>
      </c>
      <c r="BC252" s="40" t="str">
        <f>IF(AND($G252='Povolené hodnoty'!$B$13,$H252=BC$4),SUM($J252,$M252,$P252,$S252),"")</f>
        <v/>
      </c>
      <c r="BD252" s="40" t="str">
        <f>IF(AND($G252='Povolené hodnoty'!$B$13,$H252=BD$4),SUM($J252,$M252,$P252,$S252),"")</f>
        <v/>
      </c>
      <c r="BE252" s="41" t="str">
        <f>IF(AND($G252='Povolené hodnoty'!$B$13,$H252=BE$4),SUM($J252,$M252,$P252,$S252),"")</f>
        <v/>
      </c>
      <c r="BF252" s="39" t="str">
        <f>IF(AND($G252='Povolené hodnoty'!$B$14,$H252=BF$4),SUM($J252,$M252,$P252,$S252),"")</f>
        <v/>
      </c>
      <c r="BG252" s="458" t="str">
        <f>IF(AND($G252='Povolené hodnoty'!$B$14,$H252=BG$4),SUM($J252,$M252,$P252,$S252),"")</f>
        <v/>
      </c>
      <c r="BH252" s="458" t="str">
        <f>IF(AND($G252='Povolené hodnoty'!$B$14,$H252=BH$4),SUM($J252,$M252,$P252,$S252),"")</f>
        <v/>
      </c>
      <c r="BI252" s="458" t="str">
        <f>IF(AND($G252='Povolené hodnoty'!$B$14,$H252=BI$4),SUM($J252,$M252,$P252,$S252),"")</f>
        <v/>
      </c>
      <c r="BJ252" s="458" t="str">
        <f>IF(AND($G252='Povolené hodnoty'!$B$14,$H252=BJ$4),SUM($J252,$M252,$P252,$S252),"")</f>
        <v/>
      </c>
      <c r="BK252" s="40" t="str">
        <f>IF(AND($G252='Povolené hodnoty'!$B$14,$H252=BK$4),SUM($J252,$M252,$P252,$S252),"")</f>
        <v/>
      </c>
      <c r="BL252" s="40" t="str">
        <f>IF(AND($G252='Povolené hodnoty'!$B$14,$H252=BL$4),SUM($J252,$M252,$P252,$S252),"")</f>
        <v/>
      </c>
      <c r="BM252" s="41" t="str">
        <f>IF(AND($G252='Povolené hodnoty'!$B$14,$H252=BM$4),SUM($J252,$M252,$P252,$S252),"")</f>
        <v/>
      </c>
      <c r="BO252" s="18" t="b">
        <f t="shared" si="141"/>
        <v>0</v>
      </c>
      <c r="BP252" s="18" t="b">
        <f t="shared" si="112"/>
        <v>0</v>
      </c>
      <c r="BQ252" s="18" t="b">
        <f>AND(E252&lt;&gt;'Povolené hodnoty'!$B$6,F252&lt;&gt;'Povolené hodnoty'!$D$7,F252&lt;&gt;'Povolené hodnoty'!$D$8,OR(SUM(I252,L252,O252,R252)&lt;&gt;SUM(W252:X252,AA252:AG252),SUM(J252,M252,P252,S252)&lt;&gt;SUM(Y252:Z252,AH252:AK252),COUNT(I252:J252,L252:M252,O252:P252,R252:S252)&lt;&gt;COUNT(W252:AK252)))</f>
        <v>0</v>
      </c>
      <c r="BR252" s="18" t="b">
        <f>OR(AND(E252='Povolené hodnoty'!$B$6,$BR$5),AND(E252='Povolené hodnoty'!$B$6,H252&lt;&gt;'Povolené hodnoty'!$E$26,H252&lt;&gt;'Povolené hodnoty'!$E$35),AND(E252&lt;&gt;'Povolené hodnoty'!$B$6,OR(H252='Povolené hodnoty'!$E$26,H252='Povolené hodnoty'!$E$35)))</f>
        <v>0</v>
      </c>
      <c r="BS252" s="18" t="b">
        <f>OR(AND(G252&lt;&gt;'Povolené hodnoty'!$B$13,OR(H252='Povolené hodnoty'!$E$21,H252='Povolené hodnoty'!$E$22,H252='Povolené hodnoty'!$E$23,H252='Povolené hodnoty'!$E$24,H252='Povolené hodnoty'!$E$26,H252='Povolené hodnoty'!$E$36)),COUNT(I252:J252,L252:M252,O252:P252,R252:S252)&lt;&gt;COUNT(AL252:BM252))</f>
        <v>0</v>
      </c>
      <c r="BT252" s="18" t="b">
        <f t="shared" si="113"/>
        <v>0</v>
      </c>
      <c r="BV252" s="39" t="str">
        <f t="shared" si="114"/>
        <v/>
      </c>
      <c r="BW252" s="458" t="str">
        <f t="shared" si="115"/>
        <v/>
      </c>
      <c r="BX252" s="458" t="str">
        <f t="shared" si="116"/>
        <v/>
      </c>
      <c r="BY252" s="458" t="str">
        <f t="shared" si="117"/>
        <v/>
      </c>
      <c r="BZ252" s="458" t="str">
        <f t="shared" si="118"/>
        <v/>
      </c>
      <c r="CA252" s="40" t="str">
        <f t="shared" si="119"/>
        <v/>
      </c>
      <c r="CB252" s="40" t="str">
        <f t="shared" si="120"/>
        <v/>
      </c>
      <c r="CC252" s="39" t="str">
        <f t="shared" si="121"/>
        <v/>
      </c>
      <c r="CD252" s="458" t="str">
        <f t="shared" si="122"/>
        <v/>
      </c>
      <c r="CE252" s="41" t="str">
        <f t="shared" si="123"/>
        <v/>
      </c>
      <c r="CF252" s="39" t="str">
        <f t="shared" si="124"/>
        <v/>
      </c>
      <c r="CG252" s="458" t="str">
        <f t="shared" si="125"/>
        <v/>
      </c>
      <c r="CH252" s="458" t="str">
        <f t="shared" si="126"/>
        <v/>
      </c>
      <c r="CI252" s="458" t="str">
        <f t="shared" si="127"/>
        <v/>
      </c>
      <c r="CJ252" s="458" t="str">
        <f t="shared" si="128"/>
        <v/>
      </c>
      <c r="CK252" s="40" t="str">
        <f t="shared" si="129"/>
        <v/>
      </c>
      <c r="CL252" s="40" t="str">
        <f t="shared" si="130"/>
        <v/>
      </c>
      <c r="CM252" s="40" t="str">
        <f t="shared" si="131"/>
        <v/>
      </c>
      <c r="CN252" s="39" t="str">
        <f t="shared" si="132"/>
        <v/>
      </c>
      <c r="CO252" s="458" t="str">
        <f t="shared" si="133"/>
        <v/>
      </c>
      <c r="CP252" s="458" t="str">
        <f t="shared" si="134"/>
        <v/>
      </c>
      <c r="CQ252" s="458" t="str">
        <f t="shared" si="135"/>
        <v/>
      </c>
      <c r="CR252" s="458" t="str">
        <f t="shared" si="136"/>
        <v/>
      </c>
      <c r="CS252" s="40" t="str">
        <f t="shared" si="137"/>
        <v/>
      </c>
      <c r="CT252" s="40" t="str">
        <f t="shared" si="138"/>
        <v/>
      </c>
      <c r="CU252" s="41" t="str">
        <f t="shared" si="139"/>
        <v/>
      </c>
    </row>
    <row r="253" spans="1:99" x14ac:dyDescent="0.2">
      <c r="A253" s="77">
        <f t="shared" si="140"/>
        <v>248</v>
      </c>
      <c r="B253" s="81"/>
      <c r="C253" s="82"/>
      <c r="D253" s="71"/>
      <c r="E253" s="72"/>
      <c r="F253" s="73"/>
      <c r="G253" s="443"/>
      <c r="H253" s="443"/>
      <c r="I253" s="74"/>
      <c r="J253" s="75"/>
      <c r="K253" s="41">
        <f t="shared" si="144"/>
        <v>3625</v>
      </c>
      <c r="L253" s="104"/>
      <c r="M253" s="105"/>
      <c r="N253" s="106">
        <f t="shared" si="145"/>
        <v>537.05999999999995</v>
      </c>
      <c r="O253" s="104"/>
      <c r="P253" s="105"/>
      <c r="Q253" s="106">
        <f t="shared" si="142"/>
        <v>10045.83</v>
      </c>
      <c r="R253" s="104"/>
      <c r="S253" s="105"/>
      <c r="T253" s="106">
        <f t="shared" si="143"/>
        <v>0</v>
      </c>
      <c r="U253" s="439"/>
      <c r="V253" s="42">
        <f t="shared" si="111"/>
        <v>248</v>
      </c>
      <c r="W253" s="39" t="str">
        <f>IF(AND(E253='Povolené hodnoty'!$B$4,F253=2),I253+L253+O253+R253,"")</f>
        <v/>
      </c>
      <c r="X253" s="41" t="str">
        <f>IF(AND(E253='Povolené hodnoty'!$B$4,F253=1),I253+L253+O253+R253,"")</f>
        <v/>
      </c>
      <c r="Y253" s="39" t="str">
        <f>IF(AND(E253='Povolené hodnoty'!$B$4,F253=10),J253+M253+P253+S253,"")</f>
        <v/>
      </c>
      <c r="Z253" s="41" t="str">
        <f>IF(AND(E253='Povolené hodnoty'!$B$4,F253=9),J253+M253+P253+S253,"")</f>
        <v/>
      </c>
      <c r="AA253" s="39" t="str">
        <f>IF(AND(E253&lt;&gt;'Povolené hodnoty'!$B$4,F253=2),I253+L253+O253+R253,"")</f>
        <v/>
      </c>
      <c r="AB253" s="40" t="str">
        <f>IF(AND(E253&lt;&gt;'Povolené hodnoty'!$B$4,F253=3),I253+L253+O253+R253,"")</f>
        <v/>
      </c>
      <c r="AC253" s="40" t="str">
        <f>IF(AND(E253&lt;&gt;'Povolené hodnoty'!$B$4,F253=4),I253+L253+O253+R253,"")</f>
        <v/>
      </c>
      <c r="AD253" s="40" t="str">
        <f>IF(AND(E253&lt;&gt;'Povolené hodnoty'!$B$4,F253="5a"),I253-J253+L253-M253+O253-P253+R253-S253,"")</f>
        <v/>
      </c>
      <c r="AE253" s="40" t="str">
        <f>IF(AND(E253&lt;&gt;'Povolené hodnoty'!$B$4,F253="5b"),I253-J253+L253-M253+O253-P253+R253-S253,"")</f>
        <v/>
      </c>
      <c r="AF253" s="40" t="str">
        <f>IF(AND(E253&lt;&gt;'Povolené hodnoty'!$B$4,F253=6),I253+L253+O253+R253,"")</f>
        <v/>
      </c>
      <c r="AG253" s="41" t="str">
        <f>IF(AND(E253&lt;&gt;'Povolené hodnoty'!$B$4,F253=7),I253+L253+O253+R253,"")</f>
        <v/>
      </c>
      <c r="AH253" s="39" t="str">
        <f>IF(AND(E253&lt;&gt;'Povolené hodnoty'!$B$4,F253=10),J253+M253+P253+S253,"")</f>
        <v/>
      </c>
      <c r="AI253" s="40" t="str">
        <f>IF(AND(E253&lt;&gt;'Povolené hodnoty'!$B$4,F253=11),J253+M253+P253+S253,"")</f>
        <v/>
      </c>
      <c r="AJ253" s="40" t="str">
        <f>IF(AND(E253&lt;&gt;'Povolené hodnoty'!$B$4,F253=12),J253+M253+P253+S253,"")</f>
        <v/>
      </c>
      <c r="AK253" s="41" t="str">
        <f>IF(AND(E253&lt;&gt;'Povolené hodnoty'!$B$4,F253=13),J253+M253+P253+S253,"")</f>
        <v/>
      </c>
      <c r="AL253" s="39" t="str">
        <f>IF(AND($G253='Povolené hodnoty'!$B$13,$H253=AL$4),SUM($I253,$L253,$O253,$R253),"")</f>
        <v/>
      </c>
      <c r="AM253" s="458" t="str">
        <f>IF(AND($G253='Povolené hodnoty'!$B$13,$H253=AM$4),SUM($I253,$L253,$O253,$R253),"")</f>
        <v/>
      </c>
      <c r="AN253" s="458" t="str">
        <f>IF(AND($G253='Povolené hodnoty'!$B$13,$H253=AN$4),SUM($I253,$L253,$O253,$R253),"")</f>
        <v/>
      </c>
      <c r="AO253" s="458" t="str">
        <f>IF(AND($G253='Povolené hodnoty'!$B$13,$H253=AO$4),SUM($I253,$L253,$O253,$R253),"")</f>
        <v/>
      </c>
      <c r="AP253" s="458" t="str">
        <f>IF(AND($G253='Povolené hodnoty'!$B$13,$H253=AP$4),SUM($I253,$L253,$O253,$R253),"")</f>
        <v/>
      </c>
      <c r="AQ253" s="40" t="str">
        <f>IF(AND($G253='Povolené hodnoty'!$B$13,OR($H253=AQ$4,$H253='Povolené hodnoty'!$E$36)),SUM($I253,-$J253,$L253,-$M253,$O253,-$P253,$R253,-$S253),"")</f>
        <v/>
      </c>
      <c r="AR253" s="40" t="str">
        <f>IF(AND($G253='Povolené hodnoty'!$B$13,$H253=AR$4),SUM($I253,$L253,$O253,$R253),"")</f>
        <v/>
      </c>
      <c r="AS253" s="41" t="str">
        <f>IF(AND($G253='Povolené hodnoty'!$B$13,$H253=AS$4),SUM($I253,$L253,$O253,$R253),"")</f>
        <v/>
      </c>
      <c r="AT253" s="39" t="str">
        <f>IF(AND($G253='Povolené hodnoty'!$B$14,$H253=AT$4),SUM($I253,$L253,$O253,$R253),"")</f>
        <v/>
      </c>
      <c r="AU253" s="458" t="str">
        <f>IF(AND($G253='Povolené hodnoty'!$B$14,$H253=AU$4),SUM($I253,$L253,$O253,$R253),"")</f>
        <v/>
      </c>
      <c r="AV253" s="41" t="str">
        <f>IF(AND($G253='Povolené hodnoty'!$B$14,$H253=AV$4),SUM($I253,$L253,$O253,$R253),"")</f>
        <v/>
      </c>
      <c r="AW253" s="39" t="str">
        <f>IF(AND($G253='Povolené hodnoty'!$B$13,$H253=AW$4),SUM($J253,$M253,$P253,$S253),"")</f>
        <v/>
      </c>
      <c r="AX253" s="458" t="str">
        <f>IF(AND($G253='Povolené hodnoty'!$B$13,$H253=AX$4),SUM($J253,$M253,$P253,$S253),"")</f>
        <v/>
      </c>
      <c r="AY253" s="458" t="str">
        <f>IF(AND($G253='Povolené hodnoty'!$B$13,$H253=AY$4),SUM($J253,$M253,$P253,$S253),"")</f>
        <v/>
      </c>
      <c r="AZ253" s="458" t="str">
        <f>IF(AND($G253='Povolené hodnoty'!$B$13,$H253=AZ$4),SUM($J253,$M253,$P253,$S253),"")</f>
        <v/>
      </c>
      <c r="BA253" s="458" t="str">
        <f>IF(AND($G253='Povolené hodnoty'!$B$13,$H253=BA$4),SUM($J253,$M253,$P253,$S253),"")</f>
        <v/>
      </c>
      <c r="BB253" s="40" t="str">
        <f>IF(AND($G253='Povolené hodnoty'!$B$13,$H253=BB$4),SUM($J253,$M253,$P253,$S253),"")</f>
        <v/>
      </c>
      <c r="BC253" s="40" t="str">
        <f>IF(AND($G253='Povolené hodnoty'!$B$13,$H253=BC$4),SUM($J253,$M253,$P253,$S253),"")</f>
        <v/>
      </c>
      <c r="BD253" s="40" t="str">
        <f>IF(AND($G253='Povolené hodnoty'!$B$13,$H253=BD$4),SUM($J253,$M253,$P253,$S253),"")</f>
        <v/>
      </c>
      <c r="BE253" s="41" t="str">
        <f>IF(AND($G253='Povolené hodnoty'!$B$13,$H253=BE$4),SUM($J253,$M253,$P253,$S253),"")</f>
        <v/>
      </c>
      <c r="BF253" s="39" t="str">
        <f>IF(AND($G253='Povolené hodnoty'!$B$14,$H253=BF$4),SUM($J253,$M253,$P253,$S253),"")</f>
        <v/>
      </c>
      <c r="BG253" s="458" t="str">
        <f>IF(AND($G253='Povolené hodnoty'!$B$14,$H253=BG$4),SUM($J253,$M253,$P253,$S253),"")</f>
        <v/>
      </c>
      <c r="BH253" s="458" t="str">
        <f>IF(AND($G253='Povolené hodnoty'!$B$14,$H253=BH$4),SUM($J253,$M253,$P253,$S253),"")</f>
        <v/>
      </c>
      <c r="BI253" s="458" t="str">
        <f>IF(AND($G253='Povolené hodnoty'!$B$14,$H253=BI$4),SUM($J253,$M253,$P253,$S253),"")</f>
        <v/>
      </c>
      <c r="BJ253" s="458" t="str">
        <f>IF(AND($G253='Povolené hodnoty'!$B$14,$H253=BJ$4),SUM($J253,$M253,$P253,$S253),"")</f>
        <v/>
      </c>
      <c r="BK253" s="40" t="str">
        <f>IF(AND($G253='Povolené hodnoty'!$B$14,$H253=BK$4),SUM($J253,$M253,$P253,$S253),"")</f>
        <v/>
      </c>
      <c r="BL253" s="40" t="str">
        <f>IF(AND($G253='Povolené hodnoty'!$B$14,$H253=BL$4),SUM($J253,$M253,$P253,$S253),"")</f>
        <v/>
      </c>
      <c r="BM253" s="41" t="str">
        <f>IF(AND($G253='Povolené hodnoty'!$B$14,$H253=BM$4),SUM($J253,$M253,$P253,$S253),"")</f>
        <v/>
      </c>
      <c r="BO253" s="18" t="b">
        <f t="shared" si="141"/>
        <v>0</v>
      </c>
      <c r="BP253" s="18" t="b">
        <f t="shared" si="112"/>
        <v>0</v>
      </c>
      <c r="BQ253" s="18" t="b">
        <f>AND(E253&lt;&gt;'Povolené hodnoty'!$B$6,F253&lt;&gt;'Povolené hodnoty'!$D$7,F253&lt;&gt;'Povolené hodnoty'!$D$8,OR(SUM(I253,L253,O253,R253)&lt;&gt;SUM(W253:X253,AA253:AG253),SUM(J253,M253,P253,S253)&lt;&gt;SUM(Y253:Z253,AH253:AK253),COUNT(I253:J253,L253:M253,O253:P253,R253:S253)&lt;&gt;COUNT(W253:AK253)))</f>
        <v>0</v>
      </c>
      <c r="BR253" s="18" t="b">
        <f>OR(AND(E253='Povolené hodnoty'!$B$6,$BR$5),AND(E253='Povolené hodnoty'!$B$6,H253&lt;&gt;'Povolené hodnoty'!$E$26,H253&lt;&gt;'Povolené hodnoty'!$E$35),AND(E253&lt;&gt;'Povolené hodnoty'!$B$6,OR(H253='Povolené hodnoty'!$E$26,H253='Povolené hodnoty'!$E$35)))</f>
        <v>0</v>
      </c>
      <c r="BS253" s="18" t="b">
        <f>OR(AND(G253&lt;&gt;'Povolené hodnoty'!$B$13,OR(H253='Povolené hodnoty'!$E$21,H253='Povolené hodnoty'!$E$22,H253='Povolené hodnoty'!$E$23,H253='Povolené hodnoty'!$E$24,H253='Povolené hodnoty'!$E$26,H253='Povolené hodnoty'!$E$36)),COUNT(I253:J253,L253:M253,O253:P253,R253:S253)&lt;&gt;COUNT(AL253:BM253))</f>
        <v>0</v>
      </c>
      <c r="BT253" s="18" t="b">
        <f t="shared" si="113"/>
        <v>0</v>
      </c>
      <c r="BV253" s="39" t="str">
        <f t="shared" si="114"/>
        <v/>
      </c>
      <c r="BW253" s="458" t="str">
        <f t="shared" si="115"/>
        <v/>
      </c>
      <c r="BX253" s="458" t="str">
        <f t="shared" si="116"/>
        <v/>
      </c>
      <c r="BY253" s="458" t="str">
        <f t="shared" si="117"/>
        <v/>
      </c>
      <c r="BZ253" s="458" t="str">
        <f t="shared" si="118"/>
        <v/>
      </c>
      <c r="CA253" s="40" t="str">
        <f t="shared" si="119"/>
        <v/>
      </c>
      <c r="CB253" s="40" t="str">
        <f t="shared" si="120"/>
        <v/>
      </c>
      <c r="CC253" s="39" t="str">
        <f t="shared" si="121"/>
        <v/>
      </c>
      <c r="CD253" s="458" t="str">
        <f t="shared" si="122"/>
        <v/>
      </c>
      <c r="CE253" s="41" t="str">
        <f t="shared" si="123"/>
        <v/>
      </c>
      <c r="CF253" s="39" t="str">
        <f t="shared" si="124"/>
        <v/>
      </c>
      <c r="CG253" s="458" t="str">
        <f t="shared" si="125"/>
        <v/>
      </c>
      <c r="CH253" s="458" t="str">
        <f t="shared" si="126"/>
        <v/>
      </c>
      <c r="CI253" s="458" t="str">
        <f t="shared" si="127"/>
        <v/>
      </c>
      <c r="CJ253" s="458" t="str">
        <f t="shared" si="128"/>
        <v/>
      </c>
      <c r="CK253" s="40" t="str">
        <f t="shared" si="129"/>
        <v/>
      </c>
      <c r="CL253" s="40" t="str">
        <f t="shared" si="130"/>
        <v/>
      </c>
      <c r="CM253" s="40" t="str">
        <f t="shared" si="131"/>
        <v/>
      </c>
      <c r="CN253" s="39" t="str">
        <f t="shared" si="132"/>
        <v/>
      </c>
      <c r="CO253" s="458" t="str">
        <f t="shared" si="133"/>
        <v/>
      </c>
      <c r="CP253" s="458" t="str">
        <f t="shared" si="134"/>
        <v/>
      </c>
      <c r="CQ253" s="458" t="str">
        <f t="shared" si="135"/>
        <v/>
      </c>
      <c r="CR253" s="458" t="str">
        <f t="shared" si="136"/>
        <v/>
      </c>
      <c r="CS253" s="40" t="str">
        <f t="shared" si="137"/>
        <v/>
      </c>
      <c r="CT253" s="40" t="str">
        <f t="shared" si="138"/>
        <v/>
      </c>
      <c r="CU253" s="41" t="str">
        <f t="shared" si="139"/>
        <v/>
      </c>
    </row>
    <row r="254" spans="1:99" x14ac:dyDescent="0.2">
      <c r="A254" s="77">
        <f t="shared" si="140"/>
        <v>249</v>
      </c>
      <c r="B254" s="81"/>
      <c r="C254" s="82"/>
      <c r="D254" s="71"/>
      <c r="E254" s="72"/>
      <c r="F254" s="73"/>
      <c r="G254" s="443"/>
      <c r="H254" s="443"/>
      <c r="I254" s="74"/>
      <c r="J254" s="75"/>
      <c r="K254" s="41">
        <f t="shared" si="144"/>
        <v>3625</v>
      </c>
      <c r="L254" s="104"/>
      <c r="M254" s="105"/>
      <c r="N254" s="106">
        <f t="shared" si="145"/>
        <v>537.05999999999995</v>
      </c>
      <c r="O254" s="104"/>
      <c r="P254" s="105"/>
      <c r="Q254" s="106">
        <f t="shared" si="142"/>
        <v>10045.83</v>
      </c>
      <c r="R254" s="104"/>
      <c r="S254" s="105"/>
      <c r="T254" s="106">
        <f t="shared" si="143"/>
        <v>0</v>
      </c>
      <c r="U254" s="439"/>
      <c r="V254" s="42">
        <f t="shared" si="111"/>
        <v>249</v>
      </c>
      <c r="W254" s="39" t="str">
        <f>IF(AND(E254='Povolené hodnoty'!$B$4,F254=2),I254+L254+O254+R254,"")</f>
        <v/>
      </c>
      <c r="X254" s="41" t="str">
        <f>IF(AND(E254='Povolené hodnoty'!$B$4,F254=1),I254+L254+O254+R254,"")</f>
        <v/>
      </c>
      <c r="Y254" s="39" t="str">
        <f>IF(AND(E254='Povolené hodnoty'!$B$4,F254=10),J254+M254+P254+S254,"")</f>
        <v/>
      </c>
      <c r="Z254" s="41" t="str">
        <f>IF(AND(E254='Povolené hodnoty'!$B$4,F254=9),J254+M254+P254+S254,"")</f>
        <v/>
      </c>
      <c r="AA254" s="39" t="str">
        <f>IF(AND(E254&lt;&gt;'Povolené hodnoty'!$B$4,F254=2),I254+L254+O254+R254,"")</f>
        <v/>
      </c>
      <c r="AB254" s="40" t="str">
        <f>IF(AND(E254&lt;&gt;'Povolené hodnoty'!$B$4,F254=3),I254+L254+O254+R254,"")</f>
        <v/>
      </c>
      <c r="AC254" s="40" t="str">
        <f>IF(AND(E254&lt;&gt;'Povolené hodnoty'!$B$4,F254=4),I254+L254+O254+R254,"")</f>
        <v/>
      </c>
      <c r="AD254" s="40" t="str">
        <f>IF(AND(E254&lt;&gt;'Povolené hodnoty'!$B$4,F254="5a"),I254-J254+L254-M254+O254-P254+R254-S254,"")</f>
        <v/>
      </c>
      <c r="AE254" s="40" t="str">
        <f>IF(AND(E254&lt;&gt;'Povolené hodnoty'!$B$4,F254="5b"),I254-J254+L254-M254+O254-P254+R254-S254,"")</f>
        <v/>
      </c>
      <c r="AF254" s="40" t="str">
        <f>IF(AND(E254&lt;&gt;'Povolené hodnoty'!$B$4,F254=6),I254+L254+O254+R254,"")</f>
        <v/>
      </c>
      <c r="AG254" s="41" t="str">
        <f>IF(AND(E254&lt;&gt;'Povolené hodnoty'!$B$4,F254=7),I254+L254+O254+R254,"")</f>
        <v/>
      </c>
      <c r="AH254" s="39" t="str">
        <f>IF(AND(E254&lt;&gt;'Povolené hodnoty'!$B$4,F254=10),J254+M254+P254+S254,"")</f>
        <v/>
      </c>
      <c r="AI254" s="40" t="str">
        <f>IF(AND(E254&lt;&gt;'Povolené hodnoty'!$B$4,F254=11),J254+M254+P254+S254,"")</f>
        <v/>
      </c>
      <c r="AJ254" s="40" t="str">
        <f>IF(AND(E254&lt;&gt;'Povolené hodnoty'!$B$4,F254=12),J254+M254+P254+S254,"")</f>
        <v/>
      </c>
      <c r="AK254" s="41" t="str">
        <f>IF(AND(E254&lt;&gt;'Povolené hodnoty'!$B$4,F254=13),J254+M254+P254+S254,"")</f>
        <v/>
      </c>
      <c r="AL254" s="39" t="str">
        <f>IF(AND($G254='Povolené hodnoty'!$B$13,$H254=AL$4),SUM($I254,$L254,$O254,$R254),"")</f>
        <v/>
      </c>
      <c r="AM254" s="458" t="str">
        <f>IF(AND($G254='Povolené hodnoty'!$B$13,$H254=AM$4),SUM($I254,$L254,$O254,$R254),"")</f>
        <v/>
      </c>
      <c r="AN254" s="458" t="str">
        <f>IF(AND($G254='Povolené hodnoty'!$B$13,$H254=AN$4),SUM($I254,$L254,$O254,$R254),"")</f>
        <v/>
      </c>
      <c r="AO254" s="458" t="str">
        <f>IF(AND($G254='Povolené hodnoty'!$B$13,$H254=AO$4),SUM($I254,$L254,$O254,$R254),"")</f>
        <v/>
      </c>
      <c r="AP254" s="458" t="str">
        <f>IF(AND($G254='Povolené hodnoty'!$B$13,$H254=AP$4),SUM($I254,$L254,$O254,$R254),"")</f>
        <v/>
      </c>
      <c r="AQ254" s="40" t="str">
        <f>IF(AND($G254='Povolené hodnoty'!$B$13,OR($H254=AQ$4,$H254='Povolené hodnoty'!$E$36)),SUM($I254,-$J254,$L254,-$M254,$O254,-$P254,$R254,-$S254),"")</f>
        <v/>
      </c>
      <c r="AR254" s="40" t="str">
        <f>IF(AND($G254='Povolené hodnoty'!$B$13,$H254=AR$4),SUM($I254,$L254,$O254,$R254),"")</f>
        <v/>
      </c>
      <c r="AS254" s="41" t="str">
        <f>IF(AND($G254='Povolené hodnoty'!$B$13,$H254=AS$4),SUM($I254,$L254,$O254,$R254),"")</f>
        <v/>
      </c>
      <c r="AT254" s="39" t="str">
        <f>IF(AND($G254='Povolené hodnoty'!$B$14,$H254=AT$4),SUM($I254,$L254,$O254,$R254),"")</f>
        <v/>
      </c>
      <c r="AU254" s="458" t="str">
        <f>IF(AND($G254='Povolené hodnoty'!$B$14,$H254=AU$4),SUM($I254,$L254,$O254,$R254),"")</f>
        <v/>
      </c>
      <c r="AV254" s="41" t="str">
        <f>IF(AND($G254='Povolené hodnoty'!$B$14,$H254=AV$4),SUM($I254,$L254,$O254,$R254),"")</f>
        <v/>
      </c>
      <c r="AW254" s="39" t="str">
        <f>IF(AND($G254='Povolené hodnoty'!$B$13,$H254=AW$4),SUM($J254,$M254,$P254,$S254),"")</f>
        <v/>
      </c>
      <c r="AX254" s="458" t="str">
        <f>IF(AND($G254='Povolené hodnoty'!$B$13,$H254=AX$4),SUM($J254,$M254,$P254,$S254),"")</f>
        <v/>
      </c>
      <c r="AY254" s="458" t="str">
        <f>IF(AND($G254='Povolené hodnoty'!$B$13,$H254=AY$4),SUM($J254,$M254,$P254,$S254),"")</f>
        <v/>
      </c>
      <c r="AZ254" s="458" t="str">
        <f>IF(AND($G254='Povolené hodnoty'!$B$13,$H254=AZ$4),SUM($J254,$M254,$P254,$S254),"")</f>
        <v/>
      </c>
      <c r="BA254" s="458" t="str">
        <f>IF(AND($G254='Povolené hodnoty'!$B$13,$H254=BA$4),SUM($J254,$M254,$P254,$S254),"")</f>
        <v/>
      </c>
      <c r="BB254" s="40" t="str">
        <f>IF(AND($G254='Povolené hodnoty'!$B$13,$H254=BB$4),SUM($J254,$M254,$P254,$S254),"")</f>
        <v/>
      </c>
      <c r="BC254" s="40" t="str">
        <f>IF(AND($G254='Povolené hodnoty'!$B$13,$H254=BC$4),SUM($J254,$M254,$P254,$S254),"")</f>
        <v/>
      </c>
      <c r="BD254" s="40" t="str">
        <f>IF(AND($G254='Povolené hodnoty'!$B$13,$H254=BD$4),SUM($J254,$M254,$P254,$S254),"")</f>
        <v/>
      </c>
      <c r="BE254" s="41" t="str">
        <f>IF(AND($G254='Povolené hodnoty'!$B$13,$H254=BE$4),SUM($J254,$M254,$P254,$S254),"")</f>
        <v/>
      </c>
      <c r="BF254" s="39" t="str">
        <f>IF(AND($G254='Povolené hodnoty'!$B$14,$H254=BF$4),SUM($J254,$M254,$P254,$S254),"")</f>
        <v/>
      </c>
      <c r="BG254" s="458" t="str">
        <f>IF(AND($G254='Povolené hodnoty'!$B$14,$H254=BG$4),SUM($J254,$M254,$P254,$S254),"")</f>
        <v/>
      </c>
      <c r="BH254" s="458" t="str">
        <f>IF(AND($G254='Povolené hodnoty'!$B$14,$H254=BH$4),SUM($J254,$M254,$P254,$S254),"")</f>
        <v/>
      </c>
      <c r="BI254" s="458" t="str">
        <f>IF(AND($G254='Povolené hodnoty'!$B$14,$H254=BI$4),SUM($J254,$M254,$P254,$S254),"")</f>
        <v/>
      </c>
      <c r="BJ254" s="458" t="str">
        <f>IF(AND($G254='Povolené hodnoty'!$B$14,$H254=BJ$4),SUM($J254,$M254,$P254,$S254),"")</f>
        <v/>
      </c>
      <c r="BK254" s="40" t="str">
        <f>IF(AND($G254='Povolené hodnoty'!$B$14,$H254=BK$4),SUM($J254,$M254,$P254,$S254),"")</f>
        <v/>
      </c>
      <c r="BL254" s="40" t="str">
        <f>IF(AND($G254='Povolené hodnoty'!$B$14,$H254=BL$4),SUM($J254,$M254,$P254,$S254),"")</f>
        <v/>
      </c>
      <c r="BM254" s="41" t="str">
        <f>IF(AND($G254='Povolené hodnoty'!$B$14,$H254=BM$4),SUM($J254,$M254,$P254,$S254),"")</f>
        <v/>
      </c>
      <c r="BO254" s="18" t="b">
        <f t="shared" si="141"/>
        <v>0</v>
      </c>
      <c r="BP254" s="18" t="b">
        <f t="shared" si="112"/>
        <v>0</v>
      </c>
      <c r="BQ254" s="18" t="b">
        <f>AND(E254&lt;&gt;'Povolené hodnoty'!$B$6,F254&lt;&gt;'Povolené hodnoty'!$D$7,F254&lt;&gt;'Povolené hodnoty'!$D$8,OR(SUM(I254,L254,O254,R254)&lt;&gt;SUM(W254:X254,AA254:AG254),SUM(J254,M254,P254,S254)&lt;&gt;SUM(Y254:Z254,AH254:AK254),COUNT(I254:J254,L254:M254,O254:P254,R254:S254)&lt;&gt;COUNT(W254:AK254)))</f>
        <v>0</v>
      </c>
      <c r="BR254" s="18" t="b">
        <f>OR(AND(E254='Povolené hodnoty'!$B$6,$BR$5),AND(E254='Povolené hodnoty'!$B$6,H254&lt;&gt;'Povolené hodnoty'!$E$26,H254&lt;&gt;'Povolené hodnoty'!$E$35),AND(E254&lt;&gt;'Povolené hodnoty'!$B$6,OR(H254='Povolené hodnoty'!$E$26,H254='Povolené hodnoty'!$E$35)))</f>
        <v>0</v>
      </c>
      <c r="BS254" s="18" t="b">
        <f>OR(AND(G254&lt;&gt;'Povolené hodnoty'!$B$13,OR(H254='Povolené hodnoty'!$E$21,H254='Povolené hodnoty'!$E$22,H254='Povolené hodnoty'!$E$23,H254='Povolené hodnoty'!$E$24,H254='Povolené hodnoty'!$E$26,H254='Povolené hodnoty'!$E$36)),COUNT(I254:J254,L254:M254,O254:P254,R254:S254)&lt;&gt;COUNT(AL254:BM254))</f>
        <v>0</v>
      </c>
      <c r="BT254" s="18" t="b">
        <f t="shared" si="113"/>
        <v>0</v>
      </c>
      <c r="BV254" s="39" t="str">
        <f t="shared" si="114"/>
        <v/>
      </c>
      <c r="BW254" s="458" t="str">
        <f t="shared" si="115"/>
        <v/>
      </c>
      <c r="BX254" s="458" t="str">
        <f t="shared" si="116"/>
        <v/>
      </c>
      <c r="BY254" s="458" t="str">
        <f t="shared" si="117"/>
        <v/>
      </c>
      <c r="BZ254" s="458" t="str">
        <f t="shared" si="118"/>
        <v/>
      </c>
      <c r="CA254" s="40" t="str">
        <f t="shared" si="119"/>
        <v/>
      </c>
      <c r="CB254" s="40" t="str">
        <f t="shared" si="120"/>
        <v/>
      </c>
      <c r="CC254" s="39" t="str">
        <f t="shared" si="121"/>
        <v/>
      </c>
      <c r="CD254" s="458" t="str">
        <f t="shared" si="122"/>
        <v/>
      </c>
      <c r="CE254" s="41" t="str">
        <f t="shared" si="123"/>
        <v/>
      </c>
      <c r="CF254" s="39" t="str">
        <f t="shared" si="124"/>
        <v/>
      </c>
      <c r="CG254" s="458" t="str">
        <f t="shared" si="125"/>
        <v/>
      </c>
      <c r="CH254" s="458" t="str">
        <f t="shared" si="126"/>
        <v/>
      </c>
      <c r="CI254" s="458" t="str">
        <f t="shared" si="127"/>
        <v/>
      </c>
      <c r="CJ254" s="458" t="str">
        <f t="shared" si="128"/>
        <v/>
      </c>
      <c r="CK254" s="40" t="str">
        <f t="shared" si="129"/>
        <v/>
      </c>
      <c r="CL254" s="40" t="str">
        <f t="shared" si="130"/>
        <v/>
      </c>
      <c r="CM254" s="40" t="str">
        <f t="shared" si="131"/>
        <v/>
      </c>
      <c r="CN254" s="39" t="str">
        <f t="shared" si="132"/>
        <v/>
      </c>
      <c r="CO254" s="458" t="str">
        <f t="shared" si="133"/>
        <v/>
      </c>
      <c r="CP254" s="458" t="str">
        <f t="shared" si="134"/>
        <v/>
      </c>
      <c r="CQ254" s="458" t="str">
        <f t="shared" si="135"/>
        <v/>
      </c>
      <c r="CR254" s="458" t="str">
        <f t="shared" si="136"/>
        <v/>
      </c>
      <c r="CS254" s="40" t="str">
        <f t="shared" si="137"/>
        <v/>
      </c>
      <c r="CT254" s="40" t="str">
        <f t="shared" si="138"/>
        <v/>
      </c>
      <c r="CU254" s="41" t="str">
        <f t="shared" si="139"/>
        <v/>
      </c>
    </row>
    <row r="255" spans="1:99" x14ac:dyDescent="0.2">
      <c r="A255" s="77">
        <f t="shared" si="140"/>
        <v>250</v>
      </c>
      <c r="B255" s="81"/>
      <c r="C255" s="82"/>
      <c r="D255" s="71"/>
      <c r="E255" s="72"/>
      <c r="F255" s="73"/>
      <c r="G255" s="443"/>
      <c r="H255" s="443"/>
      <c r="I255" s="74"/>
      <c r="J255" s="75"/>
      <c r="K255" s="41">
        <f t="shared" si="144"/>
        <v>3625</v>
      </c>
      <c r="L255" s="104"/>
      <c r="M255" s="105"/>
      <c r="N255" s="106">
        <f t="shared" si="145"/>
        <v>537.05999999999995</v>
      </c>
      <c r="O255" s="104"/>
      <c r="P255" s="105"/>
      <c r="Q255" s="106">
        <f t="shared" si="142"/>
        <v>10045.83</v>
      </c>
      <c r="R255" s="104"/>
      <c r="S255" s="105"/>
      <c r="T255" s="106">
        <f t="shared" si="143"/>
        <v>0</v>
      </c>
      <c r="U255" s="439"/>
      <c r="V255" s="42">
        <f t="shared" si="111"/>
        <v>250</v>
      </c>
      <c r="W255" s="39" t="str">
        <f>IF(AND(E255='Povolené hodnoty'!$B$4,F255=2),I255+L255+O255+R255,"")</f>
        <v/>
      </c>
      <c r="X255" s="41" t="str">
        <f>IF(AND(E255='Povolené hodnoty'!$B$4,F255=1),I255+L255+O255+R255,"")</f>
        <v/>
      </c>
      <c r="Y255" s="39" t="str">
        <f>IF(AND(E255='Povolené hodnoty'!$B$4,F255=10),J255+M255+P255+S255,"")</f>
        <v/>
      </c>
      <c r="Z255" s="41" t="str">
        <f>IF(AND(E255='Povolené hodnoty'!$B$4,F255=9),J255+M255+P255+S255,"")</f>
        <v/>
      </c>
      <c r="AA255" s="39" t="str">
        <f>IF(AND(E255&lt;&gt;'Povolené hodnoty'!$B$4,F255=2),I255+L255+O255+R255,"")</f>
        <v/>
      </c>
      <c r="AB255" s="40" t="str">
        <f>IF(AND(E255&lt;&gt;'Povolené hodnoty'!$B$4,F255=3),I255+L255+O255+R255,"")</f>
        <v/>
      </c>
      <c r="AC255" s="40" t="str">
        <f>IF(AND(E255&lt;&gt;'Povolené hodnoty'!$B$4,F255=4),I255+L255+O255+R255,"")</f>
        <v/>
      </c>
      <c r="AD255" s="40" t="str">
        <f>IF(AND(E255&lt;&gt;'Povolené hodnoty'!$B$4,F255="5a"),I255-J255+L255-M255+O255-P255+R255-S255,"")</f>
        <v/>
      </c>
      <c r="AE255" s="40" t="str">
        <f>IF(AND(E255&lt;&gt;'Povolené hodnoty'!$B$4,F255="5b"),I255-J255+L255-M255+O255-P255+R255-S255,"")</f>
        <v/>
      </c>
      <c r="AF255" s="40" t="str">
        <f>IF(AND(E255&lt;&gt;'Povolené hodnoty'!$B$4,F255=6),I255+L255+O255+R255,"")</f>
        <v/>
      </c>
      <c r="AG255" s="41" t="str">
        <f>IF(AND(E255&lt;&gt;'Povolené hodnoty'!$B$4,F255=7),I255+L255+O255+R255,"")</f>
        <v/>
      </c>
      <c r="AH255" s="39" t="str">
        <f>IF(AND(E255&lt;&gt;'Povolené hodnoty'!$B$4,F255=10),J255+M255+P255+S255,"")</f>
        <v/>
      </c>
      <c r="AI255" s="40" t="str">
        <f>IF(AND(E255&lt;&gt;'Povolené hodnoty'!$B$4,F255=11),J255+M255+P255+S255,"")</f>
        <v/>
      </c>
      <c r="AJ255" s="40" t="str">
        <f>IF(AND(E255&lt;&gt;'Povolené hodnoty'!$B$4,F255=12),J255+M255+P255+S255,"")</f>
        <v/>
      </c>
      <c r="AK255" s="41" t="str">
        <f>IF(AND(E255&lt;&gt;'Povolené hodnoty'!$B$4,F255=13),J255+M255+P255+S255,"")</f>
        <v/>
      </c>
      <c r="AL255" s="39" t="str">
        <f>IF(AND($G255='Povolené hodnoty'!$B$13,$H255=AL$4),SUM($I255,$L255,$O255,$R255),"")</f>
        <v/>
      </c>
      <c r="AM255" s="458" t="str">
        <f>IF(AND($G255='Povolené hodnoty'!$B$13,$H255=AM$4),SUM($I255,$L255,$O255,$R255),"")</f>
        <v/>
      </c>
      <c r="AN255" s="458" t="str">
        <f>IF(AND($G255='Povolené hodnoty'!$B$13,$H255=AN$4),SUM($I255,$L255,$O255,$R255),"")</f>
        <v/>
      </c>
      <c r="AO255" s="458" t="str">
        <f>IF(AND($G255='Povolené hodnoty'!$B$13,$H255=AO$4),SUM($I255,$L255,$O255,$R255),"")</f>
        <v/>
      </c>
      <c r="AP255" s="458" t="str">
        <f>IF(AND($G255='Povolené hodnoty'!$B$13,$H255=AP$4),SUM($I255,$L255,$O255,$R255),"")</f>
        <v/>
      </c>
      <c r="AQ255" s="40" t="str">
        <f>IF(AND($G255='Povolené hodnoty'!$B$13,OR($H255=AQ$4,$H255='Povolené hodnoty'!$E$36)),SUM($I255,-$J255,$L255,-$M255,$O255,-$P255,$R255,-$S255),"")</f>
        <v/>
      </c>
      <c r="AR255" s="40" t="str">
        <f>IF(AND($G255='Povolené hodnoty'!$B$13,$H255=AR$4),SUM($I255,$L255,$O255,$R255),"")</f>
        <v/>
      </c>
      <c r="AS255" s="41" t="str">
        <f>IF(AND($G255='Povolené hodnoty'!$B$13,$H255=AS$4),SUM($I255,$L255,$O255,$R255),"")</f>
        <v/>
      </c>
      <c r="AT255" s="39" t="str">
        <f>IF(AND($G255='Povolené hodnoty'!$B$14,$H255=AT$4),SUM($I255,$L255,$O255,$R255),"")</f>
        <v/>
      </c>
      <c r="AU255" s="458" t="str">
        <f>IF(AND($G255='Povolené hodnoty'!$B$14,$H255=AU$4),SUM($I255,$L255,$O255,$R255),"")</f>
        <v/>
      </c>
      <c r="AV255" s="41" t="str">
        <f>IF(AND($G255='Povolené hodnoty'!$B$14,$H255=AV$4),SUM($I255,$L255,$O255,$R255),"")</f>
        <v/>
      </c>
      <c r="AW255" s="39" t="str">
        <f>IF(AND($G255='Povolené hodnoty'!$B$13,$H255=AW$4),SUM($J255,$M255,$P255,$S255),"")</f>
        <v/>
      </c>
      <c r="AX255" s="458" t="str">
        <f>IF(AND($G255='Povolené hodnoty'!$B$13,$H255=AX$4),SUM($J255,$M255,$P255,$S255),"")</f>
        <v/>
      </c>
      <c r="AY255" s="458" t="str">
        <f>IF(AND($G255='Povolené hodnoty'!$B$13,$H255=AY$4),SUM($J255,$M255,$P255,$S255),"")</f>
        <v/>
      </c>
      <c r="AZ255" s="458" t="str">
        <f>IF(AND($G255='Povolené hodnoty'!$B$13,$H255=AZ$4),SUM($J255,$M255,$P255,$S255),"")</f>
        <v/>
      </c>
      <c r="BA255" s="458" t="str">
        <f>IF(AND($G255='Povolené hodnoty'!$B$13,$H255=BA$4),SUM($J255,$M255,$P255,$S255),"")</f>
        <v/>
      </c>
      <c r="BB255" s="40" t="str">
        <f>IF(AND($G255='Povolené hodnoty'!$B$13,$H255=BB$4),SUM($J255,$M255,$P255,$S255),"")</f>
        <v/>
      </c>
      <c r="BC255" s="40" t="str">
        <f>IF(AND($G255='Povolené hodnoty'!$B$13,$H255=BC$4),SUM($J255,$M255,$P255,$S255),"")</f>
        <v/>
      </c>
      <c r="BD255" s="40" t="str">
        <f>IF(AND($G255='Povolené hodnoty'!$B$13,$H255=BD$4),SUM($J255,$M255,$P255,$S255),"")</f>
        <v/>
      </c>
      <c r="BE255" s="41" t="str">
        <f>IF(AND($G255='Povolené hodnoty'!$B$13,$H255=BE$4),SUM($J255,$M255,$P255,$S255),"")</f>
        <v/>
      </c>
      <c r="BF255" s="39" t="str">
        <f>IF(AND($G255='Povolené hodnoty'!$B$14,$H255=BF$4),SUM($J255,$M255,$P255,$S255),"")</f>
        <v/>
      </c>
      <c r="BG255" s="458" t="str">
        <f>IF(AND($G255='Povolené hodnoty'!$B$14,$H255=BG$4),SUM($J255,$M255,$P255,$S255),"")</f>
        <v/>
      </c>
      <c r="BH255" s="458" t="str">
        <f>IF(AND($G255='Povolené hodnoty'!$B$14,$H255=BH$4),SUM($J255,$M255,$P255,$S255),"")</f>
        <v/>
      </c>
      <c r="BI255" s="458" t="str">
        <f>IF(AND($G255='Povolené hodnoty'!$B$14,$H255=BI$4),SUM($J255,$M255,$P255,$S255),"")</f>
        <v/>
      </c>
      <c r="BJ255" s="458" t="str">
        <f>IF(AND($G255='Povolené hodnoty'!$B$14,$H255=BJ$4),SUM($J255,$M255,$P255,$S255),"")</f>
        <v/>
      </c>
      <c r="BK255" s="40" t="str">
        <f>IF(AND($G255='Povolené hodnoty'!$B$14,$H255=BK$4),SUM($J255,$M255,$P255,$S255),"")</f>
        <v/>
      </c>
      <c r="BL255" s="40" t="str">
        <f>IF(AND($G255='Povolené hodnoty'!$B$14,$H255=BL$4),SUM($J255,$M255,$P255,$S255),"")</f>
        <v/>
      </c>
      <c r="BM255" s="41" t="str">
        <f>IF(AND($G255='Povolené hodnoty'!$B$14,$H255=BM$4),SUM($J255,$M255,$P255,$S255),"")</f>
        <v/>
      </c>
      <c r="BO255" s="18" t="b">
        <f t="shared" si="141"/>
        <v>0</v>
      </c>
      <c r="BP255" s="18" t="b">
        <f t="shared" si="112"/>
        <v>0</v>
      </c>
      <c r="BQ255" s="18" t="b">
        <f>AND(E255&lt;&gt;'Povolené hodnoty'!$B$6,F255&lt;&gt;'Povolené hodnoty'!$D$7,F255&lt;&gt;'Povolené hodnoty'!$D$8,OR(SUM(I255,L255,O255,R255)&lt;&gt;SUM(W255:X255,AA255:AG255),SUM(J255,M255,P255,S255)&lt;&gt;SUM(Y255:Z255,AH255:AK255),COUNT(I255:J255,L255:M255,O255:P255,R255:S255)&lt;&gt;COUNT(W255:AK255)))</f>
        <v>0</v>
      </c>
      <c r="BR255" s="18" t="b">
        <f>OR(AND(E255='Povolené hodnoty'!$B$6,$BR$5),AND(E255='Povolené hodnoty'!$B$6,H255&lt;&gt;'Povolené hodnoty'!$E$26,H255&lt;&gt;'Povolené hodnoty'!$E$35),AND(E255&lt;&gt;'Povolené hodnoty'!$B$6,OR(H255='Povolené hodnoty'!$E$26,H255='Povolené hodnoty'!$E$35)))</f>
        <v>0</v>
      </c>
      <c r="BS255" s="18" t="b">
        <f>OR(AND(G255&lt;&gt;'Povolené hodnoty'!$B$13,OR(H255='Povolené hodnoty'!$E$21,H255='Povolené hodnoty'!$E$22,H255='Povolené hodnoty'!$E$23,H255='Povolené hodnoty'!$E$24,H255='Povolené hodnoty'!$E$26,H255='Povolené hodnoty'!$E$36)),COUNT(I255:J255,L255:M255,O255:P255,R255:S255)&lt;&gt;COUNT(AL255:BM255))</f>
        <v>0</v>
      </c>
      <c r="BT255" s="18" t="b">
        <f t="shared" si="113"/>
        <v>0</v>
      </c>
      <c r="BV255" s="39" t="str">
        <f t="shared" si="114"/>
        <v/>
      </c>
      <c r="BW255" s="458" t="str">
        <f t="shared" si="115"/>
        <v/>
      </c>
      <c r="BX255" s="458" t="str">
        <f t="shared" si="116"/>
        <v/>
      </c>
      <c r="BY255" s="458" t="str">
        <f t="shared" si="117"/>
        <v/>
      </c>
      <c r="BZ255" s="458" t="str">
        <f t="shared" si="118"/>
        <v/>
      </c>
      <c r="CA255" s="40" t="str">
        <f t="shared" si="119"/>
        <v/>
      </c>
      <c r="CB255" s="40" t="str">
        <f t="shared" si="120"/>
        <v/>
      </c>
      <c r="CC255" s="39" t="str">
        <f t="shared" si="121"/>
        <v/>
      </c>
      <c r="CD255" s="458" t="str">
        <f t="shared" si="122"/>
        <v/>
      </c>
      <c r="CE255" s="41" t="str">
        <f t="shared" si="123"/>
        <v/>
      </c>
      <c r="CF255" s="39" t="str">
        <f t="shared" si="124"/>
        <v/>
      </c>
      <c r="CG255" s="458" t="str">
        <f t="shared" si="125"/>
        <v/>
      </c>
      <c r="CH255" s="458" t="str">
        <f t="shared" si="126"/>
        <v/>
      </c>
      <c r="CI255" s="458" t="str">
        <f t="shared" si="127"/>
        <v/>
      </c>
      <c r="CJ255" s="458" t="str">
        <f t="shared" si="128"/>
        <v/>
      </c>
      <c r="CK255" s="40" t="str">
        <f t="shared" si="129"/>
        <v/>
      </c>
      <c r="CL255" s="40" t="str">
        <f t="shared" si="130"/>
        <v/>
      </c>
      <c r="CM255" s="40" t="str">
        <f t="shared" si="131"/>
        <v/>
      </c>
      <c r="CN255" s="39" t="str">
        <f t="shared" si="132"/>
        <v/>
      </c>
      <c r="CO255" s="458" t="str">
        <f t="shared" si="133"/>
        <v/>
      </c>
      <c r="CP255" s="458" t="str">
        <f t="shared" si="134"/>
        <v/>
      </c>
      <c r="CQ255" s="458" t="str">
        <f t="shared" si="135"/>
        <v/>
      </c>
      <c r="CR255" s="458" t="str">
        <f t="shared" si="136"/>
        <v/>
      </c>
      <c r="CS255" s="40" t="str">
        <f t="shared" si="137"/>
        <v/>
      </c>
      <c r="CT255" s="40" t="str">
        <f t="shared" si="138"/>
        <v/>
      </c>
      <c r="CU255" s="41" t="str">
        <f t="shared" si="139"/>
        <v/>
      </c>
    </row>
    <row r="256" spans="1:99" x14ac:dyDescent="0.2">
      <c r="A256" s="77">
        <f t="shared" si="140"/>
        <v>251</v>
      </c>
      <c r="B256" s="81"/>
      <c r="C256" s="82"/>
      <c r="D256" s="71"/>
      <c r="E256" s="72"/>
      <c r="F256" s="73"/>
      <c r="G256" s="443"/>
      <c r="H256" s="443"/>
      <c r="I256" s="74"/>
      <c r="J256" s="75"/>
      <c r="K256" s="41">
        <f t="shared" si="144"/>
        <v>3625</v>
      </c>
      <c r="L256" s="104"/>
      <c r="M256" s="105"/>
      <c r="N256" s="106">
        <f t="shared" si="145"/>
        <v>537.05999999999995</v>
      </c>
      <c r="O256" s="104"/>
      <c r="P256" s="105"/>
      <c r="Q256" s="106">
        <f t="shared" si="142"/>
        <v>10045.83</v>
      </c>
      <c r="R256" s="104"/>
      <c r="S256" s="105"/>
      <c r="T256" s="106">
        <f t="shared" si="143"/>
        <v>0</v>
      </c>
      <c r="U256" s="439"/>
      <c r="V256" s="42">
        <f t="shared" si="111"/>
        <v>251</v>
      </c>
      <c r="W256" s="39" t="str">
        <f>IF(AND(E256='Povolené hodnoty'!$B$4,F256=2),I256+L256+O256+R256,"")</f>
        <v/>
      </c>
      <c r="X256" s="41" t="str">
        <f>IF(AND(E256='Povolené hodnoty'!$B$4,F256=1),I256+L256+O256+R256,"")</f>
        <v/>
      </c>
      <c r="Y256" s="39" t="str">
        <f>IF(AND(E256='Povolené hodnoty'!$B$4,F256=10),J256+M256+P256+S256,"")</f>
        <v/>
      </c>
      <c r="Z256" s="41" t="str">
        <f>IF(AND(E256='Povolené hodnoty'!$B$4,F256=9),J256+M256+P256+S256,"")</f>
        <v/>
      </c>
      <c r="AA256" s="39" t="str">
        <f>IF(AND(E256&lt;&gt;'Povolené hodnoty'!$B$4,F256=2),I256+L256+O256+R256,"")</f>
        <v/>
      </c>
      <c r="AB256" s="40" t="str">
        <f>IF(AND(E256&lt;&gt;'Povolené hodnoty'!$B$4,F256=3),I256+L256+O256+R256,"")</f>
        <v/>
      </c>
      <c r="AC256" s="40" t="str">
        <f>IF(AND(E256&lt;&gt;'Povolené hodnoty'!$B$4,F256=4),I256+L256+O256+R256,"")</f>
        <v/>
      </c>
      <c r="AD256" s="40" t="str">
        <f>IF(AND(E256&lt;&gt;'Povolené hodnoty'!$B$4,F256="5a"),I256-J256+L256-M256+O256-P256+R256-S256,"")</f>
        <v/>
      </c>
      <c r="AE256" s="40" t="str">
        <f>IF(AND(E256&lt;&gt;'Povolené hodnoty'!$B$4,F256="5b"),I256-J256+L256-M256+O256-P256+R256-S256,"")</f>
        <v/>
      </c>
      <c r="AF256" s="40" t="str">
        <f>IF(AND(E256&lt;&gt;'Povolené hodnoty'!$B$4,F256=6),I256+L256+O256+R256,"")</f>
        <v/>
      </c>
      <c r="AG256" s="41" t="str">
        <f>IF(AND(E256&lt;&gt;'Povolené hodnoty'!$B$4,F256=7),I256+L256+O256+R256,"")</f>
        <v/>
      </c>
      <c r="AH256" s="39" t="str">
        <f>IF(AND(E256&lt;&gt;'Povolené hodnoty'!$B$4,F256=10),J256+M256+P256+S256,"")</f>
        <v/>
      </c>
      <c r="AI256" s="40" t="str">
        <f>IF(AND(E256&lt;&gt;'Povolené hodnoty'!$B$4,F256=11),J256+M256+P256+S256,"")</f>
        <v/>
      </c>
      <c r="AJ256" s="40" t="str">
        <f>IF(AND(E256&lt;&gt;'Povolené hodnoty'!$B$4,F256=12),J256+M256+P256+S256,"")</f>
        <v/>
      </c>
      <c r="AK256" s="41" t="str">
        <f>IF(AND(E256&lt;&gt;'Povolené hodnoty'!$B$4,F256=13),J256+M256+P256+S256,"")</f>
        <v/>
      </c>
      <c r="AL256" s="39" t="str">
        <f>IF(AND($G256='Povolené hodnoty'!$B$13,$H256=AL$4),SUM($I256,$L256,$O256,$R256),"")</f>
        <v/>
      </c>
      <c r="AM256" s="458" t="str">
        <f>IF(AND($G256='Povolené hodnoty'!$B$13,$H256=AM$4),SUM($I256,$L256,$O256,$R256),"")</f>
        <v/>
      </c>
      <c r="AN256" s="458" t="str">
        <f>IF(AND($G256='Povolené hodnoty'!$B$13,$H256=AN$4),SUM($I256,$L256,$O256,$R256),"")</f>
        <v/>
      </c>
      <c r="AO256" s="458" t="str">
        <f>IF(AND($G256='Povolené hodnoty'!$B$13,$H256=AO$4),SUM($I256,$L256,$O256,$R256),"")</f>
        <v/>
      </c>
      <c r="AP256" s="458" t="str">
        <f>IF(AND($G256='Povolené hodnoty'!$B$13,$H256=AP$4),SUM($I256,$L256,$O256,$R256),"")</f>
        <v/>
      </c>
      <c r="AQ256" s="40" t="str">
        <f>IF(AND($G256='Povolené hodnoty'!$B$13,OR($H256=AQ$4,$H256='Povolené hodnoty'!$E$36)),SUM($I256,-$J256,$L256,-$M256,$O256,-$P256,$R256,-$S256),"")</f>
        <v/>
      </c>
      <c r="AR256" s="40" t="str">
        <f>IF(AND($G256='Povolené hodnoty'!$B$13,$H256=AR$4),SUM($I256,$L256,$O256,$R256),"")</f>
        <v/>
      </c>
      <c r="AS256" s="41" t="str">
        <f>IF(AND($G256='Povolené hodnoty'!$B$13,$H256=AS$4),SUM($I256,$L256,$O256,$R256),"")</f>
        <v/>
      </c>
      <c r="AT256" s="39" t="str">
        <f>IF(AND($G256='Povolené hodnoty'!$B$14,$H256=AT$4),SUM($I256,$L256,$O256,$R256),"")</f>
        <v/>
      </c>
      <c r="AU256" s="458" t="str">
        <f>IF(AND($G256='Povolené hodnoty'!$B$14,$H256=AU$4),SUM($I256,$L256,$O256,$R256),"")</f>
        <v/>
      </c>
      <c r="AV256" s="41" t="str">
        <f>IF(AND($G256='Povolené hodnoty'!$B$14,$H256=AV$4),SUM($I256,$L256,$O256,$R256),"")</f>
        <v/>
      </c>
      <c r="AW256" s="39" t="str">
        <f>IF(AND($G256='Povolené hodnoty'!$B$13,$H256=AW$4),SUM($J256,$M256,$P256,$S256),"")</f>
        <v/>
      </c>
      <c r="AX256" s="458" t="str">
        <f>IF(AND($G256='Povolené hodnoty'!$B$13,$H256=AX$4),SUM($J256,$M256,$P256,$S256),"")</f>
        <v/>
      </c>
      <c r="AY256" s="458" t="str">
        <f>IF(AND($G256='Povolené hodnoty'!$B$13,$H256=AY$4),SUM($J256,$M256,$P256,$S256),"")</f>
        <v/>
      </c>
      <c r="AZ256" s="458" t="str">
        <f>IF(AND($G256='Povolené hodnoty'!$B$13,$H256=AZ$4),SUM($J256,$M256,$P256,$S256),"")</f>
        <v/>
      </c>
      <c r="BA256" s="458" t="str">
        <f>IF(AND($G256='Povolené hodnoty'!$B$13,$H256=BA$4),SUM($J256,$M256,$P256,$S256),"")</f>
        <v/>
      </c>
      <c r="BB256" s="40" t="str">
        <f>IF(AND($G256='Povolené hodnoty'!$B$13,$H256=BB$4),SUM($J256,$M256,$P256,$S256),"")</f>
        <v/>
      </c>
      <c r="BC256" s="40" t="str">
        <f>IF(AND($G256='Povolené hodnoty'!$B$13,$H256=BC$4),SUM($J256,$M256,$P256,$S256),"")</f>
        <v/>
      </c>
      <c r="BD256" s="40" t="str">
        <f>IF(AND($G256='Povolené hodnoty'!$B$13,$H256=BD$4),SUM($J256,$M256,$P256,$S256),"")</f>
        <v/>
      </c>
      <c r="BE256" s="41" t="str">
        <f>IF(AND($G256='Povolené hodnoty'!$B$13,$H256=BE$4),SUM($J256,$M256,$P256,$S256),"")</f>
        <v/>
      </c>
      <c r="BF256" s="39" t="str">
        <f>IF(AND($G256='Povolené hodnoty'!$B$14,$H256=BF$4),SUM($J256,$M256,$P256,$S256),"")</f>
        <v/>
      </c>
      <c r="BG256" s="458" t="str">
        <f>IF(AND($G256='Povolené hodnoty'!$B$14,$H256=BG$4),SUM($J256,$M256,$P256,$S256),"")</f>
        <v/>
      </c>
      <c r="BH256" s="458" t="str">
        <f>IF(AND($G256='Povolené hodnoty'!$B$14,$H256=BH$4),SUM($J256,$M256,$P256,$S256),"")</f>
        <v/>
      </c>
      <c r="BI256" s="458" t="str">
        <f>IF(AND($G256='Povolené hodnoty'!$B$14,$H256=BI$4),SUM($J256,$M256,$P256,$S256),"")</f>
        <v/>
      </c>
      <c r="BJ256" s="458" t="str">
        <f>IF(AND($G256='Povolené hodnoty'!$B$14,$H256=BJ$4),SUM($J256,$M256,$P256,$S256),"")</f>
        <v/>
      </c>
      <c r="BK256" s="40" t="str">
        <f>IF(AND($G256='Povolené hodnoty'!$B$14,$H256=BK$4),SUM($J256,$M256,$P256,$S256),"")</f>
        <v/>
      </c>
      <c r="BL256" s="40" t="str">
        <f>IF(AND($G256='Povolené hodnoty'!$B$14,$H256=BL$4),SUM($J256,$M256,$P256,$S256),"")</f>
        <v/>
      </c>
      <c r="BM256" s="41" t="str">
        <f>IF(AND($G256='Povolené hodnoty'!$B$14,$H256=BM$4),SUM($J256,$M256,$P256,$S256),"")</f>
        <v/>
      </c>
      <c r="BO256" s="18" t="b">
        <f t="shared" si="141"/>
        <v>0</v>
      </c>
      <c r="BP256" s="18" t="b">
        <f t="shared" si="112"/>
        <v>0</v>
      </c>
      <c r="BQ256" s="18" t="b">
        <f>AND(E256&lt;&gt;'Povolené hodnoty'!$B$6,F256&lt;&gt;'Povolené hodnoty'!$D$7,F256&lt;&gt;'Povolené hodnoty'!$D$8,OR(SUM(I256,L256,O256,R256)&lt;&gt;SUM(W256:X256,AA256:AG256),SUM(J256,M256,P256,S256)&lt;&gt;SUM(Y256:Z256,AH256:AK256),COUNT(I256:J256,L256:M256,O256:P256,R256:S256)&lt;&gt;COUNT(W256:AK256)))</f>
        <v>0</v>
      </c>
      <c r="BR256" s="18" t="b">
        <f>OR(AND(E256='Povolené hodnoty'!$B$6,$BR$5),AND(E256='Povolené hodnoty'!$B$6,H256&lt;&gt;'Povolené hodnoty'!$E$26,H256&lt;&gt;'Povolené hodnoty'!$E$35),AND(E256&lt;&gt;'Povolené hodnoty'!$B$6,OR(H256='Povolené hodnoty'!$E$26,H256='Povolené hodnoty'!$E$35)))</f>
        <v>0</v>
      </c>
      <c r="BS256" s="18" t="b">
        <f>OR(AND(G256&lt;&gt;'Povolené hodnoty'!$B$13,OR(H256='Povolené hodnoty'!$E$21,H256='Povolené hodnoty'!$E$22,H256='Povolené hodnoty'!$E$23,H256='Povolené hodnoty'!$E$24,H256='Povolené hodnoty'!$E$26,H256='Povolené hodnoty'!$E$36)),COUNT(I256:J256,L256:M256,O256:P256,R256:S256)&lt;&gt;COUNT(AL256:BM256))</f>
        <v>0</v>
      </c>
      <c r="BT256" s="18" t="b">
        <f t="shared" si="113"/>
        <v>0</v>
      </c>
      <c r="BV256" s="39" t="str">
        <f t="shared" si="114"/>
        <v/>
      </c>
      <c r="BW256" s="458" t="str">
        <f t="shared" si="115"/>
        <v/>
      </c>
      <c r="BX256" s="458" t="str">
        <f t="shared" si="116"/>
        <v/>
      </c>
      <c r="BY256" s="458" t="str">
        <f t="shared" si="117"/>
        <v/>
      </c>
      <c r="BZ256" s="458" t="str">
        <f t="shared" si="118"/>
        <v/>
      </c>
      <c r="CA256" s="40" t="str">
        <f t="shared" si="119"/>
        <v/>
      </c>
      <c r="CB256" s="40" t="str">
        <f t="shared" si="120"/>
        <v/>
      </c>
      <c r="CC256" s="39" t="str">
        <f t="shared" si="121"/>
        <v/>
      </c>
      <c r="CD256" s="458" t="str">
        <f t="shared" si="122"/>
        <v/>
      </c>
      <c r="CE256" s="41" t="str">
        <f t="shared" si="123"/>
        <v/>
      </c>
      <c r="CF256" s="39" t="str">
        <f t="shared" si="124"/>
        <v/>
      </c>
      <c r="CG256" s="458" t="str">
        <f t="shared" si="125"/>
        <v/>
      </c>
      <c r="CH256" s="458" t="str">
        <f t="shared" si="126"/>
        <v/>
      </c>
      <c r="CI256" s="458" t="str">
        <f t="shared" si="127"/>
        <v/>
      </c>
      <c r="CJ256" s="458" t="str">
        <f t="shared" si="128"/>
        <v/>
      </c>
      <c r="CK256" s="40" t="str">
        <f t="shared" si="129"/>
        <v/>
      </c>
      <c r="CL256" s="40" t="str">
        <f t="shared" si="130"/>
        <v/>
      </c>
      <c r="CM256" s="40" t="str">
        <f t="shared" si="131"/>
        <v/>
      </c>
      <c r="CN256" s="39" t="str">
        <f t="shared" si="132"/>
        <v/>
      </c>
      <c r="CO256" s="458" t="str">
        <f t="shared" si="133"/>
        <v/>
      </c>
      <c r="CP256" s="458" t="str">
        <f t="shared" si="134"/>
        <v/>
      </c>
      <c r="CQ256" s="458" t="str">
        <f t="shared" si="135"/>
        <v/>
      </c>
      <c r="CR256" s="458" t="str">
        <f t="shared" si="136"/>
        <v/>
      </c>
      <c r="CS256" s="40" t="str">
        <f t="shared" si="137"/>
        <v/>
      </c>
      <c r="CT256" s="40" t="str">
        <f t="shared" si="138"/>
        <v/>
      </c>
      <c r="CU256" s="41" t="str">
        <f t="shared" si="139"/>
        <v/>
      </c>
    </row>
    <row r="257" spans="1:99" x14ac:dyDescent="0.2">
      <c r="A257" s="77">
        <f t="shared" si="140"/>
        <v>252</v>
      </c>
      <c r="B257" s="81"/>
      <c r="C257" s="82"/>
      <c r="D257" s="71"/>
      <c r="E257" s="72"/>
      <c r="F257" s="73"/>
      <c r="G257" s="443"/>
      <c r="H257" s="443"/>
      <c r="I257" s="74"/>
      <c r="J257" s="75"/>
      <c r="K257" s="41">
        <f t="shared" si="144"/>
        <v>3625</v>
      </c>
      <c r="L257" s="104"/>
      <c r="M257" s="105"/>
      <c r="N257" s="106">
        <f t="shared" si="145"/>
        <v>537.05999999999995</v>
      </c>
      <c r="O257" s="104"/>
      <c r="P257" s="105"/>
      <c r="Q257" s="106">
        <f t="shared" si="142"/>
        <v>10045.83</v>
      </c>
      <c r="R257" s="104"/>
      <c r="S257" s="105"/>
      <c r="T257" s="106">
        <f t="shared" si="143"/>
        <v>0</v>
      </c>
      <c r="U257" s="439"/>
      <c r="V257" s="42">
        <f t="shared" si="111"/>
        <v>252</v>
      </c>
      <c r="W257" s="39" t="str">
        <f>IF(AND(E257='Povolené hodnoty'!$B$4,F257=2),I257+L257+O257+R257,"")</f>
        <v/>
      </c>
      <c r="X257" s="41" t="str">
        <f>IF(AND(E257='Povolené hodnoty'!$B$4,F257=1),I257+L257+O257+R257,"")</f>
        <v/>
      </c>
      <c r="Y257" s="39" t="str">
        <f>IF(AND(E257='Povolené hodnoty'!$B$4,F257=10),J257+M257+P257+S257,"")</f>
        <v/>
      </c>
      <c r="Z257" s="41" t="str">
        <f>IF(AND(E257='Povolené hodnoty'!$B$4,F257=9),J257+M257+P257+S257,"")</f>
        <v/>
      </c>
      <c r="AA257" s="39" t="str">
        <f>IF(AND(E257&lt;&gt;'Povolené hodnoty'!$B$4,F257=2),I257+L257+O257+R257,"")</f>
        <v/>
      </c>
      <c r="AB257" s="40" t="str">
        <f>IF(AND(E257&lt;&gt;'Povolené hodnoty'!$B$4,F257=3),I257+L257+O257+R257,"")</f>
        <v/>
      </c>
      <c r="AC257" s="40" t="str">
        <f>IF(AND(E257&lt;&gt;'Povolené hodnoty'!$B$4,F257=4),I257+L257+O257+R257,"")</f>
        <v/>
      </c>
      <c r="AD257" s="40" t="str">
        <f>IF(AND(E257&lt;&gt;'Povolené hodnoty'!$B$4,F257="5a"),I257-J257+L257-M257+O257-P257+R257-S257,"")</f>
        <v/>
      </c>
      <c r="AE257" s="40" t="str">
        <f>IF(AND(E257&lt;&gt;'Povolené hodnoty'!$B$4,F257="5b"),I257-J257+L257-M257+O257-P257+R257-S257,"")</f>
        <v/>
      </c>
      <c r="AF257" s="40" t="str">
        <f>IF(AND(E257&lt;&gt;'Povolené hodnoty'!$B$4,F257=6),I257+L257+O257+R257,"")</f>
        <v/>
      </c>
      <c r="AG257" s="41" t="str">
        <f>IF(AND(E257&lt;&gt;'Povolené hodnoty'!$B$4,F257=7),I257+L257+O257+R257,"")</f>
        <v/>
      </c>
      <c r="AH257" s="39" t="str">
        <f>IF(AND(E257&lt;&gt;'Povolené hodnoty'!$B$4,F257=10),J257+M257+P257+S257,"")</f>
        <v/>
      </c>
      <c r="AI257" s="40" t="str">
        <f>IF(AND(E257&lt;&gt;'Povolené hodnoty'!$B$4,F257=11),J257+M257+P257+S257,"")</f>
        <v/>
      </c>
      <c r="AJ257" s="40" t="str">
        <f>IF(AND(E257&lt;&gt;'Povolené hodnoty'!$B$4,F257=12),J257+M257+P257+S257,"")</f>
        <v/>
      </c>
      <c r="AK257" s="41" t="str">
        <f>IF(AND(E257&lt;&gt;'Povolené hodnoty'!$B$4,F257=13),J257+M257+P257+S257,"")</f>
        <v/>
      </c>
      <c r="AL257" s="39" t="str">
        <f>IF(AND($G257='Povolené hodnoty'!$B$13,$H257=AL$4),SUM($I257,$L257,$O257,$R257),"")</f>
        <v/>
      </c>
      <c r="AM257" s="458" t="str">
        <f>IF(AND($G257='Povolené hodnoty'!$B$13,$H257=AM$4),SUM($I257,$L257,$O257,$R257),"")</f>
        <v/>
      </c>
      <c r="AN257" s="458" t="str">
        <f>IF(AND($G257='Povolené hodnoty'!$B$13,$H257=AN$4),SUM($I257,$L257,$O257,$R257),"")</f>
        <v/>
      </c>
      <c r="AO257" s="458" t="str">
        <f>IF(AND($G257='Povolené hodnoty'!$B$13,$H257=AO$4),SUM($I257,$L257,$O257,$R257),"")</f>
        <v/>
      </c>
      <c r="AP257" s="458" t="str">
        <f>IF(AND($G257='Povolené hodnoty'!$B$13,$H257=AP$4),SUM($I257,$L257,$O257,$R257),"")</f>
        <v/>
      </c>
      <c r="AQ257" s="40" t="str">
        <f>IF(AND($G257='Povolené hodnoty'!$B$13,OR($H257=AQ$4,$H257='Povolené hodnoty'!$E$36)),SUM($I257,-$J257,$L257,-$M257,$O257,-$P257,$R257,-$S257),"")</f>
        <v/>
      </c>
      <c r="AR257" s="40" t="str">
        <f>IF(AND($G257='Povolené hodnoty'!$B$13,$H257=AR$4),SUM($I257,$L257,$O257,$R257),"")</f>
        <v/>
      </c>
      <c r="AS257" s="41" t="str">
        <f>IF(AND($G257='Povolené hodnoty'!$B$13,$H257=AS$4),SUM($I257,$L257,$O257,$R257),"")</f>
        <v/>
      </c>
      <c r="AT257" s="39" t="str">
        <f>IF(AND($G257='Povolené hodnoty'!$B$14,$H257=AT$4),SUM($I257,$L257,$O257,$R257),"")</f>
        <v/>
      </c>
      <c r="AU257" s="458" t="str">
        <f>IF(AND($G257='Povolené hodnoty'!$B$14,$H257=AU$4),SUM($I257,$L257,$O257,$R257),"")</f>
        <v/>
      </c>
      <c r="AV257" s="41" t="str">
        <f>IF(AND($G257='Povolené hodnoty'!$B$14,$H257=AV$4),SUM($I257,$L257,$O257,$R257),"")</f>
        <v/>
      </c>
      <c r="AW257" s="39" t="str">
        <f>IF(AND($G257='Povolené hodnoty'!$B$13,$H257=AW$4),SUM($J257,$M257,$P257,$S257),"")</f>
        <v/>
      </c>
      <c r="AX257" s="458" t="str">
        <f>IF(AND($G257='Povolené hodnoty'!$B$13,$H257=AX$4),SUM($J257,$M257,$P257,$S257),"")</f>
        <v/>
      </c>
      <c r="AY257" s="458" t="str">
        <f>IF(AND($G257='Povolené hodnoty'!$B$13,$H257=AY$4),SUM($J257,$M257,$P257,$S257),"")</f>
        <v/>
      </c>
      <c r="AZ257" s="458" t="str">
        <f>IF(AND($G257='Povolené hodnoty'!$B$13,$H257=AZ$4),SUM($J257,$M257,$P257,$S257),"")</f>
        <v/>
      </c>
      <c r="BA257" s="458" t="str">
        <f>IF(AND($G257='Povolené hodnoty'!$B$13,$H257=BA$4),SUM($J257,$M257,$P257,$S257),"")</f>
        <v/>
      </c>
      <c r="BB257" s="40" t="str">
        <f>IF(AND($G257='Povolené hodnoty'!$B$13,$H257=BB$4),SUM($J257,$M257,$P257,$S257),"")</f>
        <v/>
      </c>
      <c r="BC257" s="40" t="str">
        <f>IF(AND($G257='Povolené hodnoty'!$B$13,$H257=BC$4),SUM($J257,$M257,$P257,$S257),"")</f>
        <v/>
      </c>
      <c r="BD257" s="40" t="str">
        <f>IF(AND($G257='Povolené hodnoty'!$B$13,$H257=BD$4),SUM($J257,$M257,$P257,$S257),"")</f>
        <v/>
      </c>
      <c r="BE257" s="41" t="str">
        <f>IF(AND($G257='Povolené hodnoty'!$B$13,$H257=BE$4),SUM($J257,$M257,$P257,$S257),"")</f>
        <v/>
      </c>
      <c r="BF257" s="39" t="str">
        <f>IF(AND($G257='Povolené hodnoty'!$B$14,$H257=BF$4),SUM($J257,$M257,$P257,$S257),"")</f>
        <v/>
      </c>
      <c r="BG257" s="458" t="str">
        <f>IF(AND($G257='Povolené hodnoty'!$B$14,$H257=BG$4),SUM($J257,$M257,$P257,$S257),"")</f>
        <v/>
      </c>
      <c r="BH257" s="458" t="str">
        <f>IF(AND($G257='Povolené hodnoty'!$B$14,$H257=BH$4),SUM($J257,$M257,$P257,$S257),"")</f>
        <v/>
      </c>
      <c r="BI257" s="458" t="str">
        <f>IF(AND($G257='Povolené hodnoty'!$B$14,$H257=BI$4),SUM($J257,$M257,$P257,$S257),"")</f>
        <v/>
      </c>
      <c r="BJ257" s="458" t="str">
        <f>IF(AND($G257='Povolené hodnoty'!$B$14,$H257=BJ$4),SUM($J257,$M257,$P257,$S257),"")</f>
        <v/>
      </c>
      <c r="BK257" s="40" t="str">
        <f>IF(AND($G257='Povolené hodnoty'!$B$14,$H257=BK$4),SUM($J257,$M257,$P257,$S257),"")</f>
        <v/>
      </c>
      <c r="BL257" s="40" t="str">
        <f>IF(AND($G257='Povolené hodnoty'!$B$14,$H257=BL$4),SUM($J257,$M257,$P257,$S257),"")</f>
        <v/>
      </c>
      <c r="BM257" s="41" t="str">
        <f>IF(AND($G257='Povolené hodnoty'!$B$14,$H257=BM$4),SUM($J257,$M257,$P257,$S257),"")</f>
        <v/>
      </c>
      <c r="BO257" s="18" t="b">
        <f t="shared" si="141"/>
        <v>0</v>
      </c>
      <c r="BP257" s="18" t="b">
        <f t="shared" si="112"/>
        <v>0</v>
      </c>
      <c r="BQ257" s="18" t="b">
        <f>AND(E257&lt;&gt;'Povolené hodnoty'!$B$6,F257&lt;&gt;'Povolené hodnoty'!$D$7,F257&lt;&gt;'Povolené hodnoty'!$D$8,OR(SUM(I257,L257,O257,R257)&lt;&gt;SUM(W257:X257,AA257:AG257),SUM(J257,M257,P257,S257)&lt;&gt;SUM(Y257:Z257,AH257:AK257),COUNT(I257:J257,L257:M257,O257:P257,R257:S257)&lt;&gt;COUNT(W257:AK257)))</f>
        <v>0</v>
      </c>
      <c r="BR257" s="18" t="b">
        <f>OR(AND(E257='Povolené hodnoty'!$B$6,$BR$5),AND(E257='Povolené hodnoty'!$B$6,H257&lt;&gt;'Povolené hodnoty'!$E$26,H257&lt;&gt;'Povolené hodnoty'!$E$35),AND(E257&lt;&gt;'Povolené hodnoty'!$B$6,OR(H257='Povolené hodnoty'!$E$26,H257='Povolené hodnoty'!$E$35)))</f>
        <v>0</v>
      </c>
      <c r="BS257" s="18" t="b">
        <f>OR(AND(G257&lt;&gt;'Povolené hodnoty'!$B$13,OR(H257='Povolené hodnoty'!$E$21,H257='Povolené hodnoty'!$E$22,H257='Povolené hodnoty'!$E$23,H257='Povolené hodnoty'!$E$24,H257='Povolené hodnoty'!$E$26,H257='Povolené hodnoty'!$E$36)),COUNT(I257:J257,L257:M257,O257:P257,R257:S257)&lt;&gt;COUNT(AL257:BM257))</f>
        <v>0</v>
      </c>
      <c r="BT257" s="18" t="b">
        <f t="shared" si="113"/>
        <v>0</v>
      </c>
      <c r="BV257" s="39" t="str">
        <f t="shared" si="114"/>
        <v/>
      </c>
      <c r="BW257" s="458" t="str">
        <f t="shared" si="115"/>
        <v/>
      </c>
      <c r="BX257" s="458" t="str">
        <f t="shared" si="116"/>
        <v/>
      </c>
      <c r="BY257" s="458" t="str">
        <f t="shared" si="117"/>
        <v/>
      </c>
      <c r="BZ257" s="458" t="str">
        <f t="shared" si="118"/>
        <v/>
      </c>
      <c r="CA257" s="40" t="str">
        <f t="shared" si="119"/>
        <v/>
      </c>
      <c r="CB257" s="40" t="str">
        <f t="shared" si="120"/>
        <v/>
      </c>
      <c r="CC257" s="39" t="str">
        <f t="shared" si="121"/>
        <v/>
      </c>
      <c r="CD257" s="458" t="str">
        <f t="shared" si="122"/>
        <v/>
      </c>
      <c r="CE257" s="41" t="str">
        <f t="shared" si="123"/>
        <v/>
      </c>
      <c r="CF257" s="39" t="str">
        <f t="shared" si="124"/>
        <v/>
      </c>
      <c r="CG257" s="458" t="str">
        <f t="shared" si="125"/>
        <v/>
      </c>
      <c r="CH257" s="458" t="str">
        <f t="shared" si="126"/>
        <v/>
      </c>
      <c r="CI257" s="458" t="str">
        <f t="shared" si="127"/>
        <v/>
      </c>
      <c r="CJ257" s="458" t="str">
        <f t="shared" si="128"/>
        <v/>
      </c>
      <c r="CK257" s="40" t="str">
        <f t="shared" si="129"/>
        <v/>
      </c>
      <c r="CL257" s="40" t="str">
        <f t="shared" si="130"/>
        <v/>
      </c>
      <c r="CM257" s="40" t="str">
        <f t="shared" si="131"/>
        <v/>
      </c>
      <c r="CN257" s="39" t="str">
        <f t="shared" si="132"/>
        <v/>
      </c>
      <c r="CO257" s="458" t="str">
        <f t="shared" si="133"/>
        <v/>
      </c>
      <c r="CP257" s="458" t="str">
        <f t="shared" si="134"/>
        <v/>
      </c>
      <c r="CQ257" s="458" t="str">
        <f t="shared" si="135"/>
        <v/>
      </c>
      <c r="CR257" s="458" t="str">
        <f t="shared" si="136"/>
        <v/>
      </c>
      <c r="CS257" s="40" t="str">
        <f t="shared" si="137"/>
        <v/>
      </c>
      <c r="CT257" s="40" t="str">
        <f t="shared" si="138"/>
        <v/>
      </c>
      <c r="CU257" s="41" t="str">
        <f t="shared" si="139"/>
        <v/>
      </c>
    </row>
    <row r="258" spans="1:99" x14ac:dyDescent="0.2">
      <c r="A258" s="77">
        <f t="shared" si="140"/>
        <v>253</v>
      </c>
      <c r="B258" s="81"/>
      <c r="C258" s="82"/>
      <c r="D258" s="71"/>
      <c r="E258" s="72"/>
      <c r="F258" s="73"/>
      <c r="G258" s="443"/>
      <c r="H258" s="443"/>
      <c r="I258" s="74"/>
      <c r="J258" s="75"/>
      <c r="K258" s="41">
        <f t="shared" si="144"/>
        <v>3625</v>
      </c>
      <c r="L258" s="104"/>
      <c r="M258" s="105"/>
      <c r="N258" s="106">
        <f t="shared" si="145"/>
        <v>537.05999999999995</v>
      </c>
      <c r="O258" s="104"/>
      <c r="P258" s="105"/>
      <c r="Q258" s="106">
        <f t="shared" si="142"/>
        <v>10045.83</v>
      </c>
      <c r="R258" s="104"/>
      <c r="S258" s="105"/>
      <c r="T258" s="106">
        <f t="shared" si="143"/>
        <v>0</v>
      </c>
      <c r="U258" s="439"/>
      <c r="V258" s="42">
        <f t="shared" si="111"/>
        <v>253</v>
      </c>
      <c r="W258" s="39" t="str">
        <f>IF(AND(E258='Povolené hodnoty'!$B$4,F258=2),I258+L258+O258+R258,"")</f>
        <v/>
      </c>
      <c r="X258" s="41" t="str">
        <f>IF(AND(E258='Povolené hodnoty'!$B$4,F258=1),I258+L258+O258+R258,"")</f>
        <v/>
      </c>
      <c r="Y258" s="39" t="str">
        <f>IF(AND(E258='Povolené hodnoty'!$B$4,F258=10),J258+M258+P258+S258,"")</f>
        <v/>
      </c>
      <c r="Z258" s="41" t="str">
        <f>IF(AND(E258='Povolené hodnoty'!$B$4,F258=9),J258+M258+P258+S258,"")</f>
        <v/>
      </c>
      <c r="AA258" s="39" t="str">
        <f>IF(AND(E258&lt;&gt;'Povolené hodnoty'!$B$4,F258=2),I258+L258+O258+R258,"")</f>
        <v/>
      </c>
      <c r="AB258" s="40" t="str">
        <f>IF(AND(E258&lt;&gt;'Povolené hodnoty'!$B$4,F258=3),I258+L258+O258+R258,"")</f>
        <v/>
      </c>
      <c r="AC258" s="40" t="str">
        <f>IF(AND(E258&lt;&gt;'Povolené hodnoty'!$B$4,F258=4),I258+L258+O258+R258,"")</f>
        <v/>
      </c>
      <c r="AD258" s="40" t="str">
        <f>IF(AND(E258&lt;&gt;'Povolené hodnoty'!$B$4,F258="5a"),I258-J258+L258-M258+O258-P258+R258-S258,"")</f>
        <v/>
      </c>
      <c r="AE258" s="40" t="str">
        <f>IF(AND(E258&lt;&gt;'Povolené hodnoty'!$B$4,F258="5b"),I258-J258+L258-M258+O258-P258+R258-S258,"")</f>
        <v/>
      </c>
      <c r="AF258" s="40" t="str">
        <f>IF(AND(E258&lt;&gt;'Povolené hodnoty'!$B$4,F258=6),I258+L258+O258+R258,"")</f>
        <v/>
      </c>
      <c r="AG258" s="41" t="str">
        <f>IF(AND(E258&lt;&gt;'Povolené hodnoty'!$B$4,F258=7),I258+L258+O258+R258,"")</f>
        <v/>
      </c>
      <c r="AH258" s="39" t="str">
        <f>IF(AND(E258&lt;&gt;'Povolené hodnoty'!$B$4,F258=10),J258+M258+P258+S258,"")</f>
        <v/>
      </c>
      <c r="AI258" s="40" t="str">
        <f>IF(AND(E258&lt;&gt;'Povolené hodnoty'!$B$4,F258=11),J258+M258+P258+S258,"")</f>
        <v/>
      </c>
      <c r="AJ258" s="40" t="str">
        <f>IF(AND(E258&lt;&gt;'Povolené hodnoty'!$B$4,F258=12),J258+M258+P258+S258,"")</f>
        <v/>
      </c>
      <c r="AK258" s="41" t="str">
        <f>IF(AND(E258&lt;&gt;'Povolené hodnoty'!$B$4,F258=13),J258+M258+P258+S258,"")</f>
        <v/>
      </c>
      <c r="AL258" s="39" t="str">
        <f>IF(AND($G258='Povolené hodnoty'!$B$13,$H258=AL$4),SUM($I258,$L258,$O258,$R258),"")</f>
        <v/>
      </c>
      <c r="AM258" s="458" t="str">
        <f>IF(AND($G258='Povolené hodnoty'!$B$13,$H258=AM$4),SUM($I258,$L258,$O258,$R258),"")</f>
        <v/>
      </c>
      <c r="AN258" s="458" t="str">
        <f>IF(AND($G258='Povolené hodnoty'!$B$13,$H258=AN$4),SUM($I258,$L258,$O258,$R258),"")</f>
        <v/>
      </c>
      <c r="AO258" s="458" t="str">
        <f>IF(AND($G258='Povolené hodnoty'!$B$13,$H258=AO$4),SUM($I258,$L258,$O258,$R258),"")</f>
        <v/>
      </c>
      <c r="AP258" s="458" t="str">
        <f>IF(AND($G258='Povolené hodnoty'!$B$13,$H258=AP$4),SUM($I258,$L258,$O258,$R258),"")</f>
        <v/>
      </c>
      <c r="AQ258" s="40" t="str">
        <f>IF(AND($G258='Povolené hodnoty'!$B$13,OR($H258=AQ$4,$H258='Povolené hodnoty'!$E$36)),SUM($I258,-$J258,$L258,-$M258,$O258,-$P258,$R258,-$S258),"")</f>
        <v/>
      </c>
      <c r="AR258" s="40" t="str">
        <f>IF(AND($G258='Povolené hodnoty'!$B$13,$H258=AR$4),SUM($I258,$L258,$O258,$R258),"")</f>
        <v/>
      </c>
      <c r="AS258" s="41" t="str">
        <f>IF(AND($G258='Povolené hodnoty'!$B$13,$H258=AS$4),SUM($I258,$L258,$O258,$R258),"")</f>
        <v/>
      </c>
      <c r="AT258" s="39" t="str">
        <f>IF(AND($G258='Povolené hodnoty'!$B$14,$H258=AT$4),SUM($I258,$L258,$O258,$R258),"")</f>
        <v/>
      </c>
      <c r="AU258" s="458" t="str">
        <f>IF(AND($G258='Povolené hodnoty'!$B$14,$H258=AU$4),SUM($I258,$L258,$O258,$R258),"")</f>
        <v/>
      </c>
      <c r="AV258" s="41" t="str">
        <f>IF(AND($G258='Povolené hodnoty'!$B$14,$H258=AV$4),SUM($I258,$L258,$O258,$R258),"")</f>
        <v/>
      </c>
      <c r="AW258" s="39" t="str">
        <f>IF(AND($G258='Povolené hodnoty'!$B$13,$H258=AW$4),SUM($J258,$M258,$P258,$S258),"")</f>
        <v/>
      </c>
      <c r="AX258" s="458" t="str">
        <f>IF(AND($G258='Povolené hodnoty'!$B$13,$H258=AX$4),SUM($J258,$M258,$P258,$S258),"")</f>
        <v/>
      </c>
      <c r="AY258" s="458" t="str">
        <f>IF(AND($G258='Povolené hodnoty'!$B$13,$H258=AY$4),SUM($J258,$M258,$P258,$S258),"")</f>
        <v/>
      </c>
      <c r="AZ258" s="458" t="str">
        <f>IF(AND($G258='Povolené hodnoty'!$B$13,$H258=AZ$4),SUM($J258,$M258,$P258,$S258),"")</f>
        <v/>
      </c>
      <c r="BA258" s="458" t="str">
        <f>IF(AND($G258='Povolené hodnoty'!$B$13,$H258=BA$4),SUM($J258,$M258,$P258,$S258),"")</f>
        <v/>
      </c>
      <c r="BB258" s="40" t="str">
        <f>IF(AND($G258='Povolené hodnoty'!$B$13,$H258=BB$4),SUM($J258,$M258,$P258,$S258),"")</f>
        <v/>
      </c>
      <c r="BC258" s="40" t="str">
        <f>IF(AND($G258='Povolené hodnoty'!$B$13,$H258=BC$4),SUM($J258,$M258,$P258,$S258),"")</f>
        <v/>
      </c>
      <c r="BD258" s="40" t="str">
        <f>IF(AND($G258='Povolené hodnoty'!$B$13,$H258=BD$4),SUM($J258,$M258,$P258,$S258),"")</f>
        <v/>
      </c>
      <c r="BE258" s="41" t="str">
        <f>IF(AND($G258='Povolené hodnoty'!$B$13,$H258=BE$4),SUM($J258,$M258,$P258,$S258),"")</f>
        <v/>
      </c>
      <c r="BF258" s="39" t="str">
        <f>IF(AND($G258='Povolené hodnoty'!$B$14,$H258=BF$4),SUM($J258,$M258,$P258,$S258),"")</f>
        <v/>
      </c>
      <c r="BG258" s="458" t="str">
        <f>IF(AND($G258='Povolené hodnoty'!$B$14,$H258=BG$4),SUM($J258,$M258,$P258,$S258),"")</f>
        <v/>
      </c>
      <c r="BH258" s="458" t="str">
        <f>IF(AND($G258='Povolené hodnoty'!$B$14,$H258=BH$4),SUM($J258,$M258,$P258,$S258),"")</f>
        <v/>
      </c>
      <c r="BI258" s="458" t="str">
        <f>IF(AND($G258='Povolené hodnoty'!$B$14,$H258=BI$4),SUM($J258,$M258,$P258,$S258),"")</f>
        <v/>
      </c>
      <c r="BJ258" s="458" t="str">
        <f>IF(AND($G258='Povolené hodnoty'!$B$14,$H258=BJ$4),SUM($J258,$M258,$P258,$S258),"")</f>
        <v/>
      </c>
      <c r="BK258" s="40" t="str">
        <f>IF(AND($G258='Povolené hodnoty'!$B$14,$H258=BK$4),SUM($J258,$M258,$P258,$S258),"")</f>
        <v/>
      </c>
      <c r="BL258" s="40" t="str">
        <f>IF(AND($G258='Povolené hodnoty'!$B$14,$H258=BL$4),SUM($J258,$M258,$P258,$S258),"")</f>
        <v/>
      </c>
      <c r="BM258" s="41" t="str">
        <f>IF(AND($G258='Povolené hodnoty'!$B$14,$H258=BM$4),SUM($J258,$M258,$P258,$S258),"")</f>
        <v/>
      </c>
      <c r="BO258" s="18" t="b">
        <f t="shared" si="141"/>
        <v>0</v>
      </c>
      <c r="BP258" s="18" t="b">
        <f t="shared" si="112"/>
        <v>0</v>
      </c>
      <c r="BQ258" s="18" t="b">
        <f>AND(E258&lt;&gt;'Povolené hodnoty'!$B$6,F258&lt;&gt;'Povolené hodnoty'!$D$7,F258&lt;&gt;'Povolené hodnoty'!$D$8,OR(SUM(I258,L258,O258,R258)&lt;&gt;SUM(W258:X258,AA258:AG258),SUM(J258,M258,P258,S258)&lt;&gt;SUM(Y258:Z258,AH258:AK258),COUNT(I258:J258,L258:M258,O258:P258,R258:S258)&lt;&gt;COUNT(W258:AK258)))</f>
        <v>0</v>
      </c>
      <c r="BR258" s="18" t="b">
        <f>OR(AND(E258='Povolené hodnoty'!$B$6,$BR$5),AND(E258='Povolené hodnoty'!$B$6,H258&lt;&gt;'Povolené hodnoty'!$E$26,H258&lt;&gt;'Povolené hodnoty'!$E$35),AND(E258&lt;&gt;'Povolené hodnoty'!$B$6,OR(H258='Povolené hodnoty'!$E$26,H258='Povolené hodnoty'!$E$35)))</f>
        <v>0</v>
      </c>
      <c r="BS258" s="18" t="b">
        <f>OR(AND(G258&lt;&gt;'Povolené hodnoty'!$B$13,OR(H258='Povolené hodnoty'!$E$21,H258='Povolené hodnoty'!$E$22,H258='Povolené hodnoty'!$E$23,H258='Povolené hodnoty'!$E$24,H258='Povolené hodnoty'!$E$26,H258='Povolené hodnoty'!$E$36)),COUNT(I258:J258,L258:M258,O258:P258,R258:S258)&lt;&gt;COUNT(AL258:BM258))</f>
        <v>0</v>
      </c>
      <c r="BT258" s="18" t="b">
        <f t="shared" si="113"/>
        <v>0</v>
      </c>
      <c r="BV258" s="39" t="str">
        <f t="shared" si="114"/>
        <v/>
      </c>
      <c r="BW258" s="458" t="str">
        <f t="shared" si="115"/>
        <v/>
      </c>
      <c r="BX258" s="458" t="str">
        <f t="shared" si="116"/>
        <v/>
      </c>
      <c r="BY258" s="458" t="str">
        <f t="shared" si="117"/>
        <v/>
      </c>
      <c r="BZ258" s="458" t="str">
        <f t="shared" si="118"/>
        <v/>
      </c>
      <c r="CA258" s="40" t="str">
        <f t="shared" si="119"/>
        <v/>
      </c>
      <c r="CB258" s="40" t="str">
        <f t="shared" si="120"/>
        <v/>
      </c>
      <c r="CC258" s="39" t="str">
        <f t="shared" si="121"/>
        <v/>
      </c>
      <c r="CD258" s="458" t="str">
        <f t="shared" si="122"/>
        <v/>
      </c>
      <c r="CE258" s="41" t="str">
        <f t="shared" si="123"/>
        <v/>
      </c>
      <c r="CF258" s="39" t="str">
        <f t="shared" si="124"/>
        <v/>
      </c>
      <c r="CG258" s="458" t="str">
        <f t="shared" si="125"/>
        <v/>
      </c>
      <c r="CH258" s="458" t="str">
        <f t="shared" si="126"/>
        <v/>
      </c>
      <c r="CI258" s="458" t="str">
        <f t="shared" si="127"/>
        <v/>
      </c>
      <c r="CJ258" s="458" t="str">
        <f t="shared" si="128"/>
        <v/>
      </c>
      <c r="CK258" s="40" t="str">
        <f t="shared" si="129"/>
        <v/>
      </c>
      <c r="CL258" s="40" t="str">
        <f t="shared" si="130"/>
        <v/>
      </c>
      <c r="CM258" s="40" t="str">
        <f t="shared" si="131"/>
        <v/>
      </c>
      <c r="CN258" s="39" t="str">
        <f t="shared" si="132"/>
        <v/>
      </c>
      <c r="CO258" s="458" t="str">
        <f t="shared" si="133"/>
        <v/>
      </c>
      <c r="CP258" s="458" t="str">
        <f t="shared" si="134"/>
        <v/>
      </c>
      <c r="CQ258" s="458" t="str">
        <f t="shared" si="135"/>
        <v/>
      </c>
      <c r="CR258" s="458" t="str">
        <f t="shared" si="136"/>
        <v/>
      </c>
      <c r="CS258" s="40" t="str">
        <f t="shared" si="137"/>
        <v/>
      </c>
      <c r="CT258" s="40" t="str">
        <f t="shared" si="138"/>
        <v/>
      </c>
      <c r="CU258" s="41" t="str">
        <f t="shared" si="139"/>
        <v/>
      </c>
    </row>
    <row r="259" spans="1:99" x14ac:dyDescent="0.2">
      <c r="A259" s="77">
        <f t="shared" si="140"/>
        <v>254</v>
      </c>
      <c r="B259" s="81"/>
      <c r="C259" s="82"/>
      <c r="D259" s="71"/>
      <c r="E259" s="72"/>
      <c r="F259" s="73"/>
      <c r="G259" s="443"/>
      <c r="H259" s="443"/>
      <c r="I259" s="74"/>
      <c r="J259" s="75"/>
      <c r="K259" s="41">
        <f t="shared" si="144"/>
        <v>3625</v>
      </c>
      <c r="L259" s="104"/>
      <c r="M259" s="105"/>
      <c r="N259" s="106">
        <f t="shared" si="145"/>
        <v>537.05999999999995</v>
      </c>
      <c r="O259" s="104"/>
      <c r="P259" s="105"/>
      <c r="Q259" s="106">
        <f t="shared" si="142"/>
        <v>10045.83</v>
      </c>
      <c r="R259" s="104"/>
      <c r="S259" s="105"/>
      <c r="T259" s="106">
        <f t="shared" si="143"/>
        <v>0</v>
      </c>
      <c r="U259" s="439"/>
      <c r="V259" s="42">
        <f t="shared" si="111"/>
        <v>254</v>
      </c>
      <c r="W259" s="39" t="str">
        <f>IF(AND(E259='Povolené hodnoty'!$B$4,F259=2),I259+L259+O259+R259,"")</f>
        <v/>
      </c>
      <c r="X259" s="41" t="str">
        <f>IF(AND(E259='Povolené hodnoty'!$B$4,F259=1),I259+L259+O259+R259,"")</f>
        <v/>
      </c>
      <c r="Y259" s="39" t="str">
        <f>IF(AND(E259='Povolené hodnoty'!$B$4,F259=10),J259+M259+P259+S259,"")</f>
        <v/>
      </c>
      <c r="Z259" s="41" t="str">
        <f>IF(AND(E259='Povolené hodnoty'!$B$4,F259=9),J259+M259+P259+S259,"")</f>
        <v/>
      </c>
      <c r="AA259" s="39" t="str">
        <f>IF(AND(E259&lt;&gt;'Povolené hodnoty'!$B$4,F259=2),I259+L259+O259+R259,"")</f>
        <v/>
      </c>
      <c r="AB259" s="40" t="str">
        <f>IF(AND(E259&lt;&gt;'Povolené hodnoty'!$B$4,F259=3),I259+L259+O259+R259,"")</f>
        <v/>
      </c>
      <c r="AC259" s="40" t="str">
        <f>IF(AND(E259&lt;&gt;'Povolené hodnoty'!$B$4,F259=4),I259+L259+O259+R259,"")</f>
        <v/>
      </c>
      <c r="AD259" s="40" t="str">
        <f>IF(AND(E259&lt;&gt;'Povolené hodnoty'!$B$4,F259="5a"),I259-J259+L259-M259+O259-P259+R259-S259,"")</f>
        <v/>
      </c>
      <c r="AE259" s="40" t="str">
        <f>IF(AND(E259&lt;&gt;'Povolené hodnoty'!$B$4,F259="5b"),I259-J259+L259-M259+O259-P259+R259-S259,"")</f>
        <v/>
      </c>
      <c r="AF259" s="40" t="str">
        <f>IF(AND(E259&lt;&gt;'Povolené hodnoty'!$B$4,F259=6),I259+L259+O259+R259,"")</f>
        <v/>
      </c>
      <c r="AG259" s="41" t="str">
        <f>IF(AND(E259&lt;&gt;'Povolené hodnoty'!$B$4,F259=7),I259+L259+O259+R259,"")</f>
        <v/>
      </c>
      <c r="AH259" s="39" t="str">
        <f>IF(AND(E259&lt;&gt;'Povolené hodnoty'!$B$4,F259=10),J259+M259+P259+S259,"")</f>
        <v/>
      </c>
      <c r="AI259" s="40" t="str">
        <f>IF(AND(E259&lt;&gt;'Povolené hodnoty'!$B$4,F259=11),J259+M259+P259+S259,"")</f>
        <v/>
      </c>
      <c r="AJ259" s="40" t="str">
        <f>IF(AND(E259&lt;&gt;'Povolené hodnoty'!$B$4,F259=12),J259+M259+P259+S259,"")</f>
        <v/>
      </c>
      <c r="AK259" s="41" t="str">
        <f>IF(AND(E259&lt;&gt;'Povolené hodnoty'!$B$4,F259=13),J259+M259+P259+S259,"")</f>
        <v/>
      </c>
      <c r="AL259" s="39" t="str">
        <f>IF(AND($G259='Povolené hodnoty'!$B$13,$H259=AL$4),SUM($I259,$L259,$O259,$R259),"")</f>
        <v/>
      </c>
      <c r="AM259" s="458" t="str">
        <f>IF(AND($G259='Povolené hodnoty'!$B$13,$H259=AM$4),SUM($I259,$L259,$O259,$R259),"")</f>
        <v/>
      </c>
      <c r="AN259" s="458" t="str">
        <f>IF(AND($G259='Povolené hodnoty'!$B$13,$H259=AN$4),SUM($I259,$L259,$O259,$R259),"")</f>
        <v/>
      </c>
      <c r="AO259" s="458" t="str">
        <f>IF(AND($G259='Povolené hodnoty'!$B$13,$H259=AO$4),SUM($I259,$L259,$O259,$R259),"")</f>
        <v/>
      </c>
      <c r="AP259" s="458" t="str">
        <f>IF(AND($G259='Povolené hodnoty'!$B$13,$H259=AP$4),SUM($I259,$L259,$O259,$R259),"")</f>
        <v/>
      </c>
      <c r="AQ259" s="40" t="str">
        <f>IF(AND($G259='Povolené hodnoty'!$B$13,OR($H259=AQ$4,$H259='Povolené hodnoty'!$E$36)),SUM($I259,-$J259,$L259,-$M259,$O259,-$P259,$R259,-$S259),"")</f>
        <v/>
      </c>
      <c r="AR259" s="40" t="str">
        <f>IF(AND($G259='Povolené hodnoty'!$B$13,$H259=AR$4),SUM($I259,$L259,$O259,$R259),"")</f>
        <v/>
      </c>
      <c r="AS259" s="41" t="str">
        <f>IF(AND($G259='Povolené hodnoty'!$B$13,$H259=AS$4),SUM($I259,$L259,$O259,$R259),"")</f>
        <v/>
      </c>
      <c r="AT259" s="39" t="str">
        <f>IF(AND($G259='Povolené hodnoty'!$B$14,$H259=AT$4),SUM($I259,$L259,$O259,$R259),"")</f>
        <v/>
      </c>
      <c r="AU259" s="458" t="str">
        <f>IF(AND($G259='Povolené hodnoty'!$B$14,$H259=AU$4),SUM($I259,$L259,$O259,$R259),"")</f>
        <v/>
      </c>
      <c r="AV259" s="41" t="str">
        <f>IF(AND($G259='Povolené hodnoty'!$B$14,$H259=AV$4),SUM($I259,$L259,$O259,$R259),"")</f>
        <v/>
      </c>
      <c r="AW259" s="39" t="str">
        <f>IF(AND($G259='Povolené hodnoty'!$B$13,$H259=AW$4),SUM($J259,$M259,$P259,$S259),"")</f>
        <v/>
      </c>
      <c r="AX259" s="458" t="str">
        <f>IF(AND($G259='Povolené hodnoty'!$B$13,$H259=AX$4),SUM($J259,$M259,$P259,$S259),"")</f>
        <v/>
      </c>
      <c r="AY259" s="458" t="str">
        <f>IF(AND($G259='Povolené hodnoty'!$B$13,$H259=AY$4),SUM($J259,$M259,$P259,$S259),"")</f>
        <v/>
      </c>
      <c r="AZ259" s="458" t="str">
        <f>IF(AND($G259='Povolené hodnoty'!$B$13,$H259=AZ$4),SUM($J259,$M259,$P259,$S259),"")</f>
        <v/>
      </c>
      <c r="BA259" s="458" t="str">
        <f>IF(AND($G259='Povolené hodnoty'!$B$13,$H259=BA$4),SUM($J259,$M259,$P259,$S259),"")</f>
        <v/>
      </c>
      <c r="BB259" s="40" t="str">
        <f>IF(AND($G259='Povolené hodnoty'!$B$13,$H259=BB$4),SUM($J259,$M259,$P259,$S259),"")</f>
        <v/>
      </c>
      <c r="BC259" s="40" t="str">
        <f>IF(AND($G259='Povolené hodnoty'!$B$13,$H259=BC$4),SUM($J259,$M259,$P259,$S259),"")</f>
        <v/>
      </c>
      <c r="BD259" s="40" t="str">
        <f>IF(AND($G259='Povolené hodnoty'!$B$13,$H259=BD$4),SUM($J259,$M259,$P259,$S259),"")</f>
        <v/>
      </c>
      <c r="BE259" s="41" t="str">
        <f>IF(AND($G259='Povolené hodnoty'!$B$13,$H259=BE$4),SUM($J259,$M259,$P259,$S259),"")</f>
        <v/>
      </c>
      <c r="BF259" s="39" t="str">
        <f>IF(AND($G259='Povolené hodnoty'!$B$14,$H259=BF$4),SUM($J259,$M259,$P259,$S259),"")</f>
        <v/>
      </c>
      <c r="BG259" s="458" t="str">
        <f>IF(AND($G259='Povolené hodnoty'!$B$14,$H259=BG$4),SUM($J259,$M259,$P259,$S259),"")</f>
        <v/>
      </c>
      <c r="BH259" s="458" t="str">
        <f>IF(AND($G259='Povolené hodnoty'!$B$14,$H259=BH$4),SUM($J259,$M259,$P259,$S259),"")</f>
        <v/>
      </c>
      <c r="BI259" s="458" t="str">
        <f>IF(AND($G259='Povolené hodnoty'!$B$14,$H259=BI$4),SUM($J259,$M259,$P259,$S259),"")</f>
        <v/>
      </c>
      <c r="BJ259" s="458" t="str">
        <f>IF(AND($G259='Povolené hodnoty'!$B$14,$H259=BJ$4),SUM($J259,$M259,$P259,$S259),"")</f>
        <v/>
      </c>
      <c r="BK259" s="40" t="str">
        <f>IF(AND($G259='Povolené hodnoty'!$B$14,$H259=BK$4),SUM($J259,$M259,$P259,$S259),"")</f>
        <v/>
      </c>
      <c r="BL259" s="40" t="str">
        <f>IF(AND($G259='Povolené hodnoty'!$B$14,$H259=BL$4),SUM($J259,$M259,$P259,$S259),"")</f>
        <v/>
      </c>
      <c r="BM259" s="41" t="str">
        <f>IF(AND($G259='Povolené hodnoty'!$B$14,$H259=BM$4),SUM($J259,$M259,$P259,$S259),"")</f>
        <v/>
      </c>
      <c r="BO259" s="18" t="b">
        <f t="shared" si="141"/>
        <v>0</v>
      </c>
      <c r="BP259" s="18" t="b">
        <f t="shared" si="112"/>
        <v>0</v>
      </c>
      <c r="BQ259" s="18" t="b">
        <f>AND(E259&lt;&gt;'Povolené hodnoty'!$B$6,F259&lt;&gt;'Povolené hodnoty'!$D$7,F259&lt;&gt;'Povolené hodnoty'!$D$8,OR(SUM(I259,L259,O259,R259)&lt;&gt;SUM(W259:X259,AA259:AG259),SUM(J259,M259,P259,S259)&lt;&gt;SUM(Y259:Z259,AH259:AK259),COUNT(I259:J259,L259:M259,O259:P259,R259:S259)&lt;&gt;COUNT(W259:AK259)))</f>
        <v>0</v>
      </c>
      <c r="BR259" s="18" t="b">
        <f>OR(AND(E259='Povolené hodnoty'!$B$6,$BR$5),AND(E259='Povolené hodnoty'!$B$6,H259&lt;&gt;'Povolené hodnoty'!$E$26,H259&lt;&gt;'Povolené hodnoty'!$E$35),AND(E259&lt;&gt;'Povolené hodnoty'!$B$6,OR(H259='Povolené hodnoty'!$E$26,H259='Povolené hodnoty'!$E$35)))</f>
        <v>0</v>
      </c>
      <c r="BS259" s="18" t="b">
        <f>OR(AND(G259&lt;&gt;'Povolené hodnoty'!$B$13,OR(H259='Povolené hodnoty'!$E$21,H259='Povolené hodnoty'!$E$22,H259='Povolené hodnoty'!$E$23,H259='Povolené hodnoty'!$E$24,H259='Povolené hodnoty'!$E$26,H259='Povolené hodnoty'!$E$36)),COUNT(I259:J259,L259:M259,O259:P259,R259:S259)&lt;&gt;COUNT(AL259:BM259))</f>
        <v>0</v>
      </c>
      <c r="BT259" s="18" t="b">
        <f t="shared" si="113"/>
        <v>0</v>
      </c>
      <c r="BV259" s="39" t="str">
        <f t="shared" si="114"/>
        <v/>
      </c>
      <c r="BW259" s="458" t="str">
        <f t="shared" si="115"/>
        <v/>
      </c>
      <c r="BX259" s="458" t="str">
        <f t="shared" si="116"/>
        <v/>
      </c>
      <c r="BY259" s="458" t="str">
        <f t="shared" si="117"/>
        <v/>
      </c>
      <c r="BZ259" s="458" t="str">
        <f t="shared" si="118"/>
        <v/>
      </c>
      <c r="CA259" s="40" t="str">
        <f t="shared" si="119"/>
        <v/>
      </c>
      <c r="CB259" s="40" t="str">
        <f t="shared" si="120"/>
        <v/>
      </c>
      <c r="CC259" s="39" t="str">
        <f t="shared" si="121"/>
        <v/>
      </c>
      <c r="CD259" s="458" t="str">
        <f t="shared" si="122"/>
        <v/>
      </c>
      <c r="CE259" s="41" t="str">
        <f t="shared" si="123"/>
        <v/>
      </c>
      <c r="CF259" s="39" t="str">
        <f t="shared" si="124"/>
        <v/>
      </c>
      <c r="CG259" s="458" t="str">
        <f t="shared" si="125"/>
        <v/>
      </c>
      <c r="CH259" s="458" t="str">
        <f t="shared" si="126"/>
        <v/>
      </c>
      <c r="CI259" s="458" t="str">
        <f t="shared" si="127"/>
        <v/>
      </c>
      <c r="CJ259" s="458" t="str">
        <f t="shared" si="128"/>
        <v/>
      </c>
      <c r="CK259" s="40" t="str">
        <f t="shared" si="129"/>
        <v/>
      </c>
      <c r="CL259" s="40" t="str">
        <f t="shared" si="130"/>
        <v/>
      </c>
      <c r="CM259" s="40" t="str">
        <f t="shared" si="131"/>
        <v/>
      </c>
      <c r="CN259" s="39" t="str">
        <f t="shared" si="132"/>
        <v/>
      </c>
      <c r="CO259" s="458" t="str">
        <f t="shared" si="133"/>
        <v/>
      </c>
      <c r="CP259" s="458" t="str">
        <f t="shared" si="134"/>
        <v/>
      </c>
      <c r="CQ259" s="458" t="str">
        <f t="shared" si="135"/>
        <v/>
      </c>
      <c r="CR259" s="458" t="str">
        <f t="shared" si="136"/>
        <v/>
      </c>
      <c r="CS259" s="40" t="str">
        <f t="shared" si="137"/>
        <v/>
      </c>
      <c r="CT259" s="40" t="str">
        <f t="shared" si="138"/>
        <v/>
      </c>
      <c r="CU259" s="41" t="str">
        <f t="shared" si="139"/>
        <v/>
      </c>
    </row>
    <row r="260" spans="1:99" x14ac:dyDescent="0.2">
      <c r="A260" s="77">
        <f t="shared" si="140"/>
        <v>255</v>
      </c>
      <c r="B260" s="81"/>
      <c r="C260" s="82"/>
      <c r="D260" s="71"/>
      <c r="E260" s="72"/>
      <c r="F260" s="73"/>
      <c r="G260" s="443"/>
      <c r="H260" s="443"/>
      <c r="I260" s="74"/>
      <c r="J260" s="75"/>
      <c r="K260" s="41">
        <f t="shared" si="144"/>
        <v>3625</v>
      </c>
      <c r="L260" s="104"/>
      <c r="M260" s="105"/>
      <c r="N260" s="106">
        <f t="shared" si="145"/>
        <v>537.05999999999995</v>
      </c>
      <c r="O260" s="104"/>
      <c r="P260" s="105"/>
      <c r="Q260" s="106">
        <f t="shared" si="142"/>
        <v>10045.83</v>
      </c>
      <c r="R260" s="104"/>
      <c r="S260" s="105"/>
      <c r="T260" s="106">
        <f t="shared" si="143"/>
        <v>0</v>
      </c>
      <c r="U260" s="439"/>
      <c r="V260" s="42">
        <f t="shared" si="111"/>
        <v>255</v>
      </c>
      <c r="W260" s="39" t="str">
        <f>IF(AND(E260='Povolené hodnoty'!$B$4,F260=2),I260+L260+O260+R260,"")</f>
        <v/>
      </c>
      <c r="X260" s="41" t="str">
        <f>IF(AND(E260='Povolené hodnoty'!$B$4,F260=1),I260+L260+O260+R260,"")</f>
        <v/>
      </c>
      <c r="Y260" s="39" t="str">
        <f>IF(AND(E260='Povolené hodnoty'!$B$4,F260=10),J260+M260+P260+S260,"")</f>
        <v/>
      </c>
      <c r="Z260" s="41" t="str">
        <f>IF(AND(E260='Povolené hodnoty'!$B$4,F260=9),J260+M260+P260+S260,"")</f>
        <v/>
      </c>
      <c r="AA260" s="39" t="str">
        <f>IF(AND(E260&lt;&gt;'Povolené hodnoty'!$B$4,F260=2),I260+L260+O260+R260,"")</f>
        <v/>
      </c>
      <c r="AB260" s="40" t="str">
        <f>IF(AND(E260&lt;&gt;'Povolené hodnoty'!$B$4,F260=3),I260+L260+O260+R260,"")</f>
        <v/>
      </c>
      <c r="AC260" s="40" t="str">
        <f>IF(AND(E260&lt;&gt;'Povolené hodnoty'!$B$4,F260=4),I260+L260+O260+R260,"")</f>
        <v/>
      </c>
      <c r="AD260" s="40" t="str">
        <f>IF(AND(E260&lt;&gt;'Povolené hodnoty'!$B$4,F260="5a"),I260-J260+L260-M260+O260-P260+R260-S260,"")</f>
        <v/>
      </c>
      <c r="AE260" s="40" t="str">
        <f>IF(AND(E260&lt;&gt;'Povolené hodnoty'!$B$4,F260="5b"),I260-J260+L260-M260+O260-P260+R260-S260,"")</f>
        <v/>
      </c>
      <c r="AF260" s="40" t="str">
        <f>IF(AND(E260&lt;&gt;'Povolené hodnoty'!$B$4,F260=6),I260+L260+O260+R260,"")</f>
        <v/>
      </c>
      <c r="AG260" s="41" t="str">
        <f>IF(AND(E260&lt;&gt;'Povolené hodnoty'!$B$4,F260=7),I260+L260+O260+R260,"")</f>
        <v/>
      </c>
      <c r="AH260" s="39" t="str">
        <f>IF(AND(E260&lt;&gt;'Povolené hodnoty'!$B$4,F260=10),J260+M260+P260+S260,"")</f>
        <v/>
      </c>
      <c r="AI260" s="40" t="str">
        <f>IF(AND(E260&lt;&gt;'Povolené hodnoty'!$B$4,F260=11),J260+M260+P260+S260,"")</f>
        <v/>
      </c>
      <c r="AJ260" s="40" t="str">
        <f>IF(AND(E260&lt;&gt;'Povolené hodnoty'!$B$4,F260=12),J260+M260+P260+S260,"")</f>
        <v/>
      </c>
      <c r="AK260" s="41" t="str">
        <f>IF(AND(E260&lt;&gt;'Povolené hodnoty'!$B$4,F260=13),J260+M260+P260+S260,"")</f>
        <v/>
      </c>
      <c r="AL260" s="39" t="str">
        <f>IF(AND($G260='Povolené hodnoty'!$B$13,$H260=AL$4),SUM($I260,$L260,$O260,$R260),"")</f>
        <v/>
      </c>
      <c r="AM260" s="458" t="str">
        <f>IF(AND($G260='Povolené hodnoty'!$B$13,$H260=AM$4),SUM($I260,$L260,$O260,$R260),"")</f>
        <v/>
      </c>
      <c r="AN260" s="458" t="str">
        <f>IF(AND($G260='Povolené hodnoty'!$B$13,$H260=AN$4),SUM($I260,$L260,$O260,$R260),"")</f>
        <v/>
      </c>
      <c r="AO260" s="458" t="str">
        <f>IF(AND($G260='Povolené hodnoty'!$B$13,$H260=AO$4),SUM($I260,$L260,$O260,$R260),"")</f>
        <v/>
      </c>
      <c r="AP260" s="458" t="str">
        <f>IF(AND($G260='Povolené hodnoty'!$B$13,$H260=AP$4),SUM($I260,$L260,$O260,$R260),"")</f>
        <v/>
      </c>
      <c r="AQ260" s="40" t="str">
        <f>IF(AND($G260='Povolené hodnoty'!$B$13,OR($H260=AQ$4,$H260='Povolené hodnoty'!$E$36)),SUM($I260,-$J260,$L260,-$M260,$O260,-$P260,$R260,-$S260),"")</f>
        <v/>
      </c>
      <c r="AR260" s="40" t="str">
        <f>IF(AND($G260='Povolené hodnoty'!$B$13,$H260=AR$4),SUM($I260,$L260,$O260,$R260),"")</f>
        <v/>
      </c>
      <c r="AS260" s="41" t="str">
        <f>IF(AND($G260='Povolené hodnoty'!$B$13,$H260=AS$4),SUM($I260,$L260,$O260,$R260),"")</f>
        <v/>
      </c>
      <c r="AT260" s="39" t="str">
        <f>IF(AND($G260='Povolené hodnoty'!$B$14,$H260=AT$4),SUM($I260,$L260,$O260,$R260),"")</f>
        <v/>
      </c>
      <c r="AU260" s="458" t="str">
        <f>IF(AND($G260='Povolené hodnoty'!$B$14,$H260=AU$4),SUM($I260,$L260,$O260,$R260),"")</f>
        <v/>
      </c>
      <c r="AV260" s="41" t="str">
        <f>IF(AND($G260='Povolené hodnoty'!$B$14,$H260=AV$4),SUM($I260,$L260,$O260,$R260),"")</f>
        <v/>
      </c>
      <c r="AW260" s="39" t="str">
        <f>IF(AND($G260='Povolené hodnoty'!$B$13,$H260=AW$4),SUM($J260,$M260,$P260,$S260),"")</f>
        <v/>
      </c>
      <c r="AX260" s="458" t="str">
        <f>IF(AND($G260='Povolené hodnoty'!$B$13,$H260=AX$4),SUM($J260,$M260,$P260,$S260),"")</f>
        <v/>
      </c>
      <c r="AY260" s="458" t="str">
        <f>IF(AND($G260='Povolené hodnoty'!$B$13,$H260=AY$4),SUM($J260,$M260,$P260,$S260),"")</f>
        <v/>
      </c>
      <c r="AZ260" s="458" t="str">
        <f>IF(AND($G260='Povolené hodnoty'!$B$13,$H260=AZ$4),SUM($J260,$M260,$P260,$S260),"")</f>
        <v/>
      </c>
      <c r="BA260" s="458" t="str">
        <f>IF(AND($G260='Povolené hodnoty'!$B$13,$H260=BA$4),SUM($J260,$M260,$P260,$S260),"")</f>
        <v/>
      </c>
      <c r="BB260" s="40" t="str">
        <f>IF(AND($G260='Povolené hodnoty'!$B$13,$H260=BB$4),SUM($J260,$M260,$P260,$S260),"")</f>
        <v/>
      </c>
      <c r="BC260" s="40" t="str">
        <f>IF(AND($G260='Povolené hodnoty'!$B$13,$H260=BC$4),SUM($J260,$M260,$P260,$S260),"")</f>
        <v/>
      </c>
      <c r="BD260" s="40" t="str">
        <f>IF(AND($G260='Povolené hodnoty'!$B$13,$H260=BD$4),SUM($J260,$M260,$P260,$S260),"")</f>
        <v/>
      </c>
      <c r="BE260" s="41" t="str">
        <f>IF(AND($G260='Povolené hodnoty'!$B$13,$H260=BE$4),SUM($J260,$M260,$P260,$S260),"")</f>
        <v/>
      </c>
      <c r="BF260" s="39" t="str">
        <f>IF(AND($G260='Povolené hodnoty'!$B$14,$H260=BF$4),SUM($J260,$M260,$P260,$S260),"")</f>
        <v/>
      </c>
      <c r="BG260" s="458" t="str">
        <f>IF(AND($G260='Povolené hodnoty'!$B$14,$H260=BG$4),SUM($J260,$M260,$P260,$S260),"")</f>
        <v/>
      </c>
      <c r="BH260" s="458" t="str">
        <f>IF(AND($G260='Povolené hodnoty'!$B$14,$H260=BH$4),SUM($J260,$M260,$P260,$S260),"")</f>
        <v/>
      </c>
      <c r="BI260" s="458" t="str">
        <f>IF(AND($G260='Povolené hodnoty'!$B$14,$H260=BI$4),SUM($J260,$M260,$P260,$S260),"")</f>
        <v/>
      </c>
      <c r="BJ260" s="458" t="str">
        <f>IF(AND($G260='Povolené hodnoty'!$B$14,$H260=BJ$4),SUM($J260,$M260,$P260,$S260),"")</f>
        <v/>
      </c>
      <c r="BK260" s="40" t="str">
        <f>IF(AND($G260='Povolené hodnoty'!$B$14,$H260=BK$4),SUM($J260,$M260,$P260,$S260),"")</f>
        <v/>
      </c>
      <c r="BL260" s="40" t="str">
        <f>IF(AND($G260='Povolené hodnoty'!$B$14,$H260=BL$4),SUM($J260,$M260,$P260,$S260),"")</f>
        <v/>
      </c>
      <c r="BM260" s="41" t="str">
        <f>IF(AND($G260='Povolené hodnoty'!$B$14,$H260=BM$4),SUM($J260,$M260,$P260,$S260),"")</f>
        <v/>
      </c>
      <c r="BO260" s="18" t="b">
        <f t="shared" si="141"/>
        <v>0</v>
      </c>
      <c r="BP260" s="18" t="b">
        <f t="shared" si="112"/>
        <v>0</v>
      </c>
      <c r="BQ260" s="18" t="b">
        <f>AND(E260&lt;&gt;'Povolené hodnoty'!$B$6,F260&lt;&gt;'Povolené hodnoty'!$D$7,F260&lt;&gt;'Povolené hodnoty'!$D$8,OR(SUM(I260,L260,O260,R260)&lt;&gt;SUM(W260:X260,AA260:AG260),SUM(J260,M260,P260,S260)&lt;&gt;SUM(Y260:Z260,AH260:AK260),COUNT(I260:J260,L260:M260,O260:P260,R260:S260)&lt;&gt;COUNT(W260:AK260)))</f>
        <v>0</v>
      </c>
      <c r="BR260" s="18" t="b">
        <f>OR(AND(E260='Povolené hodnoty'!$B$6,$BR$5),AND(E260='Povolené hodnoty'!$B$6,H260&lt;&gt;'Povolené hodnoty'!$E$26,H260&lt;&gt;'Povolené hodnoty'!$E$35),AND(E260&lt;&gt;'Povolené hodnoty'!$B$6,OR(H260='Povolené hodnoty'!$E$26,H260='Povolené hodnoty'!$E$35)))</f>
        <v>0</v>
      </c>
      <c r="BS260" s="18" t="b">
        <f>OR(AND(G260&lt;&gt;'Povolené hodnoty'!$B$13,OR(H260='Povolené hodnoty'!$E$21,H260='Povolené hodnoty'!$E$22,H260='Povolené hodnoty'!$E$23,H260='Povolené hodnoty'!$E$24,H260='Povolené hodnoty'!$E$26,H260='Povolené hodnoty'!$E$36)),COUNT(I260:J260,L260:M260,O260:P260,R260:S260)&lt;&gt;COUNT(AL260:BM260))</f>
        <v>0</v>
      </c>
      <c r="BT260" s="18" t="b">
        <f t="shared" si="113"/>
        <v>0</v>
      </c>
      <c r="BV260" s="39" t="str">
        <f t="shared" si="114"/>
        <v/>
      </c>
      <c r="BW260" s="458" t="str">
        <f t="shared" si="115"/>
        <v/>
      </c>
      <c r="BX260" s="458" t="str">
        <f t="shared" si="116"/>
        <v/>
      </c>
      <c r="BY260" s="458" t="str">
        <f t="shared" si="117"/>
        <v/>
      </c>
      <c r="BZ260" s="458" t="str">
        <f t="shared" si="118"/>
        <v/>
      </c>
      <c r="CA260" s="40" t="str">
        <f t="shared" si="119"/>
        <v/>
      </c>
      <c r="CB260" s="40" t="str">
        <f t="shared" si="120"/>
        <v/>
      </c>
      <c r="CC260" s="39" t="str">
        <f t="shared" si="121"/>
        <v/>
      </c>
      <c r="CD260" s="458" t="str">
        <f t="shared" si="122"/>
        <v/>
      </c>
      <c r="CE260" s="41" t="str">
        <f t="shared" si="123"/>
        <v/>
      </c>
      <c r="CF260" s="39" t="str">
        <f t="shared" si="124"/>
        <v/>
      </c>
      <c r="CG260" s="458" t="str">
        <f t="shared" si="125"/>
        <v/>
      </c>
      <c r="CH260" s="458" t="str">
        <f t="shared" si="126"/>
        <v/>
      </c>
      <c r="CI260" s="458" t="str">
        <f t="shared" si="127"/>
        <v/>
      </c>
      <c r="CJ260" s="458" t="str">
        <f t="shared" si="128"/>
        <v/>
      </c>
      <c r="CK260" s="40" t="str">
        <f t="shared" si="129"/>
        <v/>
      </c>
      <c r="CL260" s="40" t="str">
        <f t="shared" si="130"/>
        <v/>
      </c>
      <c r="CM260" s="40" t="str">
        <f t="shared" si="131"/>
        <v/>
      </c>
      <c r="CN260" s="39" t="str">
        <f t="shared" si="132"/>
        <v/>
      </c>
      <c r="CO260" s="458" t="str">
        <f t="shared" si="133"/>
        <v/>
      </c>
      <c r="CP260" s="458" t="str">
        <f t="shared" si="134"/>
        <v/>
      </c>
      <c r="CQ260" s="458" t="str">
        <f t="shared" si="135"/>
        <v/>
      </c>
      <c r="CR260" s="458" t="str">
        <f t="shared" si="136"/>
        <v/>
      </c>
      <c r="CS260" s="40" t="str">
        <f t="shared" si="137"/>
        <v/>
      </c>
      <c r="CT260" s="40" t="str">
        <f t="shared" si="138"/>
        <v/>
      </c>
      <c r="CU260" s="41" t="str">
        <f t="shared" si="139"/>
        <v/>
      </c>
    </row>
    <row r="261" spans="1:99" x14ac:dyDescent="0.2">
      <c r="A261" s="77">
        <f t="shared" si="140"/>
        <v>256</v>
      </c>
      <c r="B261" s="81"/>
      <c r="C261" s="82"/>
      <c r="D261" s="71"/>
      <c r="E261" s="72"/>
      <c r="F261" s="73"/>
      <c r="G261" s="443"/>
      <c r="H261" s="443"/>
      <c r="I261" s="74"/>
      <c r="J261" s="75"/>
      <c r="K261" s="41">
        <f t="shared" si="144"/>
        <v>3625</v>
      </c>
      <c r="L261" s="104"/>
      <c r="M261" s="105"/>
      <c r="N261" s="106">
        <f t="shared" si="145"/>
        <v>537.05999999999995</v>
      </c>
      <c r="O261" s="104"/>
      <c r="P261" s="105"/>
      <c r="Q261" s="106">
        <f t="shared" si="142"/>
        <v>10045.83</v>
      </c>
      <c r="R261" s="104"/>
      <c r="S261" s="105"/>
      <c r="T261" s="106">
        <f t="shared" si="143"/>
        <v>0</v>
      </c>
      <c r="U261" s="439"/>
      <c r="V261" s="42">
        <f t="shared" ref="V261:V324" si="146">A261</f>
        <v>256</v>
      </c>
      <c r="W261" s="39" t="str">
        <f>IF(AND(E261='Povolené hodnoty'!$B$4,F261=2),I261+L261+O261+R261,"")</f>
        <v/>
      </c>
      <c r="X261" s="41" t="str">
        <f>IF(AND(E261='Povolené hodnoty'!$B$4,F261=1),I261+L261+O261+R261,"")</f>
        <v/>
      </c>
      <c r="Y261" s="39" t="str">
        <f>IF(AND(E261='Povolené hodnoty'!$B$4,F261=10),J261+M261+P261+S261,"")</f>
        <v/>
      </c>
      <c r="Z261" s="41" t="str">
        <f>IF(AND(E261='Povolené hodnoty'!$B$4,F261=9),J261+M261+P261+S261,"")</f>
        <v/>
      </c>
      <c r="AA261" s="39" t="str">
        <f>IF(AND(E261&lt;&gt;'Povolené hodnoty'!$B$4,F261=2),I261+L261+O261+R261,"")</f>
        <v/>
      </c>
      <c r="AB261" s="40" t="str">
        <f>IF(AND(E261&lt;&gt;'Povolené hodnoty'!$B$4,F261=3),I261+L261+O261+R261,"")</f>
        <v/>
      </c>
      <c r="AC261" s="40" t="str">
        <f>IF(AND(E261&lt;&gt;'Povolené hodnoty'!$B$4,F261=4),I261+L261+O261+R261,"")</f>
        <v/>
      </c>
      <c r="AD261" s="40" t="str">
        <f>IF(AND(E261&lt;&gt;'Povolené hodnoty'!$B$4,F261="5a"),I261-J261+L261-M261+O261-P261+R261-S261,"")</f>
        <v/>
      </c>
      <c r="AE261" s="40" t="str">
        <f>IF(AND(E261&lt;&gt;'Povolené hodnoty'!$B$4,F261="5b"),I261-J261+L261-M261+O261-P261+R261-S261,"")</f>
        <v/>
      </c>
      <c r="AF261" s="40" t="str">
        <f>IF(AND(E261&lt;&gt;'Povolené hodnoty'!$B$4,F261=6),I261+L261+O261+R261,"")</f>
        <v/>
      </c>
      <c r="AG261" s="41" t="str">
        <f>IF(AND(E261&lt;&gt;'Povolené hodnoty'!$B$4,F261=7),I261+L261+O261+R261,"")</f>
        <v/>
      </c>
      <c r="AH261" s="39" t="str">
        <f>IF(AND(E261&lt;&gt;'Povolené hodnoty'!$B$4,F261=10),J261+M261+P261+S261,"")</f>
        <v/>
      </c>
      <c r="AI261" s="40" t="str">
        <f>IF(AND(E261&lt;&gt;'Povolené hodnoty'!$B$4,F261=11),J261+M261+P261+S261,"")</f>
        <v/>
      </c>
      <c r="AJ261" s="40" t="str">
        <f>IF(AND(E261&lt;&gt;'Povolené hodnoty'!$B$4,F261=12),J261+M261+P261+S261,"")</f>
        <v/>
      </c>
      <c r="AK261" s="41" t="str">
        <f>IF(AND(E261&lt;&gt;'Povolené hodnoty'!$B$4,F261=13),J261+M261+P261+S261,"")</f>
        <v/>
      </c>
      <c r="AL261" s="39" t="str">
        <f>IF(AND($G261='Povolené hodnoty'!$B$13,$H261=AL$4),SUM($I261,$L261,$O261,$R261),"")</f>
        <v/>
      </c>
      <c r="AM261" s="458" t="str">
        <f>IF(AND($G261='Povolené hodnoty'!$B$13,$H261=AM$4),SUM($I261,$L261,$O261,$R261),"")</f>
        <v/>
      </c>
      <c r="AN261" s="458" t="str">
        <f>IF(AND($G261='Povolené hodnoty'!$B$13,$H261=AN$4),SUM($I261,$L261,$O261,$R261),"")</f>
        <v/>
      </c>
      <c r="AO261" s="458" t="str">
        <f>IF(AND($G261='Povolené hodnoty'!$B$13,$H261=AO$4),SUM($I261,$L261,$O261,$R261),"")</f>
        <v/>
      </c>
      <c r="AP261" s="458" t="str">
        <f>IF(AND($G261='Povolené hodnoty'!$B$13,$H261=AP$4),SUM($I261,$L261,$O261,$R261),"")</f>
        <v/>
      </c>
      <c r="AQ261" s="40" t="str">
        <f>IF(AND($G261='Povolené hodnoty'!$B$13,OR($H261=AQ$4,$H261='Povolené hodnoty'!$E$36)),SUM($I261,-$J261,$L261,-$M261,$O261,-$P261,$R261,-$S261),"")</f>
        <v/>
      </c>
      <c r="AR261" s="40" t="str">
        <f>IF(AND($G261='Povolené hodnoty'!$B$13,$H261=AR$4),SUM($I261,$L261,$O261,$R261),"")</f>
        <v/>
      </c>
      <c r="AS261" s="41" t="str">
        <f>IF(AND($G261='Povolené hodnoty'!$B$13,$H261=AS$4),SUM($I261,$L261,$O261,$R261),"")</f>
        <v/>
      </c>
      <c r="AT261" s="39" t="str">
        <f>IF(AND($G261='Povolené hodnoty'!$B$14,$H261=AT$4),SUM($I261,$L261,$O261,$R261),"")</f>
        <v/>
      </c>
      <c r="AU261" s="458" t="str">
        <f>IF(AND($G261='Povolené hodnoty'!$B$14,$H261=AU$4),SUM($I261,$L261,$O261,$R261),"")</f>
        <v/>
      </c>
      <c r="AV261" s="41" t="str">
        <f>IF(AND($G261='Povolené hodnoty'!$B$14,$H261=AV$4),SUM($I261,$L261,$O261,$R261),"")</f>
        <v/>
      </c>
      <c r="AW261" s="39" t="str">
        <f>IF(AND($G261='Povolené hodnoty'!$B$13,$H261=AW$4),SUM($J261,$M261,$P261,$S261),"")</f>
        <v/>
      </c>
      <c r="AX261" s="458" t="str">
        <f>IF(AND($G261='Povolené hodnoty'!$B$13,$H261=AX$4),SUM($J261,$M261,$P261,$S261),"")</f>
        <v/>
      </c>
      <c r="AY261" s="458" t="str">
        <f>IF(AND($G261='Povolené hodnoty'!$B$13,$H261=AY$4),SUM($J261,$M261,$P261,$S261),"")</f>
        <v/>
      </c>
      <c r="AZ261" s="458" t="str">
        <f>IF(AND($G261='Povolené hodnoty'!$B$13,$H261=AZ$4),SUM($J261,$M261,$P261,$S261),"")</f>
        <v/>
      </c>
      <c r="BA261" s="458" t="str">
        <f>IF(AND($G261='Povolené hodnoty'!$B$13,$H261=BA$4),SUM($J261,$M261,$P261,$S261),"")</f>
        <v/>
      </c>
      <c r="BB261" s="40" t="str">
        <f>IF(AND($G261='Povolené hodnoty'!$B$13,$H261=BB$4),SUM($J261,$M261,$P261,$S261),"")</f>
        <v/>
      </c>
      <c r="BC261" s="40" t="str">
        <f>IF(AND($G261='Povolené hodnoty'!$B$13,$H261=BC$4),SUM($J261,$M261,$P261,$S261),"")</f>
        <v/>
      </c>
      <c r="BD261" s="40" t="str">
        <f>IF(AND($G261='Povolené hodnoty'!$B$13,$H261=BD$4),SUM($J261,$M261,$P261,$S261),"")</f>
        <v/>
      </c>
      <c r="BE261" s="41" t="str">
        <f>IF(AND($G261='Povolené hodnoty'!$B$13,$H261=BE$4),SUM($J261,$M261,$P261,$S261),"")</f>
        <v/>
      </c>
      <c r="BF261" s="39" t="str">
        <f>IF(AND($G261='Povolené hodnoty'!$B$14,$H261=BF$4),SUM($J261,$M261,$P261,$S261),"")</f>
        <v/>
      </c>
      <c r="BG261" s="458" t="str">
        <f>IF(AND($G261='Povolené hodnoty'!$B$14,$H261=BG$4),SUM($J261,$M261,$P261,$S261),"")</f>
        <v/>
      </c>
      <c r="BH261" s="458" t="str">
        <f>IF(AND($G261='Povolené hodnoty'!$B$14,$H261=BH$4),SUM($J261,$M261,$P261,$S261),"")</f>
        <v/>
      </c>
      <c r="BI261" s="458" t="str">
        <f>IF(AND($G261='Povolené hodnoty'!$B$14,$H261=BI$4),SUM($J261,$M261,$P261,$S261),"")</f>
        <v/>
      </c>
      <c r="BJ261" s="458" t="str">
        <f>IF(AND($G261='Povolené hodnoty'!$B$14,$H261=BJ$4),SUM($J261,$M261,$P261,$S261),"")</f>
        <v/>
      </c>
      <c r="BK261" s="40" t="str">
        <f>IF(AND($G261='Povolené hodnoty'!$B$14,$H261=BK$4),SUM($J261,$M261,$P261,$S261),"")</f>
        <v/>
      </c>
      <c r="BL261" s="40" t="str">
        <f>IF(AND($G261='Povolené hodnoty'!$B$14,$H261=BL$4),SUM($J261,$M261,$P261,$S261),"")</f>
        <v/>
      </c>
      <c r="BM261" s="41" t="str">
        <f>IF(AND($G261='Povolené hodnoty'!$B$14,$H261=BM$4),SUM($J261,$M261,$P261,$S261),"")</f>
        <v/>
      </c>
      <c r="BO261" s="18" t="b">
        <f t="shared" si="141"/>
        <v>0</v>
      </c>
      <c r="BP261" s="18" t="b">
        <f t="shared" si="112"/>
        <v>0</v>
      </c>
      <c r="BQ261" s="18" t="b">
        <f>AND(E261&lt;&gt;'Povolené hodnoty'!$B$6,F261&lt;&gt;'Povolené hodnoty'!$D$7,F261&lt;&gt;'Povolené hodnoty'!$D$8,OR(SUM(I261,L261,O261,R261)&lt;&gt;SUM(W261:X261,AA261:AG261),SUM(J261,M261,P261,S261)&lt;&gt;SUM(Y261:Z261,AH261:AK261),COUNT(I261:J261,L261:M261,O261:P261,R261:S261)&lt;&gt;COUNT(W261:AK261)))</f>
        <v>0</v>
      </c>
      <c r="BR261" s="18" t="b">
        <f>OR(AND(E261='Povolené hodnoty'!$B$6,$BR$5),AND(E261='Povolené hodnoty'!$B$6,H261&lt;&gt;'Povolené hodnoty'!$E$26,H261&lt;&gt;'Povolené hodnoty'!$E$35),AND(E261&lt;&gt;'Povolené hodnoty'!$B$6,OR(H261='Povolené hodnoty'!$E$26,H261='Povolené hodnoty'!$E$35)))</f>
        <v>0</v>
      </c>
      <c r="BS261" s="18" t="b">
        <f>OR(AND(G261&lt;&gt;'Povolené hodnoty'!$B$13,OR(H261='Povolené hodnoty'!$E$21,H261='Povolené hodnoty'!$E$22,H261='Povolené hodnoty'!$E$23,H261='Povolené hodnoty'!$E$24,H261='Povolené hodnoty'!$E$26,H261='Povolené hodnoty'!$E$36)),COUNT(I261:J261,L261:M261,O261:P261,R261:S261)&lt;&gt;COUNT(AL261:BM261))</f>
        <v>0</v>
      </c>
      <c r="BT261" s="18" t="b">
        <f t="shared" si="113"/>
        <v>0</v>
      </c>
      <c r="BV261" s="39" t="str">
        <f t="shared" si="114"/>
        <v/>
      </c>
      <c r="BW261" s="458" t="str">
        <f t="shared" si="115"/>
        <v/>
      </c>
      <c r="BX261" s="458" t="str">
        <f t="shared" si="116"/>
        <v/>
      </c>
      <c r="BY261" s="458" t="str">
        <f t="shared" si="117"/>
        <v/>
      </c>
      <c r="BZ261" s="458" t="str">
        <f t="shared" si="118"/>
        <v/>
      </c>
      <c r="CA261" s="40" t="str">
        <f t="shared" si="119"/>
        <v/>
      </c>
      <c r="CB261" s="40" t="str">
        <f t="shared" si="120"/>
        <v/>
      </c>
      <c r="CC261" s="39" t="str">
        <f t="shared" si="121"/>
        <v/>
      </c>
      <c r="CD261" s="458" t="str">
        <f t="shared" si="122"/>
        <v/>
      </c>
      <c r="CE261" s="41" t="str">
        <f t="shared" si="123"/>
        <v/>
      </c>
      <c r="CF261" s="39" t="str">
        <f t="shared" si="124"/>
        <v/>
      </c>
      <c r="CG261" s="458" t="str">
        <f t="shared" si="125"/>
        <v/>
      </c>
      <c r="CH261" s="458" t="str">
        <f t="shared" si="126"/>
        <v/>
      </c>
      <c r="CI261" s="458" t="str">
        <f t="shared" si="127"/>
        <v/>
      </c>
      <c r="CJ261" s="458" t="str">
        <f t="shared" si="128"/>
        <v/>
      </c>
      <c r="CK261" s="40" t="str">
        <f t="shared" si="129"/>
        <v/>
      </c>
      <c r="CL261" s="40" t="str">
        <f t="shared" si="130"/>
        <v/>
      </c>
      <c r="CM261" s="40" t="str">
        <f t="shared" si="131"/>
        <v/>
      </c>
      <c r="CN261" s="39" t="str">
        <f t="shared" si="132"/>
        <v/>
      </c>
      <c r="CO261" s="458" t="str">
        <f t="shared" si="133"/>
        <v/>
      </c>
      <c r="CP261" s="458" t="str">
        <f t="shared" si="134"/>
        <v/>
      </c>
      <c r="CQ261" s="458" t="str">
        <f t="shared" si="135"/>
        <v/>
      </c>
      <c r="CR261" s="458" t="str">
        <f t="shared" si="136"/>
        <v/>
      </c>
      <c r="CS261" s="40" t="str">
        <f t="shared" si="137"/>
        <v/>
      </c>
      <c r="CT261" s="40" t="str">
        <f t="shared" si="138"/>
        <v/>
      </c>
      <c r="CU261" s="41" t="str">
        <f t="shared" si="139"/>
        <v/>
      </c>
    </row>
    <row r="262" spans="1:99" x14ac:dyDescent="0.2">
      <c r="A262" s="77">
        <f t="shared" si="140"/>
        <v>257</v>
      </c>
      <c r="B262" s="81"/>
      <c r="C262" s="82"/>
      <c r="D262" s="71"/>
      <c r="E262" s="72"/>
      <c r="F262" s="73"/>
      <c r="G262" s="443"/>
      <c r="H262" s="443"/>
      <c r="I262" s="74"/>
      <c r="J262" s="75"/>
      <c r="K262" s="41">
        <f t="shared" si="144"/>
        <v>3625</v>
      </c>
      <c r="L262" s="104"/>
      <c r="M262" s="105"/>
      <c r="N262" s="106">
        <f t="shared" si="145"/>
        <v>537.05999999999995</v>
      </c>
      <c r="O262" s="104"/>
      <c r="P262" s="105"/>
      <c r="Q262" s="106">
        <f t="shared" si="142"/>
        <v>10045.83</v>
      </c>
      <c r="R262" s="104"/>
      <c r="S262" s="105"/>
      <c r="T262" s="106">
        <f t="shared" si="143"/>
        <v>0</v>
      </c>
      <c r="U262" s="439"/>
      <c r="V262" s="42">
        <f t="shared" si="146"/>
        <v>257</v>
      </c>
      <c r="W262" s="39" t="str">
        <f>IF(AND(E262='Povolené hodnoty'!$B$4,F262=2),I262+L262+O262+R262,"")</f>
        <v/>
      </c>
      <c r="X262" s="41" t="str">
        <f>IF(AND(E262='Povolené hodnoty'!$B$4,F262=1),I262+L262+O262+R262,"")</f>
        <v/>
      </c>
      <c r="Y262" s="39" t="str">
        <f>IF(AND(E262='Povolené hodnoty'!$B$4,F262=10),J262+M262+P262+S262,"")</f>
        <v/>
      </c>
      <c r="Z262" s="41" t="str">
        <f>IF(AND(E262='Povolené hodnoty'!$B$4,F262=9),J262+M262+P262+S262,"")</f>
        <v/>
      </c>
      <c r="AA262" s="39" t="str">
        <f>IF(AND(E262&lt;&gt;'Povolené hodnoty'!$B$4,F262=2),I262+L262+O262+R262,"")</f>
        <v/>
      </c>
      <c r="AB262" s="40" t="str">
        <f>IF(AND(E262&lt;&gt;'Povolené hodnoty'!$B$4,F262=3),I262+L262+O262+R262,"")</f>
        <v/>
      </c>
      <c r="AC262" s="40" t="str">
        <f>IF(AND(E262&lt;&gt;'Povolené hodnoty'!$B$4,F262=4),I262+L262+O262+R262,"")</f>
        <v/>
      </c>
      <c r="AD262" s="40" t="str">
        <f>IF(AND(E262&lt;&gt;'Povolené hodnoty'!$B$4,F262="5a"),I262-J262+L262-M262+O262-P262+R262-S262,"")</f>
        <v/>
      </c>
      <c r="AE262" s="40" t="str">
        <f>IF(AND(E262&lt;&gt;'Povolené hodnoty'!$B$4,F262="5b"),I262-J262+L262-M262+O262-P262+R262-S262,"")</f>
        <v/>
      </c>
      <c r="AF262" s="40" t="str">
        <f>IF(AND(E262&lt;&gt;'Povolené hodnoty'!$B$4,F262=6),I262+L262+O262+R262,"")</f>
        <v/>
      </c>
      <c r="AG262" s="41" t="str">
        <f>IF(AND(E262&lt;&gt;'Povolené hodnoty'!$B$4,F262=7),I262+L262+O262+R262,"")</f>
        <v/>
      </c>
      <c r="AH262" s="39" t="str">
        <f>IF(AND(E262&lt;&gt;'Povolené hodnoty'!$B$4,F262=10),J262+M262+P262+S262,"")</f>
        <v/>
      </c>
      <c r="AI262" s="40" t="str">
        <f>IF(AND(E262&lt;&gt;'Povolené hodnoty'!$B$4,F262=11),J262+M262+P262+S262,"")</f>
        <v/>
      </c>
      <c r="AJ262" s="40" t="str">
        <f>IF(AND(E262&lt;&gt;'Povolené hodnoty'!$B$4,F262=12),J262+M262+P262+S262,"")</f>
        <v/>
      </c>
      <c r="AK262" s="41" t="str">
        <f>IF(AND(E262&lt;&gt;'Povolené hodnoty'!$B$4,F262=13),J262+M262+P262+S262,"")</f>
        <v/>
      </c>
      <c r="AL262" s="39" t="str">
        <f>IF(AND($G262='Povolené hodnoty'!$B$13,$H262=AL$4),SUM($I262,$L262,$O262,$R262),"")</f>
        <v/>
      </c>
      <c r="AM262" s="458" t="str">
        <f>IF(AND($G262='Povolené hodnoty'!$B$13,$H262=AM$4),SUM($I262,$L262,$O262,$R262),"")</f>
        <v/>
      </c>
      <c r="AN262" s="458" t="str">
        <f>IF(AND($G262='Povolené hodnoty'!$B$13,$H262=AN$4),SUM($I262,$L262,$O262,$R262),"")</f>
        <v/>
      </c>
      <c r="AO262" s="458" t="str">
        <f>IF(AND($G262='Povolené hodnoty'!$B$13,$H262=AO$4),SUM($I262,$L262,$O262,$R262),"")</f>
        <v/>
      </c>
      <c r="AP262" s="458" t="str">
        <f>IF(AND($G262='Povolené hodnoty'!$B$13,$H262=AP$4),SUM($I262,$L262,$O262,$R262),"")</f>
        <v/>
      </c>
      <c r="AQ262" s="40" t="str">
        <f>IF(AND($G262='Povolené hodnoty'!$B$13,OR($H262=AQ$4,$H262='Povolené hodnoty'!$E$36)),SUM($I262,-$J262,$L262,-$M262,$O262,-$P262,$R262,-$S262),"")</f>
        <v/>
      </c>
      <c r="AR262" s="40" t="str">
        <f>IF(AND($G262='Povolené hodnoty'!$B$13,$H262=AR$4),SUM($I262,$L262,$O262,$R262),"")</f>
        <v/>
      </c>
      <c r="AS262" s="41" t="str">
        <f>IF(AND($G262='Povolené hodnoty'!$B$13,$H262=AS$4),SUM($I262,$L262,$O262,$R262),"")</f>
        <v/>
      </c>
      <c r="AT262" s="39" t="str">
        <f>IF(AND($G262='Povolené hodnoty'!$B$14,$H262=AT$4),SUM($I262,$L262,$O262,$R262),"")</f>
        <v/>
      </c>
      <c r="AU262" s="458" t="str">
        <f>IF(AND($G262='Povolené hodnoty'!$B$14,$H262=AU$4),SUM($I262,$L262,$O262,$R262),"")</f>
        <v/>
      </c>
      <c r="AV262" s="41" t="str">
        <f>IF(AND($G262='Povolené hodnoty'!$B$14,$H262=AV$4),SUM($I262,$L262,$O262,$R262),"")</f>
        <v/>
      </c>
      <c r="AW262" s="39" t="str">
        <f>IF(AND($G262='Povolené hodnoty'!$B$13,$H262=AW$4),SUM($J262,$M262,$P262,$S262),"")</f>
        <v/>
      </c>
      <c r="AX262" s="458" t="str">
        <f>IF(AND($G262='Povolené hodnoty'!$B$13,$H262=AX$4),SUM($J262,$M262,$P262,$S262),"")</f>
        <v/>
      </c>
      <c r="AY262" s="458" t="str">
        <f>IF(AND($G262='Povolené hodnoty'!$B$13,$H262=AY$4),SUM($J262,$M262,$P262,$S262),"")</f>
        <v/>
      </c>
      <c r="AZ262" s="458" t="str">
        <f>IF(AND($G262='Povolené hodnoty'!$B$13,$H262=AZ$4),SUM($J262,$M262,$P262,$S262),"")</f>
        <v/>
      </c>
      <c r="BA262" s="458" t="str">
        <f>IF(AND($G262='Povolené hodnoty'!$B$13,$H262=BA$4),SUM($J262,$M262,$P262,$S262),"")</f>
        <v/>
      </c>
      <c r="BB262" s="40" t="str">
        <f>IF(AND($G262='Povolené hodnoty'!$B$13,$H262=BB$4),SUM($J262,$M262,$P262,$S262),"")</f>
        <v/>
      </c>
      <c r="BC262" s="40" t="str">
        <f>IF(AND($G262='Povolené hodnoty'!$B$13,$H262=BC$4),SUM($J262,$M262,$P262,$S262),"")</f>
        <v/>
      </c>
      <c r="BD262" s="40" t="str">
        <f>IF(AND($G262='Povolené hodnoty'!$B$13,$H262=BD$4),SUM($J262,$M262,$P262,$S262),"")</f>
        <v/>
      </c>
      <c r="BE262" s="41" t="str">
        <f>IF(AND($G262='Povolené hodnoty'!$B$13,$H262=BE$4),SUM($J262,$M262,$P262,$S262),"")</f>
        <v/>
      </c>
      <c r="BF262" s="39" t="str">
        <f>IF(AND($G262='Povolené hodnoty'!$B$14,$H262=BF$4),SUM($J262,$M262,$P262,$S262),"")</f>
        <v/>
      </c>
      <c r="BG262" s="458" t="str">
        <f>IF(AND($G262='Povolené hodnoty'!$B$14,$H262=BG$4),SUM($J262,$M262,$P262,$S262),"")</f>
        <v/>
      </c>
      <c r="BH262" s="458" t="str">
        <f>IF(AND($G262='Povolené hodnoty'!$B$14,$H262=BH$4),SUM($J262,$M262,$P262,$S262),"")</f>
        <v/>
      </c>
      <c r="BI262" s="458" t="str">
        <f>IF(AND($G262='Povolené hodnoty'!$B$14,$H262=BI$4),SUM($J262,$M262,$P262,$S262),"")</f>
        <v/>
      </c>
      <c r="BJ262" s="458" t="str">
        <f>IF(AND($G262='Povolené hodnoty'!$B$14,$H262=BJ$4),SUM($J262,$M262,$P262,$S262),"")</f>
        <v/>
      </c>
      <c r="BK262" s="40" t="str">
        <f>IF(AND($G262='Povolené hodnoty'!$B$14,$H262=BK$4),SUM($J262,$M262,$P262,$S262),"")</f>
        <v/>
      </c>
      <c r="BL262" s="40" t="str">
        <f>IF(AND($G262='Povolené hodnoty'!$B$14,$H262=BL$4),SUM($J262,$M262,$P262,$S262),"")</f>
        <v/>
      </c>
      <c r="BM262" s="41" t="str">
        <f>IF(AND($G262='Povolené hodnoty'!$B$14,$H262=BM$4),SUM($J262,$M262,$P262,$S262),"")</f>
        <v/>
      </c>
      <c r="BO262" s="18" t="b">
        <f t="shared" si="141"/>
        <v>0</v>
      </c>
      <c r="BP262" s="18" t="b">
        <f t="shared" ref="BP262:BP325" si="147">COUNT(I262:J262,L262:M262,O262:P262,R262:S262)&gt;1</f>
        <v>0</v>
      </c>
      <c r="BQ262" s="18" t="b">
        <f>AND(E262&lt;&gt;'Povolené hodnoty'!$B$6,F262&lt;&gt;'Povolené hodnoty'!$D$7,F262&lt;&gt;'Povolené hodnoty'!$D$8,OR(SUM(I262,L262,O262,R262)&lt;&gt;SUM(W262:X262,AA262:AG262),SUM(J262,M262,P262,S262)&lt;&gt;SUM(Y262:Z262,AH262:AK262),COUNT(I262:J262,L262:M262,O262:P262,R262:S262)&lt;&gt;COUNT(W262:AK262)))</f>
        <v>0</v>
      </c>
      <c r="BR262" s="18" t="b">
        <f>OR(AND(E262='Povolené hodnoty'!$B$6,$BR$5),AND(E262='Povolené hodnoty'!$B$6,H262&lt;&gt;'Povolené hodnoty'!$E$26,H262&lt;&gt;'Povolené hodnoty'!$E$35),AND(E262&lt;&gt;'Povolené hodnoty'!$B$6,OR(H262='Povolené hodnoty'!$E$26,H262='Povolené hodnoty'!$E$35)))</f>
        <v>0</v>
      </c>
      <c r="BS262" s="18" t="b">
        <f>OR(AND(G262&lt;&gt;'Povolené hodnoty'!$B$13,OR(H262='Povolené hodnoty'!$E$21,H262='Povolené hodnoty'!$E$22,H262='Povolené hodnoty'!$E$23,H262='Povolené hodnoty'!$E$24,H262='Povolené hodnoty'!$E$26,H262='Povolené hodnoty'!$E$36)),COUNT(I262:J262,L262:M262,O262:P262,R262:S262)&lt;&gt;COUNT(AL262:BM262))</f>
        <v>0</v>
      </c>
      <c r="BT262" s="18" t="b">
        <f t="shared" ref="BT262:BT325" si="148">OR(AND(LEFT(H262,1)="V",COUNT(I262,L262,O262,R262)&gt;0),AND(LEFT(H262,1)="P",COUNT(J262,M262,P262,S262)&gt;0))</f>
        <v>0</v>
      </c>
      <c r="BV262" s="39" t="str">
        <f t="shared" ref="BV262:BV325" si="149">IF(SUM($W262:$X262)=AL262,AL262,"")</f>
        <v/>
      </c>
      <c r="BW262" s="458" t="str">
        <f t="shared" ref="BW262:BW325" si="150">IF(SUM($W262:$X262)=AM262,AM262,"")</f>
        <v/>
      </c>
      <c r="BX262" s="458" t="str">
        <f t="shared" ref="BX262:BX325" si="151">IF(SUM($W262:$X262)=AN262,AN262,"")</f>
        <v/>
      </c>
      <c r="BY262" s="458" t="str">
        <f t="shared" ref="BY262:BY325" si="152">IF(SUM($W262:$X262)=AO262,AO262,"")</f>
        <v/>
      </c>
      <c r="BZ262" s="458" t="str">
        <f t="shared" ref="BZ262:BZ325" si="153">IF(SUM($W262:$X262)=AP262,AP262,"")</f>
        <v/>
      </c>
      <c r="CA262" s="40" t="str">
        <f t="shared" ref="CA262:CA325" si="154">IF(SUM($W262:$X262)=AQ262,AQ262,"")</f>
        <v/>
      </c>
      <c r="CB262" s="40" t="str">
        <f t="shared" ref="CB262:CB325" si="155">IF(SUM($W262:$X262)=AR262,AR262,"")</f>
        <v/>
      </c>
      <c r="CC262" s="39" t="str">
        <f t="shared" ref="CC262:CC325" si="156">IF(SUM($W262:$X262)=AT262,AT262,"")</f>
        <v/>
      </c>
      <c r="CD262" s="458" t="str">
        <f t="shared" ref="CD262:CD325" si="157">IF(SUM($W262:$X262)=AU262,AU262,"")</f>
        <v/>
      </c>
      <c r="CE262" s="41" t="str">
        <f t="shared" ref="CE262:CE325" si="158">IF(SUM($W262:$X262)=AV262,AV262,"")</f>
        <v/>
      </c>
      <c r="CF262" s="39" t="str">
        <f t="shared" ref="CF262:CF325" si="159">IF(SUM($Y262:$Z262)=AW262,AW262,"")</f>
        <v/>
      </c>
      <c r="CG262" s="458" t="str">
        <f t="shared" ref="CG262:CG325" si="160">IF(SUM($Y262:$Z262)=AX262,AX262,"")</f>
        <v/>
      </c>
      <c r="CH262" s="458" t="str">
        <f t="shared" ref="CH262:CH325" si="161">IF(SUM($Y262:$Z262)=AY262,AY262,"")</f>
        <v/>
      </c>
      <c r="CI262" s="458" t="str">
        <f t="shared" ref="CI262:CI325" si="162">IF(SUM($Y262:$Z262)=AZ262,AZ262,"")</f>
        <v/>
      </c>
      <c r="CJ262" s="458" t="str">
        <f t="shared" ref="CJ262:CJ325" si="163">IF(SUM($Y262:$Z262)=BA262,BA262,"")</f>
        <v/>
      </c>
      <c r="CK262" s="40" t="str">
        <f t="shared" ref="CK262:CK325" si="164">IF(SUM($Y262:$Z262)=BB262,BB262,"")</f>
        <v/>
      </c>
      <c r="CL262" s="40" t="str">
        <f t="shared" ref="CL262:CL325" si="165">IF(SUM($Y262:$Z262)=BC262,BC262,"")</f>
        <v/>
      </c>
      <c r="CM262" s="40" t="str">
        <f t="shared" ref="CM262:CM325" si="166">IF(SUM($Y262:$Z262)=BD262,BD262,"")</f>
        <v/>
      </c>
      <c r="CN262" s="39" t="str">
        <f t="shared" ref="CN262:CN325" si="167">IF(SUM($Y262:$Z262)=BF262,BF262,"")</f>
        <v/>
      </c>
      <c r="CO262" s="458" t="str">
        <f t="shared" ref="CO262:CO325" si="168">IF(SUM($Y262:$Z262)=BG262,BG262,"")</f>
        <v/>
      </c>
      <c r="CP262" s="458" t="str">
        <f t="shared" ref="CP262:CP325" si="169">IF(SUM($Y262:$Z262)=BH262,BH262,"")</f>
        <v/>
      </c>
      <c r="CQ262" s="458" t="str">
        <f t="shared" ref="CQ262:CQ325" si="170">IF(SUM($Y262:$Z262)=BI262,BI262,"")</f>
        <v/>
      </c>
      <c r="CR262" s="458" t="str">
        <f t="shared" ref="CR262:CR325" si="171">IF(SUM($Y262:$Z262)=BJ262,BJ262,"")</f>
        <v/>
      </c>
      <c r="CS262" s="40" t="str">
        <f t="shared" ref="CS262:CS325" si="172">IF(SUM($Y262:$Z262)=BK262,BK262,"")</f>
        <v/>
      </c>
      <c r="CT262" s="40" t="str">
        <f t="shared" ref="CT262:CT325" si="173">IF(SUM($Y262:$Z262)=BL262,BL262,"")</f>
        <v/>
      </c>
      <c r="CU262" s="41" t="str">
        <f t="shared" ref="CU262:CU325" si="174">IF(SUM($Y262:$Z262)=BM262,BM262,"")</f>
        <v/>
      </c>
    </row>
    <row r="263" spans="1:99" x14ac:dyDescent="0.2">
      <c r="A263" s="77">
        <f t="shared" ref="A263:A326" si="175">A262+1</f>
        <v>258</v>
      </c>
      <c r="B263" s="81"/>
      <c r="C263" s="82"/>
      <c r="D263" s="71"/>
      <c r="E263" s="72"/>
      <c r="F263" s="73"/>
      <c r="G263" s="443"/>
      <c r="H263" s="443"/>
      <c r="I263" s="74"/>
      <c r="J263" s="75"/>
      <c r="K263" s="41">
        <f t="shared" si="144"/>
        <v>3625</v>
      </c>
      <c r="L263" s="104"/>
      <c r="M263" s="105"/>
      <c r="N263" s="106">
        <f t="shared" si="145"/>
        <v>537.05999999999995</v>
      </c>
      <c r="O263" s="104"/>
      <c r="P263" s="105"/>
      <c r="Q263" s="106">
        <f t="shared" si="142"/>
        <v>10045.83</v>
      </c>
      <c r="R263" s="104"/>
      <c r="S263" s="105"/>
      <c r="T263" s="106">
        <f t="shared" si="143"/>
        <v>0</v>
      </c>
      <c r="U263" s="439"/>
      <c r="V263" s="42">
        <f t="shared" si="146"/>
        <v>258</v>
      </c>
      <c r="W263" s="39" t="str">
        <f>IF(AND(E263='Povolené hodnoty'!$B$4,F263=2),I263+L263+O263+R263,"")</f>
        <v/>
      </c>
      <c r="X263" s="41" t="str">
        <f>IF(AND(E263='Povolené hodnoty'!$B$4,F263=1),I263+L263+O263+R263,"")</f>
        <v/>
      </c>
      <c r="Y263" s="39" t="str">
        <f>IF(AND(E263='Povolené hodnoty'!$B$4,F263=10),J263+M263+P263+S263,"")</f>
        <v/>
      </c>
      <c r="Z263" s="41" t="str">
        <f>IF(AND(E263='Povolené hodnoty'!$B$4,F263=9),J263+M263+P263+S263,"")</f>
        <v/>
      </c>
      <c r="AA263" s="39" t="str">
        <f>IF(AND(E263&lt;&gt;'Povolené hodnoty'!$B$4,F263=2),I263+L263+O263+R263,"")</f>
        <v/>
      </c>
      <c r="AB263" s="40" t="str">
        <f>IF(AND(E263&lt;&gt;'Povolené hodnoty'!$B$4,F263=3),I263+L263+O263+R263,"")</f>
        <v/>
      </c>
      <c r="AC263" s="40" t="str">
        <f>IF(AND(E263&lt;&gt;'Povolené hodnoty'!$B$4,F263=4),I263+L263+O263+R263,"")</f>
        <v/>
      </c>
      <c r="AD263" s="40" t="str">
        <f>IF(AND(E263&lt;&gt;'Povolené hodnoty'!$B$4,F263="5a"),I263-J263+L263-M263+O263-P263+R263-S263,"")</f>
        <v/>
      </c>
      <c r="AE263" s="40" t="str">
        <f>IF(AND(E263&lt;&gt;'Povolené hodnoty'!$B$4,F263="5b"),I263-J263+L263-M263+O263-P263+R263-S263,"")</f>
        <v/>
      </c>
      <c r="AF263" s="40" t="str">
        <f>IF(AND(E263&lt;&gt;'Povolené hodnoty'!$B$4,F263=6),I263+L263+O263+R263,"")</f>
        <v/>
      </c>
      <c r="AG263" s="41" t="str">
        <f>IF(AND(E263&lt;&gt;'Povolené hodnoty'!$B$4,F263=7),I263+L263+O263+R263,"")</f>
        <v/>
      </c>
      <c r="AH263" s="39" t="str">
        <f>IF(AND(E263&lt;&gt;'Povolené hodnoty'!$B$4,F263=10),J263+M263+P263+S263,"")</f>
        <v/>
      </c>
      <c r="AI263" s="40" t="str">
        <f>IF(AND(E263&lt;&gt;'Povolené hodnoty'!$B$4,F263=11),J263+M263+P263+S263,"")</f>
        <v/>
      </c>
      <c r="AJ263" s="40" t="str">
        <f>IF(AND(E263&lt;&gt;'Povolené hodnoty'!$B$4,F263=12),J263+M263+P263+S263,"")</f>
        <v/>
      </c>
      <c r="AK263" s="41" t="str">
        <f>IF(AND(E263&lt;&gt;'Povolené hodnoty'!$B$4,F263=13),J263+M263+P263+S263,"")</f>
        <v/>
      </c>
      <c r="AL263" s="39" t="str">
        <f>IF(AND($G263='Povolené hodnoty'!$B$13,$H263=AL$4),SUM($I263,$L263,$O263,$R263),"")</f>
        <v/>
      </c>
      <c r="AM263" s="458" t="str">
        <f>IF(AND($G263='Povolené hodnoty'!$B$13,$H263=AM$4),SUM($I263,$L263,$O263,$R263),"")</f>
        <v/>
      </c>
      <c r="AN263" s="458" t="str">
        <f>IF(AND($G263='Povolené hodnoty'!$B$13,$H263=AN$4),SUM($I263,$L263,$O263,$R263),"")</f>
        <v/>
      </c>
      <c r="AO263" s="458" t="str">
        <f>IF(AND($G263='Povolené hodnoty'!$B$13,$H263=AO$4),SUM($I263,$L263,$O263,$R263),"")</f>
        <v/>
      </c>
      <c r="AP263" s="458" t="str">
        <f>IF(AND($G263='Povolené hodnoty'!$B$13,$H263=AP$4),SUM($I263,$L263,$O263,$R263),"")</f>
        <v/>
      </c>
      <c r="AQ263" s="40" t="str">
        <f>IF(AND($G263='Povolené hodnoty'!$B$13,OR($H263=AQ$4,$H263='Povolené hodnoty'!$E$36)),SUM($I263,-$J263,$L263,-$M263,$O263,-$P263,$R263,-$S263),"")</f>
        <v/>
      </c>
      <c r="AR263" s="40" t="str">
        <f>IF(AND($G263='Povolené hodnoty'!$B$13,$H263=AR$4),SUM($I263,$L263,$O263,$R263),"")</f>
        <v/>
      </c>
      <c r="AS263" s="41" t="str">
        <f>IF(AND($G263='Povolené hodnoty'!$B$13,$H263=AS$4),SUM($I263,$L263,$O263,$R263),"")</f>
        <v/>
      </c>
      <c r="AT263" s="39" t="str">
        <f>IF(AND($G263='Povolené hodnoty'!$B$14,$H263=AT$4),SUM($I263,$L263,$O263,$R263),"")</f>
        <v/>
      </c>
      <c r="AU263" s="458" t="str">
        <f>IF(AND($G263='Povolené hodnoty'!$B$14,$H263=AU$4),SUM($I263,$L263,$O263,$R263),"")</f>
        <v/>
      </c>
      <c r="AV263" s="41" t="str">
        <f>IF(AND($G263='Povolené hodnoty'!$B$14,$H263=AV$4),SUM($I263,$L263,$O263,$R263),"")</f>
        <v/>
      </c>
      <c r="AW263" s="39" t="str">
        <f>IF(AND($G263='Povolené hodnoty'!$B$13,$H263=AW$4),SUM($J263,$M263,$P263,$S263),"")</f>
        <v/>
      </c>
      <c r="AX263" s="458" t="str">
        <f>IF(AND($G263='Povolené hodnoty'!$B$13,$H263=AX$4),SUM($J263,$M263,$P263,$S263),"")</f>
        <v/>
      </c>
      <c r="AY263" s="458" t="str">
        <f>IF(AND($G263='Povolené hodnoty'!$B$13,$H263=AY$4),SUM($J263,$M263,$P263,$S263),"")</f>
        <v/>
      </c>
      <c r="AZ263" s="458" t="str">
        <f>IF(AND($G263='Povolené hodnoty'!$B$13,$H263=AZ$4),SUM($J263,$M263,$P263,$S263),"")</f>
        <v/>
      </c>
      <c r="BA263" s="458" t="str">
        <f>IF(AND($G263='Povolené hodnoty'!$B$13,$H263=BA$4),SUM($J263,$M263,$P263,$S263),"")</f>
        <v/>
      </c>
      <c r="BB263" s="40" t="str">
        <f>IF(AND($G263='Povolené hodnoty'!$B$13,$H263=BB$4),SUM($J263,$M263,$P263,$S263),"")</f>
        <v/>
      </c>
      <c r="BC263" s="40" t="str">
        <f>IF(AND($G263='Povolené hodnoty'!$B$13,$H263=BC$4),SUM($J263,$M263,$P263,$S263),"")</f>
        <v/>
      </c>
      <c r="BD263" s="40" t="str">
        <f>IF(AND($G263='Povolené hodnoty'!$B$13,$H263=BD$4),SUM($J263,$M263,$P263,$S263),"")</f>
        <v/>
      </c>
      <c r="BE263" s="41" t="str">
        <f>IF(AND($G263='Povolené hodnoty'!$B$13,$H263=BE$4),SUM($J263,$M263,$P263,$S263),"")</f>
        <v/>
      </c>
      <c r="BF263" s="39" t="str">
        <f>IF(AND($G263='Povolené hodnoty'!$B$14,$H263=BF$4),SUM($J263,$M263,$P263,$S263),"")</f>
        <v/>
      </c>
      <c r="BG263" s="458" t="str">
        <f>IF(AND($G263='Povolené hodnoty'!$B$14,$H263=BG$4),SUM($J263,$M263,$P263,$S263),"")</f>
        <v/>
      </c>
      <c r="BH263" s="458" t="str">
        <f>IF(AND($G263='Povolené hodnoty'!$B$14,$H263=BH$4),SUM($J263,$M263,$P263,$S263),"")</f>
        <v/>
      </c>
      <c r="BI263" s="458" t="str">
        <f>IF(AND($G263='Povolené hodnoty'!$B$14,$H263=BI$4),SUM($J263,$M263,$P263,$S263),"")</f>
        <v/>
      </c>
      <c r="BJ263" s="458" t="str">
        <f>IF(AND($G263='Povolené hodnoty'!$B$14,$H263=BJ$4),SUM($J263,$M263,$P263,$S263),"")</f>
        <v/>
      </c>
      <c r="BK263" s="40" t="str">
        <f>IF(AND($G263='Povolené hodnoty'!$B$14,$H263=BK$4),SUM($J263,$M263,$P263,$S263),"")</f>
        <v/>
      </c>
      <c r="BL263" s="40" t="str">
        <f>IF(AND($G263='Povolené hodnoty'!$B$14,$H263=BL$4),SUM($J263,$M263,$P263,$S263),"")</f>
        <v/>
      </c>
      <c r="BM263" s="41" t="str">
        <f>IF(AND($G263='Povolené hodnoty'!$B$14,$H263=BM$4),SUM($J263,$M263,$P263,$S263),"")</f>
        <v/>
      </c>
      <c r="BO263" s="18" t="b">
        <f t="shared" ref="BO263:BO326" si="176">OR(BP263:BT263)</f>
        <v>0</v>
      </c>
      <c r="BP263" s="18" t="b">
        <f t="shared" si="147"/>
        <v>0</v>
      </c>
      <c r="BQ263" s="18" t="b">
        <f>AND(E263&lt;&gt;'Povolené hodnoty'!$B$6,F263&lt;&gt;'Povolené hodnoty'!$D$7,F263&lt;&gt;'Povolené hodnoty'!$D$8,OR(SUM(I263,L263,O263,R263)&lt;&gt;SUM(W263:X263,AA263:AG263),SUM(J263,M263,P263,S263)&lt;&gt;SUM(Y263:Z263,AH263:AK263),COUNT(I263:J263,L263:M263,O263:P263,R263:S263)&lt;&gt;COUNT(W263:AK263)))</f>
        <v>0</v>
      </c>
      <c r="BR263" s="18" t="b">
        <f>OR(AND(E263='Povolené hodnoty'!$B$6,$BR$5),AND(E263='Povolené hodnoty'!$B$6,H263&lt;&gt;'Povolené hodnoty'!$E$26,H263&lt;&gt;'Povolené hodnoty'!$E$35),AND(E263&lt;&gt;'Povolené hodnoty'!$B$6,OR(H263='Povolené hodnoty'!$E$26,H263='Povolené hodnoty'!$E$35)))</f>
        <v>0</v>
      </c>
      <c r="BS263" s="18" t="b">
        <f>OR(AND(G263&lt;&gt;'Povolené hodnoty'!$B$13,OR(H263='Povolené hodnoty'!$E$21,H263='Povolené hodnoty'!$E$22,H263='Povolené hodnoty'!$E$23,H263='Povolené hodnoty'!$E$24,H263='Povolené hodnoty'!$E$26,H263='Povolené hodnoty'!$E$36)),COUNT(I263:J263,L263:M263,O263:P263,R263:S263)&lt;&gt;COUNT(AL263:BM263))</f>
        <v>0</v>
      </c>
      <c r="BT263" s="18" t="b">
        <f t="shared" si="148"/>
        <v>0</v>
      </c>
      <c r="BV263" s="39" t="str">
        <f t="shared" si="149"/>
        <v/>
      </c>
      <c r="BW263" s="458" t="str">
        <f t="shared" si="150"/>
        <v/>
      </c>
      <c r="BX263" s="458" t="str">
        <f t="shared" si="151"/>
        <v/>
      </c>
      <c r="BY263" s="458" t="str">
        <f t="shared" si="152"/>
        <v/>
      </c>
      <c r="BZ263" s="458" t="str">
        <f t="shared" si="153"/>
        <v/>
      </c>
      <c r="CA263" s="40" t="str">
        <f t="shared" si="154"/>
        <v/>
      </c>
      <c r="CB263" s="40" t="str">
        <f t="shared" si="155"/>
        <v/>
      </c>
      <c r="CC263" s="39" t="str">
        <f t="shared" si="156"/>
        <v/>
      </c>
      <c r="CD263" s="458" t="str">
        <f t="shared" si="157"/>
        <v/>
      </c>
      <c r="CE263" s="41" t="str">
        <f t="shared" si="158"/>
        <v/>
      </c>
      <c r="CF263" s="39" t="str">
        <f t="shared" si="159"/>
        <v/>
      </c>
      <c r="CG263" s="458" t="str">
        <f t="shared" si="160"/>
        <v/>
      </c>
      <c r="CH263" s="458" t="str">
        <f t="shared" si="161"/>
        <v/>
      </c>
      <c r="CI263" s="458" t="str">
        <f t="shared" si="162"/>
        <v/>
      </c>
      <c r="CJ263" s="458" t="str">
        <f t="shared" si="163"/>
        <v/>
      </c>
      <c r="CK263" s="40" t="str">
        <f t="shared" si="164"/>
        <v/>
      </c>
      <c r="CL263" s="40" t="str">
        <f t="shared" si="165"/>
        <v/>
      </c>
      <c r="CM263" s="40" t="str">
        <f t="shared" si="166"/>
        <v/>
      </c>
      <c r="CN263" s="39" t="str">
        <f t="shared" si="167"/>
        <v/>
      </c>
      <c r="CO263" s="458" t="str">
        <f t="shared" si="168"/>
        <v/>
      </c>
      <c r="CP263" s="458" t="str">
        <f t="shared" si="169"/>
        <v/>
      </c>
      <c r="CQ263" s="458" t="str">
        <f t="shared" si="170"/>
        <v/>
      </c>
      <c r="CR263" s="458" t="str">
        <f t="shared" si="171"/>
        <v/>
      </c>
      <c r="CS263" s="40" t="str">
        <f t="shared" si="172"/>
        <v/>
      </c>
      <c r="CT263" s="40" t="str">
        <f t="shared" si="173"/>
        <v/>
      </c>
      <c r="CU263" s="41" t="str">
        <f t="shared" si="174"/>
        <v/>
      </c>
    </row>
    <row r="264" spans="1:99" x14ac:dyDescent="0.2">
      <c r="A264" s="77">
        <f t="shared" si="175"/>
        <v>259</v>
      </c>
      <c r="B264" s="81"/>
      <c r="C264" s="82"/>
      <c r="D264" s="71"/>
      <c r="E264" s="72"/>
      <c r="F264" s="73"/>
      <c r="G264" s="443"/>
      <c r="H264" s="443"/>
      <c r="I264" s="74"/>
      <c r="J264" s="75"/>
      <c r="K264" s="41">
        <f t="shared" si="144"/>
        <v>3625</v>
      </c>
      <c r="L264" s="104"/>
      <c r="M264" s="105"/>
      <c r="N264" s="106">
        <f t="shared" si="145"/>
        <v>537.05999999999995</v>
      </c>
      <c r="O264" s="104"/>
      <c r="P264" s="105"/>
      <c r="Q264" s="106">
        <f t="shared" ref="Q264:Q327" si="177">Q263+O264-P264</f>
        <v>10045.83</v>
      </c>
      <c r="R264" s="104"/>
      <c r="S264" s="105"/>
      <c r="T264" s="106">
        <f t="shared" ref="T264:T327" si="178">T263+R264-S264</f>
        <v>0</v>
      </c>
      <c r="U264" s="439"/>
      <c r="V264" s="42">
        <f t="shared" si="146"/>
        <v>259</v>
      </c>
      <c r="W264" s="39" t="str">
        <f>IF(AND(E264='Povolené hodnoty'!$B$4,F264=2),I264+L264+O264+R264,"")</f>
        <v/>
      </c>
      <c r="X264" s="41" t="str">
        <f>IF(AND(E264='Povolené hodnoty'!$B$4,F264=1),I264+L264+O264+R264,"")</f>
        <v/>
      </c>
      <c r="Y264" s="39" t="str">
        <f>IF(AND(E264='Povolené hodnoty'!$B$4,F264=10),J264+M264+P264+S264,"")</f>
        <v/>
      </c>
      <c r="Z264" s="41" t="str">
        <f>IF(AND(E264='Povolené hodnoty'!$B$4,F264=9),J264+M264+P264+S264,"")</f>
        <v/>
      </c>
      <c r="AA264" s="39" t="str">
        <f>IF(AND(E264&lt;&gt;'Povolené hodnoty'!$B$4,F264=2),I264+L264+O264+R264,"")</f>
        <v/>
      </c>
      <c r="AB264" s="40" t="str">
        <f>IF(AND(E264&lt;&gt;'Povolené hodnoty'!$B$4,F264=3),I264+L264+O264+R264,"")</f>
        <v/>
      </c>
      <c r="AC264" s="40" t="str">
        <f>IF(AND(E264&lt;&gt;'Povolené hodnoty'!$B$4,F264=4),I264+L264+O264+R264,"")</f>
        <v/>
      </c>
      <c r="AD264" s="40" t="str">
        <f>IF(AND(E264&lt;&gt;'Povolené hodnoty'!$B$4,F264="5a"),I264-J264+L264-M264+O264-P264+R264-S264,"")</f>
        <v/>
      </c>
      <c r="AE264" s="40" t="str">
        <f>IF(AND(E264&lt;&gt;'Povolené hodnoty'!$B$4,F264="5b"),I264-J264+L264-M264+O264-P264+R264-S264,"")</f>
        <v/>
      </c>
      <c r="AF264" s="40" t="str">
        <f>IF(AND(E264&lt;&gt;'Povolené hodnoty'!$B$4,F264=6),I264+L264+O264+R264,"")</f>
        <v/>
      </c>
      <c r="AG264" s="41" t="str">
        <f>IF(AND(E264&lt;&gt;'Povolené hodnoty'!$B$4,F264=7),I264+L264+O264+R264,"")</f>
        <v/>
      </c>
      <c r="AH264" s="39" t="str">
        <f>IF(AND(E264&lt;&gt;'Povolené hodnoty'!$B$4,F264=10),J264+M264+P264+S264,"")</f>
        <v/>
      </c>
      <c r="AI264" s="40" t="str">
        <f>IF(AND(E264&lt;&gt;'Povolené hodnoty'!$B$4,F264=11),J264+M264+P264+S264,"")</f>
        <v/>
      </c>
      <c r="AJ264" s="40" t="str">
        <f>IF(AND(E264&lt;&gt;'Povolené hodnoty'!$B$4,F264=12),J264+M264+P264+S264,"")</f>
        <v/>
      </c>
      <c r="AK264" s="41" t="str">
        <f>IF(AND(E264&lt;&gt;'Povolené hodnoty'!$B$4,F264=13),J264+M264+P264+S264,"")</f>
        <v/>
      </c>
      <c r="AL264" s="39" t="str">
        <f>IF(AND($G264='Povolené hodnoty'!$B$13,$H264=AL$4),SUM($I264,$L264,$O264,$R264),"")</f>
        <v/>
      </c>
      <c r="AM264" s="458" t="str">
        <f>IF(AND($G264='Povolené hodnoty'!$B$13,$H264=AM$4),SUM($I264,$L264,$O264,$R264),"")</f>
        <v/>
      </c>
      <c r="AN264" s="458" t="str">
        <f>IF(AND($G264='Povolené hodnoty'!$B$13,$H264=AN$4),SUM($I264,$L264,$O264,$R264),"")</f>
        <v/>
      </c>
      <c r="AO264" s="458" t="str">
        <f>IF(AND($G264='Povolené hodnoty'!$B$13,$H264=AO$4),SUM($I264,$L264,$O264,$R264),"")</f>
        <v/>
      </c>
      <c r="AP264" s="458" t="str">
        <f>IF(AND($G264='Povolené hodnoty'!$B$13,$H264=AP$4),SUM($I264,$L264,$O264,$R264),"")</f>
        <v/>
      </c>
      <c r="AQ264" s="40" t="str">
        <f>IF(AND($G264='Povolené hodnoty'!$B$13,OR($H264=AQ$4,$H264='Povolené hodnoty'!$E$36)),SUM($I264,-$J264,$L264,-$M264,$O264,-$P264,$R264,-$S264),"")</f>
        <v/>
      </c>
      <c r="AR264" s="40" t="str">
        <f>IF(AND($G264='Povolené hodnoty'!$B$13,$H264=AR$4),SUM($I264,$L264,$O264,$R264),"")</f>
        <v/>
      </c>
      <c r="AS264" s="41" t="str">
        <f>IF(AND($G264='Povolené hodnoty'!$B$13,$H264=AS$4),SUM($I264,$L264,$O264,$R264),"")</f>
        <v/>
      </c>
      <c r="AT264" s="39" t="str">
        <f>IF(AND($G264='Povolené hodnoty'!$B$14,$H264=AT$4),SUM($I264,$L264,$O264,$R264),"")</f>
        <v/>
      </c>
      <c r="AU264" s="458" t="str">
        <f>IF(AND($G264='Povolené hodnoty'!$B$14,$H264=AU$4),SUM($I264,$L264,$O264,$R264),"")</f>
        <v/>
      </c>
      <c r="AV264" s="41" t="str">
        <f>IF(AND($G264='Povolené hodnoty'!$B$14,$H264=AV$4),SUM($I264,$L264,$O264,$R264),"")</f>
        <v/>
      </c>
      <c r="AW264" s="39" t="str">
        <f>IF(AND($G264='Povolené hodnoty'!$B$13,$H264=AW$4),SUM($J264,$M264,$P264,$S264),"")</f>
        <v/>
      </c>
      <c r="AX264" s="458" t="str">
        <f>IF(AND($G264='Povolené hodnoty'!$B$13,$H264=AX$4),SUM($J264,$M264,$P264,$S264),"")</f>
        <v/>
      </c>
      <c r="AY264" s="458" t="str">
        <f>IF(AND($G264='Povolené hodnoty'!$B$13,$H264=AY$4),SUM($J264,$M264,$P264,$S264),"")</f>
        <v/>
      </c>
      <c r="AZ264" s="458" t="str">
        <f>IF(AND($G264='Povolené hodnoty'!$B$13,$H264=AZ$4),SUM($J264,$M264,$P264,$S264),"")</f>
        <v/>
      </c>
      <c r="BA264" s="458" t="str">
        <f>IF(AND($G264='Povolené hodnoty'!$B$13,$H264=BA$4),SUM($J264,$M264,$P264,$S264),"")</f>
        <v/>
      </c>
      <c r="BB264" s="40" t="str">
        <f>IF(AND($G264='Povolené hodnoty'!$B$13,$H264=BB$4),SUM($J264,$M264,$P264,$S264),"")</f>
        <v/>
      </c>
      <c r="BC264" s="40" t="str">
        <f>IF(AND($G264='Povolené hodnoty'!$B$13,$H264=BC$4),SUM($J264,$M264,$P264,$S264),"")</f>
        <v/>
      </c>
      <c r="BD264" s="40" t="str">
        <f>IF(AND($G264='Povolené hodnoty'!$B$13,$H264=BD$4),SUM($J264,$M264,$P264,$S264),"")</f>
        <v/>
      </c>
      <c r="BE264" s="41" t="str">
        <f>IF(AND($G264='Povolené hodnoty'!$B$13,$H264=BE$4),SUM($J264,$M264,$P264,$S264),"")</f>
        <v/>
      </c>
      <c r="BF264" s="39" t="str">
        <f>IF(AND($G264='Povolené hodnoty'!$B$14,$H264=BF$4),SUM($J264,$M264,$P264,$S264),"")</f>
        <v/>
      </c>
      <c r="BG264" s="458" t="str">
        <f>IF(AND($G264='Povolené hodnoty'!$B$14,$H264=BG$4),SUM($J264,$M264,$P264,$S264),"")</f>
        <v/>
      </c>
      <c r="BH264" s="458" t="str">
        <f>IF(AND($G264='Povolené hodnoty'!$B$14,$H264=BH$4),SUM($J264,$M264,$P264,$S264),"")</f>
        <v/>
      </c>
      <c r="BI264" s="458" t="str">
        <f>IF(AND($G264='Povolené hodnoty'!$B$14,$H264=BI$4),SUM($J264,$M264,$P264,$S264),"")</f>
        <v/>
      </c>
      <c r="BJ264" s="458" t="str">
        <f>IF(AND($G264='Povolené hodnoty'!$B$14,$H264=BJ$4),SUM($J264,$M264,$P264,$S264),"")</f>
        <v/>
      </c>
      <c r="BK264" s="40" t="str">
        <f>IF(AND($G264='Povolené hodnoty'!$B$14,$H264=BK$4),SUM($J264,$M264,$P264,$S264),"")</f>
        <v/>
      </c>
      <c r="BL264" s="40" t="str">
        <f>IF(AND($G264='Povolené hodnoty'!$B$14,$H264=BL$4),SUM($J264,$M264,$P264,$S264),"")</f>
        <v/>
      </c>
      <c r="BM264" s="41" t="str">
        <f>IF(AND($G264='Povolené hodnoty'!$B$14,$H264=BM$4),SUM($J264,$M264,$P264,$S264),"")</f>
        <v/>
      </c>
      <c r="BO264" s="18" t="b">
        <f t="shared" si="176"/>
        <v>0</v>
      </c>
      <c r="BP264" s="18" t="b">
        <f t="shared" si="147"/>
        <v>0</v>
      </c>
      <c r="BQ264" s="18" t="b">
        <f>AND(E264&lt;&gt;'Povolené hodnoty'!$B$6,F264&lt;&gt;'Povolené hodnoty'!$D$7,F264&lt;&gt;'Povolené hodnoty'!$D$8,OR(SUM(I264,L264,O264,R264)&lt;&gt;SUM(W264:X264,AA264:AG264),SUM(J264,M264,P264,S264)&lt;&gt;SUM(Y264:Z264,AH264:AK264),COUNT(I264:J264,L264:M264,O264:P264,R264:S264)&lt;&gt;COUNT(W264:AK264)))</f>
        <v>0</v>
      </c>
      <c r="BR264" s="18" t="b">
        <f>OR(AND(E264='Povolené hodnoty'!$B$6,$BR$5),AND(E264='Povolené hodnoty'!$B$6,H264&lt;&gt;'Povolené hodnoty'!$E$26,H264&lt;&gt;'Povolené hodnoty'!$E$35),AND(E264&lt;&gt;'Povolené hodnoty'!$B$6,OR(H264='Povolené hodnoty'!$E$26,H264='Povolené hodnoty'!$E$35)))</f>
        <v>0</v>
      </c>
      <c r="BS264" s="18" t="b">
        <f>OR(AND(G264&lt;&gt;'Povolené hodnoty'!$B$13,OR(H264='Povolené hodnoty'!$E$21,H264='Povolené hodnoty'!$E$22,H264='Povolené hodnoty'!$E$23,H264='Povolené hodnoty'!$E$24,H264='Povolené hodnoty'!$E$26,H264='Povolené hodnoty'!$E$36)),COUNT(I264:J264,L264:M264,O264:P264,R264:S264)&lt;&gt;COUNT(AL264:BM264))</f>
        <v>0</v>
      </c>
      <c r="BT264" s="18" t="b">
        <f t="shared" si="148"/>
        <v>0</v>
      </c>
      <c r="BV264" s="39" t="str">
        <f t="shared" si="149"/>
        <v/>
      </c>
      <c r="BW264" s="458" t="str">
        <f t="shared" si="150"/>
        <v/>
      </c>
      <c r="BX264" s="458" t="str">
        <f t="shared" si="151"/>
        <v/>
      </c>
      <c r="BY264" s="458" t="str">
        <f t="shared" si="152"/>
        <v/>
      </c>
      <c r="BZ264" s="458" t="str">
        <f t="shared" si="153"/>
        <v/>
      </c>
      <c r="CA264" s="40" t="str">
        <f t="shared" si="154"/>
        <v/>
      </c>
      <c r="CB264" s="40" t="str">
        <f t="shared" si="155"/>
        <v/>
      </c>
      <c r="CC264" s="39" t="str">
        <f t="shared" si="156"/>
        <v/>
      </c>
      <c r="CD264" s="458" t="str">
        <f t="shared" si="157"/>
        <v/>
      </c>
      <c r="CE264" s="41" t="str">
        <f t="shared" si="158"/>
        <v/>
      </c>
      <c r="CF264" s="39" t="str">
        <f t="shared" si="159"/>
        <v/>
      </c>
      <c r="CG264" s="458" t="str">
        <f t="shared" si="160"/>
        <v/>
      </c>
      <c r="CH264" s="458" t="str">
        <f t="shared" si="161"/>
        <v/>
      </c>
      <c r="CI264" s="458" t="str">
        <f t="shared" si="162"/>
        <v/>
      </c>
      <c r="CJ264" s="458" t="str">
        <f t="shared" si="163"/>
        <v/>
      </c>
      <c r="CK264" s="40" t="str">
        <f t="shared" si="164"/>
        <v/>
      </c>
      <c r="CL264" s="40" t="str">
        <f t="shared" si="165"/>
        <v/>
      </c>
      <c r="CM264" s="40" t="str">
        <f t="shared" si="166"/>
        <v/>
      </c>
      <c r="CN264" s="39" t="str">
        <f t="shared" si="167"/>
        <v/>
      </c>
      <c r="CO264" s="458" t="str">
        <f t="shared" si="168"/>
        <v/>
      </c>
      <c r="CP264" s="458" t="str">
        <f t="shared" si="169"/>
        <v/>
      </c>
      <c r="CQ264" s="458" t="str">
        <f t="shared" si="170"/>
        <v/>
      </c>
      <c r="CR264" s="458" t="str">
        <f t="shared" si="171"/>
        <v/>
      </c>
      <c r="CS264" s="40" t="str">
        <f t="shared" si="172"/>
        <v/>
      </c>
      <c r="CT264" s="40" t="str">
        <f t="shared" si="173"/>
        <v/>
      </c>
      <c r="CU264" s="41" t="str">
        <f t="shared" si="174"/>
        <v/>
      </c>
    </row>
    <row r="265" spans="1:99" x14ac:dyDescent="0.2">
      <c r="A265" s="77">
        <f t="shared" si="175"/>
        <v>260</v>
      </c>
      <c r="B265" s="81"/>
      <c r="C265" s="82"/>
      <c r="D265" s="71"/>
      <c r="E265" s="72"/>
      <c r="F265" s="73"/>
      <c r="G265" s="443"/>
      <c r="H265" s="443"/>
      <c r="I265" s="74"/>
      <c r="J265" s="75"/>
      <c r="K265" s="41">
        <f t="shared" si="144"/>
        <v>3625</v>
      </c>
      <c r="L265" s="104"/>
      <c r="M265" s="105"/>
      <c r="N265" s="106">
        <f t="shared" si="145"/>
        <v>537.05999999999995</v>
      </c>
      <c r="O265" s="104"/>
      <c r="P265" s="105"/>
      <c r="Q265" s="106">
        <f t="shared" si="177"/>
        <v>10045.83</v>
      </c>
      <c r="R265" s="104"/>
      <c r="S265" s="105"/>
      <c r="T265" s="106">
        <f t="shared" si="178"/>
        <v>0</v>
      </c>
      <c r="U265" s="439"/>
      <c r="V265" s="42">
        <f t="shared" si="146"/>
        <v>260</v>
      </c>
      <c r="W265" s="39" t="str">
        <f>IF(AND(E265='Povolené hodnoty'!$B$4,F265=2),I265+L265+O265+R265,"")</f>
        <v/>
      </c>
      <c r="X265" s="41" t="str">
        <f>IF(AND(E265='Povolené hodnoty'!$B$4,F265=1),I265+L265+O265+R265,"")</f>
        <v/>
      </c>
      <c r="Y265" s="39" t="str">
        <f>IF(AND(E265='Povolené hodnoty'!$B$4,F265=10),J265+M265+P265+S265,"")</f>
        <v/>
      </c>
      <c r="Z265" s="41" t="str">
        <f>IF(AND(E265='Povolené hodnoty'!$B$4,F265=9),J265+M265+P265+S265,"")</f>
        <v/>
      </c>
      <c r="AA265" s="39" t="str">
        <f>IF(AND(E265&lt;&gt;'Povolené hodnoty'!$B$4,F265=2),I265+L265+O265+R265,"")</f>
        <v/>
      </c>
      <c r="AB265" s="40" t="str">
        <f>IF(AND(E265&lt;&gt;'Povolené hodnoty'!$B$4,F265=3),I265+L265+O265+R265,"")</f>
        <v/>
      </c>
      <c r="AC265" s="40" t="str">
        <f>IF(AND(E265&lt;&gt;'Povolené hodnoty'!$B$4,F265=4),I265+L265+O265+R265,"")</f>
        <v/>
      </c>
      <c r="AD265" s="40" t="str">
        <f>IF(AND(E265&lt;&gt;'Povolené hodnoty'!$B$4,F265="5a"),I265-J265+L265-M265+O265-P265+R265-S265,"")</f>
        <v/>
      </c>
      <c r="AE265" s="40" t="str">
        <f>IF(AND(E265&lt;&gt;'Povolené hodnoty'!$B$4,F265="5b"),I265-J265+L265-M265+O265-P265+R265-S265,"")</f>
        <v/>
      </c>
      <c r="AF265" s="40" t="str">
        <f>IF(AND(E265&lt;&gt;'Povolené hodnoty'!$B$4,F265=6),I265+L265+O265+R265,"")</f>
        <v/>
      </c>
      <c r="AG265" s="41" t="str">
        <f>IF(AND(E265&lt;&gt;'Povolené hodnoty'!$B$4,F265=7),I265+L265+O265+R265,"")</f>
        <v/>
      </c>
      <c r="AH265" s="39" t="str">
        <f>IF(AND(E265&lt;&gt;'Povolené hodnoty'!$B$4,F265=10),J265+M265+P265+S265,"")</f>
        <v/>
      </c>
      <c r="AI265" s="40" t="str">
        <f>IF(AND(E265&lt;&gt;'Povolené hodnoty'!$B$4,F265=11),J265+M265+P265+S265,"")</f>
        <v/>
      </c>
      <c r="AJ265" s="40" t="str">
        <f>IF(AND(E265&lt;&gt;'Povolené hodnoty'!$B$4,F265=12),J265+M265+P265+S265,"")</f>
        <v/>
      </c>
      <c r="AK265" s="41" t="str">
        <f>IF(AND(E265&lt;&gt;'Povolené hodnoty'!$B$4,F265=13),J265+M265+P265+S265,"")</f>
        <v/>
      </c>
      <c r="AL265" s="39" t="str">
        <f>IF(AND($G265='Povolené hodnoty'!$B$13,$H265=AL$4),SUM($I265,$L265,$O265,$R265),"")</f>
        <v/>
      </c>
      <c r="AM265" s="458" t="str">
        <f>IF(AND($G265='Povolené hodnoty'!$B$13,$H265=AM$4),SUM($I265,$L265,$O265,$R265),"")</f>
        <v/>
      </c>
      <c r="AN265" s="458" t="str">
        <f>IF(AND($G265='Povolené hodnoty'!$B$13,$H265=AN$4),SUM($I265,$L265,$O265,$R265),"")</f>
        <v/>
      </c>
      <c r="AO265" s="458" t="str">
        <f>IF(AND($G265='Povolené hodnoty'!$B$13,$H265=AO$4),SUM($I265,$L265,$O265,$R265),"")</f>
        <v/>
      </c>
      <c r="AP265" s="458" t="str">
        <f>IF(AND($G265='Povolené hodnoty'!$B$13,$H265=AP$4),SUM($I265,$L265,$O265,$R265),"")</f>
        <v/>
      </c>
      <c r="AQ265" s="40" t="str">
        <f>IF(AND($G265='Povolené hodnoty'!$B$13,OR($H265=AQ$4,$H265='Povolené hodnoty'!$E$36)),SUM($I265,-$J265,$L265,-$M265,$O265,-$P265,$R265,-$S265),"")</f>
        <v/>
      </c>
      <c r="AR265" s="40" t="str">
        <f>IF(AND($G265='Povolené hodnoty'!$B$13,$H265=AR$4),SUM($I265,$L265,$O265,$R265),"")</f>
        <v/>
      </c>
      <c r="AS265" s="41" t="str">
        <f>IF(AND($G265='Povolené hodnoty'!$B$13,$H265=AS$4),SUM($I265,$L265,$O265,$R265),"")</f>
        <v/>
      </c>
      <c r="AT265" s="39" t="str">
        <f>IF(AND($G265='Povolené hodnoty'!$B$14,$H265=AT$4),SUM($I265,$L265,$O265,$R265),"")</f>
        <v/>
      </c>
      <c r="AU265" s="458" t="str">
        <f>IF(AND($G265='Povolené hodnoty'!$B$14,$H265=AU$4),SUM($I265,$L265,$O265,$R265),"")</f>
        <v/>
      </c>
      <c r="AV265" s="41" t="str">
        <f>IF(AND($G265='Povolené hodnoty'!$B$14,$H265=AV$4),SUM($I265,$L265,$O265,$R265),"")</f>
        <v/>
      </c>
      <c r="AW265" s="39" t="str">
        <f>IF(AND($G265='Povolené hodnoty'!$B$13,$H265=AW$4),SUM($J265,$M265,$P265,$S265),"")</f>
        <v/>
      </c>
      <c r="AX265" s="458" t="str">
        <f>IF(AND($G265='Povolené hodnoty'!$B$13,$H265=AX$4),SUM($J265,$M265,$P265,$S265),"")</f>
        <v/>
      </c>
      <c r="AY265" s="458" t="str">
        <f>IF(AND($G265='Povolené hodnoty'!$B$13,$H265=AY$4),SUM($J265,$M265,$P265,$S265),"")</f>
        <v/>
      </c>
      <c r="AZ265" s="458" t="str">
        <f>IF(AND($G265='Povolené hodnoty'!$B$13,$H265=AZ$4),SUM($J265,$M265,$P265,$S265),"")</f>
        <v/>
      </c>
      <c r="BA265" s="458" t="str">
        <f>IF(AND($G265='Povolené hodnoty'!$B$13,$H265=BA$4),SUM($J265,$M265,$P265,$S265),"")</f>
        <v/>
      </c>
      <c r="BB265" s="40" t="str">
        <f>IF(AND($G265='Povolené hodnoty'!$B$13,$H265=BB$4),SUM($J265,$M265,$P265,$S265),"")</f>
        <v/>
      </c>
      <c r="BC265" s="40" t="str">
        <f>IF(AND($G265='Povolené hodnoty'!$B$13,$H265=BC$4),SUM($J265,$M265,$P265,$S265),"")</f>
        <v/>
      </c>
      <c r="BD265" s="40" t="str">
        <f>IF(AND($G265='Povolené hodnoty'!$B$13,$H265=BD$4),SUM($J265,$M265,$P265,$S265),"")</f>
        <v/>
      </c>
      <c r="BE265" s="41" t="str">
        <f>IF(AND($G265='Povolené hodnoty'!$B$13,$H265=BE$4),SUM($J265,$M265,$P265,$S265),"")</f>
        <v/>
      </c>
      <c r="BF265" s="39" t="str">
        <f>IF(AND($G265='Povolené hodnoty'!$B$14,$H265=BF$4),SUM($J265,$M265,$P265,$S265),"")</f>
        <v/>
      </c>
      <c r="BG265" s="458" t="str">
        <f>IF(AND($G265='Povolené hodnoty'!$B$14,$H265=BG$4),SUM($J265,$M265,$P265,$S265),"")</f>
        <v/>
      </c>
      <c r="BH265" s="458" t="str">
        <f>IF(AND($G265='Povolené hodnoty'!$B$14,$H265=BH$4),SUM($J265,$M265,$P265,$S265),"")</f>
        <v/>
      </c>
      <c r="BI265" s="458" t="str">
        <f>IF(AND($G265='Povolené hodnoty'!$B$14,$H265=BI$4),SUM($J265,$M265,$P265,$S265),"")</f>
        <v/>
      </c>
      <c r="BJ265" s="458" t="str">
        <f>IF(AND($G265='Povolené hodnoty'!$B$14,$H265=BJ$4),SUM($J265,$M265,$P265,$S265),"")</f>
        <v/>
      </c>
      <c r="BK265" s="40" t="str">
        <f>IF(AND($G265='Povolené hodnoty'!$B$14,$H265=BK$4),SUM($J265,$M265,$P265,$S265),"")</f>
        <v/>
      </c>
      <c r="BL265" s="40" t="str">
        <f>IF(AND($G265='Povolené hodnoty'!$B$14,$H265=BL$4),SUM($J265,$M265,$P265,$S265),"")</f>
        <v/>
      </c>
      <c r="BM265" s="41" t="str">
        <f>IF(AND($G265='Povolené hodnoty'!$B$14,$H265=BM$4),SUM($J265,$M265,$P265,$S265),"")</f>
        <v/>
      </c>
      <c r="BO265" s="18" t="b">
        <f t="shared" si="176"/>
        <v>0</v>
      </c>
      <c r="BP265" s="18" t="b">
        <f t="shared" si="147"/>
        <v>0</v>
      </c>
      <c r="BQ265" s="18" t="b">
        <f>AND(E265&lt;&gt;'Povolené hodnoty'!$B$6,F265&lt;&gt;'Povolené hodnoty'!$D$7,F265&lt;&gt;'Povolené hodnoty'!$D$8,OR(SUM(I265,L265,O265,R265)&lt;&gt;SUM(W265:X265,AA265:AG265),SUM(J265,M265,P265,S265)&lt;&gt;SUM(Y265:Z265,AH265:AK265),COUNT(I265:J265,L265:M265,O265:P265,R265:S265)&lt;&gt;COUNT(W265:AK265)))</f>
        <v>0</v>
      </c>
      <c r="BR265" s="18" t="b">
        <f>OR(AND(E265='Povolené hodnoty'!$B$6,$BR$5),AND(E265='Povolené hodnoty'!$B$6,H265&lt;&gt;'Povolené hodnoty'!$E$26,H265&lt;&gt;'Povolené hodnoty'!$E$35),AND(E265&lt;&gt;'Povolené hodnoty'!$B$6,OR(H265='Povolené hodnoty'!$E$26,H265='Povolené hodnoty'!$E$35)))</f>
        <v>0</v>
      </c>
      <c r="BS265" s="18" t="b">
        <f>OR(AND(G265&lt;&gt;'Povolené hodnoty'!$B$13,OR(H265='Povolené hodnoty'!$E$21,H265='Povolené hodnoty'!$E$22,H265='Povolené hodnoty'!$E$23,H265='Povolené hodnoty'!$E$24,H265='Povolené hodnoty'!$E$26,H265='Povolené hodnoty'!$E$36)),COUNT(I265:J265,L265:M265,O265:P265,R265:S265)&lt;&gt;COUNT(AL265:BM265))</f>
        <v>0</v>
      </c>
      <c r="BT265" s="18" t="b">
        <f t="shared" si="148"/>
        <v>0</v>
      </c>
      <c r="BV265" s="39" t="str">
        <f t="shared" si="149"/>
        <v/>
      </c>
      <c r="BW265" s="458" t="str">
        <f t="shared" si="150"/>
        <v/>
      </c>
      <c r="BX265" s="458" t="str">
        <f t="shared" si="151"/>
        <v/>
      </c>
      <c r="BY265" s="458" t="str">
        <f t="shared" si="152"/>
        <v/>
      </c>
      <c r="BZ265" s="458" t="str">
        <f t="shared" si="153"/>
        <v/>
      </c>
      <c r="CA265" s="40" t="str">
        <f t="shared" si="154"/>
        <v/>
      </c>
      <c r="CB265" s="40" t="str">
        <f t="shared" si="155"/>
        <v/>
      </c>
      <c r="CC265" s="39" t="str">
        <f t="shared" si="156"/>
        <v/>
      </c>
      <c r="CD265" s="458" t="str">
        <f t="shared" si="157"/>
        <v/>
      </c>
      <c r="CE265" s="41" t="str">
        <f t="shared" si="158"/>
        <v/>
      </c>
      <c r="CF265" s="39" t="str">
        <f t="shared" si="159"/>
        <v/>
      </c>
      <c r="CG265" s="458" t="str">
        <f t="shared" si="160"/>
        <v/>
      </c>
      <c r="CH265" s="458" t="str">
        <f t="shared" si="161"/>
        <v/>
      </c>
      <c r="CI265" s="458" t="str">
        <f t="shared" si="162"/>
        <v/>
      </c>
      <c r="CJ265" s="458" t="str">
        <f t="shared" si="163"/>
        <v/>
      </c>
      <c r="CK265" s="40" t="str">
        <f t="shared" si="164"/>
        <v/>
      </c>
      <c r="CL265" s="40" t="str">
        <f t="shared" si="165"/>
        <v/>
      </c>
      <c r="CM265" s="40" t="str">
        <f t="shared" si="166"/>
        <v/>
      </c>
      <c r="CN265" s="39" t="str">
        <f t="shared" si="167"/>
        <v/>
      </c>
      <c r="CO265" s="458" t="str">
        <f t="shared" si="168"/>
        <v/>
      </c>
      <c r="CP265" s="458" t="str">
        <f t="shared" si="169"/>
        <v/>
      </c>
      <c r="CQ265" s="458" t="str">
        <f t="shared" si="170"/>
        <v/>
      </c>
      <c r="CR265" s="458" t="str">
        <f t="shared" si="171"/>
        <v/>
      </c>
      <c r="CS265" s="40" t="str">
        <f t="shared" si="172"/>
        <v/>
      </c>
      <c r="CT265" s="40" t="str">
        <f t="shared" si="173"/>
        <v/>
      </c>
      <c r="CU265" s="41" t="str">
        <f t="shared" si="174"/>
        <v/>
      </c>
    </row>
    <row r="266" spans="1:99" x14ac:dyDescent="0.2">
      <c r="A266" s="77">
        <f t="shared" si="175"/>
        <v>261</v>
      </c>
      <c r="B266" s="81"/>
      <c r="C266" s="82"/>
      <c r="D266" s="71"/>
      <c r="E266" s="72"/>
      <c r="F266" s="73"/>
      <c r="G266" s="443"/>
      <c r="H266" s="443"/>
      <c r="I266" s="74"/>
      <c r="J266" s="75"/>
      <c r="K266" s="41">
        <f t="shared" si="144"/>
        <v>3625</v>
      </c>
      <c r="L266" s="104"/>
      <c r="M266" s="105"/>
      <c r="N266" s="106">
        <f t="shared" si="145"/>
        <v>537.05999999999995</v>
      </c>
      <c r="O266" s="104"/>
      <c r="P266" s="105"/>
      <c r="Q266" s="106">
        <f t="shared" si="177"/>
        <v>10045.83</v>
      </c>
      <c r="R266" s="104"/>
      <c r="S266" s="105"/>
      <c r="T266" s="106">
        <f t="shared" si="178"/>
        <v>0</v>
      </c>
      <c r="U266" s="439"/>
      <c r="V266" s="42">
        <f t="shared" si="146"/>
        <v>261</v>
      </c>
      <c r="W266" s="39" t="str">
        <f>IF(AND(E266='Povolené hodnoty'!$B$4,F266=2),I266+L266+O266+R266,"")</f>
        <v/>
      </c>
      <c r="X266" s="41" t="str">
        <f>IF(AND(E266='Povolené hodnoty'!$B$4,F266=1),I266+L266+O266+R266,"")</f>
        <v/>
      </c>
      <c r="Y266" s="39" t="str">
        <f>IF(AND(E266='Povolené hodnoty'!$B$4,F266=10),J266+M266+P266+S266,"")</f>
        <v/>
      </c>
      <c r="Z266" s="41" t="str">
        <f>IF(AND(E266='Povolené hodnoty'!$B$4,F266=9),J266+M266+P266+S266,"")</f>
        <v/>
      </c>
      <c r="AA266" s="39" t="str">
        <f>IF(AND(E266&lt;&gt;'Povolené hodnoty'!$B$4,F266=2),I266+L266+O266+R266,"")</f>
        <v/>
      </c>
      <c r="AB266" s="40" t="str">
        <f>IF(AND(E266&lt;&gt;'Povolené hodnoty'!$B$4,F266=3),I266+L266+O266+R266,"")</f>
        <v/>
      </c>
      <c r="AC266" s="40" t="str">
        <f>IF(AND(E266&lt;&gt;'Povolené hodnoty'!$B$4,F266=4),I266+L266+O266+R266,"")</f>
        <v/>
      </c>
      <c r="AD266" s="40" t="str">
        <f>IF(AND(E266&lt;&gt;'Povolené hodnoty'!$B$4,F266="5a"),I266-J266+L266-M266+O266-P266+R266-S266,"")</f>
        <v/>
      </c>
      <c r="AE266" s="40" t="str">
        <f>IF(AND(E266&lt;&gt;'Povolené hodnoty'!$B$4,F266="5b"),I266-J266+L266-M266+O266-P266+R266-S266,"")</f>
        <v/>
      </c>
      <c r="AF266" s="40" t="str">
        <f>IF(AND(E266&lt;&gt;'Povolené hodnoty'!$B$4,F266=6),I266+L266+O266+R266,"")</f>
        <v/>
      </c>
      <c r="AG266" s="41" t="str">
        <f>IF(AND(E266&lt;&gt;'Povolené hodnoty'!$B$4,F266=7),I266+L266+O266+R266,"")</f>
        <v/>
      </c>
      <c r="AH266" s="39" t="str">
        <f>IF(AND(E266&lt;&gt;'Povolené hodnoty'!$B$4,F266=10),J266+M266+P266+S266,"")</f>
        <v/>
      </c>
      <c r="AI266" s="40" t="str">
        <f>IF(AND(E266&lt;&gt;'Povolené hodnoty'!$B$4,F266=11),J266+M266+P266+S266,"")</f>
        <v/>
      </c>
      <c r="AJ266" s="40" t="str">
        <f>IF(AND(E266&lt;&gt;'Povolené hodnoty'!$B$4,F266=12),J266+M266+P266+S266,"")</f>
        <v/>
      </c>
      <c r="AK266" s="41" t="str">
        <f>IF(AND(E266&lt;&gt;'Povolené hodnoty'!$B$4,F266=13),J266+M266+P266+S266,"")</f>
        <v/>
      </c>
      <c r="AL266" s="39" t="str">
        <f>IF(AND($G266='Povolené hodnoty'!$B$13,$H266=AL$4),SUM($I266,$L266,$O266,$R266),"")</f>
        <v/>
      </c>
      <c r="AM266" s="458" t="str">
        <f>IF(AND($G266='Povolené hodnoty'!$B$13,$H266=AM$4),SUM($I266,$L266,$O266,$R266),"")</f>
        <v/>
      </c>
      <c r="AN266" s="458" t="str">
        <f>IF(AND($G266='Povolené hodnoty'!$B$13,$H266=AN$4),SUM($I266,$L266,$O266,$R266),"")</f>
        <v/>
      </c>
      <c r="AO266" s="458" t="str">
        <f>IF(AND($G266='Povolené hodnoty'!$B$13,$H266=AO$4),SUM($I266,$L266,$O266,$R266),"")</f>
        <v/>
      </c>
      <c r="AP266" s="458" t="str">
        <f>IF(AND($G266='Povolené hodnoty'!$B$13,$H266=AP$4),SUM($I266,$L266,$O266,$R266),"")</f>
        <v/>
      </c>
      <c r="AQ266" s="40" t="str">
        <f>IF(AND($G266='Povolené hodnoty'!$B$13,OR($H266=AQ$4,$H266='Povolené hodnoty'!$E$36)),SUM($I266,-$J266,$L266,-$M266,$O266,-$P266,$R266,-$S266),"")</f>
        <v/>
      </c>
      <c r="AR266" s="40" t="str">
        <f>IF(AND($G266='Povolené hodnoty'!$B$13,$H266=AR$4),SUM($I266,$L266,$O266,$R266),"")</f>
        <v/>
      </c>
      <c r="AS266" s="41" t="str">
        <f>IF(AND($G266='Povolené hodnoty'!$B$13,$H266=AS$4),SUM($I266,$L266,$O266,$R266),"")</f>
        <v/>
      </c>
      <c r="AT266" s="39" t="str">
        <f>IF(AND($G266='Povolené hodnoty'!$B$14,$H266=AT$4),SUM($I266,$L266,$O266,$R266),"")</f>
        <v/>
      </c>
      <c r="AU266" s="458" t="str">
        <f>IF(AND($G266='Povolené hodnoty'!$B$14,$H266=AU$4),SUM($I266,$L266,$O266,$R266),"")</f>
        <v/>
      </c>
      <c r="AV266" s="41" t="str">
        <f>IF(AND($G266='Povolené hodnoty'!$B$14,$H266=AV$4),SUM($I266,$L266,$O266,$R266),"")</f>
        <v/>
      </c>
      <c r="AW266" s="39" t="str">
        <f>IF(AND($G266='Povolené hodnoty'!$B$13,$H266=AW$4),SUM($J266,$M266,$P266,$S266),"")</f>
        <v/>
      </c>
      <c r="AX266" s="458" t="str">
        <f>IF(AND($G266='Povolené hodnoty'!$B$13,$H266=AX$4),SUM($J266,$M266,$P266,$S266),"")</f>
        <v/>
      </c>
      <c r="AY266" s="458" t="str">
        <f>IF(AND($G266='Povolené hodnoty'!$B$13,$H266=AY$4),SUM($J266,$M266,$P266,$S266),"")</f>
        <v/>
      </c>
      <c r="AZ266" s="458" t="str">
        <f>IF(AND($G266='Povolené hodnoty'!$B$13,$H266=AZ$4),SUM($J266,$M266,$P266,$S266),"")</f>
        <v/>
      </c>
      <c r="BA266" s="458" t="str">
        <f>IF(AND($G266='Povolené hodnoty'!$B$13,$H266=BA$4),SUM($J266,$M266,$P266,$S266),"")</f>
        <v/>
      </c>
      <c r="BB266" s="40" t="str">
        <f>IF(AND($G266='Povolené hodnoty'!$B$13,$H266=BB$4),SUM($J266,$M266,$P266,$S266),"")</f>
        <v/>
      </c>
      <c r="BC266" s="40" t="str">
        <f>IF(AND($G266='Povolené hodnoty'!$B$13,$H266=BC$4),SUM($J266,$M266,$P266,$S266),"")</f>
        <v/>
      </c>
      <c r="BD266" s="40" t="str">
        <f>IF(AND($G266='Povolené hodnoty'!$B$13,$H266=BD$4),SUM($J266,$M266,$P266,$S266),"")</f>
        <v/>
      </c>
      <c r="BE266" s="41" t="str">
        <f>IF(AND($G266='Povolené hodnoty'!$B$13,$H266=BE$4),SUM($J266,$M266,$P266,$S266),"")</f>
        <v/>
      </c>
      <c r="BF266" s="39" t="str">
        <f>IF(AND($G266='Povolené hodnoty'!$B$14,$H266=BF$4),SUM($J266,$M266,$P266,$S266),"")</f>
        <v/>
      </c>
      <c r="BG266" s="458" t="str">
        <f>IF(AND($G266='Povolené hodnoty'!$B$14,$H266=BG$4),SUM($J266,$M266,$P266,$S266),"")</f>
        <v/>
      </c>
      <c r="BH266" s="458" t="str">
        <f>IF(AND($G266='Povolené hodnoty'!$B$14,$H266=BH$4),SUM($J266,$M266,$P266,$S266),"")</f>
        <v/>
      </c>
      <c r="BI266" s="458" t="str">
        <f>IF(AND($G266='Povolené hodnoty'!$B$14,$H266=BI$4),SUM($J266,$M266,$P266,$S266),"")</f>
        <v/>
      </c>
      <c r="BJ266" s="458" t="str">
        <f>IF(AND($G266='Povolené hodnoty'!$B$14,$H266=BJ$4),SUM($J266,$M266,$P266,$S266),"")</f>
        <v/>
      </c>
      <c r="BK266" s="40" t="str">
        <f>IF(AND($G266='Povolené hodnoty'!$B$14,$H266=BK$4),SUM($J266,$M266,$P266,$S266),"")</f>
        <v/>
      </c>
      <c r="BL266" s="40" t="str">
        <f>IF(AND($G266='Povolené hodnoty'!$B$14,$H266=BL$4),SUM($J266,$M266,$P266,$S266),"")</f>
        <v/>
      </c>
      <c r="BM266" s="41" t="str">
        <f>IF(AND($G266='Povolené hodnoty'!$B$14,$H266=BM$4),SUM($J266,$M266,$P266,$S266),"")</f>
        <v/>
      </c>
      <c r="BO266" s="18" t="b">
        <f t="shared" si="176"/>
        <v>0</v>
      </c>
      <c r="BP266" s="18" t="b">
        <f t="shared" si="147"/>
        <v>0</v>
      </c>
      <c r="BQ266" s="18" t="b">
        <f>AND(E266&lt;&gt;'Povolené hodnoty'!$B$6,F266&lt;&gt;'Povolené hodnoty'!$D$7,F266&lt;&gt;'Povolené hodnoty'!$D$8,OR(SUM(I266,L266,O266,R266)&lt;&gt;SUM(W266:X266,AA266:AG266),SUM(J266,M266,P266,S266)&lt;&gt;SUM(Y266:Z266,AH266:AK266),COUNT(I266:J266,L266:M266,O266:P266,R266:S266)&lt;&gt;COUNT(W266:AK266)))</f>
        <v>0</v>
      </c>
      <c r="BR266" s="18" t="b">
        <f>OR(AND(E266='Povolené hodnoty'!$B$6,$BR$5),AND(E266='Povolené hodnoty'!$B$6,H266&lt;&gt;'Povolené hodnoty'!$E$26,H266&lt;&gt;'Povolené hodnoty'!$E$35),AND(E266&lt;&gt;'Povolené hodnoty'!$B$6,OR(H266='Povolené hodnoty'!$E$26,H266='Povolené hodnoty'!$E$35)))</f>
        <v>0</v>
      </c>
      <c r="BS266" s="18" t="b">
        <f>OR(AND(G266&lt;&gt;'Povolené hodnoty'!$B$13,OR(H266='Povolené hodnoty'!$E$21,H266='Povolené hodnoty'!$E$22,H266='Povolené hodnoty'!$E$23,H266='Povolené hodnoty'!$E$24,H266='Povolené hodnoty'!$E$26,H266='Povolené hodnoty'!$E$36)),COUNT(I266:J266,L266:M266,O266:P266,R266:S266)&lt;&gt;COUNT(AL266:BM266))</f>
        <v>0</v>
      </c>
      <c r="BT266" s="18" t="b">
        <f t="shared" si="148"/>
        <v>0</v>
      </c>
      <c r="BV266" s="39" t="str">
        <f t="shared" si="149"/>
        <v/>
      </c>
      <c r="BW266" s="458" t="str">
        <f t="shared" si="150"/>
        <v/>
      </c>
      <c r="BX266" s="458" t="str">
        <f t="shared" si="151"/>
        <v/>
      </c>
      <c r="BY266" s="458" t="str">
        <f t="shared" si="152"/>
        <v/>
      </c>
      <c r="BZ266" s="458" t="str">
        <f t="shared" si="153"/>
        <v/>
      </c>
      <c r="CA266" s="40" t="str">
        <f t="shared" si="154"/>
        <v/>
      </c>
      <c r="CB266" s="40" t="str">
        <f t="shared" si="155"/>
        <v/>
      </c>
      <c r="CC266" s="39" t="str">
        <f t="shared" si="156"/>
        <v/>
      </c>
      <c r="CD266" s="458" t="str">
        <f t="shared" si="157"/>
        <v/>
      </c>
      <c r="CE266" s="41" t="str">
        <f t="shared" si="158"/>
        <v/>
      </c>
      <c r="CF266" s="39" t="str">
        <f t="shared" si="159"/>
        <v/>
      </c>
      <c r="CG266" s="458" t="str">
        <f t="shared" si="160"/>
        <v/>
      </c>
      <c r="CH266" s="458" t="str">
        <f t="shared" si="161"/>
        <v/>
      </c>
      <c r="CI266" s="458" t="str">
        <f t="shared" si="162"/>
        <v/>
      </c>
      <c r="CJ266" s="458" t="str">
        <f t="shared" si="163"/>
        <v/>
      </c>
      <c r="CK266" s="40" t="str">
        <f t="shared" si="164"/>
        <v/>
      </c>
      <c r="CL266" s="40" t="str">
        <f t="shared" si="165"/>
        <v/>
      </c>
      <c r="CM266" s="40" t="str">
        <f t="shared" si="166"/>
        <v/>
      </c>
      <c r="CN266" s="39" t="str">
        <f t="shared" si="167"/>
        <v/>
      </c>
      <c r="CO266" s="458" t="str">
        <f t="shared" si="168"/>
        <v/>
      </c>
      <c r="CP266" s="458" t="str">
        <f t="shared" si="169"/>
        <v/>
      </c>
      <c r="CQ266" s="458" t="str">
        <f t="shared" si="170"/>
        <v/>
      </c>
      <c r="CR266" s="458" t="str">
        <f t="shared" si="171"/>
        <v/>
      </c>
      <c r="CS266" s="40" t="str">
        <f t="shared" si="172"/>
        <v/>
      </c>
      <c r="CT266" s="40" t="str">
        <f t="shared" si="173"/>
        <v/>
      </c>
      <c r="CU266" s="41" t="str">
        <f t="shared" si="174"/>
        <v/>
      </c>
    </row>
    <row r="267" spans="1:99" x14ac:dyDescent="0.2">
      <c r="A267" s="77">
        <f t="shared" si="175"/>
        <v>262</v>
      </c>
      <c r="B267" s="81"/>
      <c r="C267" s="82"/>
      <c r="D267" s="71"/>
      <c r="E267" s="72"/>
      <c r="F267" s="73"/>
      <c r="G267" s="443"/>
      <c r="H267" s="443"/>
      <c r="I267" s="74"/>
      <c r="J267" s="75"/>
      <c r="K267" s="41">
        <f t="shared" si="144"/>
        <v>3625</v>
      </c>
      <c r="L267" s="104"/>
      <c r="M267" s="105"/>
      <c r="N267" s="106">
        <f t="shared" si="145"/>
        <v>537.05999999999995</v>
      </c>
      <c r="O267" s="104"/>
      <c r="P267" s="105"/>
      <c r="Q267" s="106">
        <f t="shared" si="177"/>
        <v>10045.83</v>
      </c>
      <c r="R267" s="104"/>
      <c r="S267" s="105"/>
      <c r="T267" s="106">
        <f t="shared" si="178"/>
        <v>0</v>
      </c>
      <c r="U267" s="439"/>
      <c r="V267" s="42">
        <f t="shared" si="146"/>
        <v>262</v>
      </c>
      <c r="W267" s="39" t="str">
        <f>IF(AND(E267='Povolené hodnoty'!$B$4,F267=2),I267+L267+O267+R267,"")</f>
        <v/>
      </c>
      <c r="X267" s="41" t="str">
        <f>IF(AND(E267='Povolené hodnoty'!$B$4,F267=1),I267+L267+O267+R267,"")</f>
        <v/>
      </c>
      <c r="Y267" s="39" t="str">
        <f>IF(AND(E267='Povolené hodnoty'!$B$4,F267=10),J267+M267+P267+S267,"")</f>
        <v/>
      </c>
      <c r="Z267" s="41" t="str">
        <f>IF(AND(E267='Povolené hodnoty'!$B$4,F267=9),J267+M267+P267+S267,"")</f>
        <v/>
      </c>
      <c r="AA267" s="39" t="str">
        <f>IF(AND(E267&lt;&gt;'Povolené hodnoty'!$B$4,F267=2),I267+L267+O267+R267,"")</f>
        <v/>
      </c>
      <c r="AB267" s="40" t="str">
        <f>IF(AND(E267&lt;&gt;'Povolené hodnoty'!$B$4,F267=3),I267+L267+O267+R267,"")</f>
        <v/>
      </c>
      <c r="AC267" s="40" t="str">
        <f>IF(AND(E267&lt;&gt;'Povolené hodnoty'!$B$4,F267=4),I267+L267+O267+R267,"")</f>
        <v/>
      </c>
      <c r="AD267" s="40" t="str">
        <f>IF(AND(E267&lt;&gt;'Povolené hodnoty'!$B$4,F267="5a"),I267-J267+L267-M267+O267-P267+R267-S267,"")</f>
        <v/>
      </c>
      <c r="AE267" s="40" t="str">
        <f>IF(AND(E267&lt;&gt;'Povolené hodnoty'!$B$4,F267="5b"),I267-J267+L267-M267+O267-P267+R267-S267,"")</f>
        <v/>
      </c>
      <c r="AF267" s="40" t="str">
        <f>IF(AND(E267&lt;&gt;'Povolené hodnoty'!$B$4,F267=6),I267+L267+O267+R267,"")</f>
        <v/>
      </c>
      <c r="AG267" s="41" t="str">
        <f>IF(AND(E267&lt;&gt;'Povolené hodnoty'!$B$4,F267=7),I267+L267+O267+R267,"")</f>
        <v/>
      </c>
      <c r="AH267" s="39" t="str">
        <f>IF(AND(E267&lt;&gt;'Povolené hodnoty'!$B$4,F267=10),J267+M267+P267+S267,"")</f>
        <v/>
      </c>
      <c r="AI267" s="40" t="str">
        <f>IF(AND(E267&lt;&gt;'Povolené hodnoty'!$B$4,F267=11),J267+M267+P267+S267,"")</f>
        <v/>
      </c>
      <c r="AJ267" s="40" t="str">
        <f>IF(AND(E267&lt;&gt;'Povolené hodnoty'!$B$4,F267=12),J267+M267+P267+S267,"")</f>
        <v/>
      </c>
      <c r="AK267" s="41" t="str">
        <f>IF(AND(E267&lt;&gt;'Povolené hodnoty'!$B$4,F267=13),J267+M267+P267+S267,"")</f>
        <v/>
      </c>
      <c r="AL267" s="39" t="str">
        <f>IF(AND($G267='Povolené hodnoty'!$B$13,$H267=AL$4),SUM($I267,$L267,$O267,$R267),"")</f>
        <v/>
      </c>
      <c r="AM267" s="458" t="str">
        <f>IF(AND($G267='Povolené hodnoty'!$B$13,$H267=AM$4),SUM($I267,$L267,$O267,$R267),"")</f>
        <v/>
      </c>
      <c r="AN267" s="458" t="str">
        <f>IF(AND($G267='Povolené hodnoty'!$B$13,$H267=AN$4),SUM($I267,$L267,$O267,$R267),"")</f>
        <v/>
      </c>
      <c r="AO267" s="458" t="str">
        <f>IF(AND($G267='Povolené hodnoty'!$B$13,$H267=AO$4),SUM($I267,$L267,$O267,$R267),"")</f>
        <v/>
      </c>
      <c r="AP267" s="458" t="str">
        <f>IF(AND($G267='Povolené hodnoty'!$B$13,$H267=AP$4),SUM($I267,$L267,$O267,$R267),"")</f>
        <v/>
      </c>
      <c r="AQ267" s="40" t="str">
        <f>IF(AND($G267='Povolené hodnoty'!$B$13,OR($H267=AQ$4,$H267='Povolené hodnoty'!$E$36)),SUM($I267,-$J267,$L267,-$M267,$O267,-$P267,$R267,-$S267),"")</f>
        <v/>
      </c>
      <c r="AR267" s="40" t="str">
        <f>IF(AND($G267='Povolené hodnoty'!$B$13,$H267=AR$4),SUM($I267,$L267,$O267,$R267),"")</f>
        <v/>
      </c>
      <c r="AS267" s="41" t="str">
        <f>IF(AND($G267='Povolené hodnoty'!$B$13,$H267=AS$4),SUM($I267,$L267,$O267,$R267),"")</f>
        <v/>
      </c>
      <c r="AT267" s="39" t="str">
        <f>IF(AND($G267='Povolené hodnoty'!$B$14,$H267=AT$4),SUM($I267,$L267,$O267,$R267),"")</f>
        <v/>
      </c>
      <c r="AU267" s="458" t="str">
        <f>IF(AND($G267='Povolené hodnoty'!$B$14,$H267=AU$4),SUM($I267,$L267,$O267,$R267),"")</f>
        <v/>
      </c>
      <c r="AV267" s="41" t="str">
        <f>IF(AND($G267='Povolené hodnoty'!$B$14,$H267=AV$4),SUM($I267,$L267,$O267,$R267),"")</f>
        <v/>
      </c>
      <c r="AW267" s="39" t="str">
        <f>IF(AND($G267='Povolené hodnoty'!$B$13,$H267=AW$4),SUM($J267,$M267,$P267,$S267),"")</f>
        <v/>
      </c>
      <c r="AX267" s="458" t="str">
        <f>IF(AND($G267='Povolené hodnoty'!$B$13,$H267=AX$4),SUM($J267,$M267,$P267,$S267),"")</f>
        <v/>
      </c>
      <c r="AY267" s="458" t="str">
        <f>IF(AND($G267='Povolené hodnoty'!$B$13,$H267=AY$4),SUM($J267,$M267,$P267,$S267),"")</f>
        <v/>
      </c>
      <c r="AZ267" s="458" t="str">
        <f>IF(AND($G267='Povolené hodnoty'!$B$13,$H267=AZ$4),SUM($J267,$M267,$P267,$S267),"")</f>
        <v/>
      </c>
      <c r="BA267" s="458" t="str">
        <f>IF(AND($G267='Povolené hodnoty'!$B$13,$H267=BA$4),SUM($J267,$M267,$P267,$S267),"")</f>
        <v/>
      </c>
      <c r="BB267" s="40" t="str">
        <f>IF(AND($G267='Povolené hodnoty'!$B$13,$H267=BB$4),SUM($J267,$M267,$P267,$S267),"")</f>
        <v/>
      </c>
      <c r="BC267" s="40" t="str">
        <f>IF(AND($G267='Povolené hodnoty'!$B$13,$H267=BC$4),SUM($J267,$M267,$P267,$S267),"")</f>
        <v/>
      </c>
      <c r="BD267" s="40" t="str">
        <f>IF(AND($G267='Povolené hodnoty'!$B$13,$H267=BD$4),SUM($J267,$M267,$P267,$S267),"")</f>
        <v/>
      </c>
      <c r="BE267" s="41" t="str">
        <f>IF(AND($G267='Povolené hodnoty'!$B$13,$H267=BE$4),SUM($J267,$M267,$P267,$S267),"")</f>
        <v/>
      </c>
      <c r="BF267" s="39" t="str">
        <f>IF(AND($G267='Povolené hodnoty'!$B$14,$H267=BF$4),SUM($J267,$M267,$P267,$S267),"")</f>
        <v/>
      </c>
      <c r="BG267" s="458" t="str">
        <f>IF(AND($G267='Povolené hodnoty'!$B$14,$H267=BG$4),SUM($J267,$M267,$P267,$S267),"")</f>
        <v/>
      </c>
      <c r="BH267" s="458" t="str">
        <f>IF(AND($G267='Povolené hodnoty'!$B$14,$H267=BH$4),SUM($J267,$M267,$P267,$S267),"")</f>
        <v/>
      </c>
      <c r="BI267" s="458" t="str">
        <f>IF(AND($G267='Povolené hodnoty'!$B$14,$H267=BI$4),SUM($J267,$M267,$P267,$S267),"")</f>
        <v/>
      </c>
      <c r="BJ267" s="458" t="str">
        <f>IF(AND($G267='Povolené hodnoty'!$B$14,$H267=BJ$4),SUM($J267,$M267,$P267,$S267),"")</f>
        <v/>
      </c>
      <c r="BK267" s="40" t="str">
        <f>IF(AND($G267='Povolené hodnoty'!$B$14,$H267=BK$4),SUM($J267,$M267,$P267,$S267),"")</f>
        <v/>
      </c>
      <c r="BL267" s="40" t="str">
        <f>IF(AND($G267='Povolené hodnoty'!$B$14,$H267=BL$4),SUM($J267,$M267,$P267,$S267),"")</f>
        <v/>
      </c>
      <c r="BM267" s="41" t="str">
        <f>IF(AND($G267='Povolené hodnoty'!$B$14,$H267=BM$4),SUM($J267,$M267,$P267,$S267),"")</f>
        <v/>
      </c>
      <c r="BO267" s="18" t="b">
        <f t="shared" si="176"/>
        <v>0</v>
      </c>
      <c r="BP267" s="18" t="b">
        <f t="shared" si="147"/>
        <v>0</v>
      </c>
      <c r="BQ267" s="18" t="b">
        <f>AND(E267&lt;&gt;'Povolené hodnoty'!$B$6,F267&lt;&gt;'Povolené hodnoty'!$D$7,F267&lt;&gt;'Povolené hodnoty'!$D$8,OR(SUM(I267,L267,O267,R267)&lt;&gt;SUM(W267:X267,AA267:AG267),SUM(J267,M267,P267,S267)&lt;&gt;SUM(Y267:Z267,AH267:AK267),COUNT(I267:J267,L267:M267,O267:P267,R267:S267)&lt;&gt;COUNT(W267:AK267)))</f>
        <v>0</v>
      </c>
      <c r="BR267" s="18" t="b">
        <f>OR(AND(E267='Povolené hodnoty'!$B$6,$BR$5),AND(E267='Povolené hodnoty'!$B$6,H267&lt;&gt;'Povolené hodnoty'!$E$26,H267&lt;&gt;'Povolené hodnoty'!$E$35),AND(E267&lt;&gt;'Povolené hodnoty'!$B$6,OR(H267='Povolené hodnoty'!$E$26,H267='Povolené hodnoty'!$E$35)))</f>
        <v>0</v>
      </c>
      <c r="BS267" s="18" t="b">
        <f>OR(AND(G267&lt;&gt;'Povolené hodnoty'!$B$13,OR(H267='Povolené hodnoty'!$E$21,H267='Povolené hodnoty'!$E$22,H267='Povolené hodnoty'!$E$23,H267='Povolené hodnoty'!$E$24,H267='Povolené hodnoty'!$E$26,H267='Povolené hodnoty'!$E$36)),COUNT(I267:J267,L267:M267,O267:P267,R267:S267)&lt;&gt;COUNT(AL267:BM267))</f>
        <v>0</v>
      </c>
      <c r="BT267" s="18" t="b">
        <f t="shared" si="148"/>
        <v>0</v>
      </c>
      <c r="BV267" s="39" t="str">
        <f t="shared" si="149"/>
        <v/>
      </c>
      <c r="BW267" s="458" t="str">
        <f t="shared" si="150"/>
        <v/>
      </c>
      <c r="BX267" s="458" t="str">
        <f t="shared" si="151"/>
        <v/>
      </c>
      <c r="BY267" s="458" t="str">
        <f t="shared" si="152"/>
        <v/>
      </c>
      <c r="BZ267" s="458" t="str">
        <f t="shared" si="153"/>
        <v/>
      </c>
      <c r="CA267" s="40" t="str">
        <f t="shared" si="154"/>
        <v/>
      </c>
      <c r="CB267" s="40" t="str">
        <f t="shared" si="155"/>
        <v/>
      </c>
      <c r="CC267" s="39" t="str">
        <f t="shared" si="156"/>
        <v/>
      </c>
      <c r="CD267" s="458" t="str">
        <f t="shared" si="157"/>
        <v/>
      </c>
      <c r="CE267" s="41" t="str">
        <f t="shared" si="158"/>
        <v/>
      </c>
      <c r="CF267" s="39" t="str">
        <f t="shared" si="159"/>
        <v/>
      </c>
      <c r="CG267" s="458" t="str">
        <f t="shared" si="160"/>
        <v/>
      </c>
      <c r="CH267" s="458" t="str">
        <f t="shared" si="161"/>
        <v/>
      </c>
      <c r="CI267" s="458" t="str">
        <f t="shared" si="162"/>
        <v/>
      </c>
      <c r="CJ267" s="458" t="str">
        <f t="shared" si="163"/>
        <v/>
      </c>
      <c r="CK267" s="40" t="str">
        <f t="shared" si="164"/>
        <v/>
      </c>
      <c r="CL267" s="40" t="str">
        <f t="shared" si="165"/>
        <v/>
      </c>
      <c r="CM267" s="40" t="str">
        <f t="shared" si="166"/>
        <v/>
      </c>
      <c r="CN267" s="39" t="str">
        <f t="shared" si="167"/>
        <v/>
      </c>
      <c r="CO267" s="458" t="str">
        <f t="shared" si="168"/>
        <v/>
      </c>
      <c r="CP267" s="458" t="str">
        <f t="shared" si="169"/>
        <v/>
      </c>
      <c r="CQ267" s="458" t="str">
        <f t="shared" si="170"/>
        <v/>
      </c>
      <c r="CR267" s="458" t="str">
        <f t="shared" si="171"/>
        <v/>
      </c>
      <c r="CS267" s="40" t="str">
        <f t="shared" si="172"/>
        <v/>
      </c>
      <c r="CT267" s="40" t="str">
        <f t="shared" si="173"/>
        <v/>
      </c>
      <c r="CU267" s="41" t="str">
        <f t="shared" si="174"/>
        <v/>
      </c>
    </row>
    <row r="268" spans="1:99" x14ac:dyDescent="0.2">
      <c r="A268" s="77">
        <f t="shared" si="175"/>
        <v>263</v>
      </c>
      <c r="B268" s="81"/>
      <c r="C268" s="82"/>
      <c r="D268" s="71"/>
      <c r="E268" s="72"/>
      <c r="F268" s="73"/>
      <c r="G268" s="443"/>
      <c r="H268" s="443"/>
      <c r="I268" s="74"/>
      <c r="J268" s="75"/>
      <c r="K268" s="41">
        <f t="shared" si="144"/>
        <v>3625</v>
      </c>
      <c r="L268" s="104"/>
      <c r="M268" s="105"/>
      <c r="N268" s="106">
        <f t="shared" si="145"/>
        <v>537.05999999999995</v>
      </c>
      <c r="O268" s="104"/>
      <c r="P268" s="105"/>
      <c r="Q268" s="106">
        <f t="shared" si="177"/>
        <v>10045.83</v>
      </c>
      <c r="R268" s="104"/>
      <c r="S268" s="105"/>
      <c r="T268" s="106">
        <f t="shared" si="178"/>
        <v>0</v>
      </c>
      <c r="U268" s="439"/>
      <c r="V268" s="42">
        <f t="shared" si="146"/>
        <v>263</v>
      </c>
      <c r="W268" s="39" t="str">
        <f>IF(AND(E268='Povolené hodnoty'!$B$4,F268=2),I268+L268+O268+R268,"")</f>
        <v/>
      </c>
      <c r="X268" s="41" t="str">
        <f>IF(AND(E268='Povolené hodnoty'!$B$4,F268=1),I268+L268+O268+R268,"")</f>
        <v/>
      </c>
      <c r="Y268" s="39" t="str">
        <f>IF(AND(E268='Povolené hodnoty'!$B$4,F268=10),J268+M268+P268+S268,"")</f>
        <v/>
      </c>
      <c r="Z268" s="41" t="str">
        <f>IF(AND(E268='Povolené hodnoty'!$B$4,F268=9),J268+M268+P268+S268,"")</f>
        <v/>
      </c>
      <c r="AA268" s="39" t="str">
        <f>IF(AND(E268&lt;&gt;'Povolené hodnoty'!$B$4,F268=2),I268+L268+O268+R268,"")</f>
        <v/>
      </c>
      <c r="AB268" s="40" t="str">
        <f>IF(AND(E268&lt;&gt;'Povolené hodnoty'!$B$4,F268=3),I268+L268+O268+R268,"")</f>
        <v/>
      </c>
      <c r="AC268" s="40" t="str">
        <f>IF(AND(E268&lt;&gt;'Povolené hodnoty'!$B$4,F268=4),I268+L268+O268+R268,"")</f>
        <v/>
      </c>
      <c r="AD268" s="40" t="str">
        <f>IF(AND(E268&lt;&gt;'Povolené hodnoty'!$B$4,F268="5a"),I268-J268+L268-M268+O268-P268+R268-S268,"")</f>
        <v/>
      </c>
      <c r="AE268" s="40" t="str">
        <f>IF(AND(E268&lt;&gt;'Povolené hodnoty'!$B$4,F268="5b"),I268-J268+L268-M268+O268-P268+R268-S268,"")</f>
        <v/>
      </c>
      <c r="AF268" s="40" t="str">
        <f>IF(AND(E268&lt;&gt;'Povolené hodnoty'!$B$4,F268=6),I268+L268+O268+R268,"")</f>
        <v/>
      </c>
      <c r="AG268" s="41" t="str">
        <f>IF(AND(E268&lt;&gt;'Povolené hodnoty'!$B$4,F268=7),I268+L268+O268+R268,"")</f>
        <v/>
      </c>
      <c r="AH268" s="39" t="str">
        <f>IF(AND(E268&lt;&gt;'Povolené hodnoty'!$B$4,F268=10),J268+M268+P268+S268,"")</f>
        <v/>
      </c>
      <c r="AI268" s="40" t="str">
        <f>IF(AND(E268&lt;&gt;'Povolené hodnoty'!$B$4,F268=11),J268+M268+P268+S268,"")</f>
        <v/>
      </c>
      <c r="AJ268" s="40" t="str">
        <f>IF(AND(E268&lt;&gt;'Povolené hodnoty'!$B$4,F268=12),J268+M268+P268+S268,"")</f>
        <v/>
      </c>
      <c r="AK268" s="41" t="str">
        <f>IF(AND(E268&lt;&gt;'Povolené hodnoty'!$B$4,F268=13),J268+M268+P268+S268,"")</f>
        <v/>
      </c>
      <c r="AL268" s="39" t="str">
        <f>IF(AND($G268='Povolené hodnoty'!$B$13,$H268=AL$4),SUM($I268,$L268,$O268,$R268),"")</f>
        <v/>
      </c>
      <c r="AM268" s="458" t="str">
        <f>IF(AND($G268='Povolené hodnoty'!$B$13,$H268=AM$4),SUM($I268,$L268,$O268,$R268),"")</f>
        <v/>
      </c>
      <c r="AN268" s="458" t="str">
        <f>IF(AND($G268='Povolené hodnoty'!$B$13,$H268=AN$4),SUM($I268,$L268,$O268,$R268),"")</f>
        <v/>
      </c>
      <c r="AO268" s="458" t="str">
        <f>IF(AND($G268='Povolené hodnoty'!$B$13,$H268=AO$4),SUM($I268,$L268,$O268,$R268),"")</f>
        <v/>
      </c>
      <c r="AP268" s="458" t="str">
        <f>IF(AND($G268='Povolené hodnoty'!$B$13,$H268=AP$4),SUM($I268,$L268,$O268,$R268),"")</f>
        <v/>
      </c>
      <c r="AQ268" s="40" t="str">
        <f>IF(AND($G268='Povolené hodnoty'!$B$13,OR($H268=AQ$4,$H268='Povolené hodnoty'!$E$36)),SUM($I268,-$J268,$L268,-$M268,$O268,-$P268,$R268,-$S268),"")</f>
        <v/>
      </c>
      <c r="AR268" s="40" t="str">
        <f>IF(AND($G268='Povolené hodnoty'!$B$13,$H268=AR$4),SUM($I268,$L268,$O268,$R268),"")</f>
        <v/>
      </c>
      <c r="AS268" s="41" t="str">
        <f>IF(AND($G268='Povolené hodnoty'!$B$13,$H268=AS$4),SUM($I268,$L268,$O268,$R268),"")</f>
        <v/>
      </c>
      <c r="AT268" s="39" t="str">
        <f>IF(AND($G268='Povolené hodnoty'!$B$14,$H268=AT$4),SUM($I268,$L268,$O268,$R268),"")</f>
        <v/>
      </c>
      <c r="AU268" s="458" t="str">
        <f>IF(AND($G268='Povolené hodnoty'!$B$14,$H268=AU$4),SUM($I268,$L268,$O268,$R268),"")</f>
        <v/>
      </c>
      <c r="AV268" s="41" t="str">
        <f>IF(AND($G268='Povolené hodnoty'!$B$14,$H268=AV$4),SUM($I268,$L268,$O268,$R268),"")</f>
        <v/>
      </c>
      <c r="AW268" s="39" t="str">
        <f>IF(AND($G268='Povolené hodnoty'!$B$13,$H268=AW$4),SUM($J268,$M268,$P268,$S268),"")</f>
        <v/>
      </c>
      <c r="AX268" s="458" t="str">
        <f>IF(AND($G268='Povolené hodnoty'!$B$13,$H268=AX$4),SUM($J268,$M268,$P268,$S268),"")</f>
        <v/>
      </c>
      <c r="AY268" s="458" t="str">
        <f>IF(AND($G268='Povolené hodnoty'!$B$13,$H268=AY$4),SUM($J268,$M268,$P268,$S268),"")</f>
        <v/>
      </c>
      <c r="AZ268" s="458" t="str">
        <f>IF(AND($G268='Povolené hodnoty'!$B$13,$H268=AZ$4),SUM($J268,$M268,$P268,$S268),"")</f>
        <v/>
      </c>
      <c r="BA268" s="458" t="str">
        <f>IF(AND($G268='Povolené hodnoty'!$B$13,$H268=BA$4),SUM($J268,$M268,$P268,$S268),"")</f>
        <v/>
      </c>
      <c r="BB268" s="40" t="str">
        <f>IF(AND($G268='Povolené hodnoty'!$B$13,$H268=BB$4),SUM($J268,$M268,$P268,$S268),"")</f>
        <v/>
      </c>
      <c r="BC268" s="40" t="str">
        <f>IF(AND($G268='Povolené hodnoty'!$B$13,$H268=BC$4),SUM($J268,$M268,$P268,$S268),"")</f>
        <v/>
      </c>
      <c r="BD268" s="40" t="str">
        <f>IF(AND($G268='Povolené hodnoty'!$B$13,$H268=BD$4),SUM($J268,$M268,$P268,$S268),"")</f>
        <v/>
      </c>
      <c r="BE268" s="41" t="str">
        <f>IF(AND($G268='Povolené hodnoty'!$B$13,$H268=BE$4),SUM($J268,$M268,$P268,$S268),"")</f>
        <v/>
      </c>
      <c r="BF268" s="39" t="str">
        <f>IF(AND($G268='Povolené hodnoty'!$B$14,$H268=BF$4),SUM($J268,$M268,$P268,$S268),"")</f>
        <v/>
      </c>
      <c r="BG268" s="458" t="str">
        <f>IF(AND($G268='Povolené hodnoty'!$B$14,$H268=BG$4),SUM($J268,$M268,$P268,$S268),"")</f>
        <v/>
      </c>
      <c r="BH268" s="458" t="str">
        <f>IF(AND($G268='Povolené hodnoty'!$B$14,$H268=BH$4),SUM($J268,$M268,$P268,$S268),"")</f>
        <v/>
      </c>
      <c r="BI268" s="458" t="str">
        <f>IF(AND($G268='Povolené hodnoty'!$B$14,$H268=BI$4),SUM($J268,$M268,$P268,$S268),"")</f>
        <v/>
      </c>
      <c r="BJ268" s="458" t="str">
        <f>IF(AND($G268='Povolené hodnoty'!$B$14,$H268=BJ$4),SUM($J268,$M268,$P268,$S268),"")</f>
        <v/>
      </c>
      <c r="BK268" s="40" t="str">
        <f>IF(AND($G268='Povolené hodnoty'!$B$14,$H268=BK$4),SUM($J268,$M268,$P268,$S268),"")</f>
        <v/>
      </c>
      <c r="BL268" s="40" t="str">
        <f>IF(AND($G268='Povolené hodnoty'!$B$14,$H268=BL$4),SUM($J268,$M268,$P268,$S268),"")</f>
        <v/>
      </c>
      <c r="BM268" s="41" t="str">
        <f>IF(AND($G268='Povolené hodnoty'!$B$14,$H268=BM$4),SUM($J268,$M268,$P268,$S268),"")</f>
        <v/>
      </c>
      <c r="BO268" s="18" t="b">
        <f t="shared" si="176"/>
        <v>0</v>
      </c>
      <c r="BP268" s="18" t="b">
        <f t="shared" si="147"/>
        <v>0</v>
      </c>
      <c r="BQ268" s="18" t="b">
        <f>AND(E268&lt;&gt;'Povolené hodnoty'!$B$6,F268&lt;&gt;'Povolené hodnoty'!$D$7,F268&lt;&gt;'Povolené hodnoty'!$D$8,OR(SUM(I268,L268,O268,R268)&lt;&gt;SUM(W268:X268,AA268:AG268),SUM(J268,M268,P268,S268)&lt;&gt;SUM(Y268:Z268,AH268:AK268),COUNT(I268:J268,L268:M268,O268:P268,R268:S268)&lt;&gt;COUNT(W268:AK268)))</f>
        <v>0</v>
      </c>
      <c r="BR268" s="18" t="b">
        <f>OR(AND(E268='Povolené hodnoty'!$B$6,$BR$5),AND(E268='Povolené hodnoty'!$B$6,H268&lt;&gt;'Povolené hodnoty'!$E$26,H268&lt;&gt;'Povolené hodnoty'!$E$35),AND(E268&lt;&gt;'Povolené hodnoty'!$B$6,OR(H268='Povolené hodnoty'!$E$26,H268='Povolené hodnoty'!$E$35)))</f>
        <v>0</v>
      </c>
      <c r="BS268" s="18" t="b">
        <f>OR(AND(G268&lt;&gt;'Povolené hodnoty'!$B$13,OR(H268='Povolené hodnoty'!$E$21,H268='Povolené hodnoty'!$E$22,H268='Povolené hodnoty'!$E$23,H268='Povolené hodnoty'!$E$24,H268='Povolené hodnoty'!$E$26,H268='Povolené hodnoty'!$E$36)),COUNT(I268:J268,L268:M268,O268:P268,R268:S268)&lt;&gt;COUNT(AL268:BM268))</f>
        <v>0</v>
      </c>
      <c r="BT268" s="18" t="b">
        <f t="shared" si="148"/>
        <v>0</v>
      </c>
      <c r="BV268" s="39" t="str">
        <f t="shared" si="149"/>
        <v/>
      </c>
      <c r="BW268" s="458" t="str">
        <f t="shared" si="150"/>
        <v/>
      </c>
      <c r="BX268" s="458" t="str">
        <f t="shared" si="151"/>
        <v/>
      </c>
      <c r="BY268" s="458" t="str">
        <f t="shared" si="152"/>
        <v/>
      </c>
      <c r="BZ268" s="458" t="str">
        <f t="shared" si="153"/>
        <v/>
      </c>
      <c r="CA268" s="40" t="str">
        <f t="shared" si="154"/>
        <v/>
      </c>
      <c r="CB268" s="40" t="str">
        <f t="shared" si="155"/>
        <v/>
      </c>
      <c r="CC268" s="39" t="str">
        <f t="shared" si="156"/>
        <v/>
      </c>
      <c r="CD268" s="458" t="str">
        <f t="shared" si="157"/>
        <v/>
      </c>
      <c r="CE268" s="41" t="str">
        <f t="shared" si="158"/>
        <v/>
      </c>
      <c r="CF268" s="39" t="str">
        <f t="shared" si="159"/>
        <v/>
      </c>
      <c r="CG268" s="458" t="str">
        <f t="shared" si="160"/>
        <v/>
      </c>
      <c r="CH268" s="458" t="str">
        <f t="shared" si="161"/>
        <v/>
      </c>
      <c r="CI268" s="458" t="str">
        <f t="shared" si="162"/>
        <v/>
      </c>
      <c r="CJ268" s="458" t="str">
        <f t="shared" si="163"/>
        <v/>
      </c>
      <c r="CK268" s="40" t="str">
        <f t="shared" si="164"/>
        <v/>
      </c>
      <c r="CL268" s="40" t="str">
        <f t="shared" si="165"/>
        <v/>
      </c>
      <c r="CM268" s="40" t="str">
        <f t="shared" si="166"/>
        <v/>
      </c>
      <c r="CN268" s="39" t="str">
        <f t="shared" si="167"/>
        <v/>
      </c>
      <c r="CO268" s="458" t="str">
        <f t="shared" si="168"/>
        <v/>
      </c>
      <c r="CP268" s="458" t="str">
        <f t="shared" si="169"/>
        <v/>
      </c>
      <c r="CQ268" s="458" t="str">
        <f t="shared" si="170"/>
        <v/>
      </c>
      <c r="CR268" s="458" t="str">
        <f t="shared" si="171"/>
        <v/>
      </c>
      <c r="CS268" s="40" t="str">
        <f t="shared" si="172"/>
        <v/>
      </c>
      <c r="CT268" s="40" t="str">
        <f t="shared" si="173"/>
        <v/>
      </c>
      <c r="CU268" s="41" t="str">
        <f t="shared" si="174"/>
        <v/>
      </c>
    </row>
    <row r="269" spans="1:99" x14ac:dyDescent="0.2">
      <c r="A269" s="77">
        <f t="shared" si="175"/>
        <v>264</v>
      </c>
      <c r="B269" s="81"/>
      <c r="C269" s="82"/>
      <c r="D269" s="71"/>
      <c r="E269" s="72"/>
      <c r="F269" s="73"/>
      <c r="G269" s="443"/>
      <c r="H269" s="443"/>
      <c r="I269" s="74"/>
      <c r="J269" s="75"/>
      <c r="K269" s="41">
        <f t="shared" si="144"/>
        <v>3625</v>
      </c>
      <c r="L269" s="104"/>
      <c r="M269" s="105"/>
      <c r="N269" s="106">
        <f t="shared" si="145"/>
        <v>537.05999999999995</v>
      </c>
      <c r="O269" s="104"/>
      <c r="P269" s="105"/>
      <c r="Q269" s="106">
        <f t="shared" si="177"/>
        <v>10045.83</v>
      </c>
      <c r="R269" s="104"/>
      <c r="S269" s="105"/>
      <c r="T269" s="106">
        <f t="shared" si="178"/>
        <v>0</v>
      </c>
      <c r="U269" s="439"/>
      <c r="V269" s="42">
        <f t="shared" si="146"/>
        <v>264</v>
      </c>
      <c r="W269" s="39" t="str">
        <f>IF(AND(E269='Povolené hodnoty'!$B$4,F269=2),I269+L269+O269+R269,"")</f>
        <v/>
      </c>
      <c r="X269" s="41" t="str">
        <f>IF(AND(E269='Povolené hodnoty'!$B$4,F269=1),I269+L269+O269+R269,"")</f>
        <v/>
      </c>
      <c r="Y269" s="39" t="str">
        <f>IF(AND(E269='Povolené hodnoty'!$B$4,F269=10),J269+M269+P269+S269,"")</f>
        <v/>
      </c>
      <c r="Z269" s="41" t="str">
        <f>IF(AND(E269='Povolené hodnoty'!$B$4,F269=9),J269+M269+P269+S269,"")</f>
        <v/>
      </c>
      <c r="AA269" s="39" t="str">
        <f>IF(AND(E269&lt;&gt;'Povolené hodnoty'!$B$4,F269=2),I269+L269+O269+R269,"")</f>
        <v/>
      </c>
      <c r="AB269" s="40" t="str">
        <f>IF(AND(E269&lt;&gt;'Povolené hodnoty'!$B$4,F269=3),I269+L269+O269+R269,"")</f>
        <v/>
      </c>
      <c r="AC269" s="40" t="str">
        <f>IF(AND(E269&lt;&gt;'Povolené hodnoty'!$B$4,F269=4),I269+L269+O269+R269,"")</f>
        <v/>
      </c>
      <c r="AD269" s="40" t="str">
        <f>IF(AND(E269&lt;&gt;'Povolené hodnoty'!$B$4,F269="5a"),I269-J269+L269-M269+O269-P269+R269-S269,"")</f>
        <v/>
      </c>
      <c r="AE269" s="40" t="str">
        <f>IF(AND(E269&lt;&gt;'Povolené hodnoty'!$B$4,F269="5b"),I269-J269+L269-M269+O269-P269+R269-S269,"")</f>
        <v/>
      </c>
      <c r="AF269" s="40" t="str">
        <f>IF(AND(E269&lt;&gt;'Povolené hodnoty'!$B$4,F269=6),I269+L269+O269+R269,"")</f>
        <v/>
      </c>
      <c r="AG269" s="41" t="str">
        <f>IF(AND(E269&lt;&gt;'Povolené hodnoty'!$B$4,F269=7),I269+L269+O269+R269,"")</f>
        <v/>
      </c>
      <c r="AH269" s="39" t="str">
        <f>IF(AND(E269&lt;&gt;'Povolené hodnoty'!$B$4,F269=10),J269+M269+P269+S269,"")</f>
        <v/>
      </c>
      <c r="AI269" s="40" t="str">
        <f>IF(AND(E269&lt;&gt;'Povolené hodnoty'!$B$4,F269=11),J269+M269+P269+S269,"")</f>
        <v/>
      </c>
      <c r="AJ269" s="40" t="str">
        <f>IF(AND(E269&lt;&gt;'Povolené hodnoty'!$B$4,F269=12),J269+M269+P269+S269,"")</f>
        <v/>
      </c>
      <c r="AK269" s="41" t="str">
        <f>IF(AND(E269&lt;&gt;'Povolené hodnoty'!$B$4,F269=13),J269+M269+P269+S269,"")</f>
        <v/>
      </c>
      <c r="AL269" s="39" t="str">
        <f>IF(AND($G269='Povolené hodnoty'!$B$13,$H269=AL$4),SUM($I269,$L269,$O269,$R269),"")</f>
        <v/>
      </c>
      <c r="AM269" s="458" t="str">
        <f>IF(AND($G269='Povolené hodnoty'!$B$13,$H269=AM$4),SUM($I269,$L269,$O269,$R269),"")</f>
        <v/>
      </c>
      <c r="AN269" s="458" t="str">
        <f>IF(AND($G269='Povolené hodnoty'!$B$13,$H269=AN$4),SUM($I269,$L269,$O269,$R269),"")</f>
        <v/>
      </c>
      <c r="AO269" s="458" t="str">
        <f>IF(AND($G269='Povolené hodnoty'!$B$13,$H269=AO$4),SUM($I269,$L269,$O269,$R269),"")</f>
        <v/>
      </c>
      <c r="AP269" s="458" t="str">
        <f>IF(AND($G269='Povolené hodnoty'!$B$13,$H269=AP$4),SUM($I269,$L269,$O269,$R269),"")</f>
        <v/>
      </c>
      <c r="AQ269" s="40" t="str">
        <f>IF(AND($G269='Povolené hodnoty'!$B$13,OR($H269=AQ$4,$H269='Povolené hodnoty'!$E$36)),SUM($I269,-$J269,$L269,-$M269,$O269,-$P269,$R269,-$S269),"")</f>
        <v/>
      </c>
      <c r="AR269" s="40" t="str">
        <f>IF(AND($G269='Povolené hodnoty'!$B$13,$H269=AR$4),SUM($I269,$L269,$O269,$R269),"")</f>
        <v/>
      </c>
      <c r="AS269" s="41" t="str">
        <f>IF(AND($G269='Povolené hodnoty'!$B$13,$H269=AS$4),SUM($I269,$L269,$O269,$R269),"")</f>
        <v/>
      </c>
      <c r="AT269" s="39" t="str">
        <f>IF(AND($G269='Povolené hodnoty'!$B$14,$H269=AT$4),SUM($I269,$L269,$O269,$R269),"")</f>
        <v/>
      </c>
      <c r="AU269" s="458" t="str">
        <f>IF(AND($G269='Povolené hodnoty'!$B$14,$H269=AU$4),SUM($I269,$L269,$O269,$R269),"")</f>
        <v/>
      </c>
      <c r="AV269" s="41" t="str">
        <f>IF(AND($G269='Povolené hodnoty'!$B$14,$H269=AV$4),SUM($I269,$L269,$O269,$R269),"")</f>
        <v/>
      </c>
      <c r="AW269" s="39" t="str">
        <f>IF(AND($G269='Povolené hodnoty'!$B$13,$H269=AW$4),SUM($J269,$M269,$P269,$S269),"")</f>
        <v/>
      </c>
      <c r="AX269" s="458" t="str">
        <f>IF(AND($G269='Povolené hodnoty'!$B$13,$H269=AX$4),SUM($J269,$M269,$P269,$S269),"")</f>
        <v/>
      </c>
      <c r="AY269" s="458" t="str">
        <f>IF(AND($G269='Povolené hodnoty'!$B$13,$H269=AY$4),SUM($J269,$M269,$P269,$S269),"")</f>
        <v/>
      </c>
      <c r="AZ269" s="458" t="str">
        <f>IF(AND($G269='Povolené hodnoty'!$B$13,$H269=AZ$4),SUM($J269,$M269,$P269,$S269),"")</f>
        <v/>
      </c>
      <c r="BA269" s="458" t="str">
        <f>IF(AND($G269='Povolené hodnoty'!$B$13,$H269=BA$4),SUM($J269,$M269,$P269,$S269),"")</f>
        <v/>
      </c>
      <c r="BB269" s="40" t="str">
        <f>IF(AND($G269='Povolené hodnoty'!$B$13,$H269=BB$4),SUM($J269,$M269,$P269,$S269),"")</f>
        <v/>
      </c>
      <c r="BC269" s="40" t="str">
        <f>IF(AND($G269='Povolené hodnoty'!$B$13,$H269=BC$4),SUM($J269,$M269,$P269,$S269),"")</f>
        <v/>
      </c>
      <c r="BD269" s="40" t="str">
        <f>IF(AND($G269='Povolené hodnoty'!$B$13,$H269=BD$4),SUM($J269,$M269,$P269,$S269),"")</f>
        <v/>
      </c>
      <c r="BE269" s="41" t="str">
        <f>IF(AND($G269='Povolené hodnoty'!$B$13,$H269=BE$4),SUM($J269,$M269,$P269,$S269),"")</f>
        <v/>
      </c>
      <c r="BF269" s="39" t="str">
        <f>IF(AND($G269='Povolené hodnoty'!$B$14,$H269=BF$4),SUM($J269,$M269,$P269,$S269),"")</f>
        <v/>
      </c>
      <c r="BG269" s="458" t="str">
        <f>IF(AND($G269='Povolené hodnoty'!$B$14,$H269=BG$4),SUM($J269,$M269,$P269,$S269),"")</f>
        <v/>
      </c>
      <c r="BH269" s="458" t="str">
        <f>IF(AND($G269='Povolené hodnoty'!$B$14,$H269=BH$4),SUM($J269,$M269,$P269,$S269),"")</f>
        <v/>
      </c>
      <c r="BI269" s="458" t="str">
        <f>IF(AND($G269='Povolené hodnoty'!$B$14,$H269=BI$4),SUM($J269,$M269,$P269,$S269),"")</f>
        <v/>
      </c>
      <c r="BJ269" s="458" t="str">
        <f>IF(AND($G269='Povolené hodnoty'!$B$14,$H269=BJ$4),SUM($J269,$M269,$P269,$S269),"")</f>
        <v/>
      </c>
      <c r="BK269" s="40" t="str">
        <f>IF(AND($G269='Povolené hodnoty'!$B$14,$H269=BK$4),SUM($J269,$M269,$P269,$S269),"")</f>
        <v/>
      </c>
      <c r="BL269" s="40" t="str">
        <f>IF(AND($G269='Povolené hodnoty'!$B$14,$H269=BL$4),SUM($J269,$M269,$P269,$S269),"")</f>
        <v/>
      </c>
      <c r="BM269" s="41" t="str">
        <f>IF(AND($G269='Povolené hodnoty'!$B$14,$H269=BM$4),SUM($J269,$M269,$P269,$S269),"")</f>
        <v/>
      </c>
      <c r="BO269" s="18" t="b">
        <f t="shared" si="176"/>
        <v>0</v>
      </c>
      <c r="BP269" s="18" t="b">
        <f t="shared" si="147"/>
        <v>0</v>
      </c>
      <c r="BQ269" s="18" t="b">
        <f>AND(E269&lt;&gt;'Povolené hodnoty'!$B$6,F269&lt;&gt;'Povolené hodnoty'!$D$7,F269&lt;&gt;'Povolené hodnoty'!$D$8,OR(SUM(I269,L269,O269,R269)&lt;&gt;SUM(W269:X269,AA269:AG269),SUM(J269,M269,P269,S269)&lt;&gt;SUM(Y269:Z269,AH269:AK269),COUNT(I269:J269,L269:M269,O269:P269,R269:S269)&lt;&gt;COUNT(W269:AK269)))</f>
        <v>0</v>
      </c>
      <c r="BR269" s="18" t="b">
        <f>OR(AND(E269='Povolené hodnoty'!$B$6,$BR$5),AND(E269='Povolené hodnoty'!$B$6,H269&lt;&gt;'Povolené hodnoty'!$E$26,H269&lt;&gt;'Povolené hodnoty'!$E$35),AND(E269&lt;&gt;'Povolené hodnoty'!$B$6,OR(H269='Povolené hodnoty'!$E$26,H269='Povolené hodnoty'!$E$35)))</f>
        <v>0</v>
      </c>
      <c r="BS269" s="18" t="b">
        <f>OR(AND(G269&lt;&gt;'Povolené hodnoty'!$B$13,OR(H269='Povolené hodnoty'!$E$21,H269='Povolené hodnoty'!$E$22,H269='Povolené hodnoty'!$E$23,H269='Povolené hodnoty'!$E$24,H269='Povolené hodnoty'!$E$26,H269='Povolené hodnoty'!$E$36)),COUNT(I269:J269,L269:M269,O269:P269,R269:S269)&lt;&gt;COUNT(AL269:BM269))</f>
        <v>0</v>
      </c>
      <c r="BT269" s="18" t="b">
        <f t="shared" si="148"/>
        <v>0</v>
      </c>
      <c r="BV269" s="39" t="str">
        <f t="shared" si="149"/>
        <v/>
      </c>
      <c r="BW269" s="458" t="str">
        <f t="shared" si="150"/>
        <v/>
      </c>
      <c r="BX269" s="458" t="str">
        <f t="shared" si="151"/>
        <v/>
      </c>
      <c r="BY269" s="458" t="str">
        <f t="shared" si="152"/>
        <v/>
      </c>
      <c r="BZ269" s="458" t="str">
        <f t="shared" si="153"/>
        <v/>
      </c>
      <c r="CA269" s="40" t="str">
        <f t="shared" si="154"/>
        <v/>
      </c>
      <c r="CB269" s="40" t="str">
        <f t="shared" si="155"/>
        <v/>
      </c>
      <c r="CC269" s="39" t="str">
        <f t="shared" si="156"/>
        <v/>
      </c>
      <c r="CD269" s="458" t="str">
        <f t="shared" si="157"/>
        <v/>
      </c>
      <c r="CE269" s="41" t="str">
        <f t="shared" si="158"/>
        <v/>
      </c>
      <c r="CF269" s="39" t="str">
        <f t="shared" si="159"/>
        <v/>
      </c>
      <c r="CG269" s="458" t="str">
        <f t="shared" si="160"/>
        <v/>
      </c>
      <c r="CH269" s="458" t="str">
        <f t="shared" si="161"/>
        <v/>
      </c>
      <c r="CI269" s="458" t="str">
        <f t="shared" si="162"/>
        <v/>
      </c>
      <c r="CJ269" s="458" t="str">
        <f t="shared" si="163"/>
        <v/>
      </c>
      <c r="CK269" s="40" t="str">
        <f t="shared" si="164"/>
        <v/>
      </c>
      <c r="CL269" s="40" t="str">
        <f t="shared" si="165"/>
        <v/>
      </c>
      <c r="CM269" s="40" t="str">
        <f t="shared" si="166"/>
        <v/>
      </c>
      <c r="CN269" s="39" t="str">
        <f t="shared" si="167"/>
        <v/>
      </c>
      <c r="CO269" s="458" t="str">
        <f t="shared" si="168"/>
        <v/>
      </c>
      <c r="CP269" s="458" t="str">
        <f t="shared" si="169"/>
        <v/>
      </c>
      <c r="CQ269" s="458" t="str">
        <f t="shared" si="170"/>
        <v/>
      </c>
      <c r="CR269" s="458" t="str">
        <f t="shared" si="171"/>
        <v/>
      </c>
      <c r="CS269" s="40" t="str">
        <f t="shared" si="172"/>
        <v/>
      </c>
      <c r="CT269" s="40" t="str">
        <f t="shared" si="173"/>
        <v/>
      </c>
      <c r="CU269" s="41" t="str">
        <f t="shared" si="174"/>
        <v/>
      </c>
    </row>
    <row r="270" spans="1:99" x14ac:dyDescent="0.2">
      <c r="A270" s="77">
        <f t="shared" si="175"/>
        <v>265</v>
      </c>
      <c r="B270" s="81"/>
      <c r="C270" s="82"/>
      <c r="D270" s="71"/>
      <c r="E270" s="72"/>
      <c r="F270" s="73"/>
      <c r="G270" s="443"/>
      <c r="H270" s="443"/>
      <c r="I270" s="74"/>
      <c r="J270" s="75"/>
      <c r="K270" s="41">
        <f t="shared" si="144"/>
        <v>3625</v>
      </c>
      <c r="L270" s="104"/>
      <c r="M270" s="105"/>
      <c r="N270" s="106">
        <f t="shared" si="145"/>
        <v>537.05999999999995</v>
      </c>
      <c r="O270" s="104"/>
      <c r="P270" s="105"/>
      <c r="Q270" s="106">
        <f t="shared" si="177"/>
        <v>10045.83</v>
      </c>
      <c r="R270" s="104"/>
      <c r="S270" s="105"/>
      <c r="T270" s="106">
        <f t="shared" si="178"/>
        <v>0</v>
      </c>
      <c r="U270" s="439"/>
      <c r="V270" s="42">
        <f t="shared" si="146"/>
        <v>265</v>
      </c>
      <c r="W270" s="39" t="str">
        <f>IF(AND(E270='Povolené hodnoty'!$B$4,F270=2),I270+L270+O270+R270,"")</f>
        <v/>
      </c>
      <c r="X270" s="41" t="str">
        <f>IF(AND(E270='Povolené hodnoty'!$B$4,F270=1),I270+L270+O270+R270,"")</f>
        <v/>
      </c>
      <c r="Y270" s="39" t="str">
        <f>IF(AND(E270='Povolené hodnoty'!$B$4,F270=10),J270+M270+P270+S270,"")</f>
        <v/>
      </c>
      <c r="Z270" s="41" t="str">
        <f>IF(AND(E270='Povolené hodnoty'!$B$4,F270=9),J270+M270+P270+S270,"")</f>
        <v/>
      </c>
      <c r="AA270" s="39" t="str">
        <f>IF(AND(E270&lt;&gt;'Povolené hodnoty'!$B$4,F270=2),I270+L270+O270+R270,"")</f>
        <v/>
      </c>
      <c r="AB270" s="40" t="str">
        <f>IF(AND(E270&lt;&gt;'Povolené hodnoty'!$B$4,F270=3),I270+L270+O270+R270,"")</f>
        <v/>
      </c>
      <c r="AC270" s="40" t="str">
        <f>IF(AND(E270&lt;&gt;'Povolené hodnoty'!$B$4,F270=4),I270+L270+O270+R270,"")</f>
        <v/>
      </c>
      <c r="AD270" s="40" t="str">
        <f>IF(AND(E270&lt;&gt;'Povolené hodnoty'!$B$4,F270="5a"),I270-J270+L270-M270+O270-P270+R270-S270,"")</f>
        <v/>
      </c>
      <c r="AE270" s="40" t="str">
        <f>IF(AND(E270&lt;&gt;'Povolené hodnoty'!$B$4,F270="5b"),I270-J270+L270-M270+O270-P270+R270-S270,"")</f>
        <v/>
      </c>
      <c r="AF270" s="40" t="str">
        <f>IF(AND(E270&lt;&gt;'Povolené hodnoty'!$B$4,F270=6),I270+L270+O270+R270,"")</f>
        <v/>
      </c>
      <c r="AG270" s="41" t="str">
        <f>IF(AND(E270&lt;&gt;'Povolené hodnoty'!$B$4,F270=7),I270+L270+O270+R270,"")</f>
        <v/>
      </c>
      <c r="AH270" s="39" t="str">
        <f>IF(AND(E270&lt;&gt;'Povolené hodnoty'!$B$4,F270=10),J270+M270+P270+S270,"")</f>
        <v/>
      </c>
      <c r="AI270" s="40" t="str">
        <f>IF(AND(E270&lt;&gt;'Povolené hodnoty'!$B$4,F270=11),J270+M270+P270+S270,"")</f>
        <v/>
      </c>
      <c r="AJ270" s="40" t="str">
        <f>IF(AND(E270&lt;&gt;'Povolené hodnoty'!$B$4,F270=12),J270+M270+P270+S270,"")</f>
        <v/>
      </c>
      <c r="AK270" s="41" t="str">
        <f>IF(AND(E270&lt;&gt;'Povolené hodnoty'!$B$4,F270=13),J270+M270+P270+S270,"")</f>
        <v/>
      </c>
      <c r="AL270" s="39" t="str">
        <f>IF(AND($G270='Povolené hodnoty'!$B$13,$H270=AL$4),SUM($I270,$L270,$O270,$R270),"")</f>
        <v/>
      </c>
      <c r="AM270" s="458" t="str">
        <f>IF(AND($G270='Povolené hodnoty'!$B$13,$H270=AM$4),SUM($I270,$L270,$O270,$R270),"")</f>
        <v/>
      </c>
      <c r="AN270" s="458" t="str">
        <f>IF(AND($G270='Povolené hodnoty'!$B$13,$H270=AN$4),SUM($I270,$L270,$O270,$R270),"")</f>
        <v/>
      </c>
      <c r="AO270" s="458" t="str">
        <f>IF(AND($G270='Povolené hodnoty'!$B$13,$H270=AO$4),SUM($I270,$L270,$O270,$R270),"")</f>
        <v/>
      </c>
      <c r="AP270" s="458" t="str">
        <f>IF(AND($G270='Povolené hodnoty'!$B$13,$H270=AP$4),SUM($I270,$L270,$O270,$R270),"")</f>
        <v/>
      </c>
      <c r="AQ270" s="40" t="str">
        <f>IF(AND($G270='Povolené hodnoty'!$B$13,OR($H270=AQ$4,$H270='Povolené hodnoty'!$E$36)),SUM($I270,-$J270,$L270,-$M270,$O270,-$P270,$R270,-$S270),"")</f>
        <v/>
      </c>
      <c r="AR270" s="40" t="str">
        <f>IF(AND($G270='Povolené hodnoty'!$B$13,$H270=AR$4),SUM($I270,$L270,$O270,$R270),"")</f>
        <v/>
      </c>
      <c r="AS270" s="41" t="str">
        <f>IF(AND($G270='Povolené hodnoty'!$B$13,$H270=AS$4),SUM($I270,$L270,$O270,$R270),"")</f>
        <v/>
      </c>
      <c r="AT270" s="39" t="str">
        <f>IF(AND($G270='Povolené hodnoty'!$B$14,$H270=AT$4),SUM($I270,$L270,$O270,$R270),"")</f>
        <v/>
      </c>
      <c r="AU270" s="458" t="str">
        <f>IF(AND($G270='Povolené hodnoty'!$B$14,$H270=AU$4),SUM($I270,$L270,$O270,$R270),"")</f>
        <v/>
      </c>
      <c r="AV270" s="41" t="str">
        <f>IF(AND($G270='Povolené hodnoty'!$B$14,$H270=AV$4),SUM($I270,$L270,$O270,$R270),"")</f>
        <v/>
      </c>
      <c r="AW270" s="39" t="str">
        <f>IF(AND($G270='Povolené hodnoty'!$B$13,$H270=AW$4),SUM($J270,$M270,$P270,$S270),"")</f>
        <v/>
      </c>
      <c r="AX270" s="458" t="str">
        <f>IF(AND($G270='Povolené hodnoty'!$B$13,$H270=AX$4),SUM($J270,$M270,$P270,$S270),"")</f>
        <v/>
      </c>
      <c r="AY270" s="458" t="str">
        <f>IF(AND($G270='Povolené hodnoty'!$B$13,$H270=AY$4),SUM($J270,$M270,$P270,$S270),"")</f>
        <v/>
      </c>
      <c r="AZ270" s="458" t="str">
        <f>IF(AND($G270='Povolené hodnoty'!$B$13,$H270=AZ$4),SUM($J270,$M270,$P270,$S270),"")</f>
        <v/>
      </c>
      <c r="BA270" s="458" t="str">
        <f>IF(AND($G270='Povolené hodnoty'!$B$13,$H270=BA$4),SUM($J270,$M270,$P270,$S270),"")</f>
        <v/>
      </c>
      <c r="BB270" s="40" t="str">
        <f>IF(AND($G270='Povolené hodnoty'!$B$13,$H270=BB$4),SUM($J270,$M270,$P270,$S270),"")</f>
        <v/>
      </c>
      <c r="BC270" s="40" t="str">
        <f>IF(AND($G270='Povolené hodnoty'!$B$13,$H270=BC$4),SUM($J270,$M270,$P270,$S270),"")</f>
        <v/>
      </c>
      <c r="BD270" s="40" t="str">
        <f>IF(AND($G270='Povolené hodnoty'!$B$13,$H270=BD$4),SUM($J270,$M270,$P270,$S270),"")</f>
        <v/>
      </c>
      <c r="BE270" s="41" t="str">
        <f>IF(AND($G270='Povolené hodnoty'!$B$13,$H270=BE$4),SUM($J270,$M270,$P270,$S270),"")</f>
        <v/>
      </c>
      <c r="BF270" s="39" t="str">
        <f>IF(AND($G270='Povolené hodnoty'!$B$14,$H270=BF$4),SUM($J270,$M270,$P270,$S270),"")</f>
        <v/>
      </c>
      <c r="BG270" s="458" t="str">
        <f>IF(AND($G270='Povolené hodnoty'!$B$14,$H270=BG$4),SUM($J270,$M270,$P270,$S270),"")</f>
        <v/>
      </c>
      <c r="BH270" s="458" t="str">
        <f>IF(AND($G270='Povolené hodnoty'!$B$14,$H270=BH$4),SUM($J270,$M270,$P270,$S270),"")</f>
        <v/>
      </c>
      <c r="BI270" s="458" t="str">
        <f>IF(AND($G270='Povolené hodnoty'!$B$14,$H270=BI$4),SUM($J270,$M270,$P270,$S270),"")</f>
        <v/>
      </c>
      <c r="BJ270" s="458" t="str">
        <f>IF(AND($G270='Povolené hodnoty'!$B$14,$H270=BJ$4),SUM($J270,$M270,$P270,$S270),"")</f>
        <v/>
      </c>
      <c r="BK270" s="40" t="str">
        <f>IF(AND($G270='Povolené hodnoty'!$B$14,$H270=BK$4),SUM($J270,$M270,$P270,$S270),"")</f>
        <v/>
      </c>
      <c r="BL270" s="40" t="str">
        <f>IF(AND($G270='Povolené hodnoty'!$B$14,$H270=BL$4),SUM($J270,$M270,$P270,$S270),"")</f>
        <v/>
      </c>
      <c r="BM270" s="41" t="str">
        <f>IF(AND($G270='Povolené hodnoty'!$B$14,$H270=BM$4),SUM($J270,$M270,$P270,$S270),"")</f>
        <v/>
      </c>
      <c r="BO270" s="18" t="b">
        <f t="shared" si="176"/>
        <v>0</v>
      </c>
      <c r="BP270" s="18" t="b">
        <f t="shared" si="147"/>
        <v>0</v>
      </c>
      <c r="BQ270" s="18" t="b">
        <f>AND(E270&lt;&gt;'Povolené hodnoty'!$B$6,F270&lt;&gt;'Povolené hodnoty'!$D$7,F270&lt;&gt;'Povolené hodnoty'!$D$8,OR(SUM(I270,L270,O270,R270)&lt;&gt;SUM(W270:X270,AA270:AG270),SUM(J270,M270,P270,S270)&lt;&gt;SUM(Y270:Z270,AH270:AK270),COUNT(I270:J270,L270:M270,O270:P270,R270:S270)&lt;&gt;COUNT(W270:AK270)))</f>
        <v>0</v>
      </c>
      <c r="BR270" s="18" t="b">
        <f>OR(AND(E270='Povolené hodnoty'!$B$6,$BR$5),AND(E270='Povolené hodnoty'!$B$6,H270&lt;&gt;'Povolené hodnoty'!$E$26,H270&lt;&gt;'Povolené hodnoty'!$E$35),AND(E270&lt;&gt;'Povolené hodnoty'!$B$6,OR(H270='Povolené hodnoty'!$E$26,H270='Povolené hodnoty'!$E$35)))</f>
        <v>0</v>
      </c>
      <c r="BS270" s="18" t="b">
        <f>OR(AND(G270&lt;&gt;'Povolené hodnoty'!$B$13,OR(H270='Povolené hodnoty'!$E$21,H270='Povolené hodnoty'!$E$22,H270='Povolené hodnoty'!$E$23,H270='Povolené hodnoty'!$E$24,H270='Povolené hodnoty'!$E$26,H270='Povolené hodnoty'!$E$36)),COUNT(I270:J270,L270:M270,O270:P270,R270:S270)&lt;&gt;COUNT(AL270:BM270))</f>
        <v>0</v>
      </c>
      <c r="BT270" s="18" t="b">
        <f t="shared" si="148"/>
        <v>0</v>
      </c>
      <c r="BV270" s="39" t="str">
        <f t="shared" si="149"/>
        <v/>
      </c>
      <c r="BW270" s="458" t="str">
        <f t="shared" si="150"/>
        <v/>
      </c>
      <c r="BX270" s="458" t="str">
        <f t="shared" si="151"/>
        <v/>
      </c>
      <c r="BY270" s="458" t="str">
        <f t="shared" si="152"/>
        <v/>
      </c>
      <c r="BZ270" s="458" t="str">
        <f t="shared" si="153"/>
        <v/>
      </c>
      <c r="CA270" s="40" t="str">
        <f t="shared" si="154"/>
        <v/>
      </c>
      <c r="CB270" s="40" t="str">
        <f t="shared" si="155"/>
        <v/>
      </c>
      <c r="CC270" s="39" t="str">
        <f t="shared" si="156"/>
        <v/>
      </c>
      <c r="CD270" s="458" t="str">
        <f t="shared" si="157"/>
        <v/>
      </c>
      <c r="CE270" s="41" t="str">
        <f t="shared" si="158"/>
        <v/>
      </c>
      <c r="CF270" s="39" t="str">
        <f t="shared" si="159"/>
        <v/>
      </c>
      <c r="CG270" s="458" t="str">
        <f t="shared" si="160"/>
        <v/>
      </c>
      <c r="CH270" s="458" t="str">
        <f t="shared" si="161"/>
        <v/>
      </c>
      <c r="CI270" s="458" t="str">
        <f t="shared" si="162"/>
        <v/>
      </c>
      <c r="CJ270" s="458" t="str">
        <f t="shared" si="163"/>
        <v/>
      </c>
      <c r="CK270" s="40" t="str">
        <f t="shared" si="164"/>
        <v/>
      </c>
      <c r="CL270" s="40" t="str">
        <f t="shared" si="165"/>
        <v/>
      </c>
      <c r="CM270" s="40" t="str">
        <f t="shared" si="166"/>
        <v/>
      </c>
      <c r="CN270" s="39" t="str">
        <f t="shared" si="167"/>
        <v/>
      </c>
      <c r="CO270" s="458" t="str">
        <f t="shared" si="168"/>
        <v/>
      </c>
      <c r="CP270" s="458" t="str">
        <f t="shared" si="169"/>
        <v/>
      </c>
      <c r="CQ270" s="458" t="str">
        <f t="shared" si="170"/>
        <v/>
      </c>
      <c r="CR270" s="458" t="str">
        <f t="shared" si="171"/>
        <v/>
      </c>
      <c r="CS270" s="40" t="str">
        <f t="shared" si="172"/>
        <v/>
      </c>
      <c r="CT270" s="40" t="str">
        <f t="shared" si="173"/>
        <v/>
      </c>
      <c r="CU270" s="41" t="str">
        <f t="shared" si="174"/>
        <v/>
      </c>
    </row>
    <row r="271" spans="1:99" x14ac:dyDescent="0.2">
      <c r="A271" s="77">
        <f t="shared" si="175"/>
        <v>266</v>
      </c>
      <c r="B271" s="81"/>
      <c r="C271" s="82"/>
      <c r="D271" s="71"/>
      <c r="E271" s="72"/>
      <c r="F271" s="73"/>
      <c r="G271" s="443"/>
      <c r="H271" s="443"/>
      <c r="I271" s="74"/>
      <c r="J271" s="75"/>
      <c r="K271" s="41">
        <f t="shared" si="144"/>
        <v>3625</v>
      </c>
      <c r="L271" s="104"/>
      <c r="M271" s="105"/>
      <c r="N271" s="106">
        <f t="shared" si="145"/>
        <v>537.05999999999995</v>
      </c>
      <c r="O271" s="104"/>
      <c r="P271" s="105"/>
      <c r="Q271" s="106">
        <f t="shared" si="177"/>
        <v>10045.83</v>
      </c>
      <c r="R271" s="104"/>
      <c r="S271" s="105"/>
      <c r="T271" s="106">
        <f t="shared" si="178"/>
        <v>0</v>
      </c>
      <c r="U271" s="439"/>
      <c r="V271" s="42">
        <f t="shared" si="146"/>
        <v>266</v>
      </c>
      <c r="W271" s="39" t="str">
        <f>IF(AND(E271='Povolené hodnoty'!$B$4,F271=2),I271+L271+O271+R271,"")</f>
        <v/>
      </c>
      <c r="X271" s="41" t="str">
        <f>IF(AND(E271='Povolené hodnoty'!$B$4,F271=1),I271+L271+O271+R271,"")</f>
        <v/>
      </c>
      <c r="Y271" s="39" t="str">
        <f>IF(AND(E271='Povolené hodnoty'!$B$4,F271=10),J271+M271+P271+S271,"")</f>
        <v/>
      </c>
      <c r="Z271" s="41" t="str">
        <f>IF(AND(E271='Povolené hodnoty'!$B$4,F271=9),J271+M271+P271+S271,"")</f>
        <v/>
      </c>
      <c r="AA271" s="39" t="str">
        <f>IF(AND(E271&lt;&gt;'Povolené hodnoty'!$B$4,F271=2),I271+L271+O271+R271,"")</f>
        <v/>
      </c>
      <c r="AB271" s="40" t="str">
        <f>IF(AND(E271&lt;&gt;'Povolené hodnoty'!$B$4,F271=3),I271+L271+O271+R271,"")</f>
        <v/>
      </c>
      <c r="AC271" s="40" t="str">
        <f>IF(AND(E271&lt;&gt;'Povolené hodnoty'!$B$4,F271=4),I271+L271+O271+R271,"")</f>
        <v/>
      </c>
      <c r="AD271" s="40" t="str">
        <f>IF(AND(E271&lt;&gt;'Povolené hodnoty'!$B$4,F271="5a"),I271-J271+L271-M271+O271-P271+R271-S271,"")</f>
        <v/>
      </c>
      <c r="AE271" s="40" t="str">
        <f>IF(AND(E271&lt;&gt;'Povolené hodnoty'!$B$4,F271="5b"),I271-J271+L271-M271+O271-P271+R271-S271,"")</f>
        <v/>
      </c>
      <c r="AF271" s="40" t="str">
        <f>IF(AND(E271&lt;&gt;'Povolené hodnoty'!$B$4,F271=6),I271+L271+O271+R271,"")</f>
        <v/>
      </c>
      <c r="AG271" s="41" t="str">
        <f>IF(AND(E271&lt;&gt;'Povolené hodnoty'!$B$4,F271=7),I271+L271+O271+R271,"")</f>
        <v/>
      </c>
      <c r="AH271" s="39" t="str">
        <f>IF(AND(E271&lt;&gt;'Povolené hodnoty'!$B$4,F271=10),J271+M271+P271+S271,"")</f>
        <v/>
      </c>
      <c r="AI271" s="40" t="str">
        <f>IF(AND(E271&lt;&gt;'Povolené hodnoty'!$B$4,F271=11),J271+M271+P271+S271,"")</f>
        <v/>
      </c>
      <c r="AJ271" s="40" t="str">
        <f>IF(AND(E271&lt;&gt;'Povolené hodnoty'!$B$4,F271=12),J271+M271+P271+S271,"")</f>
        <v/>
      </c>
      <c r="AK271" s="41" t="str">
        <f>IF(AND(E271&lt;&gt;'Povolené hodnoty'!$B$4,F271=13),J271+M271+P271+S271,"")</f>
        <v/>
      </c>
      <c r="AL271" s="39" t="str">
        <f>IF(AND($G271='Povolené hodnoty'!$B$13,$H271=AL$4),SUM($I271,$L271,$O271,$R271),"")</f>
        <v/>
      </c>
      <c r="AM271" s="458" t="str">
        <f>IF(AND($G271='Povolené hodnoty'!$B$13,$H271=AM$4),SUM($I271,$L271,$O271,$R271),"")</f>
        <v/>
      </c>
      <c r="AN271" s="458" t="str">
        <f>IF(AND($G271='Povolené hodnoty'!$B$13,$H271=AN$4),SUM($I271,$L271,$O271,$R271),"")</f>
        <v/>
      </c>
      <c r="AO271" s="458" t="str">
        <f>IF(AND($G271='Povolené hodnoty'!$B$13,$H271=AO$4),SUM($I271,$L271,$O271,$R271),"")</f>
        <v/>
      </c>
      <c r="AP271" s="458" t="str">
        <f>IF(AND($G271='Povolené hodnoty'!$B$13,$H271=AP$4),SUM($I271,$L271,$O271,$R271),"")</f>
        <v/>
      </c>
      <c r="AQ271" s="40" t="str">
        <f>IF(AND($G271='Povolené hodnoty'!$B$13,OR($H271=AQ$4,$H271='Povolené hodnoty'!$E$36)),SUM($I271,-$J271,$L271,-$M271,$O271,-$P271,$R271,-$S271),"")</f>
        <v/>
      </c>
      <c r="AR271" s="40" t="str">
        <f>IF(AND($G271='Povolené hodnoty'!$B$13,$H271=AR$4),SUM($I271,$L271,$O271,$R271),"")</f>
        <v/>
      </c>
      <c r="AS271" s="41" t="str">
        <f>IF(AND($G271='Povolené hodnoty'!$B$13,$H271=AS$4),SUM($I271,$L271,$O271,$R271),"")</f>
        <v/>
      </c>
      <c r="AT271" s="39" t="str">
        <f>IF(AND($G271='Povolené hodnoty'!$B$14,$H271=AT$4),SUM($I271,$L271,$O271,$R271),"")</f>
        <v/>
      </c>
      <c r="AU271" s="458" t="str">
        <f>IF(AND($G271='Povolené hodnoty'!$B$14,$H271=AU$4),SUM($I271,$L271,$O271,$R271),"")</f>
        <v/>
      </c>
      <c r="AV271" s="41" t="str">
        <f>IF(AND($G271='Povolené hodnoty'!$B$14,$H271=AV$4),SUM($I271,$L271,$O271,$R271),"")</f>
        <v/>
      </c>
      <c r="AW271" s="39" t="str">
        <f>IF(AND($G271='Povolené hodnoty'!$B$13,$H271=AW$4),SUM($J271,$M271,$P271,$S271),"")</f>
        <v/>
      </c>
      <c r="AX271" s="458" t="str">
        <f>IF(AND($G271='Povolené hodnoty'!$B$13,$H271=AX$4),SUM($J271,$M271,$P271,$S271),"")</f>
        <v/>
      </c>
      <c r="AY271" s="458" t="str">
        <f>IF(AND($G271='Povolené hodnoty'!$B$13,$H271=AY$4),SUM($J271,$M271,$P271,$S271),"")</f>
        <v/>
      </c>
      <c r="AZ271" s="458" t="str">
        <f>IF(AND($G271='Povolené hodnoty'!$B$13,$H271=AZ$4),SUM($J271,$M271,$P271,$S271),"")</f>
        <v/>
      </c>
      <c r="BA271" s="458" t="str">
        <f>IF(AND($G271='Povolené hodnoty'!$B$13,$H271=BA$4),SUM($J271,$M271,$P271,$S271),"")</f>
        <v/>
      </c>
      <c r="BB271" s="40" t="str">
        <f>IF(AND($G271='Povolené hodnoty'!$B$13,$H271=BB$4),SUM($J271,$M271,$P271,$S271),"")</f>
        <v/>
      </c>
      <c r="BC271" s="40" t="str">
        <f>IF(AND($G271='Povolené hodnoty'!$B$13,$H271=BC$4),SUM($J271,$M271,$P271,$S271),"")</f>
        <v/>
      </c>
      <c r="BD271" s="40" t="str">
        <f>IF(AND($G271='Povolené hodnoty'!$B$13,$H271=BD$4),SUM($J271,$M271,$P271,$S271),"")</f>
        <v/>
      </c>
      <c r="BE271" s="41" t="str">
        <f>IF(AND($G271='Povolené hodnoty'!$B$13,$H271=BE$4),SUM($J271,$M271,$P271,$S271),"")</f>
        <v/>
      </c>
      <c r="BF271" s="39" t="str">
        <f>IF(AND($G271='Povolené hodnoty'!$B$14,$H271=BF$4),SUM($J271,$M271,$P271,$S271),"")</f>
        <v/>
      </c>
      <c r="BG271" s="458" t="str">
        <f>IF(AND($G271='Povolené hodnoty'!$B$14,$H271=BG$4),SUM($J271,$M271,$P271,$S271),"")</f>
        <v/>
      </c>
      <c r="BH271" s="458" t="str">
        <f>IF(AND($G271='Povolené hodnoty'!$B$14,$H271=BH$4),SUM($J271,$M271,$P271,$S271),"")</f>
        <v/>
      </c>
      <c r="BI271" s="458" t="str">
        <f>IF(AND($G271='Povolené hodnoty'!$B$14,$H271=BI$4),SUM($J271,$M271,$P271,$S271),"")</f>
        <v/>
      </c>
      <c r="BJ271" s="458" t="str">
        <f>IF(AND($G271='Povolené hodnoty'!$B$14,$H271=BJ$4),SUM($J271,$M271,$P271,$S271),"")</f>
        <v/>
      </c>
      <c r="BK271" s="40" t="str">
        <f>IF(AND($G271='Povolené hodnoty'!$B$14,$H271=BK$4),SUM($J271,$M271,$P271,$S271),"")</f>
        <v/>
      </c>
      <c r="BL271" s="40" t="str">
        <f>IF(AND($G271='Povolené hodnoty'!$B$14,$H271=BL$4),SUM($J271,$M271,$P271,$S271),"")</f>
        <v/>
      </c>
      <c r="BM271" s="41" t="str">
        <f>IF(AND($G271='Povolené hodnoty'!$B$14,$H271=BM$4),SUM($J271,$M271,$P271,$S271),"")</f>
        <v/>
      </c>
      <c r="BO271" s="18" t="b">
        <f t="shared" si="176"/>
        <v>0</v>
      </c>
      <c r="BP271" s="18" t="b">
        <f t="shared" si="147"/>
        <v>0</v>
      </c>
      <c r="BQ271" s="18" t="b">
        <f>AND(E271&lt;&gt;'Povolené hodnoty'!$B$6,F271&lt;&gt;'Povolené hodnoty'!$D$7,F271&lt;&gt;'Povolené hodnoty'!$D$8,OR(SUM(I271,L271,O271,R271)&lt;&gt;SUM(W271:X271,AA271:AG271),SUM(J271,M271,P271,S271)&lt;&gt;SUM(Y271:Z271,AH271:AK271),COUNT(I271:J271,L271:M271,O271:P271,R271:S271)&lt;&gt;COUNT(W271:AK271)))</f>
        <v>0</v>
      </c>
      <c r="BR271" s="18" t="b">
        <f>OR(AND(E271='Povolené hodnoty'!$B$6,$BR$5),AND(E271='Povolené hodnoty'!$B$6,H271&lt;&gt;'Povolené hodnoty'!$E$26,H271&lt;&gt;'Povolené hodnoty'!$E$35),AND(E271&lt;&gt;'Povolené hodnoty'!$B$6,OR(H271='Povolené hodnoty'!$E$26,H271='Povolené hodnoty'!$E$35)))</f>
        <v>0</v>
      </c>
      <c r="BS271" s="18" t="b">
        <f>OR(AND(G271&lt;&gt;'Povolené hodnoty'!$B$13,OR(H271='Povolené hodnoty'!$E$21,H271='Povolené hodnoty'!$E$22,H271='Povolené hodnoty'!$E$23,H271='Povolené hodnoty'!$E$24,H271='Povolené hodnoty'!$E$26,H271='Povolené hodnoty'!$E$36)),COUNT(I271:J271,L271:M271,O271:P271,R271:S271)&lt;&gt;COUNT(AL271:BM271))</f>
        <v>0</v>
      </c>
      <c r="BT271" s="18" t="b">
        <f t="shared" si="148"/>
        <v>0</v>
      </c>
      <c r="BV271" s="39" t="str">
        <f t="shared" si="149"/>
        <v/>
      </c>
      <c r="BW271" s="458" t="str">
        <f t="shared" si="150"/>
        <v/>
      </c>
      <c r="BX271" s="458" t="str">
        <f t="shared" si="151"/>
        <v/>
      </c>
      <c r="BY271" s="458" t="str">
        <f t="shared" si="152"/>
        <v/>
      </c>
      <c r="BZ271" s="458" t="str">
        <f t="shared" si="153"/>
        <v/>
      </c>
      <c r="CA271" s="40" t="str">
        <f t="shared" si="154"/>
        <v/>
      </c>
      <c r="CB271" s="40" t="str">
        <f t="shared" si="155"/>
        <v/>
      </c>
      <c r="CC271" s="39" t="str">
        <f t="shared" si="156"/>
        <v/>
      </c>
      <c r="CD271" s="458" t="str">
        <f t="shared" si="157"/>
        <v/>
      </c>
      <c r="CE271" s="41" t="str">
        <f t="shared" si="158"/>
        <v/>
      </c>
      <c r="CF271" s="39" t="str">
        <f t="shared" si="159"/>
        <v/>
      </c>
      <c r="CG271" s="458" t="str">
        <f t="shared" si="160"/>
        <v/>
      </c>
      <c r="CH271" s="458" t="str">
        <f t="shared" si="161"/>
        <v/>
      </c>
      <c r="CI271" s="458" t="str">
        <f t="shared" si="162"/>
        <v/>
      </c>
      <c r="CJ271" s="458" t="str">
        <f t="shared" si="163"/>
        <v/>
      </c>
      <c r="CK271" s="40" t="str">
        <f t="shared" si="164"/>
        <v/>
      </c>
      <c r="CL271" s="40" t="str">
        <f t="shared" si="165"/>
        <v/>
      </c>
      <c r="CM271" s="40" t="str">
        <f t="shared" si="166"/>
        <v/>
      </c>
      <c r="CN271" s="39" t="str">
        <f t="shared" si="167"/>
        <v/>
      </c>
      <c r="CO271" s="458" t="str">
        <f t="shared" si="168"/>
        <v/>
      </c>
      <c r="CP271" s="458" t="str">
        <f t="shared" si="169"/>
        <v/>
      </c>
      <c r="CQ271" s="458" t="str">
        <f t="shared" si="170"/>
        <v/>
      </c>
      <c r="CR271" s="458" t="str">
        <f t="shared" si="171"/>
        <v/>
      </c>
      <c r="CS271" s="40" t="str">
        <f t="shared" si="172"/>
        <v/>
      </c>
      <c r="CT271" s="40" t="str">
        <f t="shared" si="173"/>
        <v/>
      </c>
      <c r="CU271" s="41" t="str">
        <f t="shared" si="174"/>
        <v/>
      </c>
    </row>
    <row r="272" spans="1:99" x14ac:dyDescent="0.2">
      <c r="A272" s="77">
        <f t="shared" si="175"/>
        <v>267</v>
      </c>
      <c r="B272" s="81"/>
      <c r="C272" s="82"/>
      <c r="D272" s="71"/>
      <c r="E272" s="72"/>
      <c r="F272" s="73"/>
      <c r="G272" s="443"/>
      <c r="H272" s="443"/>
      <c r="I272" s="74"/>
      <c r="J272" s="75"/>
      <c r="K272" s="41">
        <f t="shared" si="144"/>
        <v>3625</v>
      </c>
      <c r="L272" s="104"/>
      <c r="M272" s="105"/>
      <c r="N272" s="106">
        <f t="shared" si="145"/>
        <v>537.05999999999995</v>
      </c>
      <c r="O272" s="104"/>
      <c r="P272" s="105"/>
      <c r="Q272" s="106">
        <f t="shared" si="177"/>
        <v>10045.83</v>
      </c>
      <c r="R272" s="104"/>
      <c r="S272" s="105"/>
      <c r="T272" s="106">
        <f t="shared" si="178"/>
        <v>0</v>
      </c>
      <c r="U272" s="439"/>
      <c r="V272" s="42">
        <f t="shared" si="146"/>
        <v>267</v>
      </c>
      <c r="W272" s="39" t="str">
        <f>IF(AND(E272='Povolené hodnoty'!$B$4,F272=2),I272+L272+O272+R272,"")</f>
        <v/>
      </c>
      <c r="X272" s="41" t="str">
        <f>IF(AND(E272='Povolené hodnoty'!$B$4,F272=1),I272+L272+O272+R272,"")</f>
        <v/>
      </c>
      <c r="Y272" s="39" t="str">
        <f>IF(AND(E272='Povolené hodnoty'!$B$4,F272=10),J272+M272+P272+S272,"")</f>
        <v/>
      </c>
      <c r="Z272" s="41" t="str">
        <f>IF(AND(E272='Povolené hodnoty'!$B$4,F272=9),J272+M272+P272+S272,"")</f>
        <v/>
      </c>
      <c r="AA272" s="39" t="str">
        <f>IF(AND(E272&lt;&gt;'Povolené hodnoty'!$B$4,F272=2),I272+L272+O272+R272,"")</f>
        <v/>
      </c>
      <c r="AB272" s="40" t="str">
        <f>IF(AND(E272&lt;&gt;'Povolené hodnoty'!$B$4,F272=3),I272+L272+O272+R272,"")</f>
        <v/>
      </c>
      <c r="AC272" s="40" t="str">
        <f>IF(AND(E272&lt;&gt;'Povolené hodnoty'!$B$4,F272=4),I272+L272+O272+R272,"")</f>
        <v/>
      </c>
      <c r="AD272" s="40" t="str">
        <f>IF(AND(E272&lt;&gt;'Povolené hodnoty'!$B$4,F272="5a"),I272-J272+L272-M272+O272-P272+R272-S272,"")</f>
        <v/>
      </c>
      <c r="AE272" s="40" t="str">
        <f>IF(AND(E272&lt;&gt;'Povolené hodnoty'!$B$4,F272="5b"),I272-J272+L272-M272+O272-P272+R272-S272,"")</f>
        <v/>
      </c>
      <c r="AF272" s="40" t="str">
        <f>IF(AND(E272&lt;&gt;'Povolené hodnoty'!$B$4,F272=6),I272+L272+O272+R272,"")</f>
        <v/>
      </c>
      <c r="AG272" s="41" t="str">
        <f>IF(AND(E272&lt;&gt;'Povolené hodnoty'!$B$4,F272=7),I272+L272+O272+R272,"")</f>
        <v/>
      </c>
      <c r="AH272" s="39" t="str">
        <f>IF(AND(E272&lt;&gt;'Povolené hodnoty'!$B$4,F272=10),J272+M272+P272+S272,"")</f>
        <v/>
      </c>
      <c r="AI272" s="40" t="str">
        <f>IF(AND(E272&lt;&gt;'Povolené hodnoty'!$B$4,F272=11),J272+M272+P272+S272,"")</f>
        <v/>
      </c>
      <c r="AJ272" s="40" t="str">
        <f>IF(AND(E272&lt;&gt;'Povolené hodnoty'!$B$4,F272=12),J272+M272+P272+S272,"")</f>
        <v/>
      </c>
      <c r="AK272" s="41" t="str">
        <f>IF(AND(E272&lt;&gt;'Povolené hodnoty'!$B$4,F272=13),J272+M272+P272+S272,"")</f>
        <v/>
      </c>
      <c r="AL272" s="39" t="str">
        <f>IF(AND($G272='Povolené hodnoty'!$B$13,$H272=AL$4),SUM($I272,$L272,$O272,$R272),"")</f>
        <v/>
      </c>
      <c r="AM272" s="458" t="str">
        <f>IF(AND($G272='Povolené hodnoty'!$B$13,$H272=AM$4),SUM($I272,$L272,$O272,$R272),"")</f>
        <v/>
      </c>
      <c r="AN272" s="458" t="str">
        <f>IF(AND($G272='Povolené hodnoty'!$B$13,$H272=AN$4),SUM($I272,$L272,$O272,$R272),"")</f>
        <v/>
      </c>
      <c r="AO272" s="458" t="str">
        <f>IF(AND($G272='Povolené hodnoty'!$B$13,$H272=AO$4),SUM($I272,$L272,$O272,$R272),"")</f>
        <v/>
      </c>
      <c r="AP272" s="458" t="str">
        <f>IF(AND($G272='Povolené hodnoty'!$B$13,$H272=AP$4),SUM($I272,$L272,$O272,$R272),"")</f>
        <v/>
      </c>
      <c r="AQ272" s="40" t="str">
        <f>IF(AND($G272='Povolené hodnoty'!$B$13,OR($H272=AQ$4,$H272='Povolené hodnoty'!$E$36)),SUM($I272,-$J272,$L272,-$M272,$O272,-$P272,$R272,-$S272),"")</f>
        <v/>
      </c>
      <c r="AR272" s="40" t="str">
        <f>IF(AND($G272='Povolené hodnoty'!$B$13,$H272=AR$4),SUM($I272,$L272,$O272,$R272),"")</f>
        <v/>
      </c>
      <c r="AS272" s="41" t="str">
        <f>IF(AND($G272='Povolené hodnoty'!$B$13,$H272=AS$4),SUM($I272,$L272,$O272,$R272),"")</f>
        <v/>
      </c>
      <c r="AT272" s="39" t="str">
        <f>IF(AND($G272='Povolené hodnoty'!$B$14,$H272=AT$4),SUM($I272,$L272,$O272,$R272),"")</f>
        <v/>
      </c>
      <c r="AU272" s="458" t="str">
        <f>IF(AND($G272='Povolené hodnoty'!$B$14,$H272=AU$4),SUM($I272,$L272,$O272,$R272),"")</f>
        <v/>
      </c>
      <c r="AV272" s="41" t="str">
        <f>IF(AND($G272='Povolené hodnoty'!$B$14,$H272=AV$4),SUM($I272,$L272,$O272,$R272),"")</f>
        <v/>
      </c>
      <c r="AW272" s="39" t="str">
        <f>IF(AND($G272='Povolené hodnoty'!$B$13,$H272=AW$4),SUM($J272,$M272,$P272,$S272),"")</f>
        <v/>
      </c>
      <c r="AX272" s="458" t="str">
        <f>IF(AND($G272='Povolené hodnoty'!$B$13,$H272=AX$4),SUM($J272,$M272,$P272,$S272),"")</f>
        <v/>
      </c>
      <c r="AY272" s="458" t="str">
        <f>IF(AND($G272='Povolené hodnoty'!$B$13,$H272=AY$4),SUM($J272,$M272,$P272,$S272),"")</f>
        <v/>
      </c>
      <c r="AZ272" s="458" t="str">
        <f>IF(AND($G272='Povolené hodnoty'!$B$13,$H272=AZ$4),SUM($J272,$M272,$P272,$S272),"")</f>
        <v/>
      </c>
      <c r="BA272" s="458" t="str">
        <f>IF(AND($G272='Povolené hodnoty'!$B$13,$H272=BA$4),SUM($J272,$M272,$P272,$S272),"")</f>
        <v/>
      </c>
      <c r="BB272" s="40" t="str">
        <f>IF(AND($G272='Povolené hodnoty'!$B$13,$H272=BB$4),SUM($J272,$M272,$P272,$S272),"")</f>
        <v/>
      </c>
      <c r="BC272" s="40" t="str">
        <f>IF(AND($G272='Povolené hodnoty'!$B$13,$H272=BC$4),SUM($J272,$M272,$P272,$S272),"")</f>
        <v/>
      </c>
      <c r="BD272" s="40" t="str">
        <f>IF(AND($G272='Povolené hodnoty'!$B$13,$H272=BD$4),SUM($J272,$M272,$P272,$S272),"")</f>
        <v/>
      </c>
      <c r="BE272" s="41" t="str">
        <f>IF(AND($G272='Povolené hodnoty'!$B$13,$H272=BE$4),SUM($J272,$M272,$P272,$S272),"")</f>
        <v/>
      </c>
      <c r="BF272" s="39" t="str">
        <f>IF(AND($G272='Povolené hodnoty'!$B$14,$H272=BF$4),SUM($J272,$M272,$P272,$S272),"")</f>
        <v/>
      </c>
      <c r="BG272" s="458" t="str">
        <f>IF(AND($G272='Povolené hodnoty'!$B$14,$H272=BG$4),SUM($J272,$M272,$P272,$S272),"")</f>
        <v/>
      </c>
      <c r="BH272" s="458" t="str">
        <f>IF(AND($G272='Povolené hodnoty'!$B$14,$H272=BH$4),SUM($J272,$M272,$P272,$S272),"")</f>
        <v/>
      </c>
      <c r="BI272" s="458" t="str">
        <f>IF(AND($G272='Povolené hodnoty'!$B$14,$H272=BI$4),SUM($J272,$M272,$P272,$S272),"")</f>
        <v/>
      </c>
      <c r="BJ272" s="458" t="str">
        <f>IF(AND($G272='Povolené hodnoty'!$B$14,$H272=BJ$4),SUM($J272,$M272,$P272,$S272),"")</f>
        <v/>
      </c>
      <c r="BK272" s="40" t="str">
        <f>IF(AND($G272='Povolené hodnoty'!$B$14,$H272=BK$4),SUM($J272,$M272,$P272,$S272),"")</f>
        <v/>
      </c>
      <c r="BL272" s="40" t="str">
        <f>IF(AND($G272='Povolené hodnoty'!$B$14,$H272=BL$4),SUM($J272,$M272,$P272,$S272),"")</f>
        <v/>
      </c>
      <c r="BM272" s="41" t="str">
        <f>IF(AND($G272='Povolené hodnoty'!$B$14,$H272=BM$4),SUM($J272,$M272,$P272,$S272),"")</f>
        <v/>
      </c>
      <c r="BO272" s="18" t="b">
        <f t="shared" si="176"/>
        <v>0</v>
      </c>
      <c r="BP272" s="18" t="b">
        <f t="shared" si="147"/>
        <v>0</v>
      </c>
      <c r="BQ272" s="18" t="b">
        <f>AND(E272&lt;&gt;'Povolené hodnoty'!$B$6,F272&lt;&gt;'Povolené hodnoty'!$D$7,F272&lt;&gt;'Povolené hodnoty'!$D$8,OR(SUM(I272,L272,O272,R272)&lt;&gt;SUM(W272:X272,AA272:AG272),SUM(J272,M272,P272,S272)&lt;&gt;SUM(Y272:Z272,AH272:AK272),COUNT(I272:J272,L272:M272,O272:P272,R272:S272)&lt;&gt;COUNT(W272:AK272)))</f>
        <v>0</v>
      </c>
      <c r="BR272" s="18" t="b">
        <f>OR(AND(E272='Povolené hodnoty'!$B$6,$BR$5),AND(E272='Povolené hodnoty'!$B$6,H272&lt;&gt;'Povolené hodnoty'!$E$26,H272&lt;&gt;'Povolené hodnoty'!$E$35),AND(E272&lt;&gt;'Povolené hodnoty'!$B$6,OR(H272='Povolené hodnoty'!$E$26,H272='Povolené hodnoty'!$E$35)))</f>
        <v>0</v>
      </c>
      <c r="BS272" s="18" t="b">
        <f>OR(AND(G272&lt;&gt;'Povolené hodnoty'!$B$13,OR(H272='Povolené hodnoty'!$E$21,H272='Povolené hodnoty'!$E$22,H272='Povolené hodnoty'!$E$23,H272='Povolené hodnoty'!$E$24,H272='Povolené hodnoty'!$E$26,H272='Povolené hodnoty'!$E$36)),COUNT(I272:J272,L272:M272,O272:P272,R272:S272)&lt;&gt;COUNT(AL272:BM272))</f>
        <v>0</v>
      </c>
      <c r="BT272" s="18" t="b">
        <f t="shared" si="148"/>
        <v>0</v>
      </c>
      <c r="BV272" s="39" t="str">
        <f t="shared" si="149"/>
        <v/>
      </c>
      <c r="BW272" s="458" t="str">
        <f t="shared" si="150"/>
        <v/>
      </c>
      <c r="BX272" s="458" t="str">
        <f t="shared" si="151"/>
        <v/>
      </c>
      <c r="BY272" s="458" t="str">
        <f t="shared" si="152"/>
        <v/>
      </c>
      <c r="BZ272" s="458" t="str">
        <f t="shared" si="153"/>
        <v/>
      </c>
      <c r="CA272" s="40" t="str">
        <f t="shared" si="154"/>
        <v/>
      </c>
      <c r="CB272" s="40" t="str">
        <f t="shared" si="155"/>
        <v/>
      </c>
      <c r="CC272" s="39" t="str">
        <f t="shared" si="156"/>
        <v/>
      </c>
      <c r="CD272" s="458" t="str">
        <f t="shared" si="157"/>
        <v/>
      </c>
      <c r="CE272" s="41" t="str">
        <f t="shared" si="158"/>
        <v/>
      </c>
      <c r="CF272" s="39" t="str">
        <f t="shared" si="159"/>
        <v/>
      </c>
      <c r="CG272" s="458" t="str">
        <f t="shared" si="160"/>
        <v/>
      </c>
      <c r="CH272" s="458" t="str">
        <f t="shared" si="161"/>
        <v/>
      </c>
      <c r="CI272" s="458" t="str">
        <f t="shared" si="162"/>
        <v/>
      </c>
      <c r="CJ272" s="458" t="str">
        <f t="shared" si="163"/>
        <v/>
      </c>
      <c r="CK272" s="40" t="str">
        <f t="shared" si="164"/>
        <v/>
      </c>
      <c r="CL272" s="40" t="str">
        <f t="shared" si="165"/>
        <v/>
      </c>
      <c r="CM272" s="40" t="str">
        <f t="shared" si="166"/>
        <v/>
      </c>
      <c r="CN272" s="39" t="str">
        <f t="shared" si="167"/>
        <v/>
      </c>
      <c r="CO272" s="458" t="str">
        <f t="shared" si="168"/>
        <v/>
      </c>
      <c r="CP272" s="458" t="str">
        <f t="shared" si="169"/>
        <v/>
      </c>
      <c r="CQ272" s="458" t="str">
        <f t="shared" si="170"/>
        <v/>
      </c>
      <c r="CR272" s="458" t="str">
        <f t="shared" si="171"/>
        <v/>
      </c>
      <c r="CS272" s="40" t="str">
        <f t="shared" si="172"/>
        <v/>
      </c>
      <c r="CT272" s="40" t="str">
        <f t="shared" si="173"/>
        <v/>
      </c>
      <c r="CU272" s="41" t="str">
        <f t="shared" si="174"/>
        <v/>
      </c>
    </row>
    <row r="273" spans="1:99" x14ac:dyDescent="0.2">
      <c r="A273" s="77">
        <f t="shared" si="175"/>
        <v>268</v>
      </c>
      <c r="B273" s="81"/>
      <c r="C273" s="82"/>
      <c r="D273" s="71"/>
      <c r="E273" s="72"/>
      <c r="F273" s="73"/>
      <c r="G273" s="443"/>
      <c r="H273" s="443"/>
      <c r="I273" s="74"/>
      <c r="J273" s="75"/>
      <c r="K273" s="41">
        <f t="shared" si="144"/>
        <v>3625</v>
      </c>
      <c r="L273" s="104"/>
      <c r="M273" s="105"/>
      <c r="N273" s="106">
        <f t="shared" si="145"/>
        <v>537.05999999999995</v>
      </c>
      <c r="O273" s="104"/>
      <c r="P273" s="105"/>
      <c r="Q273" s="106">
        <f t="shared" si="177"/>
        <v>10045.83</v>
      </c>
      <c r="R273" s="104"/>
      <c r="S273" s="105"/>
      <c r="T273" s="106">
        <f t="shared" si="178"/>
        <v>0</v>
      </c>
      <c r="U273" s="439"/>
      <c r="V273" s="42">
        <f t="shared" si="146"/>
        <v>268</v>
      </c>
      <c r="W273" s="39" t="str">
        <f>IF(AND(E273='Povolené hodnoty'!$B$4,F273=2),I273+L273+O273+R273,"")</f>
        <v/>
      </c>
      <c r="X273" s="41" t="str">
        <f>IF(AND(E273='Povolené hodnoty'!$B$4,F273=1),I273+L273+O273+R273,"")</f>
        <v/>
      </c>
      <c r="Y273" s="39" t="str">
        <f>IF(AND(E273='Povolené hodnoty'!$B$4,F273=10),J273+M273+P273+S273,"")</f>
        <v/>
      </c>
      <c r="Z273" s="41" t="str">
        <f>IF(AND(E273='Povolené hodnoty'!$B$4,F273=9),J273+M273+P273+S273,"")</f>
        <v/>
      </c>
      <c r="AA273" s="39" t="str">
        <f>IF(AND(E273&lt;&gt;'Povolené hodnoty'!$B$4,F273=2),I273+L273+O273+R273,"")</f>
        <v/>
      </c>
      <c r="AB273" s="40" t="str">
        <f>IF(AND(E273&lt;&gt;'Povolené hodnoty'!$B$4,F273=3),I273+L273+O273+R273,"")</f>
        <v/>
      </c>
      <c r="AC273" s="40" t="str">
        <f>IF(AND(E273&lt;&gt;'Povolené hodnoty'!$B$4,F273=4),I273+L273+O273+R273,"")</f>
        <v/>
      </c>
      <c r="AD273" s="40" t="str">
        <f>IF(AND(E273&lt;&gt;'Povolené hodnoty'!$B$4,F273="5a"),I273-J273+L273-M273+O273-P273+R273-S273,"")</f>
        <v/>
      </c>
      <c r="AE273" s="40" t="str">
        <f>IF(AND(E273&lt;&gt;'Povolené hodnoty'!$B$4,F273="5b"),I273-J273+L273-M273+O273-P273+R273-S273,"")</f>
        <v/>
      </c>
      <c r="AF273" s="40" t="str">
        <f>IF(AND(E273&lt;&gt;'Povolené hodnoty'!$B$4,F273=6),I273+L273+O273+R273,"")</f>
        <v/>
      </c>
      <c r="AG273" s="41" t="str">
        <f>IF(AND(E273&lt;&gt;'Povolené hodnoty'!$B$4,F273=7),I273+L273+O273+R273,"")</f>
        <v/>
      </c>
      <c r="AH273" s="39" t="str">
        <f>IF(AND(E273&lt;&gt;'Povolené hodnoty'!$B$4,F273=10),J273+M273+P273+S273,"")</f>
        <v/>
      </c>
      <c r="AI273" s="40" t="str">
        <f>IF(AND(E273&lt;&gt;'Povolené hodnoty'!$B$4,F273=11),J273+M273+P273+S273,"")</f>
        <v/>
      </c>
      <c r="AJ273" s="40" t="str">
        <f>IF(AND(E273&lt;&gt;'Povolené hodnoty'!$B$4,F273=12),J273+M273+P273+S273,"")</f>
        <v/>
      </c>
      <c r="AK273" s="41" t="str">
        <f>IF(AND(E273&lt;&gt;'Povolené hodnoty'!$B$4,F273=13),J273+M273+P273+S273,"")</f>
        <v/>
      </c>
      <c r="AL273" s="39" t="str">
        <f>IF(AND($G273='Povolené hodnoty'!$B$13,$H273=AL$4),SUM($I273,$L273,$O273,$R273),"")</f>
        <v/>
      </c>
      <c r="AM273" s="458" t="str">
        <f>IF(AND($G273='Povolené hodnoty'!$B$13,$H273=AM$4),SUM($I273,$L273,$O273,$R273),"")</f>
        <v/>
      </c>
      <c r="AN273" s="458" t="str">
        <f>IF(AND($G273='Povolené hodnoty'!$B$13,$H273=AN$4),SUM($I273,$L273,$O273,$R273),"")</f>
        <v/>
      </c>
      <c r="AO273" s="458" t="str">
        <f>IF(AND($G273='Povolené hodnoty'!$B$13,$H273=AO$4),SUM($I273,$L273,$O273,$R273),"")</f>
        <v/>
      </c>
      <c r="AP273" s="458" t="str">
        <f>IF(AND($G273='Povolené hodnoty'!$B$13,$H273=AP$4),SUM($I273,$L273,$O273,$R273),"")</f>
        <v/>
      </c>
      <c r="AQ273" s="40" t="str">
        <f>IF(AND($G273='Povolené hodnoty'!$B$13,OR($H273=AQ$4,$H273='Povolené hodnoty'!$E$36)),SUM($I273,-$J273,$L273,-$M273,$O273,-$P273,$R273,-$S273),"")</f>
        <v/>
      </c>
      <c r="AR273" s="40" t="str">
        <f>IF(AND($G273='Povolené hodnoty'!$B$13,$H273=AR$4),SUM($I273,$L273,$O273,$R273),"")</f>
        <v/>
      </c>
      <c r="AS273" s="41" t="str">
        <f>IF(AND($G273='Povolené hodnoty'!$B$13,$H273=AS$4),SUM($I273,$L273,$O273,$R273),"")</f>
        <v/>
      </c>
      <c r="AT273" s="39" t="str">
        <f>IF(AND($G273='Povolené hodnoty'!$B$14,$H273=AT$4),SUM($I273,$L273,$O273,$R273),"")</f>
        <v/>
      </c>
      <c r="AU273" s="458" t="str">
        <f>IF(AND($G273='Povolené hodnoty'!$B$14,$H273=AU$4),SUM($I273,$L273,$O273,$R273),"")</f>
        <v/>
      </c>
      <c r="AV273" s="41" t="str">
        <f>IF(AND($G273='Povolené hodnoty'!$B$14,$H273=AV$4),SUM($I273,$L273,$O273,$R273),"")</f>
        <v/>
      </c>
      <c r="AW273" s="39" t="str">
        <f>IF(AND($G273='Povolené hodnoty'!$B$13,$H273=AW$4),SUM($J273,$M273,$P273,$S273),"")</f>
        <v/>
      </c>
      <c r="AX273" s="458" t="str">
        <f>IF(AND($G273='Povolené hodnoty'!$B$13,$H273=AX$4),SUM($J273,$M273,$P273,$S273),"")</f>
        <v/>
      </c>
      <c r="AY273" s="458" t="str">
        <f>IF(AND($G273='Povolené hodnoty'!$B$13,$H273=AY$4),SUM($J273,$M273,$P273,$S273),"")</f>
        <v/>
      </c>
      <c r="AZ273" s="458" t="str">
        <f>IF(AND($G273='Povolené hodnoty'!$B$13,$H273=AZ$4),SUM($J273,$M273,$P273,$S273),"")</f>
        <v/>
      </c>
      <c r="BA273" s="458" t="str">
        <f>IF(AND($G273='Povolené hodnoty'!$B$13,$H273=BA$4),SUM($J273,$M273,$P273,$S273),"")</f>
        <v/>
      </c>
      <c r="BB273" s="40" t="str">
        <f>IF(AND($G273='Povolené hodnoty'!$B$13,$H273=BB$4),SUM($J273,$M273,$P273,$S273),"")</f>
        <v/>
      </c>
      <c r="BC273" s="40" t="str">
        <f>IF(AND($G273='Povolené hodnoty'!$B$13,$H273=BC$4),SUM($J273,$M273,$P273,$S273),"")</f>
        <v/>
      </c>
      <c r="BD273" s="40" t="str">
        <f>IF(AND($G273='Povolené hodnoty'!$B$13,$H273=BD$4),SUM($J273,$M273,$P273,$S273),"")</f>
        <v/>
      </c>
      <c r="BE273" s="41" t="str">
        <f>IF(AND($G273='Povolené hodnoty'!$B$13,$H273=BE$4),SUM($J273,$M273,$P273,$S273),"")</f>
        <v/>
      </c>
      <c r="BF273" s="39" t="str">
        <f>IF(AND($G273='Povolené hodnoty'!$B$14,$H273=BF$4),SUM($J273,$M273,$P273,$S273),"")</f>
        <v/>
      </c>
      <c r="BG273" s="458" t="str">
        <f>IF(AND($G273='Povolené hodnoty'!$B$14,$H273=BG$4),SUM($J273,$M273,$P273,$S273),"")</f>
        <v/>
      </c>
      <c r="BH273" s="458" t="str">
        <f>IF(AND($G273='Povolené hodnoty'!$B$14,$H273=BH$4),SUM($J273,$M273,$P273,$S273),"")</f>
        <v/>
      </c>
      <c r="BI273" s="458" t="str">
        <f>IF(AND($G273='Povolené hodnoty'!$B$14,$H273=BI$4),SUM($J273,$M273,$P273,$S273),"")</f>
        <v/>
      </c>
      <c r="BJ273" s="458" t="str">
        <f>IF(AND($G273='Povolené hodnoty'!$B$14,$H273=BJ$4),SUM($J273,$M273,$P273,$S273),"")</f>
        <v/>
      </c>
      <c r="BK273" s="40" t="str">
        <f>IF(AND($G273='Povolené hodnoty'!$B$14,$H273=BK$4),SUM($J273,$M273,$P273,$S273),"")</f>
        <v/>
      </c>
      <c r="BL273" s="40" t="str">
        <f>IF(AND($G273='Povolené hodnoty'!$B$14,$H273=BL$4),SUM($J273,$M273,$P273,$S273),"")</f>
        <v/>
      </c>
      <c r="BM273" s="41" t="str">
        <f>IF(AND($G273='Povolené hodnoty'!$B$14,$H273=BM$4),SUM($J273,$M273,$P273,$S273),"")</f>
        <v/>
      </c>
      <c r="BO273" s="18" t="b">
        <f t="shared" si="176"/>
        <v>0</v>
      </c>
      <c r="BP273" s="18" t="b">
        <f t="shared" si="147"/>
        <v>0</v>
      </c>
      <c r="BQ273" s="18" t="b">
        <f>AND(E273&lt;&gt;'Povolené hodnoty'!$B$6,F273&lt;&gt;'Povolené hodnoty'!$D$7,F273&lt;&gt;'Povolené hodnoty'!$D$8,OR(SUM(I273,L273,O273,R273)&lt;&gt;SUM(W273:X273,AA273:AG273),SUM(J273,M273,P273,S273)&lt;&gt;SUM(Y273:Z273,AH273:AK273),COUNT(I273:J273,L273:M273,O273:P273,R273:S273)&lt;&gt;COUNT(W273:AK273)))</f>
        <v>0</v>
      </c>
      <c r="BR273" s="18" t="b">
        <f>OR(AND(E273='Povolené hodnoty'!$B$6,$BR$5),AND(E273='Povolené hodnoty'!$B$6,H273&lt;&gt;'Povolené hodnoty'!$E$26,H273&lt;&gt;'Povolené hodnoty'!$E$35),AND(E273&lt;&gt;'Povolené hodnoty'!$B$6,OR(H273='Povolené hodnoty'!$E$26,H273='Povolené hodnoty'!$E$35)))</f>
        <v>0</v>
      </c>
      <c r="BS273" s="18" t="b">
        <f>OR(AND(G273&lt;&gt;'Povolené hodnoty'!$B$13,OR(H273='Povolené hodnoty'!$E$21,H273='Povolené hodnoty'!$E$22,H273='Povolené hodnoty'!$E$23,H273='Povolené hodnoty'!$E$24,H273='Povolené hodnoty'!$E$26,H273='Povolené hodnoty'!$E$36)),COUNT(I273:J273,L273:M273,O273:P273,R273:S273)&lt;&gt;COUNT(AL273:BM273))</f>
        <v>0</v>
      </c>
      <c r="BT273" s="18" t="b">
        <f t="shared" si="148"/>
        <v>0</v>
      </c>
      <c r="BV273" s="39" t="str">
        <f t="shared" si="149"/>
        <v/>
      </c>
      <c r="BW273" s="458" t="str">
        <f t="shared" si="150"/>
        <v/>
      </c>
      <c r="BX273" s="458" t="str">
        <f t="shared" si="151"/>
        <v/>
      </c>
      <c r="BY273" s="458" t="str">
        <f t="shared" si="152"/>
        <v/>
      </c>
      <c r="BZ273" s="458" t="str">
        <f t="shared" si="153"/>
        <v/>
      </c>
      <c r="CA273" s="40" t="str">
        <f t="shared" si="154"/>
        <v/>
      </c>
      <c r="CB273" s="40" t="str">
        <f t="shared" si="155"/>
        <v/>
      </c>
      <c r="CC273" s="39" t="str">
        <f t="shared" si="156"/>
        <v/>
      </c>
      <c r="CD273" s="458" t="str">
        <f t="shared" si="157"/>
        <v/>
      </c>
      <c r="CE273" s="41" t="str">
        <f t="shared" si="158"/>
        <v/>
      </c>
      <c r="CF273" s="39" t="str">
        <f t="shared" si="159"/>
        <v/>
      </c>
      <c r="CG273" s="458" t="str">
        <f t="shared" si="160"/>
        <v/>
      </c>
      <c r="CH273" s="458" t="str">
        <f t="shared" si="161"/>
        <v/>
      </c>
      <c r="CI273" s="458" t="str">
        <f t="shared" si="162"/>
        <v/>
      </c>
      <c r="CJ273" s="458" t="str">
        <f t="shared" si="163"/>
        <v/>
      </c>
      <c r="CK273" s="40" t="str">
        <f t="shared" si="164"/>
        <v/>
      </c>
      <c r="CL273" s="40" t="str">
        <f t="shared" si="165"/>
        <v/>
      </c>
      <c r="CM273" s="40" t="str">
        <f t="shared" si="166"/>
        <v/>
      </c>
      <c r="CN273" s="39" t="str">
        <f t="shared" si="167"/>
        <v/>
      </c>
      <c r="CO273" s="458" t="str">
        <f t="shared" si="168"/>
        <v/>
      </c>
      <c r="CP273" s="458" t="str">
        <f t="shared" si="169"/>
        <v/>
      </c>
      <c r="CQ273" s="458" t="str">
        <f t="shared" si="170"/>
        <v/>
      </c>
      <c r="CR273" s="458" t="str">
        <f t="shared" si="171"/>
        <v/>
      </c>
      <c r="CS273" s="40" t="str">
        <f t="shared" si="172"/>
        <v/>
      </c>
      <c r="CT273" s="40" t="str">
        <f t="shared" si="173"/>
        <v/>
      </c>
      <c r="CU273" s="41" t="str">
        <f t="shared" si="174"/>
        <v/>
      </c>
    </row>
    <row r="274" spans="1:99" x14ac:dyDescent="0.2">
      <c r="A274" s="77">
        <f t="shared" si="175"/>
        <v>269</v>
      </c>
      <c r="B274" s="81"/>
      <c r="C274" s="82"/>
      <c r="D274" s="71"/>
      <c r="E274" s="72"/>
      <c r="F274" s="73"/>
      <c r="G274" s="443"/>
      <c r="H274" s="443"/>
      <c r="I274" s="74"/>
      <c r="J274" s="75"/>
      <c r="K274" s="41">
        <f t="shared" si="144"/>
        <v>3625</v>
      </c>
      <c r="L274" s="104"/>
      <c r="M274" s="105"/>
      <c r="N274" s="106">
        <f t="shared" si="145"/>
        <v>537.05999999999995</v>
      </c>
      <c r="O274" s="104"/>
      <c r="P274" s="105"/>
      <c r="Q274" s="106">
        <f t="shared" si="177"/>
        <v>10045.83</v>
      </c>
      <c r="R274" s="104"/>
      <c r="S274" s="105"/>
      <c r="T274" s="106">
        <f t="shared" si="178"/>
        <v>0</v>
      </c>
      <c r="U274" s="439"/>
      <c r="V274" s="42">
        <f t="shared" si="146"/>
        <v>269</v>
      </c>
      <c r="W274" s="39" t="str">
        <f>IF(AND(E274='Povolené hodnoty'!$B$4,F274=2),I274+L274+O274+R274,"")</f>
        <v/>
      </c>
      <c r="X274" s="41" t="str">
        <f>IF(AND(E274='Povolené hodnoty'!$B$4,F274=1),I274+L274+O274+R274,"")</f>
        <v/>
      </c>
      <c r="Y274" s="39" t="str">
        <f>IF(AND(E274='Povolené hodnoty'!$B$4,F274=10),J274+M274+P274+S274,"")</f>
        <v/>
      </c>
      <c r="Z274" s="41" t="str">
        <f>IF(AND(E274='Povolené hodnoty'!$B$4,F274=9),J274+M274+P274+S274,"")</f>
        <v/>
      </c>
      <c r="AA274" s="39" t="str">
        <f>IF(AND(E274&lt;&gt;'Povolené hodnoty'!$B$4,F274=2),I274+L274+O274+R274,"")</f>
        <v/>
      </c>
      <c r="AB274" s="40" t="str">
        <f>IF(AND(E274&lt;&gt;'Povolené hodnoty'!$B$4,F274=3),I274+L274+O274+R274,"")</f>
        <v/>
      </c>
      <c r="AC274" s="40" t="str">
        <f>IF(AND(E274&lt;&gt;'Povolené hodnoty'!$B$4,F274=4),I274+L274+O274+R274,"")</f>
        <v/>
      </c>
      <c r="AD274" s="40" t="str">
        <f>IF(AND(E274&lt;&gt;'Povolené hodnoty'!$B$4,F274="5a"),I274-J274+L274-M274+O274-P274+R274-S274,"")</f>
        <v/>
      </c>
      <c r="AE274" s="40" t="str">
        <f>IF(AND(E274&lt;&gt;'Povolené hodnoty'!$B$4,F274="5b"),I274-J274+L274-M274+O274-P274+R274-S274,"")</f>
        <v/>
      </c>
      <c r="AF274" s="40" t="str">
        <f>IF(AND(E274&lt;&gt;'Povolené hodnoty'!$B$4,F274=6),I274+L274+O274+R274,"")</f>
        <v/>
      </c>
      <c r="AG274" s="41" t="str">
        <f>IF(AND(E274&lt;&gt;'Povolené hodnoty'!$B$4,F274=7),I274+L274+O274+R274,"")</f>
        <v/>
      </c>
      <c r="AH274" s="39" t="str">
        <f>IF(AND(E274&lt;&gt;'Povolené hodnoty'!$B$4,F274=10),J274+M274+P274+S274,"")</f>
        <v/>
      </c>
      <c r="AI274" s="40" t="str">
        <f>IF(AND(E274&lt;&gt;'Povolené hodnoty'!$B$4,F274=11),J274+M274+P274+S274,"")</f>
        <v/>
      </c>
      <c r="AJ274" s="40" t="str">
        <f>IF(AND(E274&lt;&gt;'Povolené hodnoty'!$B$4,F274=12),J274+M274+P274+S274,"")</f>
        <v/>
      </c>
      <c r="AK274" s="41" t="str">
        <f>IF(AND(E274&lt;&gt;'Povolené hodnoty'!$B$4,F274=13),J274+M274+P274+S274,"")</f>
        <v/>
      </c>
      <c r="AL274" s="39" t="str">
        <f>IF(AND($G274='Povolené hodnoty'!$B$13,$H274=AL$4),SUM($I274,$L274,$O274,$R274),"")</f>
        <v/>
      </c>
      <c r="AM274" s="458" t="str">
        <f>IF(AND($G274='Povolené hodnoty'!$B$13,$H274=AM$4),SUM($I274,$L274,$O274,$R274),"")</f>
        <v/>
      </c>
      <c r="AN274" s="458" t="str">
        <f>IF(AND($G274='Povolené hodnoty'!$B$13,$H274=AN$4),SUM($I274,$L274,$O274,$R274),"")</f>
        <v/>
      </c>
      <c r="AO274" s="458" t="str">
        <f>IF(AND($G274='Povolené hodnoty'!$B$13,$H274=AO$4),SUM($I274,$L274,$O274,$R274),"")</f>
        <v/>
      </c>
      <c r="AP274" s="458" t="str">
        <f>IF(AND($G274='Povolené hodnoty'!$B$13,$H274=AP$4),SUM($I274,$L274,$O274,$R274),"")</f>
        <v/>
      </c>
      <c r="AQ274" s="40" t="str">
        <f>IF(AND($G274='Povolené hodnoty'!$B$13,OR($H274=AQ$4,$H274='Povolené hodnoty'!$E$36)),SUM($I274,-$J274,$L274,-$M274,$O274,-$P274,$R274,-$S274),"")</f>
        <v/>
      </c>
      <c r="AR274" s="40" t="str">
        <f>IF(AND($G274='Povolené hodnoty'!$B$13,$H274=AR$4),SUM($I274,$L274,$O274,$R274),"")</f>
        <v/>
      </c>
      <c r="AS274" s="41" t="str">
        <f>IF(AND($G274='Povolené hodnoty'!$B$13,$H274=AS$4),SUM($I274,$L274,$O274,$R274),"")</f>
        <v/>
      </c>
      <c r="AT274" s="39" t="str">
        <f>IF(AND($G274='Povolené hodnoty'!$B$14,$H274=AT$4),SUM($I274,$L274,$O274,$R274),"")</f>
        <v/>
      </c>
      <c r="AU274" s="458" t="str">
        <f>IF(AND($G274='Povolené hodnoty'!$B$14,$H274=AU$4),SUM($I274,$L274,$O274,$R274),"")</f>
        <v/>
      </c>
      <c r="AV274" s="41" t="str">
        <f>IF(AND($G274='Povolené hodnoty'!$B$14,$H274=AV$4),SUM($I274,$L274,$O274,$R274),"")</f>
        <v/>
      </c>
      <c r="AW274" s="39" t="str">
        <f>IF(AND($G274='Povolené hodnoty'!$B$13,$H274=AW$4),SUM($J274,$M274,$P274,$S274),"")</f>
        <v/>
      </c>
      <c r="AX274" s="458" t="str">
        <f>IF(AND($G274='Povolené hodnoty'!$B$13,$H274=AX$4),SUM($J274,$M274,$P274,$S274),"")</f>
        <v/>
      </c>
      <c r="AY274" s="458" t="str">
        <f>IF(AND($G274='Povolené hodnoty'!$B$13,$H274=AY$4),SUM($J274,$M274,$P274,$S274),"")</f>
        <v/>
      </c>
      <c r="AZ274" s="458" t="str">
        <f>IF(AND($G274='Povolené hodnoty'!$B$13,$H274=AZ$4),SUM($J274,$M274,$P274,$S274),"")</f>
        <v/>
      </c>
      <c r="BA274" s="458" t="str">
        <f>IF(AND($G274='Povolené hodnoty'!$B$13,$H274=BA$4),SUM($J274,$M274,$P274,$S274),"")</f>
        <v/>
      </c>
      <c r="BB274" s="40" t="str">
        <f>IF(AND($G274='Povolené hodnoty'!$B$13,$H274=BB$4),SUM($J274,$M274,$P274,$S274),"")</f>
        <v/>
      </c>
      <c r="BC274" s="40" t="str">
        <f>IF(AND($G274='Povolené hodnoty'!$B$13,$H274=BC$4),SUM($J274,$M274,$P274,$S274),"")</f>
        <v/>
      </c>
      <c r="BD274" s="40" t="str">
        <f>IF(AND($G274='Povolené hodnoty'!$B$13,$H274=BD$4),SUM($J274,$M274,$P274,$S274),"")</f>
        <v/>
      </c>
      <c r="BE274" s="41" t="str">
        <f>IF(AND($G274='Povolené hodnoty'!$B$13,$H274=BE$4),SUM($J274,$M274,$P274,$S274),"")</f>
        <v/>
      </c>
      <c r="BF274" s="39" t="str">
        <f>IF(AND($G274='Povolené hodnoty'!$B$14,$H274=BF$4),SUM($J274,$M274,$P274,$S274),"")</f>
        <v/>
      </c>
      <c r="BG274" s="458" t="str">
        <f>IF(AND($G274='Povolené hodnoty'!$B$14,$H274=BG$4),SUM($J274,$M274,$P274,$S274),"")</f>
        <v/>
      </c>
      <c r="BH274" s="458" t="str">
        <f>IF(AND($G274='Povolené hodnoty'!$B$14,$H274=BH$4),SUM($J274,$M274,$P274,$S274),"")</f>
        <v/>
      </c>
      <c r="BI274" s="458" t="str">
        <f>IF(AND($G274='Povolené hodnoty'!$B$14,$H274=BI$4),SUM($J274,$M274,$P274,$S274),"")</f>
        <v/>
      </c>
      <c r="BJ274" s="458" t="str">
        <f>IF(AND($G274='Povolené hodnoty'!$B$14,$H274=BJ$4),SUM($J274,$M274,$P274,$S274),"")</f>
        <v/>
      </c>
      <c r="BK274" s="40" t="str">
        <f>IF(AND($G274='Povolené hodnoty'!$B$14,$H274=BK$4),SUM($J274,$M274,$P274,$S274),"")</f>
        <v/>
      </c>
      <c r="BL274" s="40" t="str">
        <f>IF(AND($G274='Povolené hodnoty'!$B$14,$H274=BL$4),SUM($J274,$M274,$P274,$S274),"")</f>
        <v/>
      </c>
      <c r="BM274" s="41" t="str">
        <f>IF(AND($G274='Povolené hodnoty'!$B$14,$H274=BM$4),SUM($J274,$M274,$P274,$S274),"")</f>
        <v/>
      </c>
      <c r="BO274" s="18" t="b">
        <f t="shared" si="176"/>
        <v>0</v>
      </c>
      <c r="BP274" s="18" t="b">
        <f t="shared" si="147"/>
        <v>0</v>
      </c>
      <c r="BQ274" s="18" t="b">
        <f>AND(E274&lt;&gt;'Povolené hodnoty'!$B$6,F274&lt;&gt;'Povolené hodnoty'!$D$7,F274&lt;&gt;'Povolené hodnoty'!$D$8,OR(SUM(I274,L274,O274,R274)&lt;&gt;SUM(W274:X274,AA274:AG274),SUM(J274,M274,P274,S274)&lt;&gt;SUM(Y274:Z274,AH274:AK274),COUNT(I274:J274,L274:M274,O274:P274,R274:S274)&lt;&gt;COUNT(W274:AK274)))</f>
        <v>0</v>
      </c>
      <c r="BR274" s="18" t="b">
        <f>OR(AND(E274='Povolené hodnoty'!$B$6,$BR$5),AND(E274='Povolené hodnoty'!$B$6,H274&lt;&gt;'Povolené hodnoty'!$E$26,H274&lt;&gt;'Povolené hodnoty'!$E$35),AND(E274&lt;&gt;'Povolené hodnoty'!$B$6,OR(H274='Povolené hodnoty'!$E$26,H274='Povolené hodnoty'!$E$35)))</f>
        <v>0</v>
      </c>
      <c r="BS274" s="18" t="b">
        <f>OR(AND(G274&lt;&gt;'Povolené hodnoty'!$B$13,OR(H274='Povolené hodnoty'!$E$21,H274='Povolené hodnoty'!$E$22,H274='Povolené hodnoty'!$E$23,H274='Povolené hodnoty'!$E$24,H274='Povolené hodnoty'!$E$26,H274='Povolené hodnoty'!$E$36)),COUNT(I274:J274,L274:M274,O274:P274,R274:S274)&lt;&gt;COUNT(AL274:BM274))</f>
        <v>0</v>
      </c>
      <c r="BT274" s="18" t="b">
        <f t="shared" si="148"/>
        <v>0</v>
      </c>
      <c r="BV274" s="39" t="str">
        <f t="shared" si="149"/>
        <v/>
      </c>
      <c r="BW274" s="458" t="str">
        <f t="shared" si="150"/>
        <v/>
      </c>
      <c r="BX274" s="458" t="str">
        <f t="shared" si="151"/>
        <v/>
      </c>
      <c r="BY274" s="458" t="str">
        <f t="shared" si="152"/>
        <v/>
      </c>
      <c r="BZ274" s="458" t="str">
        <f t="shared" si="153"/>
        <v/>
      </c>
      <c r="CA274" s="40" t="str">
        <f t="shared" si="154"/>
        <v/>
      </c>
      <c r="CB274" s="40" t="str">
        <f t="shared" si="155"/>
        <v/>
      </c>
      <c r="CC274" s="39" t="str">
        <f t="shared" si="156"/>
        <v/>
      </c>
      <c r="CD274" s="458" t="str">
        <f t="shared" si="157"/>
        <v/>
      </c>
      <c r="CE274" s="41" t="str">
        <f t="shared" si="158"/>
        <v/>
      </c>
      <c r="CF274" s="39" t="str">
        <f t="shared" si="159"/>
        <v/>
      </c>
      <c r="CG274" s="458" t="str">
        <f t="shared" si="160"/>
        <v/>
      </c>
      <c r="CH274" s="458" t="str">
        <f t="shared" si="161"/>
        <v/>
      </c>
      <c r="CI274" s="458" t="str">
        <f t="shared" si="162"/>
        <v/>
      </c>
      <c r="CJ274" s="458" t="str">
        <f t="shared" si="163"/>
        <v/>
      </c>
      <c r="CK274" s="40" t="str">
        <f t="shared" si="164"/>
        <v/>
      </c>
      <c r="CL274" s="40" t="str">
        <f t="shared" si="165"/>
        <v/>
      </c>
      <c r="CM274" s="40" t="str">
        <f t="shared" si="166"/>
        <v/>
      </c>
      <c r="CN274" s="39" t="str">
        <f t="shared" si="167"/>
        <v/>
      </c>
      <c r="CO274" s="458" t="str">
        <f t="shared" si="168"/>
        <v/>
      </c>
      <c r="CP274" s="458" t="str">
        <f t="shared" si="169"/>
        <v/>
      </c>
      <c r="CQ274" s="458" t="str">
        <f t="shared" si="170"/>
        <v/>
      </c>
      <c r="CR274" s="458" t="str">
        <f t="shared" si="171"/>
        <v/>
      </c>
      <c r="CS274" s="40" t="str">
        <f t="shared" si="172"/>
        <v/>
      </c>
      <c r="CT274" s="40" t="str">
        <f t="shared" si="173"/>
        <v/>
      </c>
      <c r="CU274" s="41" t="str">
        <f t="shared" si="174"/>
        <v/>
      </c>
    </row>
    <row r="275" spans="1:99" x14ac:dyDescent="0.2">
      <c r="A275" s="77">
        <f t="shared" si="175"/>
        <v>270</v>
      </c>
      <c r="B275" s="81"/>
      <c r="C275" s="82"/>
      <c r="D275" s="71"/>
      <c r="E275" s="72"/>
      <c r="F275" s="73"/>
      <c r="G275" s="443"/>
      <c r="H275" s="443"/>
      <c r="I275" s="74"/>
      <c r="J275" s="75"/>
      <c r="K275" s="41">
        <f t="shared" si="144"/>
        <v>3625</v>
      </c>
      <c r="L275" s="104"/>
      <c r="M275" s="105"/>
      <c r="N275" s="106">
        <f t="shared" si="145"/>
        <v>537.05999999999995</v>
      </c>
      <c r="O275" s="104"/>
      <c r="P275" s="105"/>
      <c r="Q275" s="106">
        <f t="shared" si="177"/>
        <v>10045.83</v>
      </c>
      <c r="R275" s="104"/>
      <c r="S275" s="105"/>
      <c r="T275" s="106">
        <f t="shared" si="178"/>
        <v>0</v>
      </c>
      <c r="U275" s="439"/>
      <c r="V275" s="42">
        <f t="shared" si="146"/>
        <v>270</v>
      </c>
      <c r="W275" s="39" t="str">
        <f>IF(AND(E275='Povolené hodnoty'!$B$4,F275=2),I275+L275+O275+R275,"")</f>
        <v/>
      </c>
      <c r="X275" s="41" t="str">
        <f>IF(AND(E275='Povolené hodnoty'!$B$4,F275=1),I275+L275+O275+R275,"")</f>
        <v/>
      </c>
      <c r="Y275" s="39" t="str">
        <f>IF(AND(E275='Povolené hodnoty'!$B$4,F275=10),J275+M275+P275+S275,"")</f>
        <v/>
      </c>
      <c r="Z275" s="41" t="str">
        <f>IF(AND(E275='Povolené hodnoty'!$B$4,F275=9),J275+M275+P275+S275,"")</f>
        <v/>
      </c>
      <c r="AA275" s="39" t="str">
        <f>IF(AND(E275&lt;&gt;'Povolené hodnoty'!$B$4,F275=2),I275+L275+O275+R275,"")</f>
        <v/>
      </c>
      <c r="AB275" s="40" t="str">
        <f>IF(AND(E275&lt;&gt;'Povolené hodnoty'!$B$4,F275=3),I275+L275+O275+R275,"")</f>
        <v/>
      </c>
      <c r="AC275" s="40" t="str">
        <f>IF(AND(E275&lt;&gt;'Povolené hodnoty'!$B$4,F275=4),I275+L275+O275+R275,"")</f>
        <v/>
      </c>
      <c r="AD275" s="40" t="str">
        <f>IF(AND(E275&lt;&gt;'Povolené hodnoty'!$B$4,F275="5a"),I275-J275+L275-M275+O275-P275+R275-S275,"")</f>
        <v/>
      </c>
      <c r="AE275" s="40" t="str">
        <f>IF(AND(E275&lt;&gt;'Povolené hodnoty'!$B$4,F275="5b"),I275-J275+L275-M275+O275-P275+R275-S275,"")</f>
        <v/>
      </c>
      <c r="AF275" s="40" t="str">
        <f>IF(AND(E275&lt;&gt;'Povolené hodnoty'!$B$4,F275=6),I275+L275+O275+R275,"")</f>
        <v/>
      </c>
      <c r="AG275" s="41" t="str">
        <f>IF(AND(E275&lt;&gt;'Povolené hodnoty'!$B$4,F275=7),I275+L275+O275+R275,"")</f>
        <v/>
      </c>
      <c r="AH275" s="39" t="str">
        <f>IF(AND(E275&lt;&gt;'Povolené hodnoty'!$B$4,F275=10),J275+M275+P275+S275,"")</f>
        <v/>
      </c>
      <c r="AI275" s="40" t="str">
        <f>IF(AND(E275&lt;&gt;'Povolené hodnoty'!$B$4,F275=11),J275+M275+P275+S275,"")</f>
        <v/>
      </c>
      <c r="AJ275" s="40" t="str">
        <f>IF(AND(E275&lt;&gt;'Povolené hodnoty'!$B$4,F275=12),J275+M275+P275+S275,"")</f>
        <v/>
      </c>
      <c r="AK275" s="41" t="str">
        <f>IF(AND(E275&lt;&gt;'Povolené hodnoty'!$B$4,F275=13),J275+M275+P275+S275,"")</f>
        <v/>
      </c>
      <c r="AL275" s="39" t="str">
        <f>IF(AND($G275='Povolené hodnoty'!$B$13,$H275=AL$4),SUM($I275,$L275,$O275,$R275),"")</f>
        <v/>
      </c>
      <c r="AM275" s="458" t="str">
        <f>IF(AND($G275='Povolené hodnoty'!$B$13,$H275=AM$4),SUM($I275,$L275,$O275,$R275),"")</f>
        <v/>
      </c>
      <c r="AN275" s="458" t="str">
        <f>IF(AND($G275='Povolené hodnoty'!$B$13,$H275=AN$4),SUM($I275,$L275,$O275,$R275),"")</f>
        <v/>
      </c>
      <c r="AO275" s="458" t="str">
        <f>IF(AND($G275='Povolené hodnoty'!$B$13,$H275=AO$4),SUM($I275,$L275,$O275,$R275),"")</f>
        <v/>
      </c>
      <c r="AP275" s="458" t="str">
        <f>IF(AND($G275='Povolené hodnoty'!$B$13,$H275=AP$4),SUM($I275,$L275,$O275,$R275),"")</f>
        <v/>
      </c>
      <c r="AQ275" s="40" t="str">
        <f>IF(AND($G275='Povolené hodnoty'!$B$13,OR($H275=AQ$4,$H275='Povolené hodnoty'!$E$36)),SUM($I275,-$J275,$L275,-$M275,$O275,-$P275,$R275,-$S275),"")</f>
        <v/>
      </c>
      <c r="AR275" s="40" t="str">
        <f>IF(AND($G275='Povolené hodnoty'!$B$13,$H275=AR$4),SUM($I275,$L275,$O275,$R275),"")</f>
        <v/>
      </c>
      <c r="AS275" s="41" t="str">
        <f>IF(AND($G275='Povolené hodnoty'!$B$13,$H275=AS$4),SUM($I275,$L275,$O275,$R275),"")</f>
        <v/>
      </c>
      <c r="AT275" s="39" t="str">
        <f>IF(AND($G275='Povolené hodnoty'!$B$14,$H275=AT$4),SUM($I275,$L275,$O275,$R275),"")</f>
        <v/>
      </c>
      <c r="AU275" s="458" t="str">
        <f>IF(AND($G275='Povolené hodnoty'!$B$14,$H275=AU$4),SUM($I275,$L275,$O275,$R275),"")</f>
        <v/>
      </c>
      <c r="AV275" s="41" t="str">
        <f>IF(AND($G275='Povolené hodnoty'!$B$14,$H275=AV$4),SUM($I275,$L275,$O275,$R275),"")</f>
        <v/>
      </c>
      <c r="AW275" s="39" t="str">
        <f>IF(AND($G275='Povolené hodnoty'!$B$13,$H275=AW$4),SUM($J275,$M275,$P275,$S275),"")</f>
        <v/>
      </c>
      <c r="AX275" s="458" t="str">
        <f>IF(AND($G275='Povolené hodnoty'!$B$13,$H275=AX$4),SUM($J275,$M275,$P275,$S275),"")</f>
        <v/>
      </c>
      <c r="AY275" s="458" t="str">
        <f>IF(AND($G275='Povolené hodnoty'!$B$13,$H275=AY$4),SUM($J275,$M275,$P275,$S275),"")</f>
        <v/>
      </c>
      <c r="AZ275" s="458" t="str">
        <f>IF(AND($G275='Povolené hodnoty'!$B$13,$H275=AZ$4),SUM($J275,$M275,$P275,$S275),"")</f>
        <v/>
      </c>
      <c r="BA275" s="458" t="str">
        <f>IF(AND($G275='Povolené hodnoty'!$B$13,$H275=BA$4),SUM($J275,$M275,$P275,$S275),"")</f>
        <v/>
      </c>
      <c r="BB275" s="40" t="str">
        <f>IF(AND($G275='Povolené hodnoty'!$B$13,$H275=BB$4),SUM($J275,$M275,$P275,$S275),"")</f>
        <v/>
      </c>
      <c r="BC275" s="40" t="str">
        <f>IF(AND($G275='Povolené hodnoty'!$B$13,$H275=BC$4),SUM($J275,$M275,$P275,$S275),"")</f>
        <v/>
      </c>
      <c r="BD275" s="40" t="str">
        <f>IF(AND($G275='Povolené hodnoty'!$B$13,$H275=BD$4),SUM($J275,$M275,$P275,$S275),"")</f>
        <v/>
      </c>
      <c r="BE275" s="41" t="str">
        <f>IF(AND($G275='Povolené hodnoty'!$B$13,$H275=BE$4),SUM($J275,$M275,$P275,$S275),"")</f>
        <v/>
      </c>
      <c r="BF275" s="39" t="str">
        <f>IF(AND($G275='Povolené hodnoty'!$B$14,$H275=BF$4),SUM($J275,$M275,$P275,$S275),"")</f>
        <v/>
      </c>
      <c r="BG275" s="458" t="str">
        <f>IF(AND($G275='Povolené hodnoty'!$B$14,$H275=BG$4),SUM($J275,$M275,$P275,$S275),"")</f>
        <v/>
      </c>
      <c r="BH275" s="458" t="str">
        <f>IF(AND($G275='Povolené hodnoty'!$B$14,$H275=BH$4),SUM($J275,$M275,$P275,$S275),"")</f>
        <v/>
      </c>
      <c r="BI275" s="458" t="str">
        <f>IF(AND($G275='Povolené hodnoty'!$B$14,$H275=BI$4),SUM($J275,$M275,$P275,$S275),"")</f>
        <v/>
      </c>
      <c r="BJ275" s="458" t="str">
        <f>IF(AND($G275='Povolené hodnoty'!$B$14,$H275=BJ$4),SUM($J275,$M275,$P275,$S275),"")</f>
        <v/>
      </c>
      <c r="BK275" s="40" t="str">
        <f>IF(AND($G275='Povolené hodnoty'!$B$14,$H275=BK$4),SUM($J275,$M275,$P275,$S275),"")</f>
        <v/>
      </c>
      <c r="BL275" s="40" t="str">
        <f>IF(AND($G275='Povolené hodnoty'!$B$14,$H275=BL$4),SUM($J275,$M275,$P275,$S275),"")</f>
        <v/>
      </c>
      <c r="BM275" s="41" t="str">
        <f>IF(AND($G275='Povolené hodnoty'!$B$14,$H275=BM$4),SUM($J275,$M275,$P275,$S275),"")</f>
        <v/>
      </c>
      <c r="BO275" s="18" t="b">
        <f t="shared" si="176"/>
        <v>0</v>
      </c>
      <c r="BP275" s="18" t="b">
        <f t="shared" si="147"/>
        <v>0</v>
      </c>
      <c r="BQ275" s="18" t="b">
        <f>AND(E275&lt;&gt;'Povolené hodnoty'!$B$6,F275&lt;&gt;'Povolené hodnoty'!$D$7,F275&lt;&gt;'Povolené hodnoty'!$D$8,OR(SUM(I275,L275,O275,R275)&lt;&gt;SUM(W275:X275,AA275:AG275),SUM(J275,M275,P275,S275)&lt;&gt;SUM(Y275:Z275,AH275:AK275),COUNT(I275:J275,L275:M275,O275:P275,R275:S275)&lt;&gt;COUNT(W275:AK275)))</f>
        <v>0</v>
      </c>
      <c r="BR275" s="18" t="b">
        <f>OR(AND(E275='Povolené hodnoty'!$B$6,$BR$5),AND(E275='Povolené hodnoty'!$B$6,H275&lt;&gt;'Povolené hodnoty'!$E$26,H275&lt;&gt;'Povolené hodnoty'!$E$35),AND(E275&lt;&gt;'Povolené hodnoty'!$B$6,OR(H275='Povolené hodnoty'!$E$26,H275='Povolené hodnoty'!$E$35)))</f>
        <v>0</v>
      </c>
      <c r="BS275" s="18" t="b">
        <f>OR(AND(G275&lt;&gt;'Povolené hodnoty'!$B$13,OR(H275='Povolené hodnoty'!$E$21,H275='Povolené hodnoty'!$E$22,H275='Povolené hodnoty'!$E$23,H275='Povolené hodnoty'!$E$24,H275='Povolené hodnoty'!$E$26,H275='Povolené hodnoty'!$E$36)),COUNT(I275:J275,L275:M275,O275:P275,R275:S275)&lt;&gt;COUNT(AL275:BM275))</f>
        <v>0</v>
      </c>
      <c r="BT275" s="18" t="b">
        <f t="shared" si="148"/>
        <v>0</v>
      </c>
      <c r="BV275" s="39" t="str">
        <f t="shared" si="149"/>
        <v/>
      </c>
      <c r="BW275" s="458" t="str">
        <f t="shared" si="150"/>
        <v/>
      </c>
      <c r="BX275" s="458" t="str">
        <f t="shared" si="151"/>
        <v/>
      </c>
      <c r="BY275" s="458" t="str">
        <f t="shared" si="152"/>
        <v/>
      </c>
      <c r="BZ275" s="458" t="str">
        <f t="shared" si="153"/>
        <v/>
      </c>
      <c r="CA275" s="40" t="str">
        <f t="shared" si="154"/>
        <v/>
      </c>
      <c r="CB275" s="40" t="str">
        <f t="shared" si="155"/>
        <v/>
      </c>
      <c r="CC275" s="39" t="str">
        <f t="shared" si="156"/>
        <v/>
      </c>
      <c r="CD275" s="458" t="str">
        <f t="shared" si="157"/>
        <v/>
      </c>
      <c r="CE275" s="41" t="str">
        <f t="shared" si="158"/>
        <v/>
      </c>
      <c r="CF275" s="39" t="str">
        <f t="shared" si="159"/>
        <v/>
      </c>
      <c r="CG275" s="458" t="str">
        <f t="shared" si="160"/>
        <v/>
      </c>
      <c r="CH275" s="458" t="str">
        <f t="shared" si="161"/>
        <v/>
      </c>
      <c r="CI275" s="458" t="str">
        <f t="shared" si="162"/>
        <v/>
      </c>
      <c r="CJ275" s="458" t="str">
        <f t="shared" si="163"/>
        <v/>
      </c>
      <c r="CK275" s="40" t="str">
        <f t="shared" si="164"/>
        <v/>
      </c>
      <c r="CL275" s="40" t="str">
        <f t="shared" si="165"/>
        <v/>
      </c>
      <c r="CM275" s="40" t="str">
        <f t="shared" si="166"/>
        <v/>
      </c>
      <c r="CN275" s="39" t="str">
        <f t="shared" si="167"/>
        <v/>
      </c>
      <c r="CO275" s="458" t="str">
        <f t="shared" si="168"/>
        <v/>
      </c>
      <c r="CP275" s="458" t="str">
        <f t="shared" si="169"/>
        <v/>
      </c>
      <c r="CQ275" s="458" t="str">
        <f t="shared" si="170"/>
        <v/>
      </c>
      <c r="CR275" s="458" t="str">
        <f t="shared" si="171"/>
        <v/>
      </c>
      <c r="CS275" s="40" t="str">
        <f t="shared" si="172"/>
        <v/>
      </c>
      <c r="CT275" s="40" t="str">
        <f t="shared" si="173"/>
        <v/>
      </c>
      <c r="CU275" s="41" t="str">
        <f t="shared" si="174"/>
        <v/>
      </c>
    </row>
    <row r="276" spans="1:99" x14ac:dyDescent="0.2">
      <c r="A276" s="77">
        <f t="shared" si="175"/>
        <v>271</v>
      </c>
      <c r="B276" s="81"/>
      <c r="C276" s="82"/>
      <c r="D276" s="71"/>
      <c r="E276" s="72"/>
      <c r="F276" s="73"/>
      <c r="G276" s="443"/>
      <c r="H276" s="443"/>
      <c r="I276" s="74"/>
      <c r="J276" s="75"/>
      <c r="K276" s="41">
        <f t="shared" si="144"/>
        <v>3625</v>
      </c>
      <c r="L276" s="104"/>
      <c r="M276" s="105"/>
      <c r="N276" s="106">
        <f t="shared" si="145"/>
        <v>537.05999999999995</v>
      </c>
      <c r="O276" s="104"/>
      <c r="P276" s="105"/>
      <c r="Q276" s="106">
        <f t="shared" si="177"/>
        <v>10045.83</v>
      </c>
      <c r="R276" s="104"/>
      <c r="S276" s="105"/>
      <c r="T276" s="106">
        <f t="shared" si="178"/>
        <v>0</v>
      </c>
      <c r="U276" s="439"/>
      <c r="V276" s="42">
        <f t="shared" si="146"/>
        <v>271</v>
      </c>
      <c r="W276" s="39" t="str">
        <f>IF(AND(E276='Povolené hodnoty'!$B$4,F276=2),I276+L276+O276+R276,"")</f>
        <v/>
      </c>
      <c r="X276" s="41" t="str">
        <f>IF(AND(E276='Povolené hodnoty'!$B$4,F276=1),I276+L276+O276+R276,"")</f>
        <v/>
      </c>
      <c r="Y276" s="39" t="str">
        <f>IF(AND(E276='Povolené hodnoty'!$B$4,F276=10),J276+M276+P276+S276,"")</f>
        <v/>
      </c>
      <c r="Z276" s="41" t="str">
        <f>IF(AND(E276='Povolené hodnoty'!$B$4,F276=9),J276+M276+P276+S276,"")</f>
        <v/>
      </c>
      <c r="AA276" s="39" t="str">
        <f>IF(AND(E276&lt;&gt;'Povolené hodnoty'!$B$4,F276=2),I276+L276+O276+R276,"")</f>
        <v/>
      </c>
      <c r="AB276" s="40" t="str">
        <f>IF(AND(E276&lt;&gt;'Povolené hodnoty'!$B$4,F276=3),I276+L276+O276+R276,"")</f>
        <v/>
      </c>
      <c r="AC276" s="40" t="str">
        <f>IF(AND(E276&lt;&gt;'Povolené hodnoty'!$B$4,F276=4),I276+L276+O276+R276,"")</f>
        <v/>
      </c>
      <c r="AD276" s="40" t="str">
        <f>IF(AND(E276&lt;&gt;'Povolené hodnoty'!$B$4,F276="5a"),I276-J276+L276-M276+O276-P276+R276-S276,"")</f>
        <v/>
      </c>
      <c r="AE276" s="40" t="str">
        <f>IF(AND(E276&lt;&gt;'Povolené hodnoty'!$B$4,F276="5b"),I276-J276+L276-M276+O276-P276+R276-S276,"")</f>
        <v/>
      </c>
      <c r="AF276" s="40" t="str">
        <f>IF(AND(E276&lt;&gt;'Povolené hodnoty'!$B$4,F276=6),I276+L276+O276+R276,"")</f>
        <v/>
      </c>
      <c r="AG276" s="41" t="str">
        <f>IF(AND(E276&lt;&gt;'Povolené hodnoty'!$B$4,F276=7),I276+L276+O276+R276,"")</f>
        <v/>
      </c>
      <c r="AH276" s="39" t="str">
        <f>IF(AND(E276&lt;&gt;'Povolené hodnoty'!$B$4,F276=10),J276+M276+P276+S276,"")</f>
        <v/>
      </c>
      <c r="AI276" s="40" t="str">
        <f>IF(AND(E276&lt;&gt;'Povolené hodnoty'!$B$4,F276=11),J276+M276+P276+S276,"")</f>
        <v/>
      </c>
      <c r="AJ276" s="40" t="str">
        <f>IF(AND(E276&lt;&gt;'Povolené hodnoty'!$B$4,F276=12),J276+M276+P276+S276,"")</f>
        <v/>
      </c>
      <c r="AK276" s="41" t="str">
        <f>IF(AND(E276&lt;&gt;'Povolené hodnoty'!$B$4,F276=13),J276+M276+P276+S276,"")</f>
        <v/>
      </c>
      <c r="AL276" s="39" t="str">
        <f>IF(AND($G276='Povolené hodnoty'!$B$13,$H276=AL$4),SUM($I276,$L276,$O276,$R276),"")</f>
        <v/>
      </c>
      <c r="AM276" s="458" t="str">
        <f>IF(AND($G276='Povolené hodnoty'!$B$13,$H276=AM$4),SUM($I276,$L276,$O276,$R276),"")</f>
        <v/>
      </c>
      <c r="AN276" s="458" t="str">
        <f>IF(AND($G276='Povolené hodnoty'!$B$13,$H276=AN$4),SUM($I276,$L276,$O276,$R276),"")</f>
        <v/>
      </c>
      <c r="AO276" s="458" t="str">
        <f>IF(AND($G276='Povolené hodnoty'!$B$13,$H276=AO$4),SUM($I276,$L276,$O276,$R276),"")</f>
        <v/>
      </c>
      <c r="AP276" s="458" t="str">
        <f>IF(AND($G276='Povolené hodnoty'!$B$13,$H276=AP$4),SUM($I276,$L276,$O276,$R276),"")</f>
        <v/>
      </c>
      <c r="AQ276" s="40" t="str">
        <f>IF(AND($G276='Povolené hodnoty'!$B$13,OR($H276=AQ$4,$H276='Povolené hodnoty'!$E$36)),SUM($I276,-$J276,$L276,-$M276,$O276,-$P276,$R276,-$S276),"")</f>
        <v/>
      </c>
      <c r="AR276" s="40" t="str">
        <f>IF(AND($G276='Povolené hodnoty'!$B$13,$H276=AR$4),SUM($I276,$L276,$O276,$R276),"")</f>
        <v/>
      </c>
      <c r="AS276" s="41" t="str">
        <f>IF(AND($G276='Povolené hodnoty'!$B$13,$H276=AS$4),SUM($I276,$L276,$O276,$R276),"")</f>
        <v/>
      </c>
      <c r="AT276" s="39" t="str">
        <f>IF(AND($G276='Povolené hodnoty'!$B$14,$H276=AT$4),SUM($I276,$L276,$O276,$R276),"")</f>
        <v/>
      </c>
      <c r="AU276" s="458" t="str">
        <f>IF(AND($G276='Povolené hodnoty'!$B$14,$H276=AU$4),SUM($I276,$L276,$O276,$R276),"")</f>
        <v/>
      </c>
      <c r="AV276" s="41" t="str">
        <f>IF(AND($G276='Povolené hodnoty'!$B$14,$H276=AV$4),SUM($I276,$L276,$O276,$R276),"")</f>
        <v/>
      </c>
      <c r="AW276" s="39" t="str">
        <f>IF(AND($G276='Povolené hodnoty'!$B$13,$H276=AW$4),SUM($J276,$M276,$P276,$S276),"")</f>
        <v/>
      </c>
      <c r="AX276" s="458" t="str">
        <f>IF(AND($G276='Povolené hodnoty'!$B$13,$H276=AX$4),SUM($J276,$M276,$P276,$S276),"")</f>
        <v/>
      </c>
      <c r="AY276" s="458" t="str">
        <f>IF(AND($G276='Povolené hodnoty'!$B$13,$H276=AY$4),SUM($J276,$M276,$P276,$S276),"")</f>
        <v/>
      </c>
      <c r="AZ276" s="458" t="str">
        <f>IF(AND($G276='Povolené hodnoty'!$B$13,$H276=AZ$4),SUM($J276,$M276,$P276,$S276),"")</f>
        <v/>
      </c>
      <c r="BA276" s="458" t="str">
        <f>IF(AND($G276='Povolené hodnoty'!$B$13,$H276=BA$4),SUM($J276,$M276,$P276,$S276),"")</f>
        <v/>
      </c>
      <c r="BB276" s="40" t="str">
        <f>IF(AND($G276='Povolené hodnoty'!$B$13,$H276=BB$4),SUM($J276,$M276,$P276,$S276),"")</f>
        <v/>
      </c>
      <c r="BC276" s="40" t="str">
        <f>IF(AND($G276='Povolené hodnoty'!$B$13,$H276=BC$4),SUM($J276,$M276,$P276,$S276),"")</f>
        <v/>
      </c>
      <c r="BD276" s="40" t="str">
        <f>IF(AND($G276='Povolené hodnoty'!$B$13,$H276=BD$4),SUM($J276,$M276,$P276,$S276),"")</f>
        <v/>
      </c>
      <c r="BE276" s="41" t="str">
        <f>IF(AND($G276='Povolené hodnoty'!$B$13,$H276=BE$4),SUM($J276,$M276,$P276,$S276),"")</f>
        <v/>
      </c>
      <c r="BF276" s="39" t="str">
        <f>IF(AND($G276='Povolené hodnoty'!$B$14,$H276=BF$4),SUM($J276,$M276,$P276,$S276),"")</f>
        <v/>
      </c>
      <c r="BG276" s="458" t="str">
        <f>IF(AND($G276='Povolené hodnoty'!$B$14,$H276=BG$4),SUM($J276,$M276,$P276,$S276),"")</f>
        <v/>
      </c>
      <c r="BH276" s="458" t="str">
        <f>IF(AND($G276='Povolené hodnoty'!$B$14,$H276=BH$4),SUM($J276,$M276,$P276,$S276),"")</f>
        <v/>
      </c>
      <c r="BI276" s="458" t="str">
        <f>IF(AND($G276='Povolené hodnoty'!$B$14,$H276=BI$4),SUM($J276,$M276,$P276,$S276),"")</f>
        <v/>
      </c>
      <c r="BJ276" s="458" t="str">
        <f>IF(AND($G276='Povolené hodnoty'!$B$14,$H276=BJ$4),SUM($J276,$M276,$P276,$S276),"")</f>
        <v/>
      </c>
      <c r="BK276" s="40" t="str">
        <f>IF(AND($G276='Povolené hodnoty'!$B$14,$H276=BK$4),SUM($J276,$M276,$P276,$S276),"")</f>
        <v/>
      </c>
      <c r="BL276" s="40" t="str">
        <f>IF(AND($G276='Povolené hodnoty'!$B$14,$H276=BL$4),SUM($J276,$M276,$P276,$S276),"")</f>
        <v/>
      </c>
      <c r="BM276" s="41" t="str">
        <f>IF(AND($G276='Povolené hodnoty'!$B$14,$H276=BM$4),SUM($J276,$M276,$P276,$S276),"")</f>
        <v/>
      </c>
      <c r="BO276" s="18" t="b">
        <f t="shared" si="176"/>
        <v>0</v>
      </c>
      <c r="BP276" s="18" t="b">
        <f t="shared" si="147"/>
        <v>0</v>
      </c>
      <c r="BQ276" s="18" t="b">
        <f>AND(E276&lt;&gt;'Povolené hodnoty'!$B$6,F276&lt;&gt;'Povolené hodnoty'!$D$7,F276&lt;&gt;'Povolené hodnoty'!$D$8,OR(SUM(I276,L276,O276,R276)&lt;&gt;SUM(W276:X276,AA276:AG276),SUM(J276,M276,P276,S276)&lt;&gt;SUM(Y276:Z276,AH276:AK276),COUNT(I276:J276,L276:M276,O276:P276,R276:S276)&lt;&gt;COUNT(W276:AK276)))</f>
        <v>0</v>
      </c>
      <c r="BR276" s="18" t="b">
        <f>OR(AND(E276='Povolené hodnoty'!$B$6,$BR$5),AND(E276='Povolené hodnoty'!$B$6,H276&lt;&gt;'Povolené hodnoty'!$E$26,H276&lt;&gt;'Povolené hodnoty'!$E$35),AND(E276&lt;&gt;'Povolené hodnoty'!$B$6,OR(H276='Povolené hodnoty'!$E$26,H276='Povolené hodnoty'!$E$35)))</f>
        <v>0</v>
      </c>
      <c r="BS276" s="18" t="b">
        <f>OR(AND(G276&lt;&gt;'Povolené hodnoty'!$B$13,OR(H276='Povolené hodnoty'!$E$21,H276='Povolené hodnoty'!$E$22,H276='Povolené hodnoty'!$E$23,H276='Povolené hodnoty'!$E$24,H276='Povolené hodnoty'!$E$26,H276='Povolené hodnoty'!$E$36)),COUNT(I276:J276,L276:M276,O276:P276,R276:S276)&lt;&gt;COUNT(AL276:BM276))</f>
        <v>0</v>
      </c>
      <c r="BT276" s="18" t="b">
        <f t="shared" si="148"/>
        <v>0</v>
      </c>
      <c r="BV276" s="39" t="str">
        <f t="shared" si="149"/>
        <v/>
      </c>
      <c r="BW276" s="458" t="str">
        <f t="shared" si="150"/>
        <v/>
      </c>
      <c r="BX276" s="458" t="str">
        <f t="shared" si="151"/>
        <v/>
      </c>
      <c r="BY276" s="458" t="str">
        <f t="shared" si="152"/>
        <v/>
      </c>
      <c r="BZ276" s="458" t="str">
        <f t="shared" si="153"/>
        <v/>
      </c>
      <c r="CA276" s="40" t="str">
        <f t="shared" si="154"/>
        <v/>
      </c>
      <c r="CB276" s="40" t="str">
        <f t="shared" si="155"/>
        <v/>
      </c>
      <c r="CC276" s="39" t="str">
        <f t="shared" si="156"/>
        <v/>
      </c>
      <c r="CD276" s="458" t="str">
        <f t="shared" si="157"/>
        <v/>
      </c>
      <c r="CE276" s="41" t="str">
        <f t="shared" si="158"/>
        <v/>
      </c>
      <c r="CF276" s="39" t="str">
        <f t="shared" si="159"/>
        <v/>
      </c>
      <c r="CG276" s="458" t="str">
        <f t="shared" si="160"/>
        <v/>
      </c>
      <c r="CH276" s="458" t="str">
        <f t="shared" si="161"/>
        <v/>
      </c>
      <c r="CI276" s="458" t="str">
        <f t="shared" si="162"/>
        <v/>
      </c>
      <c r="CJ276" s="458" t="str">
        <f t="shared" si="163"/>
        <v/>
      </c>
      <c r="CK276" s="40" t="str">
        <f t="shared" si="164"/>
        <v/>
      </c>
      <c r="CL276" s="40" t="str">
        <f t="shared" si="165"/>
        <v/>
      </c>
      <c r="CM276" s="40" t="str">
        <f t="shared" si="166"/>
        <v/>
      </c>
      <c r="CN276" s="39" t="str">
        <f t="shared" si="167"/>
        <v/>
      </c>
      <c r="CO276" s="458" t="str">
        <f t="shared" si="168"/>
        <v/>
      </c>
      <c r="CP276" s="458" t="str">
        <f t="shared" si="169"/>
        <v/>
      </c>
      <c r="CQ276" s="458" t="str">
        <f t="shared" si="170"/>
        <v/>
      </c>
      <c r="CR276" s="458" t="str">
        <f t="shared" si="171"/>
        <v/>
      </c>
      <c r="CS276" s="40" t="str">
        <f t="shared" si="172"/>
        <v/>
      </c>
      <c r="CT276" s="40" t="str">
        <f t="shared" si="173"/>
        <v/>
      </c>
      <c r="CU276" s="41" t="str">
        <f t="shared" si="174"/>
        <v/>
      </c>
    </row>
    <row r="277" spans="1:99" x14ac:dyDescent="0.2">
      <c r="A277" s="77">
        <f t="shared" si="175"/>
        <v>272</v>
      </c>
      <c r="B277" s="81"/>
      <c r="C277" s="82"/>
      <c r="D277" s="71"/>
      <c r="E277" s="72"/>
      <c r="F277" s="73"/>
      <c r="G277" s="443"/>
      <c r="H277" s="443"/>
      <c r="I277" s="74"/>
      <c r="J277" s="75"/>
      <c r="K277" s="41">
        <f t="shared" si="144"/>
        <v>3625</v>
      </c>
      <c r="L277" s="104"/>
      <c r="M277" s="105"/>
      <c r="N277" s="106">
        <f t="shared" si="145"/>
        <v>537.05999999999995</v>
      </c>
      <c r="O277" s="104"/>
      <c r="P277" s="105"/>
      <c r="Q277" s="106">
        <f t="shared" si="177"/>
        <v>10045.83</v>
      </c>
      <c r="R277" s="104"/>
      <c r="S277" s="105"/>
      <c r="T277" s="106">
        <f t="shared" si="178"/>
        <v>0</v>
      </c>
      <c r="U277" s="439"/>
      <c r="V277" s="42">
        <f t="shared" si="146"/>
        <v>272</v>
      </c>
      <c r="W277" s="39" t="str">
        <f>IF(AND(E277='Povolené hodnoty'!$B$4,F277=2),I277+L277+O277+R277,"")</f>
        <v/>
      </c>
      <c r="X277" s="41" t="str">
        <f>IF(AND(E277='Povolené hodnoty'!$B$4,F277=1),I277+L277+O277+R277,"")</f>
        <v/>
      </c>
      <c r="Y277" s="39" t="str">
        <f>IF(AND(E277='Povolené hodnoty'!$B$4,F277=10),J277+M277+P277+S277,"")</f>
        <v/>
      </c>
      <c r="Z277" s="41" t="str">
        <f>IF(AND(E277='Povolené hodnoty'!$B$4,F277=9),J277+M277+P277+S277,"")</f>
        <v/>
      </c>
      <c r="AA277" s="39" t="str">
        <f>IF(AND(E277&lt;&gt;'Povolené hodnoty'!$B$4,F277=2),I277+L277+O277+R277,"")</f>
        <v/>
      </c>
      <c r="AB277" s="40" t="str">
        <f>IF(AND(E277&lt;&gt;'Povolené hodnoty'!$B$4,F277=3),I277+L277+O277+R277,"")</f>
        <v/>
      </c>
      <c r="AC277" s="40" t="str">
        <f>IF(AND(E277&lt;&gt;'Povolené hodnoty'!$B$4,F277=4),I277+L277+O277+R277,"")</f>
        <v/>
      </c>
      <c r="AD277" s="40" t="str">
        <f>IF(AND(E277&lt;&gt;'Povolené hodnoty'!$B$4,F277="5a"),I277-J277+L277-M277+O277-P277+R277-S277,"")</f>
        <v/>
      </c>
      <c r="AE277" s="40" t="str">
        <f>IF(AND(E277&lt;&gt;'Povolené hodnoty'!$B$4,F277="5b"),I277-J277+L277-M277+O277-P277+R277-S277,"")</f>
        <v/>
      </c>
      <c r="AF277" s="40" t="str">
        <f>IF(AND(E277&lt;&gt;'Povolené hodnoty'!$B$4,F277=6),I277+L277+O277+R277,"")</f>
        <v/>
      </c>
      <c r="AG277" s="41" t="str">
        <f>IF(AND(E277&lt;&gt;'Povolené hodnoty'!$B$4,F277=7),I277+L277+O277+R277,"")</f>
        <v/>
      </c>
      <c r="AH277" s="39" t="str">
        <f>IF(AND(E277&lt;&gt;'Povolené hodnoty'!$B$4,F277=10),J277+M277+P277+S277,"")</f>
        <v/>
      </c>
      <c r="AI277" s="40" t="str">
        <f>IF(AND(E277&lt;&gt;'Povolené hodnoty'!$B$4,F277=11),J277+M277+P277+S277,"")</f>
        <v/>
      </c>
      <c r="AJ277" s="40" t="str">
        <f>IF(AND(E277&lt;&gt;'Povolené hodnoty'!$B$4,F277=12),J277+M277+P277+S277,"")</f>
        <v/>
      </c>
      <c r="AK277" s="41" t="str">
        <f>IF(AND(E277&lt;&gt;'Povolené hodnoty'!$B$4,F277=13),J277+M277+P277+S277,"")</f>
        <v/>
      </c>
      <c r="AL277" s="39" t="str">
        <f>IF(AND($G277='Povolené hodnoty'!$B$13,$H277=AL$4),SUM($I277,$L277,$O277,$R277),"")</f>
        <v/>
      </c>
      <c r="AM277" s="458" t="str">
        <f>IF(AND($G277='Povolené hodnoty'!$B$13,$H277=AM$4),SUM($I277,$L277,$O277,$R277),"")</f>
        <v/>
      </c>
      <c r="AN277" s="458" t="str">
        <f>IF(AND($G277='Povolené hodnoty'!$B$13,$H277=AN$4),SUM($I277,$L277,$O277,$R277),"")</f>
        <v/>
      </c>
      <c r="AO277" s="458" t="str">
        <f>IF(AND($G277='Povolené hodnoty'!$B$13,$H277=AO$4),SUM($I277,$L277,$O277,$R277),"")</f>
        <v/>
      </c>
      <c r="AP277" s="458" t="str">
        <f>IF(AND($G277='Povolené hodnoty'!$B$13,$H277=AP$4),SUM($I277,$L277,$O277,$R277),"")</f>
        <v/>
      </c>
      <c r="AQ277" s="40" t="str">
        <f>IF(AND($G277='Povolené hodnoty'!$B$13,OR($H277=AQ$4,$H277='Povolené hodnoty'!$E$36)),SUM($I277,-$J277,$L277,-$M277,$O277,-$P277,$R277,-$S277),"")</f>
        <v/>
      </c>
      <c r="AR277" s="40" t="str">
        <f>IF(AND($G277='Povolené hodnoty'!$B$13,$H277=AR$4),SUM($I277,$L277,$O277,$R277),"")</f>
        <v/>
      </c>
      <c r="AS277" s="41" t="str">
        <f>IF(AND($G277='Povolené hodnoty'!$B$13,$H277=AS$4),SUM($I277,$L277,$O277,$R277),"")</f>
        <v/>
      </c>
      <c r="AT277" s="39" t="str">
        <f>IF(AND($G277='Povolené hodnoty'!$B$14,$H277=AT$4),SUM($I277,$L277,$O277,$R277),"")</f>
        <v/>
      </c>
      <c r="AU277" s="458" t="str">
        <f>IF(AND($G277='Povolené hodnoty'!$B$14,$H277=AU$4),SUM($I277,$L277,$O277,$R277),"")</f>
        <v/>
      </c>
      <c r="AV277" s="41" t="str">
        <f>IF(AND($G277='Povolené hodnoty'!$B$14,$H277=AV$4),SUM($I277,$L277,$O277,$R277),"")</f>
        <v/>
      </c>
      <c r="AW277" s="39" t="str">
        <f>IF(AND($G277='Povolené hodnoty'!$B$13,$H277=AW$4),SUM($J277,$M277,$P277,$S277),"")</f>
        <v/>
      </c>
      <c r="AX277" s="458" t="str">
        <f>IF(AND($G277='Povolené hodnoty'!$B$13,$H277=AX$4),SUM($J277,$M277,$P277,$S277),"")</f>
        <v/>
      </c>
      <c r="AY277" s="458" t="str">
        <f>IF(AND($G277='Povolené hodnoty'!$B$13,$H277=AY$4),SUM($J277,$M277,$P277,$S277),"")</f>
        <v/>
      </c>
      <c r="AZ277" s="458" t="str">
        <f>IF(AND($G277='Povolené hodnoty'!$B$13,$H277=AZ$4),SUM($J277,$M277,$P277,$S277),"")</f>
        <v/>
      </c>
      <c r="BA277" s="458" t="str">
        <f>IF(AND($G277='Povolené hodnoty'!$B$13,$H277=BA$4),SUM($J277,$M277,$P277,$S277),"")</f>
        <v/>
      </c>
      <c r="BB277" s="40" t="str">
        <f>IF(AND($G277='Povolené hodnoty'!$B$13,$H277=BB$4),SUM($J277,$M277,$P277,$S277),"")</f>
        <v/>
      </c>
      <c r="BC277" s="40" t="str">
        <f>IF(AND($G277='Povolené hodnoty'!$B$13,$H277=BC$4),SUM($J277,$M277,$P277,$S277),"")</f>
        <v/>
      </c>
      <c r="BD277" s="40" t="str">
        <f>IF(AND($G277='Povolené hodnoty'!$B$13,$H277=BD$4),SUM($J277,$M277,$P277,$S277),"")</f>
        <v/>
      </c>
      <c r="BE277" s="41" t="str">
        <f>IF(AND($G277='Povolené hodnoty'!$B$13,$H277=BE$4),SUM($J277,$M277,$P277,$S277),"")</f>
        <v/>
      </c>
      <c r="BF277" s="39" t="str">
        <f>IF(AND($G277='Povolené hodnoty'!$B$14,$H277=BF$4),SUM($J277,$M277,$P277,$S277),"")</f>
        <v/>
      </c>
      <c r="BG277" s="458" t="str">
        <f>IF(AND($G277='Povolené hodnoty'!$B$14,$H277=BG$4),SUM($J277,$M277,$P277,$S277),"")</f>
        <v/>
      </c>
      <c r="BH277" s="458" t="str">
        <f>IF(AND($G277='Povolené hodnoty'!$B$14,$H277=BH$4),SUM($J277,$M277,$P277,$S277),"")</f>
        <v/>
      </c>
      <c r="BI277" s="458" t="str">
        <f>IF(AND($G277='Povolené hodnoty'!$B$14,$H277=BI$4),SUM($J277,$M277,$P277,$S277),"")</f>
        <v/>
      </c>
      <c r="BJ277" s="458" t="str">
        <f>IF(AND($G277='Povolené hodnoty'!$B$14,$H277=BJ$4),SUM($J277,$M277,$P277,$S277),"")</f>
        <v/>
      </c>
      <c r="BK277" s="40" t="str">
        <f>IF(AND($G277='Povolené hodnoty'!$B$14,$H277=BK$4),SUM($J277,$M277,$P277,$S277),"")</f>
        <v/>
      </c>
      <c r="BL277" s="40" t="str">
        <f>IF(AND($G277='Povolené hodnoty'!$B$14,$H277=BL$4),SUM($J277,$M277,$P277,$S277),"")</f>
        <v/>
      </c>
      <c r="BM277" s="41" t="str">
        <f>IF(AND($G277='Povolené hodnoty'!$B$14,$H277=BM$4),SUM($J277,$M277,$P277,$S277),"")</f>
        <v/>
      </c>
      <c r="BO277" s="18" t="b">
        <f t="shared" si="176"/>
        <v>0</v>
      </c>
      <c r="BP277" s="18" t="b">
        <f t="shared" si="147"/>
        <v>0</v>
      </c>
      <c r="BQ277" s="18" t="b">
        <f>AND(E277&lt;&gt;'Povolené hodnoty'!$B$6,F277&lt;&gt;'Povolené hodnoty'!$D$7,F277&lt;&gt;'Povolené hodnoty'!$D$8,OR(SUM(I277,L277,O277,R277)&lt;&gt;SUM(W277:X277,AA277:AG277),SUM(J277,M277,P277,S277)&lt;&gt;SUM(Y277:Z277,AH277:AK277),COUNT(I277:J277,L277:M277,O277:P277,R277:S277)&lt;&gt;COUNT(W277:AK277)))</f>
        <v>0</v>
      </c>
      <c r="BR277" s="18" t="b">
        <f>OR(AND(E277='Povolené hodnoty'!$B$6,$BR$5),AND(E277='Povolené hodnoty'!$B$6,H277&lt;&gt;'Povolené hodnoty'!$E$26,H277&lt;&gt;'Povolené hodnoty'!$E$35),AND(E277&lt;&gt;'Povolené hodnoty'!$B$6,OR(H277='Povolené hodnoty'!$E$26,H277='Povolené hodnoty'!$E$35)))</f>
        <v>0</v>
      </c>
      <c r="BS277" s="18" t="b">
        <f>OR(AND(G277&lt;&gt;'Povolené hodnoty'!$B$13,OR(H277='Povolené hodnoty'!$E$21,H277='Povolené hodnoty'!$E$22,H277='Povolené hodnoty'!$E$23,H277='Povolené hodnoty'!$E$24,H277='Povolené hodnoty'!$E$26,H277='Povolené hodnoty'!$E$36)),COUNT(I277:J277,L277:M277,O277:P277,R277:S277)&lt;&gt;COUNT(AL277:BM277))</f>
        <v>0</v>
      </c>
      <c r="BT277" s="18" t="b">
        <f t="shared" si="148"/>
        <v>0</v>
      </c>
      <c r="BV277" s="39" t="str">
        <f t="shared" si="149"/>
        <v/>
      </c>
      <c r="BW277" s="458" t="str">
        <f t="shared" si="150"/>
        <v/>
      </c>
      <c r="BX277" s="458" t="str">
        <f t="shared" si="151"/>
        <v/>
      </c>
      <c r="BY277" s="458" t="str">
        <f t="shared" si="152"/>
        <v/>
      </c>
      <c r="BZ277" s="458" t="str">
        <f t="shared" si="153"/>
        <v/>
      </c>
      <c r="CA277" s="40" t="str">
        <f t="shared" si="154"/>
        <v/>
      </c>
      <c r="CB277" s="40" t="str">
        <f t="shared" si="155"/>
        <v/>
      </c>
      <c r="CC277" s="39" t="str">
        <f t="shared" si="156"/>
        <v/>
      </c>
      <c r="CD277" s="458" t="str">
        <f t="shared" si="157"/>
        <v/>
      </c>
      <c r="CE277" s="41" t="str">
        <f t="shared" si="158"/>
        <v/>
      </c>
      <c r="CF277" s="39" t="str">
        <f t="shared" si="159"/>
        <v/>
      </c>
      <c r="CG277" s="458" t="str">
        <f t="shared" si="160"/>
        <v/>
      </c>
      <c r="CH277" s="458" t="str">
        <f t="shared" si="161"/>
        <v/>
      </c>
      <c r="CI277" s="458" t="str">
        <f t="shared" si="162"/>
        <v/>
      </c>
      <c r="CJ277" s="458" t="str">
        <f t="shared" si="163"/>
        <v/>
      </c>
      <c r="CK277" s="40" t="str">
        <f t="shared" si="164"/>
        <v/>
      </c>
      <c r="CL277" s="40" t="str">
        <f t="shared" si="165"/>
        <v/>
      </c>
      <c r="CM277" s="40" t="str">
        <f t="shared" si="166"/>
        <v/>
      </c>
      <c r="CN277" s="39" t="str">
        <f t="shared" si="167"/>
        <v/>
      </c>
      <c r="CO277" s="458" t="str">
        <f t="shared" si="168"/>
        <v/>
      </c>
      <c r="CP277" s="458" t="str">
        <f t="shared" si="169"/>
        <v/>
      </c>
      <c r="CQ277" s="458" t="str">
        <f t="shared" si="170"/>
        <v/>
      </c>
      <c r="CR277" s="458" t="str">
        <f t="shared" si="171"/>
        <v/>
      </c>
      <c r="CS277" s="40" t="str">
        <f t="shared" si="172"/>
        <v/>
      </c>
      <c r="CT277" s="40" t="str">
        <f t="shared" si="173"/>
        <v/>
      </c>
      <c r="CU277" s="41" t="str">
        <f t="shared" si="174"/>
        <v/>
      </c>
    </row>
    <row r="278" spans="1:99" x14ac:dyDescent="0.2">
      <c r="A278" s="77">
        <f t="shared" si="175"/>
        <v>273</v>
      </c>
      <c r="B278" s="81"/>
      <c r="C278" s="82"/>
      <c r="D278" s="71"/>
      <c r="E278" s="72"/>
      <c r="F278" s="73"/>
      <c r="G278" s="443"/>
      <c r="H278" s="443"/>
      <c r="I278" s="74"/>
      <c r="J278" s="75"/>
      <c r="K278" s="41">
        <f t="shared" si="144"/>
        <v>3625</v>
      </c>
      <c r="L278" s="104"/>
      <c r="M278" s="105"/>
      <c r="N278" s="106">
        <f t="shared" si="145"/>
        <v>537.05999999999995</v>
      </c>
      <c r="O278" s="104"/>
      <c r="P278" s="105"/>
      <c r="Q278" s="106">
        <f t="shared" si="177"/>
        <v>10045.83</v>
      </c>
      <c r="R278" s="104"/>
      <c r="S278" s="105"/>
      <c r="T278" s="106">
        <f t="shared" si="178"/>
        <v>0</v>
      </c>
      <c r="U278" s="439"/>
      <c r="V278" s="42">
        <f t="shared" si="146"/>
        <v>273</v>
      </c>
      <c r="W278" s="39" t="str">
        <f>IF(AND(E278='Povolené hodnoty'!$B$4,F278=2),I278+L278+O278+R278,"")</f>
        <v/>
      </c>
      <c r="X278" s="41" t="str">
        <f>IF(AND(E278='Povolené hodnoty'!$B$4,F278=1),I278+L278+O278+R278,"")</f>
        <v/>
      </c>
      <c r="Y278" s="39" t="str">
        <f>IF(AND(E278='Povolené hodnoty'!$B$4,F278=10),J278+M278+P278+S278,"")</f>
        <v/>
      </c>
      <c r="Z278" s="41" t="str">
        <f>IF(AND(E278='Povolené hodnoty'!$B$4,F278=9),J278+M278+P278+S278,"")</f>
        <v/>
      </c>
      <c r="AA278" s="39" t="str">
        <f>IF(AND(E278&lt;&gt;'Povolené hodnoty'!$B$4,F278=2),I278+L278+O278+R278,"")</f>
        <v/>
      </c>
      <c r="AB278" s="40" t="str">
        <f>IF(AND(E278&lt;&gt;'Povolené hodnoty'!$B$4,F278=3),I278+L278+O278+R278,"")</f>
        <v/>
      </c>
      <c r="AC278" s="40" t="str">
        <f>IF(AND(E278&lt;&gt;'Povolené hodnoty'!$B$4,F278=4),I278+L278+O278+R278,"")</f>
        <v/>
      </c>
      <c r="AD278" s="40" t="str">
        <f>IF(AND(E278&lt;&gt;'Povolené hodnoty'!$B$4,F278="5a"),I278-J278+L278-M278+O278-P278+R278-S278,"")</f>
        <v/>
      </c>
      <c r="AE278" s="40" t="str">
        <f>IF(AND(E278&lt;&gt;'Povolené hodnoty'!$B$4,F278="5b"),I278-J278+L278-M278+O278-P278+R278-S278,"")</f>
        <v/>
      </c>
      <c r="AF278" s="40" t="str">
        <f>IF(AND(E278&lt;&gt;'Povolené hodnoty'!$B$4,F278=6),I278+L278+O278+R278,"")</f>
        <v/>
      </c>
      <c r="AG278" s="41" t="str">
        <f>IF(AND(E278&lt;&gt;'Povolené hodnoty'!$B$4,F278=7),I278+L278+O278+R278,"")</f>
        <v/>
      </c>
      <c r="AH278" s="39" t="str">
        <f>IF(AND(E278&lt;&gt;'Povolené hodnoty'!$B$4,F278=10),J278+M278+P278+S278,"")</f>
        <v/>
      </c>
      <c r="AI278" s="40" t="str">
        <f>IF(AND(E278&lt;&gt;'Povolené hodnoty'!$B$4,F278=11),J278+M278+P278+S278,"")</f>
        <v/>
      </c>
      <c r="AJ278" s="40" t="str">
        <f>IF(AND(E278&lt;&gt;'Povolené hodnoty'!$B$4,F278=12),J278+M278+P278+S278,"")</f>
        <v/>
      </c>
      <c r="AK278" s="41" t="str">
        <f>IF(AND(E278&lt;&gt;'Povolené hodnoty'!$B$4,F278=13),J278+M278+P278+S278,"")</f>
        <v/>
      </c>
      <c r="AL278" s="39" t="str">
        <f>IF(AND($G278='Povolené hodnoty'!$B$13,$H278=AL$4),SUM($I278,$L278,$O278,$R278),"")</f>
        <v/>
      </c>
      <c r="AM278" s="458" t="str">
        <f>IF(AND($G278='Povolené hodnoty'!$B$13,$H278=AM$4),SUM($I278,$L278,$O278,$R278),"")</f>
        <v/>
      </c>
      <c r="AN278" s="458" t="str">
        <f>IF(AND($G278='Povolené hodnoty'!$B$13,$H278=AN$4),SUM($I278,$L278,$O278,$R278),"")</f>
        <v/>
      </c>
      <c r="AO278" s="458" t="str">
        <f>IF(AND($G278='Povolené hodnoty'!$B$13,$H278=AO$4),SUM($I278,$L278,$O278,$R278),"")</f>
        <v/>
      </c>
      <c r="AP278" s="458" t="str">
        <f>IF(AND($G278='Povolené hodnoty'!$B$13,$H278=AP$4),SUM($I278,$L278,$O278,$R278),"")</f>
        <v/>
      </c>
      <c r="AQ278" s="40" t="str">
        <f>IF(AND($G278='Povolené hodnoty'!$B$13,OR($H278=AQ$4,$H278='Povolené hodnoty'!$E$36)),SUM($I278,-$J278,$L278,-$M278,$O278,-$P278,$R278,-$S278),"")</f>
        <v/>
      </c>
      <c r="AR278" s="40" t="str">
        <f>IF(AND($G278='Povolené hodnoty'!$B$13,$H278=AR$4),SUM($I278,$L278,$O278,$R278),"")</f>
        <v/>
      </c>
      <c r="AS278" s="41" t="str">
        <f>IF(AND($G278='Povolené hodnoty'!$B$13,$H278=AS$4),SUM($I278,$L278,$O278,$R278),"")</f>
        <v/>
      </c>
      <c r="AT278" s="39" t="str">
        <f>IF(AND($G278='Povolené hodnoty'!$B$14,$H278=AT$4),SUM($I278,$L278,$O278,$R278),"")</f>
        <v/>
      </c>
      <c r="AU278" s="458" t="str">
        <f>IF(AND($G278='Povolené hodnoty'!$B$14,$H278=AU$4),SUM($I278,$L278,$O278,$R278),"")</f>
        <v/>
      </c>
      <c r="AV278" s="41" t="str">
        <f>IF(AND($G278='Povolené hodnoty'!$B$14,$H278=AV$4),SUM($I278,$L278,$O278,$R278),"")</f>
        <v/>
      </c>
      <c r="AW278" s="39" t="str">
        <f>IF(AND($G278='Povolené hodnoty'!$B$13,$H278=AW$4),SUM($J278,$M278,$P278,$S278),"")</f>
        <v/>
      </c>
      <c r="AX278" s="458" t="str">
        <f>IF(AND($G278='Povolené hodnoty'!$B$13,$H278=AX$4),SUM($J278,$M278,$P278,$S278),"")</f>
        <v/>
      </c>
      <c r="AY278" s="458" t="str">
        <f>IF(AND($G278='Povolené hodnoty'!$B$13,$H278=AY$4),SUM($J278,$M278,$P278,$S278),"")</f>
        <v/>
      </c>
      <c r="AZ278" s="458" t="str">
        <f>IF(AND($G278='Povolené hodnoty'!$B$13,$H278=AZ$4),SUM($J278,$M278,$P278,$S278),"")</f>
        <v/>
      </c>
      <c r="BA278" s="458" t="str">
        <f>IF(AND($G278='Povolené hodnoty'!$B$13,$H278=BA$4),SUM($J278,$M278,$P278,$S278),"")</f>
        <v/>
      </c>
      <c r="BB278" s="40" t="str">
        <f>IF(AND($G278='Povolené hodnoty'!$B$13,$H278=BB$4),SUM($J278,$M278,$P278,$S278),"")</f>
        <v/>
      </c>
      <c r="BC278" s="40" t="str">
        <f>IF(AND($G278='Povolené hodnoty'!$B$13,$H278=BC$4),SUM($J278,$M278,$P278,$S278),"")</f>
        <v/>
      </c>
      <c r="BD278" s="40" t="str">
        <f>IF(AND($G278='Povolené hodnoty'!$B$13,$H278=BD$4),SUM($J278,$M278,$P278,$S278),"")</f>
        <v/>
      </c>
      <c r="BE278" s="41" t="str">
        <f>IF(AND($G278='Povolené hodnoty'!$B$13,$H278=BE$4),SUM($J278,$M278,$P278,$S278),"")</f>
        <v/>
      </c>
      <c r="BF278" s="39" t="str">
        <f>IF(AND($G278='Povolené hodnoty'!$B$14,$H278=BF$4),SUM($J278,$M278,$P278,$S278),"")</f>
        <v/>
      </c>
      <c r="BG278" s="458" t="str">
        <f>IF(AND($G278='Povolené hodnoty'!$B$14,$H278=BG$4),SUM($J278,$M278,$P278,$S278),"")</f>
        <v/>
      </c>
      <c r="BH278" s="458" t="str">
        <f>IF(AND($G278='Povolené hodnoty'!$B$14,$H278=BH$4),SUM($J278,$M278,$P278,$S278),"")</f>
        <v/>
      </c>
      <c r="BI278" s="458" t="str">
        <f>IF(AND($G278='Povolené hodnoty'!$B$14,$H278=BI$4),SUM($J278,$M278,$P278,$S278),"")</f>
        <v/>
      </c>
      <c r="BJ278" s="458" t="str">
        <f>IF(AND($G278='Povolené hodnoty'!$B$14,$H278=BJ$4),SUM($J278,$M278,$P278,$S278),"")</f>
        <v/>
      </c>
      <c r="BK278" s="40" t="str">
        <f>IF(AND($G278='Povolené hodnoty'!$B$14,$H278=BK$4),SUM($J278,$M278,$P278,$S278),"")</f>
        <v/>
      </c>
      <c r="BL278" s="40" t="str">
        <f>IF(AND($G278='Povolené hodnoty'!$B$14,$H278=BL$4),SUM($J278,$M278,$P278,$S278),"")</f>
        <v/>
      </c>
      <c r="BM278" s="41" t="str">
        <f>IF(AND($G278='Povolené hodnoty'!$B$14,$H278=BM$4),SUM($J278,$M278,$P278,$S278),"")</f>
        <v/>
      </c>
      <c r="BO278" s="18" t="b">
        <f t="shared" si="176"/>
        <v>0</v>
      </c>
      <c r="BP278" s="18" t="b">
        <f t="shared" si="147"/>
        <v>0</v>
      </c>
      <c r="BQ278" s="18" t="b">
        <f>AND(E278&lt;&gt;'Povolené hodnoty'!$B$6,F278&lt;&gt;'Povolené hodnoty'!$D$7,F278&lt;&gt;'Povolené hodnoty'!$D$8,OR(SUM(I278,L278,O278,R278)&lt;&gt;SUM(W278:X278,AA278:AG278),SUM(J278,M278,P278,S278)&lt;&gt;SUM(Y278:Z278,AH278:AK278),COUNT(I278:J278,L278:M278,O278:P278,R278:S278)&lt;&gt;COUNT(W278:AK278)))</f>
        <v>0</v>
      </c>
      <c r="BR278" s="18" t="b">
        <f>OR(AND(E278='Povolené hodnoty'!$B$6,$BR$5),AND(E278='Povolené hodnoty'!$B$6,H278&lt;&gt;'Povolené hodnoty'!$E$26,H278&lt;&gt;'Povolené hodnoty'!$E$35),AND(E278&lt;&gt;'Povolené hodnoty'!$B$6,OR(H278='Povolené hodnoty'!$E$26,H278='Povolené hodnoty'!$E$35)))</f>
        <v>0</v>
      </c>
      <c r="BS278" s="18" t="b">
        <f>OR(AND(G278&lt;&gt;'Povolené hodnoty'!$B$13,OR(H278='Povolené hodnoty'!$E$21,H278='Povolené hodnoty'!$E$22,H278='Povolené hodnoty'!$E$23,H278='Povolené hodnoty'!$E$24,H278='Povolené hodnoty'!$E$26,H278='Povolené hodnoty'!$E$36)),COUNT(I278:J278,L278:M278,O278:P278,R278:S278)&lt;&gt;COUNT(AL278:BM278))</f>
        <v>0</v>
      </c>
      <c r="BT278" s="18" t="b">
        <f t="shared" si="148"/>
        <v>0</v>
      </c>
      <c r="BV278" s="39" t="str">
        <f t="shared" si="149"/>
        <v/>
      </c>
      <c r="BW278" s="458" t="str">
        <f t="shared" si="150"/>
        <v/>
      </c>
      <c r="BX278" s="458" t="str">
        <f t="shared" si="151"/>
        <v/>
      </c>
      <c r="BY278" s="458" t="str">
        <f t="shared" si="152"/>
        <v/>
      </c>
      <c r="BZ278" s="458" t="str">
        <f t="shared" si="153"/>
        <v/>
      </c>
      <c r="CA278" s="40" t="str">
        <f t="shared" si="154"/>
        <v/>
      </c>
      <c r="CB278" s="40" t="str">
        <f t="shared" si="155"/>
        <v/>
      </c>
      <c r="CC278" s="39" t="str">
        <f t="shared" si="156"/>
        <v/>
      </c>
      <c r="CD278" s="458" t="str">
        <f t="shared" si="157"/>
        <v/>
      </c>
      <c r="CE278" s="41" t="str">
        <f t="shared" si="158"/>
        <v/>
      </c>
      <c r="CF278" s="39" t="str">
        <f t="shared" si="159"/>
        <v/>
      </c>
      <c r="CG278" s="458" t="str">
        <f t="shared" si="160"/>
        <v/>
      </c>
      <c r="CH278" s="458" t="str">
        <f t="shared" si="161"/>
        <v/>
      </c>
      <c r="CI278" s="458" t="str">
        <f t="shared" si="162"/>
        <v/>
      </c>
      <c r="CJ278" s="458" t="str">
        <f t="shared" si="163"/>
        <v/>
      </c>
      <c r="CK278" s="40" t="str">
        <f t="shared" si="164"/>
        <v/>
      </c>
      <c r="CL278" s="40" t="str">
        <f t="shared" si="165"/>
        <v/>
      </c>
      <c r="CM278" s="40" t="str">
        <f t="shared" si="166"/>
        <v/>
      </c>
      <c r="CN278" s="39" t="str">
        <f t="shared" si="167"/>
        <v/>
      </c>
      <c r="CO278" s="458" t="str">
        <f t="shared" si="168"/>
        <v/>
      </c>
      <c r="CP278" s="458" t="str">
        <f t="shared" si="169"/>
        <v/>
      </c>
      <c r="CQ278" s="458" t="str">
        <f t="shared" si="170"/>
        <v/>
      </c>
      <c r="CR278" s="458" t="str">
        <f t="shared" si="171"/>
        <v/>
      </c>
      <c r="CS278" s="40" t="str">
        <f t="shared" si="172"/>
        <v/>
      </c>
      <c r="CT278" s="40" t="str">
        <f t="shared" si="173"/>
        <v/>
      </c>
      <c r="CU278" s="41" t="str">
        <f t="shared" si="174"/>
        <v/>
      </c>
    </row>
    <row r="279" spans="1:99" x14ac:dyDescent="0.2">
      <c r="A279" s="77">
        <f t="shared" si="175"/>
        <v>274</v>
      </c>
      <c r="B279" s="81"/>
      <c r="C279" s="82"/>
      <c r="D279" s="71"/>
      <c r="E279" s="72"/>
      <c r="F279" s="73"/>
      <c r="G279" s="443"/>
      <c r="H279" s="443"/>
      <c r="I279" s="74"/>
      <c r="J279" s="75"/>
      <c r="K279" s="41">
        <f t="shared" si="144"/>
        <v>3625</v>
      </c>
      <c r="L279" s="104"/>
      <c r="M279" s="105"/>
      <c r="N279" s="106">
        <f t="shared" si="145"/>
        <v>537.05999999999995</v>
      </c>
      <c r="O279" s="104"/>
      <c r="P279" s="105"/>
      <c r="Q279" s="106">
        <f t="shared" si="177"/>
        <v>10045.83</v>
      </c>
      <c r="R279" s="104"/>
      <c r="S279" s="105"/>
      <c r="T279" s="106">
        <f t="shared" si="178"/>
        <v>0</v>
      </c>
      <c r="U279" s="439"/>
      <c r="V279" s="42">
        <f t="shared" si="146"/>
        <v>274</v>
      </c>
      <c r="W279" s="39" t="str">
        <f>IF(AND(E279='Povolené hodnoty'!$B$4,F279=2),I279+L279+O279+R279,"")</f>
        <v/>
      </c>
      <c r="X279" s="41" t="str">
        <f>IF(AND(E279='Povolené hodnoty'!$B$4,F279=1),I279+L279+O279+R279,"")</f>
        <v/>
      </c>
      <c r="Y279" s="39" t="str">
        <f>IF(AND(E279='Povolené hodnoty'!$B$4,F279=10),J279+M279+P279+S279,"")</f>
        <v/>
      </c>
      <c r="Z279" s="41" t="str">
        <f>IF(AND(E279='Povolené hodnoty'!$B$4,F279=9),J279+M279+P279+S279,"")</f>
        <v/>
      </c>
      <c r="AA279" s="39" t="str">
        <f>IF(AND(E279&lt;&gt;'Povolené hodnoty'!$B$4,F279=2),I279+L279+O279+R279,"")</f>
        <v/>
      </c>
      <c r="AB279" s="40" t="str">
        <f>IF(AND(E279&lt;&gt;'Povolené hodnoty'!$B$4,F279=3),I279+L279+O279+R279,"")</f>
        <v/>
      </c>
      <c r="AC279" s="40" t="str">
        <f>IF(AND(E279&lt;&gt;'Povolené hodnoty'!$B$4,F279=4),I279+L279+O279+R279,"")</f>
        <v/>
      </c>
      <c r="AD279" s="40" t="str">
        <f>IF(AND(E279&lt;&gt;'Povolené hodnoty'!$B$4,F279="5a"),I279-J279+L279-M279+O279-P279+R279-S279,"")</f>
        <v/>
      </c>
      <c r="AE279" s="40" t="str">
        <f>IF(AND(E279&lt;&gt;'Povolené hodnoty'!$B$4,F279="5b"),I279-J279+L279-M279+O279-P279+R279-S279,"")</f>
        <v/>
      </c>
      <c r="AF279" s="40" t="str">
        <f>IF(AND(E279&lt;&gt;'Povolené hodnoty'!$B$4,F279=6),I279+L279+O279+R279,"")</f>
        <v/>
      </c>
      <c r="AG279" s="41" t="str">
        <f>IF(AND(E279&lt;&gt;'Povolené hodnoty'!$B$4,F279=7),I279+L279+O279+R279,"")</f>
        <v/>
      </c>
      <c r="AH279" s="39" t="str">
        <f>IF(AND(E279&lt;&gt;'Povolené hodnoty'!$B$4,F279=10),J279+M279+P279+S279,"")</f>
        <v/>
      </c>
      <c r="AI279" s="40" t="str">
        <f>IF(AND(E279&lt;&gt;'Povolené hodnoty'!$B$4,F279=11),J279+M279+P279+S279,"")</f>
        <v/>
      </c>
      <c r="AJ279" s="40" t="str">
        <f>IF(AND(E279&lt;&gt;'Povolené hodnoty'!$B$4,F279=12),J279+M279+P279+S279,"")</f>
        <v/>
      </c>
      <c r="AK279" s="41" t="str">
        <f>IF(AND(E279&lt;&gt;'Povolené hodnoty'!$B$4,F279=13),J279+M279+P279+S279,"")</f>
        <v/>
      </c>
      <c r="AL279" s="39" t="str">
        <f>IF(AND($G279='Povolené hodnoty'!$B$13,$H279=AL$4),SUM($I279,$L279,$O279,$R279),"")</f>
        <v/>
      </c>
      <c r="AM279" s="458" t="str">
        <f>IF(AND($G279='Povolené hodnoty'!$B$13,$H279=AM$4),SUM($I279,$L279,$O279,$R279),"")</f>
        <v/>
      </c>
      <c r="AN279" s="458" t="str">
        <f>IF(AND($G279='Povolené hodnoty'!$B$13,$H279=AN$4),SUM($I279,$L279,$O279,$R279),"")</f>
        <v/>
      </c>
      <c r="AO279" s="458" t="str">
        <f>IF(AND($G279='Povolené hodnoty'!$B$13,$H279=AO$4),SUM($I279,$L279,$O279,$R279),"")</f>
        <v/>
      </c>
      <c r="AP279" s="458" t="str">
        <f>IF(AND($G279='Povolené hodnoty'!$B$13,$H279=AP$4),SUM($I279,$L279,$O279,$R279),"")</f>
        <v/>
      </c>
      <c r="AQ279" s="40" t="str">
        <f>IF(AND($G279='Povolené hodnoty'!$B$13,OR($H279=AQ$4,$H279='Povolené hodnoty'!$E$36)),SUM($I279,-$J279,$L279,-$M279,$O279,-$P279,$R279,-$S279),"")</f>
        <v/>
      </c>
      <c r="AR279" s="40" t="str">
        <f>IF(AND($G279='Povolené hodnoty'!$B$13,$H279=AR$4),SUM($I279,$L279,$O279,$R279),"")</f>
        <v/>
      </c>
      <c r="AS279" s="41" t="str">
        <f>IF(AND($G279='Povolené hodnoty'!$B$13,$H279=AS$4),SUM($I279,$L279,$O279,$R279),"")</f>
        <v/>
      </c>
      <c r="AT279" s="39" t="str">
        <f>IF(AND($G279='Povolené hodnoty'!$B$14,$H279=AT$4),SUM($I279,$L279,$O279,$R279),"")</f>
        <v/>
      </c>
      <c r="AU279" s="458" t="str">
        <f>IF(AND($G279='Povolené hodnoty'!$B$14,$H279=AU$4),SUM($I279,$L279,$O279,$R279),"")</f>
        <v/>
      </c>
      <c r="AV279" s="41" t="str">
        <f>IF(AND($G279='Povolené hodnoty'!$B$14,$H279=AV$4),SUM($I279,$L279,$O279,$R279),"")</f>
        <v/>
      </c>
      <c r="AW279" s="39" t="str">
        <f>IF(AND($G279='Povolené hodnoty'!$B$13,$H279=AW$4),SUM($J279,$M279,$P279,$S279),"")</f>
        <v/>
      </c>
      <c r="AX279" s="458" t="str">
        <f>IF(AND($G279='Povolené hodnoty'!$B$13,$H279=AX$4),SUM($J279,$M279,$P279,$S279),"")</f>
        <v/>
      </c>
      <c r="AY279" s="458" t="str">
        <f>IF(AND($G279='Povolené hodnoty'!$B$13,$H279=AY$4),SUM($J279,$M279,$P279,$S279),"")</f>
        <v/>
      </c>
      <c r="AZ279" s="458" t="str">
        <f>IF(AND($G279='Povolené hodnoty'!$B$13,$H279=AZ$4),SUM($J279,$M279,$P279,$S279),"")</f>
        <v/>
      </c>
      <c r="BA279" s="458" t="str">
        <f>IF(AND($G279='Povolené hodnoty'!$B$13,$H279=BA$4),SUM($J279,$M279,$P279,$S279),"")</f>
        <v/>
      </c>
      <c r="BB279" s="40" t="str">
        <f>IF(AND($G279='Povolené hodnoty'!$B$13,$H279=BB$4),SUM($J279,$M279,$P279,$S279),"")</f>
        <v/>
      </c>
      <c r="BC279" s="40" t="str">
        <f>IF(AND($G279='Povolené hodnoty'!$B$13,$H279=BC$4),SUM($J279,$M279,$P279,$S279),"")</f>
        <v/>
      </c>
      <c r="BD279" s="40" t="str">
        <f>IF(AND($G279='Povolené hodnoty'!$B$13,$H279=BD$4),SUM($J279,$M279,$P279,$S279),"")</f>
        <v/>
      </c>
      <c r="BE279" s="41" t="str">
        <f>IF(AND($G279='Povolené hodnoty'!$B$13,$H279=BE$4),SUM($J279,$M279,$P279,$S279),"")</f>
        <v/>
      </c>
      <c r="BF279" s="39" t="str">
        <f>IF(AND($G279='Povolené hodnoty'!$B$14,$H279=BF$4),SUM($J279,$M279,$P279,$S279),"")</f>
        <v/>
      </c>
      <c r="BG279" s="458" t="str">
        <f>IF(AND($G279='Povolené hodnoty'!$B$14,$H279=BG$4),SUM($J279,$M279,$P279,$S279),"")</f>
        <v/>
      </c>
      <c r="BH279" s="458" t="str">
        <f>IF(AND($G279='Povolené hodnoty'!$B$14,$H279=BH$4),SUM($J279,$M279,$P279,$S279),"")</f>
        <v/>
      </c>
      <c r="BI279" s="458" t="str">
        <f>IF(AND($G279='Povolené hodnoty'!$B$14,$H279=BI$4),SUM($J279,$M279,$P279,$S279),"")</f>
        <v/>
      </c>
      <c r="BJ279" s="458" t="str">
        <f>IF(AND($G279='Povolené hodnoty'!$B$14,$H279=BJ$4),SUM($J279,$M279,$P279,$S279),"")</f>
        <v/>
      </c>
      <c r="BK279" s="40" t="str">
        <f>IF(AND($G279='Povolené hodnoty'!$B$14,$H279=BK$4),SUM($J279,$M279,$P279,$S279),"")</f>
        <v/>
      </c>
      <c r="BL279" s="40" t="str">
        <f>IF(AND($G279='Povolené hodnoty'!$B$14,$H279=BL$4),SUM($J279,$M279,$P279,$S279),"")</f>
        <v/>
      </c>
      <c r="BM279" s="41" t="str">
        <f>IF(AND($G279='Povolené hodnoty'!$B$14,$H279=BM$4),SUM($J279,$M279,$P279,$S279),"")</f>
        <v/>
      </c>
      <c r="BO279" s="18" t="b">
        <f t="shared" si="176"/>
        <v>0</v>
      </c>
      <c r="BP279" s="18" t="b">
        <f t="shared" si="147"/>
        <v>0</v>
      </c>
      <c r="BQ279" s="18" t="b">
        <f>AND(E279&lt;&gt;'Povolené hodnoty'!$B$6,F279&lt;&gt;'Povolené hodnoty'!$D$7,F279&lt;&gt;'Povolené hodnoty'!$D$8,OR(SUM(I279,L279,O279,R279)&lt;&gt;SUM(W279:X279,AA279:AG279),SUM(J279,M279,P279,S279)&lt;&gt;SUM(Y279:Z279,AH279:AK279),COUNT(I279:J279,L279:M279,O279:P279,R279:S279)&lt;&gt;COUNT(W279:AK279)))</f>
        <v>0</v>
      </c>
      <c r="BR279" s="18" t="b">
        <f>OR(AND(E279='Povolené hodnoty'!$B$6,$BR$5),AND(E279='Povolené hodnoty'!$B$6,H279&lt;&gt;'Povolené hodnoty'!$E$26,H279&lt;&gt;'Povolené hodnoty'!$E$35),AND(E279&lt;&gt;'Povolené hodnoty'!$B$6,OR(H279='Povolené hodnoty'!$E$26,H279='Povolené hodnoty'!$E$35)))</f>
        <v>0</v>
      </c>
      <c r="BS279" s="18" t="b">
        <f>OR(AND(G279&lt;&gt;'Povolené hodnoty'!$B$13,OR(H279='Povolené hodnoty'!$E$21,H279='Povolené hodnoty'!$E$22,H279='Povolené hodnoty'!$E$23,H279='Povolené hodnoty'!$E$24,H279='Povolené hodnoty'!$E$26,H279='Povolené hodnoty'!$E$36)),COUNT(I279:J279,L279:M279,O279:P279,R279:S279)&lt;&gt;COUNT(AL279:BM279))</f>
        <v>0</v>
      </c>
      <c r="BT279" s="18" t="b">
        <f t="shared" si="148"/>
        <v>0</v>
      </c>
      <c r="BV279" s="39" t="str">
        <f t="shared" si="149"/>
        <v/>
      </c>
      <c r="BW279" s="458" t="str">
        <f t="shared" si="150"/>
        <v/>
      </c>
      <c r="BX279" s="458" t="str">
        <f t="shared" si="151"/>
        <v/>
      </c>
      <c r="BY279" s="458" t="str">
        <f t="shared" si="152"/>
        <v/>
      </c>
      <c r="BZ279" s="458" t="str">
        <f t="shared" si="153"/>
        <v/>
      </c>
      <c r="CA279" s="40" t="str">
        <f t="shared" si="154"/>
        <v/>
      </c>
      <c r="CB279" s="40" t="str">
        <f t="shared" si="155"/>
        <v/>
      </c>
      <c r="CC279" s="39" t="str">
        <f t="shared" si="156"/>
        <v/>
      </c>
      <c r="CD279" s="458" t="str">
        <f t="shared" si="157"/>
        <v/>
      </c>
      <c r="CE279" s="41" t="str">
        <f t="shared" si="158"/>
        <v/>
      </c>
      <c r="CF279" s="39" t="str">
        <f t="shared" si="159"/>
        <v/>
      </c>
      <c r="CG279" s="458" t="str">
        <f t="shared" si="160"/>
        <v/>
      </c>
      <c r="CH279" s="458" t="str">
        <f t="shared" si="161"/>
        <v/>
      </c>
      <c r="CI279" s="458" t="str">
        <f t="shared" si="162"/>
        <v/>
      </c>
      <c r="CJ279" s="458" t="str">
        <f t="shared" si="163"/>
        <v/>
      </c>
      <c r="CK279" s="40" t="str">
        <f t="shared" si="164"/>
        <v/>
      </c>
      <c r="CL279" s="40" t="str">
        <f t="shared" si="165"/>
        <v/>
      </c>
      <c r="CM279" s="40" t="str">
        <f t="shared" si="166"/>
        <v/>
      </c>
      <c r="CN279" s="39" t="str">
        <f t="shared" si="167"/>
        <v/>
      </c>
      <c r="CO279" s="458" t="str">
        <f t="shared" si="168"/>
        <v/>
      </c>
      <c r="CP279" s="458" t="str">
        <f t="shared" si="169"/>
        <v/>
      </c>
      <c r="CQ279" s="458" t="str">
        <f t="shared" si="170"/>
        <v/>
      </c>
      <c r="CR279" s="458" t="str">
        <f t="shared" si="171"/>
        <v/>
      </c>
      <c r="CS279" s="40" t="str">
        <f t="shared" si="172"/>
        <v/>
      </c>
      <c r="CT279" s="40" t="str">
        <f t="shared" si="173"/>
        <v/>
      </c>
      <c r="CU279" s="41" t="str">
        <f t="shared" si="174"/>
        <v/>
      </c>
    </row>
    <row r="280" spans="1:99" x14ac:dyDescent="0.2">
      <c r="A280" s="77">
        <f t="shared" si="175"/>
        <v>275</v>
      </c>
      <c r="B280" s="81"/>
      <c r="C280" s="82"/>
      <c r="D280" s="71"/>
      <c r="E280" s="72"/>
      <c r="F280" s="73"/>
      <c r="G280" s="443"/>
      <c r="H280" s="443"/>
      <c r="I280" s="74"/>
      <c r="J280" s="75"/>
      <c r="K280" s="41">
        <f t="shared" si="144"/>
        <v>3625</v>
      </c>
      <c r="L280" s="104"/>
      <c r="M280" s="105"/>
      <c r="N280" s="106">
        <f t="shared" si="145"/>
        <v>537.05999999999995</v>
      </c>
      <c r="O280" s="104"/>
      <c r="P280" s="105"/>
      <c r="Q280" s="106">
        <f t="shared" si="177"/>
        <v>10045.83</v>
      </c>
      <c r="R280" s="104"/>
      <c r="S280" s="105"/>
      <c r="T280" s="106">
        <f t="shared" si="178"/>
        <v>0</v>
      </c>
      <c r="U280" s="439"/>
      <c r="V280" s="42">
        <f t="shared" si="146"/>
        <v>275</v>
      </c>
      <c r="W280" s="39" t="str">
        <f>IF(AND(E280='Povolené hodnoty'!$B$4,F280=2),I280+L280+O280+R280,"")</f>
        <v/>
      </c>
      <c r="X280" s="41" t="str">
        <f>IF(AND(E280='Povolené hodnoty'!$B$4,F280=1),I280+L280+O280+R280,"")</f>
        <v/>
      </c>
      <c r="Y280" s="39" t="str">
        <f>IF(AND(E280='Povolené hodnoty'!$B$4,F280=10),J280+M280+P280+S280,"")</f>
        <v/>
      </c>
      <c r="Z280" s="41" t="str">
        <f>IF(AND(E280='Povolené hodnoty'!$B$4,F280=9),J280+M280+P280+S280,"")</f>
        <v/>
      </c>
      <c r="AA280" s="39" t="str">
        <f>IF(AND(E280&lt;&gt;'Povolené hodnoty'!$B$4,F280=2),I280+L280+O280+R280,"")</f>
        <v/>
      </c>
      <c r="AB280" s="40" t="str">
        <f>IF(AND(E280&lt;&gt;'Povolené hodnoty'!$B$4,F280=3),I280+L280+O280+R280,"")</f>
        <v/>
      </c>
      <c r="AC280" s="40" t="str">
        <f>IF(AND(E280&lt;&gt;'Povolené hodnoty'!$B$4,F280=4),I280+L280+O280+R280,"")</f>
        <v/>
      </c>
      <c r="AD280" s="40" t="str">
        <f>IF(AND(E280&lt;&gt;'Povolené hodnoty'!$B$4,F280="5a"),I280-J280+L280-M280+O280-P280+R280-S280,"")</f>
        <v/>
      </c>
      <c r="AE280" s="40" t="str">
        <f>IF(AND(E280&lt;&gt;'Povolené hodnoty'!$B$4,F280="5b"),I280-J280+L280-M280+O280-P280+R280-S280,"")</f>
        <v/>
      </c>
      <c r="AF280" s="40" t="str">
        <f>IF(AND(E280&lt;&gt;'Povolené hodnoty'!$B$4,F280=6),I280+L280+O280+R280,"")</f>
        <v/>
      </c>
      <c r="AG280" s="41" t="str">
        <f>IF(AND(E280&lt;&gt;'Povolené hodnoty'!$B$4,F280=7),I280+L280+O280+R280,"")</f>
        <v/>
      </c>
      <c r="AH280" s="39" t="str">
        <f>IF(AND(E280&lt;&gt;'Povolené hodnoty'!$B$4,F280=10),J280+M280+P280+S280,"")</f>
        <v/>
      </c>
      <c r="AI280" s="40" t="str">
        <f>IF(AND(E280&lt;&gt;'Povolené hodnoty'!$B$4,F280=11),J280+M280+P280+S280,"")</f>
        <v/>
      </c>
      <c r="AJ280" s="40" t="str">
        <f>IF(AND(E280&lt;&gt;'Povolené hodnoty'!$B$4,F280=12),J280+M280+P280+S280,"")</f>
        <v/>
      </c>
      <c r="AK280" s="41" t="str">
        <f>IF(AND(E280&lt;&gt;'Povolené hodnoty'!$B$4,F280=13),J280+M280+P280+S280,"")</f>
        <v/>
      </c>
      <c r="AL280" s="39" t="str">
        <f>IF(AND($G280='Povolené hodnoty'!$B$13,$H280=AL$4),SUM($I280,$L280,$O280,$R280),"")</f>
        <v/>
      </c>
      <c r="AM280" s="458" t="str">
        <f>IF(AND($G280='Povolené hodnoty'!$B$13,$H280=AM$4),SUM($I280,$L280,$O280,$R280),"")</f>
        <v/>
      </c>
      <c r="AN280" s="458" t="str">
        <f>IF(AND($G280='Povolené hodnoty'!$B$13,$H280=AN$4),SUM($I280,$L280,$O280,$R280),"")</f>
        <v/>
      </c>
      <c r="AO280" s="458" t="str">
        <f>IF(AND($G280='Povolené hodnoty'!$B$13,$H280=AO$4),SUM($I280,$L280,$O280,$R280),"")</f>
        <v/>
      </c>
      <c r="AP280" s="458" t="str">
        <f>IF(AND($G280='Povolené hodnoty'!$B$13,$H280=AP$4),SUM($I280,$L280,$O280,$R280),"")</f>
        <v/>
      </c>
      <c r="AQ280" s="40" t="str">
        <f>IF(AND($G280='Povolené hodnoty'!$B$13,OR($H280=AQ$4,$H280='Povolené hodnoty'!$E$36)),SUM($I280,-$J280,$L280,-$M280,$O280,-$P280,$R280,-$S280),"")</f>
        <v/>
      </c>
      <c r="AR280" s="40" t="str">
        <f>IF(AND($G280='Povolené hodnoty'!$B$13,$H280=AR$4),SUM($I280,$L280,$O280,$R280),"")</f>
        <v/>
      </c>
      <c r="AS280" s="41" t="str">
        <f>IF(AND($G280='Povolené hodnoty'!$B$13,$H280=AS$4),SUM($I280,$L280,$O280,$R280),"")</f>
        <v/>
      </c>
      <c r="AT280" s="39" t="str">
        <f>IF(AND($G280='Povolené hodnoty'!$B$14,$H280=AT$4),SUM($I280,$L280,$O280,$R280),"")</f>
        <v/>
      </c>
      <c r="AU280" s="458" t="str">
        <f>IF(AND($G280='Povolené hodnoty'!$B$14,$H280=AU$4),SUM($I280,$L280,$O280,$R280),"")</f>
        <v/>
      </c>
      <c r="AV280" s="41" t="str">
        <f>IF(AND($G280='Povolené hodnoty'!$B$14,$H280=AV$4),SUM($I280,$L280,$O280,$R280),"")</f>
        <v/>
      </c>
      <c r="AW280" s="39" t="str">
        <f>IF(AND($G280='Povolené hodnoty'!$B$13,$H280=AW$4),SUM($J280,$M280,$P280,$S280),"")</f>
        <v/>
      </c>
      <c r="AX280" s="458" t="str">
        <f>IF(AND($G280='Povolené hodnoty'!$B$13,$H280=AX$4),SUM($J280,$M280,$P280,$S280),"")</f>
        <v/>
      </c>
      <c r="AY280" s="458" t="str">
        <f>IF(AND($G280='Povolené hodnoty'!$B$13,$H280=AY$4),SUM($J280,$M280,$P280,$S280),"")</f>
        <v/>
      </c>
      <c r="AZ280" s="458" t="str">
        <f>IF(AND($G280='Povolené hodnoty'!$B$13,$H280=AZ$4),SUM($J280,$M280,$P280,$S280),"")</f>
        <v/>
      </c>
      <c r="BA280" s="458" t="str">
        <f>IF(AND($G280='Povolené hodnoty'!$B$13,$H280=BA$4),SUM($J280,$M280,$P280,$S280),"")</f>
        <v/>
      </c>
      <c r="BB280" s="40" t="str">
        <f>IF(AND($G280='Povolené hodnoty'!$B$13,$H280=BB$4),SUM($J280,$M280,$P280,$S280),"")</f>
        <v/>
      </c>
      <c r="BC280" s="40" t="str">
        <f>IF(AND($G280='Povolené hodnoty'!$B$13,$H280=BC$4),SUM($J280,$M280,$P280,$S280),"")</f>
        <v/>
      </c>
      <c r="BD280" s="40" t="str">
        <f>IF(AND($G280='Povolené hodnoty'!$B$13,$H280=BD$4),SUM($J280,$M280,$P280,$S280),"")</f>
        <v/>
      </c>
      <c r="BE280" s="41" t="str">
        <f>IF(AND($G280='Povolené hodnoty'!$B$13,$H280=BE$4),SUM($J280,$M280,$P280,$S280),"")</f>
        <v/>
      </c>
      <c r="BF280" s="39" t="str">
        <f>IF(AND($G280='Povolené hodnoty'!$B$14,$H280=BF$4),SUM($J280,$M280,$P280,$S280),"")</f>
        <v/>
      </c>
      <c r="BG280" s="458" t="str">
        <f>IF(AND($G280='Povolené hodnoty'!$B$14,$H280=BG$4),SUM($J280,$M280,$P280,$S280),"")</f>
        <v/>
      </c>
      <c r="BH280" s="458" t="str">
        <f>IF(AND($G280='Povolené hodnoty'!$B$14,$H280=BH$4),SUM($J280,$M280,$P280,$S280),"")</f>
        <v/>
      </c>
      <c r="BI280" s="458" t="str">
        <f>IF(AND($G280='Povolené hodnoty'!$B$14,$H280=BI$4),SUM($J280,$M280,$P280,$S280),"")</f>
        <v/>
      </c>
      <c r="BJ280" s="458" t="str">
        <f>IF(AND($G280='Povolené hodnoty'!$B$14,$H280=BJ$4),SUM($J280,$M280,$P280,$S280),"")</f>
        <v/>
      </c>
      <c r="BK280" s="40" t="str">
        <f>IF(AND($G280='Povolené hodnoty'!$B$14,$H280=BK$4),SUM($J280,$M280,$P280,$S280),"")</f>
        <v/>
      </c>
      <c r="BL280" s="40" t="str">
        <f>IF(AND($G280='Povolené hodnoty'!$B$14,$H280=BL$4),SUM($J280,$M280,$P280,$S280),"")</f>
        <v/>
      </c>
      <c r="BM280" s="41" t="str">
        <f>IF(AND($G280='Povolené hodnoty'!$B$14,$H280=BM$4),SUM($J280,$M280,$P280,$S280),"")</f>
        <v/>
      </c>
      <c r="BO280" s="18" t="b">
        <f t="shared" si="176"/>
        <v>0</v>
      </c>
      <c r="BP280" s="18" t="b">
        <f t="shared" si="147"/>
        <v>0</v>
      </c>
      <c r="BQ280" s="18" t="b">
        <f>AND(E280&lt;&gt;'Povolené hodnoty'!$B$6,F280&lt;&gt;'Povolené hodnoty'!$D$7,F280&lt;&gt;'Povolené hodnoty'!$D$8,OR(SUM(I280,L280,O280,R280)&lt;&gt;SUM(W280:X280,AA280:AG280),SUM(J280,M280,P280,S280)&lt;&gt;SUM(Y280:Z280,AH280:AK280),COUNT(I280:J280,L280:M280,O280:P280,R280:S280)&lt;&gt;COUNT(W280:AK280)))</f>
        <v>0</v>
      </c>
      <c r="BR280" s="18" t="b">
        <f>OR(AND(E280='Povolené hodnoty'!$B$6,$BR$5),AND(E280='Povolené hodnoty'!$B$6,H280&lt;&gt;'Povolené hodnoty'!$E$26,H280&lt;&gt;'Povolené hodnoty'!$E$35),AND(E280&lt;&gt;'Povolené hodnoty'!$B$6,OR(H280='Povolené hodnoty'!$E$26,H280='Povolené hodnoty'!$E$35)))</f>
        <v>0</v>
      </c>
      <c r="BS280" s="18" t="b">
        <f>OR(AND(G280&lt;&gt;'Povolené hodnoty'!$B$13,OR(H280='Povolené hodnoty'!$E$21,H280='Povolené hodnoty'!$E$22,H280='Povolené hodnoty'!$E$23,H280='Povolené hodnoty'!$E$24,H280='Povolené hodnoty'!$E$26,H280='Povolené hodnoty'!$E$36)),COUNT(I280:J280,L280:M280,O280:P280,R280:S280)&lt;&gt;COUNT(AL280:BM280))</f>
        <v>0</v>
      </c>
      <c r="BT280" s="18" t="b">
        <f t="shared" si="148"/>
        <v>0</v>
      </c>
      <c r="BV280" s="39" t="str">
        <f t="shared" si="149"/>
        <v/>
      </c>
      <c r="BW280" s="458" t="str">
        <f t="shared" si="150"/>
        <v/>
      </c>
      <c r="BX280" s="458" t="str">
        <f t="shared" si="151"/>
        <v/>
      </c>
      <c r="BY280" s="458" t="str">
        <f t="shared" si="152"/>
        <v/>
      </c>
      <c r="BZ280" s="458" t="str">
        <f t="shared" si="153"/>
        <v/>
      </c>
      <c r="CA280" s="40" t="str">
        <f t="shared" si="154"/>
        <v/>
      </c>
      <c r="CB280" s="40" t="str">
        <f t="shared" si="155"/>
        <v/>
      </c>
      <c r="CC280" s="39" t="str">
        <f t="shared" si="156"/>
        <v/>
      </c>
      <c r="CD280" s="458" t="str">
        <f t="shared" si="157"/>
        <v/>
      </c>
      <c r="CE280" s="41" t="str">
        <f t="shared" si="158"/>
        <v/>
      </c>
      <c r="CF280" s="39" t="str">
        <f t="shared" si="159"/>
        <v/>
      </c>
      <c r="CG280" s="458" t="str">
        <f t="shared" si="160"/>
        <v/>
      </c>
      <c r="CH280" s="458" t="str">
        <f t="shared" si="161"/>
        <v/>
      </c>
      <c r="CI280" s="458" t="str">
        <f t="shared" si="162"/>
        <v/>
      </c>
      <c r="CJ280" s="458" t="str">
        <f t="shared" si="163"/>
        <v/>
      </c>
      <c r="CK280" s="40" t="str">
        <f t="shared" si="164"/>
        <v/>
      </c>
      <c r="CL280" s="40" t="str">
        <f t="shared" si="165"/>
        <v/>
      </c>
      <c r="CM280" s="40" t="str">
        <f t="shared" si="166"/>
        <v/>
      </c>
      <c r="CN280" s="39" t="str">
        <f t="shared" si="167"/>
        <v/>
      </c>
      <c r="CO280" s="458" t="str">
        <f t="shared" si="168"/>
        <v/>
      </c>
      <c r="CP280" s="458" t="str">
        <f t="shared" si="169"/>
        <v/>
      </c>
      <c r="CQ280" s="458" t="str">
        <f t="shared" si="170"/>
        <v/>
      </c>
      <c r="CR280" s="458" t="str">
        <f t="shared" si="171"/>
        <v/>
      </c>
      <c r="CS280" s="40" t="str">
        <f t="shared" si="172"/>
        <v/>
      </c>
      <c r="CT280" s="40" t="str">
        <f t="shared" si="173"/>
        <v/>
      </c>
      <c r="CU280" s="41" t="str">
        <f t="shared" si="174"/>
        <v/>
      </c>
    </row>
    <row r="281" spans="1:99" x14ac:dyDescent="0.2">
      <c r="A281" s="77">
        <f t="shared" si="175"/>
        <v>276</v>
      </c>
      <c r="B281" s="81"/>
      <c r="C281" s="82"/>
      <c r="D281" s="71"/>
      <c r="E281" s="72"/>
      <c r="F281" s="73"/>
      <c r="G281" s="443"/>
      <c r="H281" s="443"/>
      <c r="I281" s="74"/>
      <c r="J281" s="75"/>
      <c r="K281" s="41">
        <f t="shared" si="144"/>
        <v>3625</v>
      </c>
      <c r="L281" s="104"/>
      <c r="M281" s="105"/>
      <c r="N281" s="106">
        <f t="shared" si="145"/>
        <v>537.05999999999995</v>
      </c>
      <c r="O281" s="104"/>
      <c r="P281" s="105"/>
      <c r="Q281" s="106">
        <f t="shared" si="177"/>
        <v>10045.83</v>
      </c>
      <c r="R281" s="104"/>
      <c r="S281" s="105"/>
      <c r="T281" s="106">
        <f t="shared" si="178"/>
        <v>0</v>
      </c>
      <c r="U281" s="439"/>
      <c r="V281" s="42">
        <f t="shared" si="146"/>
        <v>276</v>
      </c>
      <c r="W281" s="39" t="str">
        <f>IF(AND(E281='Povolené hodnoty'!$B$4,F281=2),I281+L281+O281+R281,"")</f>
        <v/>
      </c>
      <c r="X281" s="41" t="str">
        <f>IF(AND(E281='Povolené hodnoty'!$B$4,F281=1),I281+L281+O281+R281,"")</f>
        <v/>
      </c>
      <c r="Y281" s="39" t="str">
        <f>IF(AND(E281='Povolené hodnoty'!$B$4,F281=10),J281+M281+P281+S281,"")</f>
        <v/>
      </c>
      <c r="Z281" s="41" t="str">
        <f>IF(AND(E281='Povolené hodnoty'!$B$4,F281=9),J281+M281+P281+S281,"")</f>
        <v/>
      </c>
      <c r="AA281" s="39" t="str">
        <f>IF(AND(E281&lt;&gt;'Povolené hodnoty'!$B$4,F281=2),I281+L281+O281+R281,"")</f>
        <v/>
      </c>
      <c r="AB281" s="40" t="str">
        <f>IF(AND(E281&lt;&gt;'Povolené hodnoty'!$B$4,F281=3),I281+L281+O281+R281,"")</f>
        <v/>
      </c>
      <c r="AC281" s="40" t="str">
        <f>IF(AND(E281&lt;&gt;'Povolené hodnoty'!$B$4,F281=4),I281+L281+O281+R281,"")</f>
        <v/>
      </c>
      <c r="AD281" s="40" t="str">
        <f>IF(AND(E281&lt;&gt;'Povolené hodnoty'!$B$4,F281="5a"),I281-J281+L281-M281+O281-P281+R281-S281,"")</f>
        <v/>
      </c>
      <c r="AE281" s="40" t="str">
        <f>IF(AND(E281&lt;&gt;'Povolené hodnoty'!$B$4,F281="5b"),I281-J281+L281-M281+O281-P281+R281-S281,"")</f>
        <v/>
      </c>
      <c r="AF281" s="40" t="str">
        <f>IF(AND(E281&lt;&gt;'Povolené hodnoty'!$B$4,F281=6),I281+L281+O281+R281,"")</f>
        <v/>
      </c>
      <c r="AG281" s="41" t="str">
        <f>IF(AND(E281&lt;&gt;'Povolené hodnoty'!$B$4,F281=7),I281+L281+O281+R281,"")</f>
        <v/>
      </c>
      <c r="AH281" s="39" t="str">
        <f>IF(AND(E281&lt;&gt;'Povolené hodnoty'!$B$4,F281=10),J281+M281+P281+S281,"")</f>
        <v/>
      </c>
      <c r="AI281" s="40" t="str">
        <f>IF(AND(E281&lt;&gt;'Povolené hodnoty'!$B$4,F281=11),J281+M281+P281+S281,"")</f>
        <v/>
      </c>
      <c r="AJ281" s="40" t="str">
        <f>IF(AND(E281&lt;&gt;'Povolené hodnoty'!$B$4,F281=12),J281+M281+P281+S281,"")</f>
        <v/>
      </c>
      <c r="AK281" s="41" t="str">
        <f>IF(AND(E281&lt;&gt;'Povolené hodnoty'!$B$4,F281=13),J281+M281+P281+S281,"")</f>
        <v/>
      </c>
      <c r="AL281" s="39" t="str">
        <f>IF(AND($G281='Povolené hodnoty'!$B$13,$H281=AL$4),SUM($I281,$L281,$O281,$R281),"")</f>
        <v/>
      </c>
      <c r="AM281" s="458" t="str">
        <f>IF(AND($G281='Povolené hodnoty'!$B$13,$H281=AM$4),SUM($I281,$L281,$O281,$R281),"")</f>
        <v/>
      </c>
      <c r="AN281" s="458" t="str">
        <f>IF(AND($G281='Povolené hodnoty'!$B$13,$H281=AN$4),SUM($I281,$L281,$O281,$R281),"")</f>
        <v/>
      </c>
      <c r="AO281" s="458" t="str">
        <f>IF(AND($G281='Povolené hodnoty'!$B$13,$H281=AO$4),SUM($I281,$L281,$O281,$R281),"")</f>
        <v/>
      </c>
      <c r="AP281" s="458" t="str">
        <f>IF(AND($G281='Povolené hodnoty'!$B$13,$H281=AP$4),SUM($I281,$L281,$O281,$R281),"")</f>
        <v/>
      </c>
      <c r="AQ281" s="40" t="str">
        <f>IF(AND($G281='Povolené hodnoty'!$B$13,OR($H281=AQ$4,$H281='Povolené hodnoty'!$E$36)),SUM($I281,-$J281,$L281,-$M281,$O281,-$P281,$R281,-$S281),"")</f>
        <v/>
      </c>
      <c r="AR281" s="40" t="str">
        <f>IF(AND($G281='Povolené hodnoty'!$B$13,$H281=AR$4),SUM($I281,$L281,$O281,$R281),"")</f>
        <v/>
      </c>
      <c r="AS281" s="41" t="str">
        <f>IF(AND($G281='Povolené hodnoty'!$B$13,$H281=AS$4),SUM($I281,$L281,$O281,$R281),"")</f>
        <v/>
      </c>
      <c r="AT281" s="39" t="str">
        <f>IF(AND($G281='Povolené hodnoty'!$B$14,$H281=AT$4),SUM($I281,$L281,$O281,$R281),"")</f>
        <v/>
      </c>
      <c r="AU281" s="458" t="str">
        <f>IF(AND($G281='Povolené hodnoty'!$B$14,$H281=AU$4),SUM($I281,$L281,$O281,$R281),"")</f>
        <v/>
      </c>
      <c r="AV281" s="41" t="str">
        <f>IF(AND($G281='Povolené hodnoty'!$B$14,$H281=AV$4),SUM($I281,$L281,$O281,$R281),"")</f>
        <v/>
      </c>
      <c r="AW281" s="39" t="str">
        <f>IF(AND($G281='Povolené hodnoty'!$B$13,$H281=AW$4),SUM($J281,$M281,$P281,$S281),"")</f>
        <v/>
      </c>
      <c r="AX281" s="458" t="str">
        <f>IF(AND($G281='Povolené hodnoty'!$B$13,$H281=AX$4),SUM($J281,$M281,$P281,$S281),"")</f>
        <v/>
      </c>
      <c r="AY281" s="458" t="str">
        <f>IF(AND($G281='Povolené hodnoty'!$B$13,$H281=AY$4),SUM($J281,$M281,$P281,$S281),"")</f>
        <v/>
      </c>
      <c r="AZ281" s="458" t="str">
        <f>IF(AND($G281='Povolené hodnoty'!$B$13,$H281=AZ$4),SUM($J281,$M281,$P281,$S281),"")</f>
        <v/>
      </c>
      <c r="BA281" s="458" t="str">
        <f>IF(AND($G281='Povolené hodnoty'!$B$13,$H281=BA$4),SUM($J281,$M281,$P281,$S281),"")</f>
        <v/>
      </c>
      <c r="BB281" s="40" t="str">
        <f>IF(AND($G281='Povolené hodnoty'!$B$13,$H281=BB$4),SUM($J281,$M281,$P281,$S281),"")</f>
        <v/>
      </c>
      <c r="BC281" s="40" t="str">
        <f>IF(AND($G281='Povolené hodnoty'!$B$13,$H281=BC$4),SUM($J281,$M281,$P281,$S281),"")</f>
        <v/>
      </c>
      <c r="BD281" s="40" t="str">
        <f>IF(AND($G281='Povolené hodnoty'!$B$13,$H281=BD$4),SUM($J281,$M281,$P281,$S281),"")</f>
        <v/>
      </c>
      <c r="BE281" s="41" t="str">
        <f>IF(AND($G281='Povolené hodnoty'!$B$13,$H281=BE$4),SUM($J281,$M281,$P281,$S281),"")</f>
        <v/>
      </c>
      <c r="BF281" s="39" t="str">
        <f>IF(AND($G281='Povolené hodnoty'!$B$14,$H281=BF$4),SUM($J281,$M281,$P281,$S281),"")</f>
        <v/>
      </c>
      <c r="BG281" s="458" t="str">
        <f>IF(AND($G281='Povolené hodnoty'!$B$14,$H281=BG$4),SUM($J281,$M281,$P281,$S281),"")</f>
        <v/>
      </c>
      <c r="BH281" s="458" t="str">
        <f>IF(AND($G281='Povolené hodnoty'!$B$14,$H281=BH$4),SUM($J281,$M281,$P281,$S281),"")</f>
        <v/>
      </c>
      <c r="BI281" s="458" t="str">
        <f>IF(AND($G281='Povolené hodnoty'!$B$14,$H281=BI$4),SUM($J281,$M281,$P281,$S281),"")</f>
        <v/>
      </c>
      <c r="BJ281" s="458" t="str">
        <f>IF(AND($G281='Povolené hodnoty'!$B$14,$H281=BJ$4),SUM($J281,$M281,$P281,$S281),"")</f>
        <v/>
      </c>
      <c r="BK281" s="40" t="str">
        <f>IF(AND($G281='Povolené hodnoty'!$B$14,$H281=BK$4),SUM($J281,$M281,$P281,$S281),"")</f>
        <v/>
      </c>
      <c r="BL281" s="40" t="str">
        <f>IF(AND($G281='Povolené hodnoty'!$B$14,$H281=BL$4),SUM($J281,$M281,$P281,$S281),"")</f>
        <v/>
      </c>
      <c r="BM281" s="41" t="str">
        <f>IF(AND($G281='Povolené hodnoty'!$B$14,$H281=BM$4),SUM($J281,$M281,$P281,$S281),"")</f>
        <v/>
      </c>
      <c r="BO281" s="18" t="b">
        <f t="shared" si="176"/>
        <v>0</v>
      </c>
      <c r="BP281" s="18" t="b">
        <f t="shared" si="147"/>
        <v>0</v>
      </c>
      <c r="BQ281" s="18" t="b">
        <f>AND(E281&lt;&gt;'Povolené hodnoty'!$B$6,F281&lt;&gt;'Povolené hodnoty'!$D$7,F281&lt;&gt;'Povolené hodnoty'!$D$8,OR(SUM(I281,L281,O281,R281)&lt;&gt;SUM(W281:X281,AA281:AG281),SUM(J281,M281,P281,S281)&lt;&gt;SUM(Y281:Z281,AH281:AK281),COUNT(I281:J281,L281:M281,O281:P281,R281:S281)&lt;&gt;COUNT(W281:AK281)))</f>
        <v>0</v>
      </c>
      <c r="BR281" s="18" t="b">
        <f>OR(AND(E281='Povolené hodnoty'!$B$6,$BR$5),AND(E281='Povolené hodnoty'!$B$6,H281&lt;&gt;'Povolené hodnoty'!$E$26,H281&lt;&gt;'Povolené hodnoty'!$E$35),AND(E281&lt;&gt;'Povolené hodnoty'!$B$6,OR(H281='Povolené hodnoty'!$E$26,H281='Povolené hodnoty'!$E$35)))</f>
        <v>0</v>
      </c>
      <c r="BS281" s="18" t="b">
        <f>OR(AND(G281&lt;&gt;'Povolené hodnoty'!$B$13,OR(H281='Povolené hodnoty'!$E$21,H281='Povolené hodnoty'!$E$22,H281='Povolené hodnoty'!$E$23,H281='Povolené hodnoty'!$E$24,H281='Povolené hodnoty'!$E$26,H281='Povolené hodnoty'!$E$36)),COUNT(I281:J281,L281:M281,O281:P281,R281:S281)&lt;&gt;COUNT(AL281:BM281))</f>
        <v>0</v>
      </c>
      <c r="BT281" s="18" t="b">
        <f t="shared" si="148"/>
        <v>0</v>
      </c>
      <c r="BV281" s="39" t="str">
        <f t="shared" si="149"/>
        <v/>
      </c>
      <c r="BW281" s="458" t="str">
        <f t="shared" si="150"/>
        <v/>
      </c>
      <c r="BX281" s="458" t="str">
        <f t="shared" si="151"/>
        <v/>
      </c>
      <c r="BY281" s="458" t="str">
        <f t="shared" si="152"/>
        <v/>
      </c>
      <c r="BZ281" s="458" t="str">
        <f t="shared" si="153"/>
        <v/>
      </c>
      <c r="CA281" s="40" t="str">
        <f t="shared" si="154"/>
        <v/>
      </c>
      <c r="CB281" s="40" t="str">
        <f t="shared" si="155"/>
        <v/>
      </c>
      <c r="CC281" s="39" t="str">
        <f t="shared" si="156"/>
        <v/>
      </c>
      <c r="CD281" s="458" t="str">
        <f t="shared" si="157"/>
        <v/>
      </c>
      <c r="CE281" s="41" t="str">
        <f t="shared" si="158"/>
        <v/>
      </c>
      <c r="CF281" s="39" t="str">
        <f t="shared" si="159"/>
        <v/>
      </c>
      <c r="CG281" s="458" t="str">
        <f t="shared" si="160"/>
        <v/>
      </c>
      <c r="CH281" s="458" t="str">
        <f t="shared" si="161"/>
        <v/>
      </c>
      <c r="CI281" s="458" t="str">
        <f t="shared" si="162"/>
        <v/>
      </c>
      <c r="CJ281" s="458" t="str">
        <f t="shared" si="163"/>
        <v/>
      </c>
      <c r="CK281" s="40" t="str">
        <f t="shared" si="164"/>
        <v/>
      </c>
      <c r="CL281" s="40" t="str">
        <f t="shared" si="165"/>
        <v/>
      </c>
      <c r="CM281" s="40" t="str">
        <f t="shared" si="166"/>
        <v/>
      </c>
      <c r="CN281" s="39" t="str">
        <f t="shared" si="167"/>
        <v/>
      </c>
      <c r="CO281" s="458" t="str">
        <f t="shared" si="168"/>
        <v/>
      </c>
      <c r="CP281" s="458" t="str">
        <f t="shared" si="169"/>
        <v/>
      </c>
      <c r="CQ281" s="458" t="str">
        <f t="shared" si="170"/>
        <v/>
      </c>
      <c r="CR281" s="458" t="str">
        <f t="shared" si="171"/>
        <v/>
      </c>
      <c r="CS281" s="40" t="str">
        <f t="shared" si="172"/>
        <v/>
      </c>
      <c r="CT281" s="40" t="str">
        <f t="shared" si="173"/>
        <v/>
      </c>
      <c r="CU281" s="41" t="str">
        <f t="shared" si="174"/>
        <v/>
      </c>
    </row>
    <row r="282" spans="1:99" x14ac:dyDescent="0.2">
      <c r="A282" s="77">
        <f t="shared" si="175"/>
        <v>277</v>
      </c>
      <c r="B282" s="81"/>
      <c r="C282" s="82"/>
      <c r="D282" s="71"/>
      <c r="E282" s="72"/>
      <c r="F282" s="73"/>
      <c r="G282" s="443"/>
      <c r="H282" s="443"/>
      <c r="I282" s="74"/>
      <c r="J282" s="75"/>
      <c r="K282" s="41">
        <f t="shared" si="144"/>
        <v>3625</v>
      </c>
      <c r="L282" s="104"/>
      <c r="M282" s="105"/>
      <c r="N282" s="106">
        <f t="shared" si="145"/>
        <v>537.05999999999995</v>
      </c>
      <c r="O282" s="104"/>
      <c r="P282" s="105"/>
      <c r="Q282" s="106">
        <f t="shared" si="177"/>
        <v>10045.83</v>
      </c>
      <c r="R282" s="104"/>
      <c r="S282" s="105"/>
      <c r="T282" s="106">
        <f t="shared" si="178"/>
        <v>0</v>
      </c>
      <c r="U282" s="439"/>
      <c r="V282" s="42">
        <f t="shared" si="146"/>
        <v>277</v>
      </c>
      <c r="W282" s="39" t="str">
        <f>IF(AND(E282='Povolené hodnoty'!$B$4,F282=2),I282+L282+O282+R282,"")</f>
        <v/>
      </c>
      <c r="X282" s="41" t="str">
        <f>IF(AND(E282='Povolené hodnoty'!$B$4,F282=1),I282+L282+O282+R282,"")</f>
        <v/>
      </c>
      <c r="Y282" s="39" t="str">
        <f>IF(AND(E282='Povolené hodnoty'!$B$4,F282=10),J282+M282+P282+S282,"")</f>
        <v/>
      </c>
      <c r="Z282" s="41" t="str">
        <f>IF(AND(E282='Povolené hodnoty'!$B$4,F282=9),J282+M282+P282+S282,"")</f>
        <v/>
      </c>
      <c r="AA282" s="39" t="str">
        <f>IF(AND(E282&lt;&gt;'Povolené hodnoty'!$B$4,F282=2),I282+L282+O282+R282,"")</f>
        <v/>
      </c>
      <c r="AB282" s="40" t="str">
        <f>IF(AND(E282&lt;&gt;'Povolené hodnoty'!$B$4,F282=3),I282+L282+O282+R282,"")</f>
        <v/>
      </c>
      <c r="AC282" s="40" t="str">
        <f>IF(AND(E282&lt;&gt;'Povolené hodnoty'!$B$4,F282=4),I282+L282+O282+R282,"")</f>
        <v/>
      </c>
      <c r="AD282" s="40" t="str">
        <f>IF(AND(E282&lt;&gt;'Povolené hodnoty'!$B$4,F282="5a"),I282-J282+L282-M282+O282-P282+R282-S282,"")</f>
        <v/>
      </c>
      <c r="AE282" s="40" t="str">
        <f>IF(AND(E282&lt;&gt;'Povolené hodnoty'!$B$4,F282="5b"),I282-J282+L282-M282+O282-P282+R282-S282,"")</f>
        <v/>
      </c>
      <c r="AF282" s="40" t="str">
        <f>IF(AND(E282&lt;&gt;'Povolené hodnoty'!$B$4,F282=6),I282+L282+O282+R282,"")</f>
        <v/>
      </c>
      <c r="AG282" s="41" t="str">
        <f>IF(AND(E282&lt;&gt;'Povolené hodnoty'!$B$4,F282=7),I282+L282+O282+R282,"")</f>
        <v/>
      </c>
      <c r="AH282" s="39" t="str">
        <f>IF(AND(E282&lt;&gt;'Povolené hodnoty'!$B$4,F282=10),J282+M282+P282+S282,"")</f>
        <v/>
      </c>
      <c r="AI282" s="40" t="str">
        <f>IF(AND(E282&lt;&gt;'Povolené hodnoty'!$B$4,F282=11),J282+M282+P282+S282,"")</f>
        <v/>
      </c>
      <c r="AJ282" s="40" t="str">
        <f>IF(AND(E282&lt;&gt;'Povolené hodnoty'!$B$4,F282=12),J282+M282+P282+S282,"")</f>
        <v/>
      </c>
      <c r="AK282" s="41" t="str">
        <f>IF(AND(E282&lt;&gt;'Povolené hodnoty'!$B$4,F282=13),J282+M282+P282+S282,"")</f>
        <v/>
      </c>
      <c r="AL282" s="39" t="str">
        <f>IF(AND($G282='Povolené hodnoty'!$B$13,$H282=AL$4),SUM($I282,$L282,$O282,$R282),"")</f>
        <v/>
      </c>
      <c r="AM282" s="458" t="str">
        <f>IF(AND($G282='Povolené hodnoty'!$B$13,$H282=AM$4),SUM($I282,$L282,$O282,$R282),"")</f>
        <v/>
      </c>
      <c r="AN282" s="458" t="str">
        <f>IF(AND($G282='Povolené hodnoty'!$B$13,$H282=AN$4),SUM($I282,$L282,$O282,$R282),"")</f>
        <v/>
      </c>
      <c r="AO282" s="458" t="str">
        <f>IF(AND($G282='Povolené hodnoty'!$B$13,$H282=AO$4),SUM($I282,$L282,$O282,$R282),"")</f>
        <v/>
      </c>
      <c r="AP282" s="458" t="str">
        <f>IF(AND($G282='Povolené hodnoty'!$B$13,$H282=AP$4),SUM($I282,$L282,$O282,$R282),"")</f>
        <v/>
      </c>
      <c r="AQ282" s="40" t="str">
        <f>IF(AND($G282='Povolené hodnoty'!$B$13,OR($H282=AQ$4,$H282='Povolené hodnoty'!$E$36)),SUM($I282,-$J282,$L282,-$M282,$O282,-$P282,$R282,-$S282),"")</f>
        <v/>
      </c>
      <c r="AR282" s="40" t="str">
        <f>IF(AND($G282='Povolené hodnoty'!$B$13,$H282=AR$4),SUM($I282,$L282,$O282,$R282),"")</f>
        <v/>
      </c>
      <c r="AS282" s="41" t="str">
        <f>IF(AND($G282='Povolené hodnoty'!$B$13,$H282=AS$4),SUM($I282,$L282,$O282,$R282),"")</f>
        <v/>
      </c>
      <c r="AT282" s="39" t="str">
        <f>IF(AND($G282='Povolené hodnoty'!$B$14,$H282=AT$4),SUM($I282,$L282,$O282,$R282),"")</f>
        <v/>
      </c>
      <c r="AU282" s="458" t="str">
        <f>IF(AND($G282='Povolené hodnoty'!$B$14,$H282=AU$4),SUM($I282,$L282,$O282,$R282),"")</f>
        <v/>
      </c>
      <c r="AV282" s="41" t="str">
        <f>IF(AND($G282='Povolené hodnoty'!$B$14,$H282=AV$4),SUM($I282,$L282,$O282,$R282),"")</f>
        <v/>
      </c>
      <c r="AW282" s="39" t="str">
        <f>IF(AND($G282='Povolené hodnoty'!$B$13,$H282=AW$4),SUM($J282,$M282,$P282,$S282),"")</f>
        <v/>
      </c>
      <c r="AX282" s="458" t="str">
        <f>IF(AND($G282='Povolené hodnoty'!$B$13,$H282=AX$4),SUM($J282,$M282,$P282,$S282),"")</f>
        <v/>
      </c>
      <c r="AY282" s="458" t="str">
        <f>IF(AND($G282='Povolené hodnoty'!$B$13,$H282=AY$4),SUM($J282,$M282,$P282,$S282),"")</f>
        <v/>
      </c>
      <c r="AZ282" s="458" t="str">
        <f>IF(AND($G282='Povolené hodnoty'!$B$13,$H282=AZ$4),SUM($J282,$M282,$P282,$S282),"")</f>
        <v/>
      </c>
      <c r="BA282" s="458" t="str">
        <f>IF(AND($G282='Povolené hodnoty'!$B$13,$H282=BA$4),SUM($J282,$M282,$P282,$S282),"")</f>
        <v/>
      </c>
      <c r="BB282" s="40" t="str">
        <f>IF(AND($G282='Povolené hodnoty'!$B$13,$H282=BB$4),SUM($J282,$M282,$P282,$S282),"")</f>
        <v/>
      </c>
      <c r="BC282" s="40" t="str">
        <f>IF(AND($G282='Povolené hodnoty'!$B$13,$H282=BC$4),SUM($J282,$M282,$P282,$S282),"")</f>
        <v/>
      </c>
      <c r="BD282" s="40" t="str">
        <f>IF(AND($G282='Povolené hodnoty'!$B$13,$H282=BD$4),SUM($J282,$M282,$P282,$S282),"")</f>
        <v/>
      </c>
      <c r="BE282" s="41" t="str">
        <f>IF(AND($G282='Povolené hodnoty'!$B$13,$H282=BE$4),SUM($J282,$M282,$P282,$S282),"")</f>
        <v/>
      </c>
      <c r="BF282" s="39" t="str">
        <f>IF(AND($G282='Povolené hodnoty'!$B$14,$H282=BF$4),SUM($J282,$M282,$P282,$S282),"")</f>
        <v/>
      </c>
      <c r="BG282" s="458" t="str">
        <f>IF(AND($G282='Povolené hodnoty'!$B$14,$H282=BG$4),SUM($J282,$M282,$P282,$S282),"")</f>
        <v/>
      </c>
      <c r="BH282" s="458" t="str">
        <f>IF(AND($G282='Povolené hodnoty'!$B$14,$H282=BH$4),SUM($J282,$M282,$P282,$S282),"")</f>
        <v/>
      </c>
      <c r="BI282" s="458" t="str">
        <f>IF(AND($G282='Povolené hodnoty'!$B$14,$H282=BI$4),SUM($J282,$M282,$P282,$S282),"")</f>
        <v/>
      </c>
      <c r="BJ282" s="458" t="str">
        <f>IF(AND($G282='Povolené hodnoty'!$B$14,$H282=BJ$4),SUM($J282,$M282,$P282,$S282),"")</f>
        <v/>
      </c>
      <c r="BK282" s="40" t="str">
        <f>IF(AND($G282='Povolené hodnoty'!$B$14,$H282=BK$4),SUM($J282,$M282,$P282,$S282),"")</f>
        <v/>
      </c>
      <c r="BL282" s="40" t="str">
        <f>IF(AND($G282='Povolené hodnoty'!$B$14,$H282=BL$4),SUM($J282,$M282,$P282,$S282),"")</f>
        <v/>
      </c>
      <c r="BM282" s="41" t="str">
        <f>IF(AND($G282='Povolené hodnoty'!$B$14,$H282=BM$4),SUM($J282,$M282,$P282,$S282),"")</f>
        <v/>
      </c>
      <c r="BO282" s="18" t="b">
        <f t="shared" si="176"/>
        <v>0</v>
      </c>
      <c r="BP282" s="18" t="b">
        <f t="shared" si="147"/>
        <v>0</v>
      </c>
      <c r="BQ282" s="18" t="b">
        <f>AND(E282&lt;&gt;'Povolené hodnoty'!$B$6,F282&lt;&gt;'Povolené hodnoty'!$D$7,F282&lt;&gt;'Povolené hodnoty'!$D$8,OR(SUM(I282,L282,O282,R282)&lt;&gt;SUM(W282:X282,AA282:AG282),SUM(J282,M282,P282,S282)&lt;&gt;SUM(Y282:Z282,AH282:AK282),COUNT(I282:J282,L282:M282,O282:P282,R282:S282)&lt;&gt;COUNT(W282:AK282)))</f>
        <v>0</v>
      </c>
      <c r="BR282" s="18" t="b">
        <f>OR(AND(E282='Povolené hodnoty'!$B$6,$BR$5),AND(E282='Povolené hodnoty'!$B$6,H282&lt;&gt;'Povolené hodnoty'!$E$26,H282&lt;&gt;'Povolené hodnoty'!$E$35),AND(E282&lt;&gt;'Povolené hodnoty'!$B$6,OR(H282='Povolené hodnoty'!$E$26,H282='Povolené hodnoty'!$E$35)))</f>
        <v>0</v>
      </c>
      <c r="BS282" s="18" t="b">
        <f>OR(AND(G282&lt;&gt;'Povolené hodnoty'!$B$13,OR(H282='Povolené hodnoty'!$E$21,H282='Povolené hodnoty'!$E$22,H282='Povolené hodnoty'!$E$23,H282='Povolené hodnoty'!$E$24,H282='Povolené hodnoty'!$E$26,H282='Povolené hodnoty'!$E$36)),COUNT(I282:J282,L282:M282,O282:P282,R282:S282)&lt;&gt;COUNT(AL282:BM282))</f>
        <v>0</v>
      </c>
      <c r="BT282" s="18" t="b">
        <f t="shared" si="148"/>
        <v>0</v>
      </c>
      <c r="BV282" s="39" t="str">
        <f t="shared" si="149"/>
        <v/>
      </c>
      <c r="BW282" s="458" t="str">
        <f t="shared" si="150"/>
        <v/>
      </c>
      <c r="BX282" s="458" t="str">
        <f t="shared" si="151"/>
        <v/>
      </c>
      <c r="BY282" s="458" t="str">
        <f t="shared" si="152"/>
        <v/>
      </c>
      <c r="BZ282" s="458" t="str">
        <f t="shared" si="153"/>
        <v/>
      </c>
      <c r="CA282" s="40" t="str">
        <f t="shared" si="154"/>
        <v/>
      </c>
      <c r="CB282" s="40" t="str">
        <f t="shared" si="155"/>
        <v/>
      </c>
      <c r="CC282" s="39" t="str">
        <f t="shared" si="156"/>
        <v/>
      </c>
      <c r="CD282" s="458" t="str">
        <f t="shared" si="157"/>
        <v/>
      </c>
      <c r="CE282" s="41" t="str">
        <f t="shared" si="158"/>
        <v/>
      </c>
      <c r="CF282" s="39" t="str">
        <f t="shared" si="159"/>
        <v/>
      </c>
      <c r="CG282" s="458" t="str">
        <f t="shared" si="160"/>
        <v/>
      </c>
      <c r="CH282" s="458" t="str">
        <f t="shared" si="161"/>
        <v/>
      </c>
      <c r="CI282" s="458" t="str">
        <f t="shared" si="162"/>
        <v/>
      </c>
      <c r="CJ282" s="458" t="str">
        <f t="shared" si="163"/>
        <v/>
      </c>
      <c r="CK282" s="40" t="str">
        <f t="shared" si="164"/>
        <v/>
      </c>
      <c r="CL282" s="40" t="str">
        <f t="shared" si="165"/>
        <v/>
      </c>
      <c r="CM282" s="40" t="str">
        <f t="shared" si="166"/>
        <v/>
      </c>
      <c r="CN282" s="39" t="str">
        <f t="shared" si="167"/>
        <v/>
      </c>
      <c r="CO282" s="458" t="str">
        <f t="shared" si="168"/>
        <v/>
      </c>
      <c r="CP282" s="458" t="str">
        <f t="shared" si="169"/>
        <v/>
      </c>
      <c r="CQ282" s="458" t="str">
        <f t="shared" si="170"/>
        <v/>
      </c>
      <c r="CR282" s="458" t="str">
        <f t="shared" si="171"/>
        <v/>
      </c>
      <c r="CS282" s="40" t="str">
        <f t="shared" si="172"/>
        <v/>
      </c>
      <c r="CT282" s="40" t="str">
        <f t="shared" si="173"/>
        <v/>
      </c>
      <c r="CU282" s="41" t="str">
        <f t="shared" si="174"/>
        <v/>
      </c>
    </row>
    <row r="283" spans="1:99" x14ac:dyDescent="0.2">
      <c r="A283" s="77">
        <f t="shared" si="175"/>
        <v>278</v>
      </c>
      <c r="B283" s="81"/>
      <c r="C283" s="82"/>
      <c r="D283" s="71"/>
      <c r="E283" s="72"/>
      <c r="F283" s="73"/>
      <c r="G283" s="443"/>
      <c r="H283" s="443"/>
      <c r="I283" s="74"/>
      <c r="J283" s="75"/>
      <c r="K283" s="41">
        <f t="shared" si="144"/>
        <v>3625</v>
      </c>
      <c r="L283" s="104"/>
      <c r="M283" s="105"/>
      <c r="N283" s="106">
        <f t="shared" si="145"/>
        <v>537.05999999999995</v>
      </c>
      <c r="O283" s="104"/>
      <c r="P283" s="105"/>
      <c r="Q283" s="106">
        <f t="shared" si="177"/>
        <v>10045.83</v>
      </c>
      <c r="R283" s="104"/>
      <c r="S283" s="105"/>
      <c r="T283" s="106">
        <f t="shared" si="178"/>
        <v>0</v>
      </c>
      <c r="U283" s="439"/>
      <c r="V283" s="42">
        <f t="shared" si="146"/>
        <v>278</v>
      </c>
      <c r="W283" s="39" t="str">
        <f>IF(AND(E283='Povolené hodnoty'!$B$4,F283=2),I283+L283+O283+R283,"")</f>
        <v/>
      </c>
      <c r="X283" s="41" t="str">
        <f>IF(AND(E283='Povolené hodnoty'!$B$4,F283=1),I283+L283+O283+R283,"")</f>
        <v/>
      </c>
      <c r="Y283" s="39" t="str">
        <f>IF(AND(E283='Povolené hodnoty'!$B$4,F283=10),J283+M283+P283+S283,"")</f>
        <v/>
      </c>
      <c r="Z283" s="41" t="str">
        <f>IF(AND(E283='Povolené hodnoty'!$B$4,F283=9),J283+M283+P283+S283,"")</f>
        <v/>
      </c>
      <c r="AA283" s="39" t="str">
        <f>IF(AND(E283&lt;&gt;'Povolené hodnoty'!$B$4,F283=2),I283+L283+O283+R283,"")</f>
        <v/>
      </c>
      <c r="AB283" s="40" t="str">
        <f>IF(AND(E283&lt;&gt;'Povolené hodnoty'!$B$4,F283=3),I283+L283+O283+R283,"")</f>
        <v/>
      </c>
      <c r="AC283" s="40" t="str">
        <f>IF(AND(E283&lt;&gt;'Povolené hodnoty'!$B$4,F283=4),I283+L283+O283+R283,"")</f>
        <v/>
      </c>
      <c r="AD283" s="40" t="str">
        <f>IF(AND(E283&lt;&gt;'Povolené hodnoty'!$B$4,F283="5a"),I283-J283+L283-M283+O283-P283+R283-S283,"")</f>
        <v/>
      </c>
      <c r="AE283" s="40" t="str">
        <f>IF(AND(E283&lt;&gt;'Povolené hodnoty'!$B$4,F283="5b"),I283-J283+L283-M283+O283-P283+R283-S283,"")</f>
        <v/>
      </c>
      <c r="AF283" s="40" t="str">
        <f>IF(AND(E283&lt;&gt;'Povolené hodnoty'!$B$4,F283=6),I283+L283+O283+R283,"")</f>
        <v/>
      </c>
      <c r="AG283" s="41" t="str">
        <f>IF(AND(E283&lt;&gt;'Povolené hodnoty'!$B$4,F283=7),I283+L283+O283+R283,"")</f>
        <v/>
      </c>
      <c r="AH283" s="39" t="str">
        <f>IF(AND(E283&lt;&gt;'Povolené hodnoty'!$B$4,F283=10),J283+M283+P283+S283,"")</f>
        <v/>
      </c>
      <c r="AI283" s="40" t="str">
        <f>IF(AND(E283&lt;&gt;'Povolené hodnoty'!$B$4,F283=11),J283+M283+P283+S283,"")</f>
        <v/>
      </c>
      <c r="AJ283" s="40" t="str">
        <f>IF(AND(E283&lt;&gt;'Povolené hodnoty'!$B$4,F283=12),J283+M283+P283+S283,"")</f>
        <v/>
      </c>
      <c r="AK283" s="41" t="str">
        <f>IF(AND(E283&lt;&gt;'Povolené hodnoty'!$B$4,F283=13),J283+M283+P283+S283,"")</f>
        <v/>
      </c>
      <c r="AL283" s="39" t="str">
        <f>IF(AND($G283='Povolené hodnoty'!$B$13,$H283=AL$4),SUM($I283,$L283,$O283,$R283),"")</f>
        <v/>
      </c>
      <c r="AM283" s="458" t="str">
        <f>IF(AND($G283='Povolené hodnoty'!$B$13,$H283=AM$4),SUM($I283,$L283,$O283,$R283),"")</f>
        <v/>
      </c>
      <c r="AN283" s="458" t="str">
        <f>IF(AND($G283='Povolené hodnoty'!$B$13,$H283=AN$4),SUM($I283,$L283,$O283,$R283),"")</f>
        <v/>
      </c>
      <c r="AO283" s="458" t="str">
        <f>IF(AND($G283='Povolené hodnoty'!$B$13,$H283=AO$4),SUM($I283,$L283,$O283,$R283),"")</f>
        <v/>
      </c>
      <c r="AP283" s="458" t="str">
        <f>IF(AND($G283='Povolené hodnoty'!$B$13,$H283=AP$4),SUM($I283,$L283,$O283,$R283),"")</f>
        <v/>
      </c>
      <c r="AQ283" s="40" t="str">
        <f>IF(AND($G283='Povolené hodnoty'!$B$13,OR($H283=AQ$4,$H283='Povolené hodnoty'!$E$36)),SUM($I283,-$J283,$L283,-$M283,$O283,-$P283,$R283,-$S283),"")</f>
        <v/>
      </c>
      <c r="AR283" s="40" t="str">
        <f>IF(AND($G283='Povolené hodnoty'!$B$13,$H283=AR$4),SUM($I283,$L283,$O283,$R283),"")</f>
        <v/>
      </c>
      <c r="AS283" s="41" t="str">
        <f>IF(AND($G283='Povolené hodnoty'!$B$13,$H283=AS$4),SUM($I283,$L283,$O283,$R283),"")</f>
        <v/>
      </c>
      <c r="AT283" s="39" t="str">
        <f>IF(AND($G283='Povolené hodnoty'!$B$14,$H283=AT$4),SUM($I283,$L283,$O283,$R283),"")</f>
        <v/>
      </c>
      <c r="AU283" s="458" t="str">
        <f>IF(AND($G283='Povolené hodnoty'!$B$14,$H283=AU$4),SUM($I283,$L283,$O283,$R283),"")</f>
        <v/>
      </c>
      <c r="AV283" s="41" t="str">
        <f>IF(AND($G283='Povolené hodnoty'!$B$14,$H283=AV$4),SUM($I283,$L283,$O283,$R283),"")</f>
        <v/>
      </c>
      <c r="AW283" s="39" t="str">
        <f>IF(AND($G283='Povolené hodnoty'!$B$13,$H283=AW$4),SUM($J283,$M283,$P283,$S283),"")</f>
        <v/>
      </c>
      <c r="AX283" s="458" t="str">
        <f>IF(AND($G283='Povolené hodnoty'!$B$13,$H283=AX$4),SUM($J283,$M283,$P283,$S283),"")</f>
        <v/>
      </c>
      <c r="AY283" s="458" t="str">
        <f>IF(AND($G283='Povolené hodnoty'!$B$13,$H283=AY$4),SUM($J283,$M283,$P283,$S283),"")</f>
        <v/>
      </c>
      <c r="AZ283" s="458" t="str">
        <f>IF(AND($G283='Povolené hodnoty'!$B$13,$H283=AZ$4),SUM($J283,$M283,$P283,$S283),"")</f>
        <v/>
      </c>
      <c r="BA283" s="458" t="str">
        <f>IF(AND($G283='Povolené hodnoty'!$B$13,$H283=BA$4),SUM($J283,$M283,$P283,$S283),"")</f>
        <v/>
      </c>
      <c r="BB283" s="40" t="str">
        <f>IF(AND($G283='Povolené hodnoty'!$B$13,$H283=BB$4),SUM($J283,$M283,$P283,$S283),"")</f>
        <v/>
      </c>
      <c r="BC283" s="40" t="str">
        <f>IF(AND($G283='Povolené hodnoty'!$B$13,$H283=BC$4),SUM($J283,$M283,$P283,$S283),"")</f>
        <v/>
      </c>
      <c r="BD283" s="40" t="str">
        <f>IF(AND($G283='Povolené hodnoty'!$B$13,$H283=BD$4),SUM($J283,$M283,$P283,$S283),"")</f>
        <v/>
      </c>
      <c r="BE283" s="41" t="str">
        <f>IF(AND($G283='Povolené hodnoty'!$B$13,$H283=BE$4),SUM($J283,$M283,$P283,$S283),"")</f>
        <v/>
      </c>
      <c r="BF283" s="39" t="str">
        <f>IF(AND($G283='Povolené hodnoty'!$B$14,$H283=BF$4),SUM($J283,$M283,$P283,$S283),"")</f>
        <v/>
      </c>
      <c r="BG283" s="458" t="str">
        <f>IF(AND($G283='Povolené hodnoty'!$B$14,$H283=BG$4),SUM($J283,$M283,$P283,$S283),"")</f>
        <v/>
      </c>
      <c r="BH283" s="458" t="str">
        <f>IF(AND($G283='Povolené hodnoty'!$B$14,$H283=BH$4),SUM($J283,$M283,$P283,$S283),"")</f>
        <v/>
      </c>
      <c r="BI283" s="458" t="str">
        <f>IF(AND($G283='Povolené hodnoty'!$B$14,$H283=BI$4),SUM($J283,$M283,$P283,$S283),"")</f>
        <v/>
      </c>
      <c r="BJ283" s="458" t="str">
        <f>IF(AND($G283='Povolené hodnoty'!$B$14,$H283=BJ$4),SUM($J283,$M283,$P283,$S283),"")</f>
        <v/>
      </c>
      <c r="BK283" s="40" t="str">
        <f>IF(AND($G283='Povolené hodnoty'!$B$14,$H283=BK$4),SUM($J283,$M283,$P283,$S283),"")</f>
        <v/>
      </c>
      <c r="BL283" s="40" t="str">
        <f>IF(AND($G283='Povolené hodnoty'!$B$14,$H283=BL$4),SUM($J283,$M283,$P283,$S283),"")</f>
        <v/>
      </c>
      <c r="BM283" s="41" t="str">
        <f>IF(AND($G283='Povolené hodnoty'!$B$14,$H283=BM$4),SUM($J283,$M283,$P283,$S283),"")</f>
        <v/>
      </c>
      <c r="BO283" s="18" t="b">
        <f t="shared" si="176"/>
        <v>0</v>
      </c>
      <c r="BP283" s="18" t="b">
        <f t="shared" si="147"/>
        <v>0</v>
      </c>
      <c r="BQ283" s="18" t="b">
        <f>AND(E283&lt;&gt;'Povolené hodnoty'!$B$6,F283&lt;&gt;'Povolené hodnoty'!$D$7,F283&lt;&gt;'Povolené hodnoty'!$D$8,OR(SUM(I283,L283,O283,R283)&lt;&gt;SUM(W283:X283,AA283:AG283),SUM(J283,M283,P283,S283)&lt;&gt;SUM(Y283:Z283,AH283:AK283),COUNT(I283:J283,L283:M283,O283:P283,R283:S283)&lt;&gt;COUNT(W283:AK283)))</f>
        <v>0</v>
      </c>
      <c r="BR283" s="18" t="b">
        <f>OR(AND(E283='Povolené hodnoty'!$B$6,$BR$5),AND(E283='Povolené hodnoty'!$B$6,H283&lt;&gt;'Povolené hodnoty'!$E$26,H283&lt;&gt;'Povolené hodnoty'!$E$35),AND(E283&lt;&gt;'Povolené hodnoty'!$B$6,OR(H283='Povolené hodnoty'!$E$26,H283='Povolené hodnoty'!$E$35)))</f>
        <v>0</v>
      </c>
      <c r="BS283" s="18" t="b">
        <f>OR(AND(G283&lt;&gt;'Povolené hodnoty'!$B$13,OR(H283='Povolené hodnoty'!$E$21,H283='Povolené hodnoty'!$E$22,H283='Povolené hodnoty'!$E$23,H283='Povolené hodnoty'!$E$24,H283='Povolené hodnoty'!$E$26,H283='Povolené hodnoty'!$E$36)),COUNT(I283:J283,L283:M283,O283:P283,R283:S283)&lt;&gt;COUNT(AL283:BM283))</f>
        <v>0</v>
      </c>
      <c r="BT283" s="18" t="b">
        <f t="shared" si="148"/>
        <v>0</v>
      </c>
      <c r="BV283" s="39" t="str">
        <f t="shared" si="149"/>
        <v/>
      </c>
      <c r="BW283" s="458" t="str">
        <f t="shared" si="150"/>
        <v/>
      </c>
      <c r="BX283" s="458" t="str">
        <f t="shared" si="151"/>
        <v/>
      </c>
      <c r="BY283" s="458" t="str">
        <f t="shared" si="152"/>
        <v/>
      </c>
      <c r="BZ283" s="458" t="str">
        <f t="shared" si="153"/>
        <v/>
      </c>
      <c r="CA283" s="40" t="str">
        <f t="shared" si="154"/>
        <v/>
      </c>
      <c r="CB283" s="40" t="str">
        <f t="shared" si="155"/>
        <v/>
      </c>
      <c r="CC283" s="39" t="str">
        <f t="shared" si="156"/>
        <v/>
      </c>
      <c r="CD283" s="458" t="str">
        <f t="shared" si="157"/>
        <v/>
      </c>
      <c r="CE283" s="41" t="str">
        <f t="shared" si="158"/>
        <v/>
      </c>
      <c r="CF283" s="39" t="str">
        <f t="shared" si="159"/>
        <v/>
      </c>
      <c r="CG283" s="458" t="str">
        <f t="shared" si="160"/>
        <v/>
      </c>
      <c r="CH283" s="458" t="str">
        <f t="shared" si="161"/>
        <v/>
      </c>
      <c r="CI283" s="458" t="str">
        <f t="shared" si="162"/>
        <v/>
      </c>
      <c r="CJ283" s="458" t="str">
        <f t="shared" si="163"/>
        <v/>
      </c>
      <c r="CK283" s="40" t="str">
        <f t="shared" si="164"/>
        <v/>
      </c>
      <c r="CL283" s="40" t="str">
        <f t="shared" si="165"/>
        <v/>
      </c>
      <c r="CM283" s="40" t="str">
        <f t="shared" si="166"/>
        <v/>
      </c>
      <c r="CN283" s="39" t="str">
        <f t="shared" si="167"/>
        <v/>
      </c>
      <c r="CO283" s="458" t="str">
        <f t="shared" si="168"/>
        <v/>
      </c>
      <c r="CP283" s="458" t="str">
        <f t="shared" si="169"/>
        <v/>
      </c>
      <c r="CQ283" s="458" t="str">
        <f t="shared" si="170"/>
        <v/>
      </c>
      <c r="CR283" s="458" t="str">
        <f t="shared" si="171"/>
        <v/>
      </c>
      <c r="CS283" s="40" t="str">
        <f t="shared" si="172"/>
        <v/>
      </c>
      <c r="CT283" s="40" t="str">
        <f t="shared" si="173"/>
        <v/>
      </c>
      <c r="CU283" s="41" t="str">
        <f t="shared" si="174"/>
        <v/>
      </c>
    </row>
    <row r="284" spans="1:99" x14ac:dyDescent="0.2">
      <c r="A284" s="77">
        <f t="shared" si="175"/>
        <v>279</v>
      </c>
      <c r="B284" s="81"/>
      <c r="C284" s="82"/>
      <c r="D284" s="71"/>
      <c r="E284" s="72"/>
      <c r="F284" s="73"/>
      <c r="G284" s="443"/>
      <c r="H284" s="443"/>
      <c r="I284" s="74"/>
      <c r="J284" s="75"/>
      <c r="K284" s="41">
        <f t="shared" si="144"/>
        <v>3625</v>
      </c>
      <c r="L284" s="104"/>
      <c r="M284" s="105"/>
      <c r="N284" s="106">
        <f t="shared" si="145"/>
        <v>537.05999999999995</v>
      </c>
      <c r="O284" s="104"/>
      <c r="P284" s="105"/>
      <c r="Q284" s="106">
        <f t="shared" si="177"/>
        <v>10045.83</v>
      </c>
      <c r="R284" s="104"/>
      <c r="S284" s="105"/>
      <c r="T284" s="106">
        <f t="shared" si="178"/>
        <v>0</v>
      </c>
      <c r="U284" s="439"/>
      <c r="V284" s="42">
        <f t="shared" si="146"/>
        <v>279</v>
      </c>
      <c r="W284" s="39" t="str">
        <f>IF(AND(E284='Povolené hodnoty'!$B$4,F284=2),I284+L284+O284+R284,"")</f>
        <v/>
      </c>
      <c r="X284" s="41" t="str">
        <f>IF(AND(E284='Povolené hodnoty'!$B$4,F284=1),I284+L284+O284+R284,"")</f>
        <v/>
      </c>
      <c r="Y284" s="39" t="str">
        <f>IF(AND(E284='Povolené hodnoty'!$B$4,F284=10),J284+M284+P284+S284,"")</f>
        <v/>
      </c>
      <c r="Z284" s="41" t="str">
        <f>IF(AND(E284='Povolené hodnoty'!$B$4,F284=9),J284+M284+P284+S284,"")</f>
        <v/>
      </c>
      <c r="AA284" s="39" t="str">
        <f>IF(AND(E284&lt;&gt;'Povolené hodnoty'!$B$4,F284=2),I284+L284+O284+R284,"")</f>
        <v/>
      </c>
      <c r="AB284" s="40" t="str">
        <f>IF(AND(E284&lt;&gt;'Povolené hodnoty'!$B$4,F284=3),I284+L284+O284+R284,"")</f>
        <v/>
      </c>
      <c r="AC284" s="40" t="str">
        <f>IF(AND(E284&lt;&gt;'Povolené hodnoty'!$B$4,F284=4),I284+L284+O284+R284,"")</f>
        <v/>
      </c>
      <c r="AD284" s="40" t="str">
        <f>IF(AND(E284&lt;&gt;'Povolené hodnoty'!$B$4,F284="5a"),I284-J284+L284-M284+O284-P284+R284-S284,"")</f>
        <v/>
      </c>
      <c r="AE284" s="40" t="str">
        <f>IF(AND(E284&lt;&gt;'Povolené hodnoty'!$B$4,F284="5b"),I284-J284+L284-M284+O284-P284+R284-S284,"")</f>
        <v/>
      </c>
      <c r="AF284" s="40" t="str">
        <f>IF(AND(E284&lt;&gt;'Povolené hodnoty'!$B$4,F284=6),I284+L284+O284+R284,"")</f>
        <v/>
      </c>
      <c r="AG284" s="41" t="str">
        <f>IF(AND(E284&lt;&gt;'Povolené hodnoty'!$B$4,F284=7),I284+L284+O284+R284,"")</f>
        <v/>
      </c>
      <c r="AH284" s="39" t="str">
        <f>IF(AND(E284&lt;&gt;'Povolené hodnoty'!$B$4,F284=10),J284+M284+P284+S284,"")</f>
        <v/>
      </c>
      <c r="AI284" s="40" t="str">
        <f>IF(AND(E284&lt;&gt;'Povolené hodnoty'!$B$4,F284=11),J284+M284+P284+S284,"")</f>
        <v/>
      </c>
      <c r="AJ284" s="40" t="str">
        <f>IF(AND(E284&lt;&gt;'Povolené hodnoty'!$B$4,F284=12),J284+M284+P284+S284,"")</f>
        <v/>
      </c>
      <c r="AK284" s="41" t="str">
        <f>IF(AND(E284&lt;&gt;'Povolené hodnoty'!$B$4,F284=13),J284+M284+P284+S284,"")</f>
        <v/>
      </c>
      <c r="AL284" s="39" t="str">
        <f>IF(AND($G284='Povolené hodnoty'!$B$13,$H284=AL$4),SUM($I284,$L284,$O284,$R284),"")</f>
        <v/>
      </c>
      <c r="AM284" s="458" t="str">
        <f>IF(AND($G284='Povolené hodnoty'!$B$13,$H284=AM$4),SUM($I284,$L284,$O284,$R284),"")</f>
        <v/>
      </c>
      <c r="AN284" s="458" t="str">
        <f>IF(AND($G284='Povolené hodnoty'!$B$13,$H284=AN$4),SUM($I284,$L284,$O284,$R284),"")</f>
        <v/>
      </c>
      <c r="AO284" s="458" t="str">
        <f>IF(AND($G284='Povolené hodnoty'!$B$13,$H284=AO$4),SUM($I284,$L284,$O284,$R284),"")</f>
        <v/>
      </c>
      <c r="AP284" s="458" t="str">
        <f>IF(AND($G284='Povolené hodnoty'!$B$13,$H284=AP$4),SUM($I284,$L284,$O284,$R284),"")</f>
        <v/>
      </c>
      <c r="AQ284" s="40" t="str">
        <f>IF(AND($G284='Povolené hodnoty'!$B$13,OR($H284=AQ$4,$H284='Povolené hodnoty'!$E$36)),SUM($I284,-$J284,$L284,-$M284,$O284,-$P284,$R284,-$S284),"")</f>
        <v/>
      </c>
      <c r="AR284" s="40" t="str">
        <f>IF(AND($G284='Povolené hodnoty'!$B$13,$H284=AR$4),SUM($I284,$L284,$O284,$R284),"")</f>
        <v/>
      </c>
      <c r="AS284" s="41" t="str">
        <f>IF(AND($G284='Povolené hodnoty'!$B$13,$H284=AS$4),SUM($I284,$L284,$O284,$R284),"")</f>
        <v/>
      </c>
      <c r="AT284" s="39" t="str">
        <f>IF(AND($G284='Povolené hodnoty'!$B$14,$H284=AT$4),SUM($I284,$L284,$O284,$R284),"")</f>
        <v/>
      </c>
      <c r="AU284" s="458" t="str">
        <f>IF(AND($G284='Povolené hodnoty'!$B$14,$H284=AU$4),SUM($I284,$L284,$O284,$R284),"")</f>
        <v/>
      </c>
      <c r="AV284" s="41" t="str">
        <f>IF(AND($G284='Povolené hodnoty'!$B$14,$H284=AV$4),SUM($I284,$L284,$O284,$R284),"")</f>
        <v/>
      </c>
      <c r="AW284" s="39" t="str">
        <f>IF(AND($G284='Povolené hodnoty'!$B$13,$H284=AW$4),SUM($J284,$M284,$P284,$S284),"")</f>
        <v/>
      </c>
      <c r="AX284" s="458" t="str">
        <f>IF(AND($G284='Povolené hodnoty'!$B$13,$H284=AX$4),SUM($J284,$M284,$P284,$S284),"")</f>
        <v/>
      </c>
      <c r="AY284" s="458" t="str">
        <f>IF(AND($G284='Povolené hodnoty'!$B$13,$H284=AY$4),SUM($J284,$M284,$P284,$S284),"")</f>
        <v/>
      </c>
      <c r="AZ284" s="458" t="str">
        <f>IF(AND($G284='Povolené hodnoty'!$B$13,$H284=AZ$4),SUM($J284,$M284,$P284,$S284),"")</f>
        <v/>
      </c>
      <c r="BA284" s="458" t="str">
        <f>IF(AND($G284='Povolené hodnoty'!$B$13,$H284=BA$4),SUM($J284,$M284,$P284,$S284),"")</f>
        <v/>
      </c>
      <c r="BB284" s="40" t="str">
        <f>IF(AND($G284='Povolené hodnoty'!$B$13,$H284=BB$4),SUM($J284,$M284,$P284,$S284),"")</f>
        <v/>
      </c>
      <c r="BC284" s="40" t="str">
        <f>IF(AND($G284='Povolené hodnoty'!$B$13,$H284=BC$4),SUM($J284,$M284,$P284,$S284),"")</f>
        <v/>
      </c>
      <c r="BD284" s="40" t="str">
        <f>IF(AND($G284='Povolené hodnoty'!$B$13,$H284=BD$4),SUM($J284,$M284,$P284,$S284),"")</f>
        <v/>
      </c>
      <c r="BE284" s="41" t="str">
        <f>IF(AND($G284='Povolené hodnoty'!$B$13,$H284=BE$4),SUM($J284,$M284,$P284,$S284),"")</f>
        <v/>
      </c>
      <c r="BF284" s="39" t="str">
        <f>IF(AND($G284='Povolené hodnoty'!$B$14,$H284=BF$4),SUM($J284,$M284,$P284,$S284),"")</f>
        <v/>
      </c>
      <c r="BG284" s="458" t="str">
        <f>IF(AND($G284='Povolené hodnoty'!$B$14,$H284=BG$4),SUM($J284,$M284,$P284,$S284),"")</f>
        <v/>
      </c>
      <c r="BH284" s="458" t="str">
        <f>IF(AND($G284='Povolené hodnoty'!$B$14,$H284=BH$4),SUM($J284,$M284,$P284,$S284),"")</f>
        <v/>
      </c>
      <c r="BI284" s="458" t="str">
        <f>IF(AND($G284='Povolené hodnoty'!$B$14,$H284=BI$4),SUM($J284,$M284,$P284,$S284),"")</f>
        <v/>
      </c>
      <c r="BJ284" s="458" t="str">
        <f>IF(AND($G284='Povolené hodnoty'!$B$14,$H284=BJ$4),SUM($J284,$M284,$P284,$S284),"")</f>
        <v/>
      </c>
      <c r="BK284" s="40" t="str">
        <f>IF(AND($G284='Povolené hodnoty'!$B$14,$H284=BK$4),SUM($J284,$M284,$P284,$S284),"")</f>
        <v/>
      </c>
      <c r="BL284" s="40" t="str">
        <f>IF(AND($G284='Povolené hodnoty'!$B$14,$H284=BL$4),SUM($J284,$M284,$P284,$S284),"")</f>
        <v/>
      </c>
      <c r="BM284" s="41" t="str">
        <f>IF(AND($G284='Povolené hodnoty'!$B$14,$H284=BM$4),SUM($J284,$M284,$P284,$S284),"")</f>
        <v/>
      </c>
      <c r="BO284" s="18" t="b">
        <f t="shared" si="176"/>
        <v>0</v>
      </c>
      <c r="BP284" s="18" t="b">
        <f t="shared" si="147"/>
        <v>0</v>
      </c>
      <c r="BQ284" s="18" t="b">
        <f>AND(E284&lt;&gt;'Povolené hodnoty'!$B$6,F284&lt;&gt;'Povolené hodnoty'!$D$7,F284&lt;&gt;'Povolené hodnoty'!$D$8,OR(SUM(I284,L284,O284,R284)&lt;&gt;SUM(W284:X284,AA284:AG284),SUM(J284,M284,P284,S284)&lt;&gt;SUM(Y284:Z284,AH284:AK284),COUNT(I284:J284,L284:M284,O284:P284,R284:S284)&lt;&gt;COUNT(W284:AK284)))</f>
        <v>0</v>
      </c>
      <c r="BR284" s="18" t="b">
        <f>OR(AND(E284='Povolené hodnoty'!$B$6,$BR$5),AND(E284='Povolené hodnoty'!$B$6,H284&lt;&gt;'Povolené hodnoty'!$E$26,H284&lt;&gt;'Povolené hodnoty'!$E$35),AND(E284&lt;&gt;'Povolené hodnoty'!$B$6,OR(H284='Povolené hodnoty'!$E$26,H284='Povolené hodnoty'!$E$35)))</f>
        <v>0</v>
      </c>
      <c r="BS284" s="18" t="b">
        <f>OR(AND(G284&lt;&gt;'Povolené hodnoty'!$B$13,OR(H284='Povolené hodnoty'!$E$21,H284='Povolené hodnoty'!$E$22,H284='Povolené hodnoty'!$E$23,H284='Povolené hodnoty'!$E$24,H284='Povolené hodnoty'!$E$26,H284='Povolené hodnoty'!$E$36)),COUNT(I284:J284,L284:M284,O284:P284,R284:S284)&lt;&gt;COUNT(AL284:BM284))</f>
        <v>0</v>
      </c>
      <c r="BT284" s="18" t="b">
        <f t="shared" si="148"/>
        <v>0</v>
      </c>
      <c r="BV284" s="39" t="str">
        <f t="shared" si="149"/>
        <v/>
      </c>
      <c r="BW284" s="458" t="str">
        <f t="shared" si="150"/>
        <v/>
      </c>
      <c r="BX284" s="458" t="str">
        <f t="shared" si="151"/>
        <v/>
      </c>
      <c r="BY284" s="458" t="str">
        <f t="shared" si="152"/>
        <v/>
      </c>
      <c r="BZ284" s="458" t="str">
        <f t="shared" si="153"/>
        <v/>
      </c>
      <c r="CA284" s="40" t="str">
        <f t="shared" si="154"/>
        <v/>
      </c>
      <c r="CB284" s="40" t="str">
        <f t="shared" si="155"/>
        <v/>
      </c>
      <c r="CC284" s="39" t="str">
        <f t="shared" si="156"/>
        <v/>
      </c>
      <c r="CD284" s="458" t="str">
        <f t="shared" si="157"/>
        <v/>
      </c>
      <c r="CE284" s="41" t="str">
        <f t="shared" si="158"/>
        <v/>
      </c>
      <c r="CF284" s="39" t="str">
        <f t="shared" si="159"/>
        <v/>
      </c>
      <c r="CG284" s="458" t="str">
        <f t="shared" si="160"/>
        <v/>
      </c>
      <c r="CH284" s="458" t="str">
        <f t="shared" si="161"/>
        <v/>
      </c>
      <c r="CI284" s="458" t="str">
        <f t="shared" si="162"/>
        <v/>
      </c>
      <c r="CJ284" s="458" t="str">
        <f t="shared" si="163"/>
        <v/>
      </c>
      <c r="CK284" s="40" t="str">
        <f t="shared" si="164"/>
        <v/>
      </c>
      <c r="CL284" s="40" t="str">
        <f t="shared" si="165"/>
        <v/>
      </c>
      <c r="CM284" s="40" t="str">
        <f t="shared" si="166"/>
        <v/>
      </c>
      <c r="CN284" s="39" t="str">
        <f t="shared" si="167"/>
        <v/>
      </c>
      <c r="CO284" s="458" t="str">
        <f t="shared" si="168"/>
        <v/>
      </c>
      <c r="CP284" s="458" t="str">
        <f t="shared" si="169"/>
        <v/>
      </c>
      <c r="CQ284" s="458" t="str">
        <f t="shared" si="170"/>
        <v/>
      </c>
      <c r="CR284" s="458" t="str">
        <f t="shared" si="171"/>
        <v/>
      </c>
      <c r="CS284" s="40" t="str">
        <f t="shared" si="172"/>
        <v/>
      </c>
      <c r="CT284" s="40" t="str">
        <f t="shared" si="173"/>
        <v/>
      </c>
      <c r="CU284" s="41" t="str">
        <f t="shared" si="174"/>
        <v/>
      </c>
    </row>
    <row r="285" spans="1:99" x14ac:dyDescent="0.2">
      <c r="A285" s="77">
        <f t="shared" si="175"/>
        <v>280</v>
      </c>
      <c r="B285" s="81"/>
      <c r="C285" s="82"/>
      <c r="D285" s="71"/>
      <c r="E285" s="72"/>
      <c r="F285" s="73"/>
      <c r="G285" s="443"/>
      <c r="H285" s="443"/>
      <c r="I285" s="74"/>
      <c r="J285" s="75"/>
      <c r="K285" s="41">
        <f t="shared" si="144"/>
        <v>3625</v>
      </c>
      <c r="L285" s="104"/>
      <c r="M285" s="105"/>
      <c r="N285" s="106">
        <f t="shared" si="145"/>
        <v>537.05999999999995</v>
      </c>
      <c r="O285" s="104"/>
      <c r="P285" s="105"/>
      <c r="Q285" s="106">
        <f t="shared" si="177"/>
        <v>10045.83</v>
      </c>
      <c r="R285" s="104"/>
      <c r="S285" s="105"/>
      <c r="T285" s="106">
        <f t="shared" si="178"/>
        <v>0</v>
      </c>
      <c r="U285" s="439"/>
      <c r="V285" s="42">
        <f t="shared" si="146"/>
        <v>280</v>
      </c>
      <c r="W285" s="39" t="str">
        <f>IF(AND(E285='Povolené hodnoty'!$B$4,F285=2),I285+L285+O285+R285,"")</f>
        <v/>
      </c>
      <c r="X285" s="41" t="str">
        <f>IF(AND(E285='Povolené hodnoty'!$B$4,F285=1),I285+L285+O285+R285,"")</f>
        <v/>
      </c>
      <c r="Y285" s="39" t="str">
        <f>IF(AND(E285='Povolené hodnoty'!$B$4,F285=10),J285+M285+P285+S285,"")</f>
        <v/>
      </c>
      <c r="Z285" s="41" t="str">
        <f>IF(AND(E285='Povolené hodnoty'!$B$4,F285=9),J285+M285+P285+S285,"")</f>
        <v/>
      </c>
      <c r="AA285" s="39" t="str">
        <f>IF(AND(E285&lt;&gt;'Povolené hodnoty'!$B$4,F285=2),I285+L285+O285+R285,"")</f>
        <v/>
      </c>
      <c r="AB285" s="40" t="str">
        <f>IF(AND(E285&lt;&gt;'Povolené hodnoty'!$B$4,F285=3),I285+L285+O285+R285,"")</f>
        <v/>
      </c>
      <c r="AC285" s="40" t="str">
        <f>IF(AND(E285&lt;&gt;'Povolené hodnoty'!$B$4,F285=4),I285+L285+O285+R285,"")</f>
        <v/>
      </c>
      <c r="AD285" s="40" t="str">
        <f>IF(AND(E285&lt;&gt;'Povolené hodnoty'!$B$4,F285="5a"),I285-J285+L285-M285+O285-P285+R285-S285,"")</f>
        <v/>
      </c>
      <c r="AE285" s="40" t="str">
        <f>IF(AND(E285&lt;&gt;'Povolené hodnoty'!$B$4,F285="5b"),I285-J285+L285-M285+O285-P285+R285-S285,"")</f>
        <v/>
      </c>
      <c r="AF285" s="40" t="str">
        <f>IF(AND(E285&lt;&gt;'Povolené hodnoty'!$B$4,F285=6),I285+L285+O285+R285,"")</f>
        <v/>
      </c>
      <c r="AG285" s="41" t="str">
        <f>IF(AND(E285&lt;&gt;'Povolené hodnoty'!$B$4,F285=7),I285+L285+O285+R285,"")</f>
        <v/>
      </c>
      <c r="AH285" s="39" t="str">
        <f>IF(AND(E285&lt;&gt;'Povolené hodnoty'!$B$4,F285=10),J285+M285+P285+S285,"")</f>
        <v/>
      </c>
      <c r="AI285" s="40" t="str">
        <f>IF(AND(E285&lt;&gt;'Povolené hodnoty'!$B$4,F285=11),J285+M285+P285+S285,"")</f>
        <v/>
      </c>
      <c r="AJ285" s="40" t="str">
        <f>IF(AND(E285&lt;&gt;'Povolené hodnoty'!$B$4,F285=12),J285+M285+P285+S285,"")</f>
        <v/>
      </c>
      <c r="AK285" s="41" t="str">
        <f>IF(AND(E285&lt;&gt;'Povolené hodnoty'!$B$4,F285=13),J285+M285+P285+S285,"")</f>
        <v/>
      </c>
      <c r="AL285" s="39" t="str">
        <f>IF(AND($G285='Povolené hodnoty'!$B$13,$H285=AL$4),SUM($I285,$L285,$O285,$R285),"")</f>
        <v/>
      </c>
      <c r="AM285" s="458" t="str">
        <f>IF(AND($G285='Povolené hodnoty'!$B$13,$H285=AM$4),SUM($I285,$L285,$O285,$R285),"")</f>
        <v/>
      </c>
      <c r="AN285" s="458" t="str">
        <f>IF(AND($G285='Povolené hodnoty'!$B$13,$H285=AN$4),SUM($I285,$L285,$O285,$R285),"")</f>
        <v/>
      </c>
      <c r="AO285" s="458" t="str">
        <f>IF(AND($G285='Povolené hodnoty'!$B$13,$H285=AO$4),SUM($I285,$L285,$O285,$R285),"")</f>
        <v/>
      </c>
      <c r="AP285" s="458" t="str">
        <f>IF(AND($G285='Povolené hodnoty'!$B$13,$H285=AP$4),SUM($I285,$L285,$O285,$R285),"")</f>
        <v/>
      </c>
      <c r="AQ285" s="40" t="str">
        <f>IF(AND($G285='Povolené hodnoty'!$B$13,OR($H285=AQ$4,$H285='Povolené hodnoty'!$E$36)),SUM($I285,-$J285,$L285,-$M285,$O285,-$P285,$R285,-$S285),"")</f>
        <v/>
      </c>
      <c r="AR285" s="40" t="str">
        <f>IF(AND($G285='Povolené hodnoty'!$B$13,$H285=AR$4),SUM($I285,$L285,$O285,$R285),"")</f>
        <v/>
      </c>
      <c r="AS285" s="41" t="str">
        <f>IF(AND($G285='Povolené hodnoty'!$B$13,$H285=AS$4),SUM($I285,$L285,$O285,$R285),"")</f>
        <v/>
      </c>
      <c r="AT285" s="39" t="str">
        <f>IF(AND($G285='Povolené hodnoty'!$B$14,$H285=AT$4),SUM($I285,$L285,$O285,$R285),"")</f>
        <v/>
      </c>
      <c r="AU285" s="458" t="str">
        <f>IF(AND($G285='Povolené hodnoty'!$B$14,$H285=AU$4),SUM($I285,$L285,$O285,$R285),"")</f>
        <v/>
      </c>
      <c r="AV285" s="41" t="str">
        <f>IF(AND($G285='Povolené hodnoty'!$B$14,$H285=AV$4),SUM($I285,$L285,$O285,$R285),"")</f>
        <v/>
      </c>
      <c r="AW285" s="39" t="str">
        <f>IF(AND($G285='Povolené hodnoty'!$B$13,$H285=AW$4),SUM($J285,$M285,$P285,$S285),"")</f>
        <v/>
      </c>
      <c r="AX285" s="458" t="str">
        <f>IF(AND($G285='Povolené hodnoty'!$B$13,$H285=AX$4),SUM($J285,$M285,$P285,$S285),"")</f>
        <v/>
      </c>
      <c r="AY285" s="458" t="str">
        <f>IF(AND($G285='Povolené hodnoty'!$B$13,$H285=AY$4),SUM($J285,$M285,$P285,$S285),"")</f>
        <v/>
      </c>
      <c r="AZ285" s="458" t="str">
        <f>IF(AND($G285='Povolené hodnoty'!$B$13,$H285=AZ$4),SUM($J285,$M285,$P285,$S285),"")</f>
        <v/>
      </c>
      <c r="BA285" s="458" t="str">
        <f>IF(AND($G285='Povolené hodnoty'!$B$13,$H285=BA$4),SUM($J285,$M285,$P285,$S285),"")</f>
        <v/>
      </c>
      <c r="BB285" s="40" t="str">
        <f>IF(AND($G285='Povolené hodnoty'!$B$13,$H285=BB$4),SUM($J285,$M285,$P285,$S285),"")</f>
        <v/>
      </c>
      <c r="BC285" s="40" t="str">
        <f>IF(AND($G285='Povolené hodnoty'!$B$13,$H285=BC$4),SUM($J285,$M285,$P285,$S285),"")</f>
        <v/>
      </c>
      <c r="BD285" s="40" t="str">
        <f>IF(AND($G285='Povolené hodnoty'!$B$13,$H285=BD$4),SUM($J285,$M285,$P285,$S285),"")</f>
        <v/>
      </c>
      <c r="BE285" s="41" t="str">
        <f>IF(AND($G285='Povolené hodnoty'!$B$13,$H285=BE$4),SUM($J285,$M285,$P285,$S285),"")</f>
        <v/>
      </c>
      <c r="BF285" s="39" t="str">
        <f>IF(AND($G285='Povolené hodnoty'!$B$14,$H285=BF$4),SUM($J285,$M285,$P285,$S285),"")</f>
        <v/>
      </c>
      <c r="BG285" s="458" t="str">
        <f>IF(AND($G285='Povolené hodnoty'!$B$14,$H285=BG$4),SUM($J285,$M285,$P285,$S285),"")</f>
        <v/>
      </c>
      <c r="BH285" s="458" t="str">
        <f>IF(AND($G285='Povolené hodnoty'!$B$14,$H285=BH$4),SUM($J285,$M285,$P285,$S285),"")</f>
        <v/>
      </c>
      <c r="BI285" s="458" t="str">
        <f>IF(AND($G285='Povolené hodnoty'!$B$14,$H285=BI$4),SUM($J285,$M285,$P285,$S285),"")</f>
        <v/>
      </c>
      <c r="BJ285" s="458" t="str">
        <f>IF(AND($G285='Povolené hodnoty'!$B$14,$H285=BJ$4),SUM($J285,$M285,$P285,$S285),"")</f>
        <v/>
      </c>
      <c r="BK285" s="40" t="str">
        <f>IF(AND($G285='Povolené hodnoty'!$B$14,$H285=BK$4),SUM($J285,$M285,$P285,$S285),"")</f>
        <v/>
      </c>
      <c r="BL285" s="40" t="str">
        <f>IF(AND($G285='Povolené hodnoty'!$B$14,$H285=BL$4),SUM($J285,$M285,$P285,$S285),"")</f>
        <v/>
      </c>
      <c r="BM285" s="41" t="str">
        <f>IF(AND($G285='Povolené hodnoty'!$B$14,$H285=BM$4),SUM($J285,$M285,$P285,$S285),"")</f>
        <v/>
      </c>
      <c r="BO285" s="18" t="b">
        <f t="shared" si="176"/>
        <v>0</v>
      </c>
      <c r="BP285" s="18" t="b">
        <f t="shared" si="147"/>
        <v>0</v>
      </c>
      <c r="BQ285" s="18" t="b">
        <f>AND(E285&lt;&gt;'Povolené hodnoty'!$B$6,F285&lt;&gt;'Povolené hodnoty'!$D$7,F285&lt;&gt;'Povolené hodnoty'!$D$8,OR(SUM(I285,L285,O285,R285)&lt;&gt;SUM(W285:X285,AA285:AG285),SUM(J285,M285,P285,S285)&lt;&gt;SUM(Y285:Z285,AH285:AK285),COUNT(I285:J285,L285:M285,O285:P285,R285:S285)&lt;&gt;COUNT(W285:AK285)))</f>
        <v>0</v>
      </c>
      <c r="BR285" s="18" t="b">
        <f>OR(AND(E285='Povolené hodnoty'!$B$6,$BR$5),AND(E285='Povolené hodnoty'!$B$6,H285&lt;&gt;'Povolené hodnoty'!$E$26,H285&lt;&gt;'Povolené hodnoty'!$E$35),AND(E285&lt;&gt;'Povolené hodnoty'!$B$6,OR(H285='Povolené hodnoty'!$E$26,H285='Povolené hodnoty'!$E$35)))</f>
        <v>0</v>
      </c>
      <c r="BS285" s="18" t="b">
        <f>OR(AND(G285&lt;&gt;'Povolené hodnoty'!$B$13,OR(H285='Povolené hodnoty'!$E$21,H285='Povolené hodnoty'!$E$22,H285='Povolené hodnoty'!$E$23,H285='Povolené hodnoty'!$E$24,H285='Povolené hodnoty'!$E$26,H285='Povolené hodnoty'!$E$36)),COUNT(I285:J285,L285:M285,O285:P285,R285:S285)&lt;&gt;COUNT(AL285:BM285))</f>
        <v>0</v>
      </c>
      <c r="BT285" s="18" t="b">
        <f t="shared" si="148"/>
        <v>0</v>
      </c>
      <c r="BV285" s="39" t="str">
        <f t="shared" si="149"/>
        <v/>
      </c>
      <c r="BW285" s="458" t="str">
        <f t="shared" si="150"/>
        <v/>
      </c>
      <c r="BX285" s="458" t="str">
        <f t="shared" si="151"/>
        <v/>
      </c>
      <c r="BY285" s="458" t="str">
        <f t="shared" si="152"/>
        <v/>
      </c>
      <c r="BZ285" s="458" t="str">
        <f t="shared" si="153"/>
        <v/>
      </c>
      <c r="CA285" s="40" t="str">
        <f t="shared" si="154"/>
        <v/>
      </c>
      <c r="CB285" s="40" t="str">
        <f t="shared" si="155"/>
        <v/>
      </c>
      <c r="CC285" s="39" t="str">
        <f t="shared" si="156"/>
        <v/>
      </c>
      <c r="CD285" s="458" t="str">
        <f t="shared" si="157"/>
        <v/>
      </c>
      <c r="CE285" s="41" t="str">
        <f t="shared" si="158"/>
        <v/>
      </c>
      <c r="CF285" s="39" t="str">
        <f t="shared" si="159"/>
        <v/>
      </c>
      <c r="CG285" s="458" t="str">
        <f t="shared" si="160"/>
        <v/>
      </c>
      <c r="CH285" s="458" t="str">
        <f t="shared" si="161"/>
        <v/>
      </c>
      <c r="CI285" s="458" t="str">
        <f t="shared" si="162"/>
        <v/>
      </c>
      <c r="CJ285" s="458" t="str">
        <f t="shared" si="163"/>
        <v/>
      </c>
      <c r="CK285" s="40" t="str">
        <f t="shared" si="164"/>
        <v/>
      </c>
      <c r="CL285" s="40" t="str">
        <f t="shared" si="165"/>
        <v/>
      </c>
      <c r="CM285" s="40" t="str">
        <f t="shared" si="166"/>
        <v/>
      </c>
      <c r="CN285" s="39" t="str">
        <f t="shared" si="167"/>
        <v/>
      </c>
      <c r="CO285" s="458" t="str">
        <f t="shared" si="168"/>
        <v/>
      </c>
      <c r="CP285" s="458" t="str">
        <f t="shared" si="169"/>
        <v/>
      </c>
      <c r="CQ285" s="458" t="str">
        <f t="shared" si="170"/>
        <v/>
      </c>
      <c r="CR285" s="458" t="str">
        <f t="shared" si="171"/>
        <v/>
      </c>
      <c r="CS285" s="40" t="str">
        <f t="shared" si="172"/>
        <v/>
      </c>
      <c r="CT285" s="40" t="str">
        <f t="shared" si="173"/>
        <v/>
      </c>
      <c r="CU285" s="41" t="str">
        <f t="shared" si="174"/>
        <v/>
      </c>
    </row>
    <row r="286" spans="1:99" x14ac:dyDescent="0.2">
      <c r="A286" s="77">
        <f t="shared" si="175"/>
        <v>281</v>
      </c>
      <c r="B286" s="81"/>
      <c r="C286" s="82"/>
      <c r="D286" s="71"/>
      <c r="E286" s="72"/>
      <c r="F286" s="73"/>
      <c r="G286" s="443"/>
      <c r="H286" s="443"/>
      <c r="I286" s="74"/>
      <c r="J286" s="75"/>
      <c r="K286" s="41">
        <f t="shared" si="144"/>
        <v>3625</v>
      </c>
      <c r="L286" s="104"/>
      <c r="M286" s="105"/>
      <c r="N286" s="106">
        <f t="shared" si="145"/>
        <v>537.05999999999995</v>
      </c>
      <c r="O286" s="104"/>
      <c r="P286" s="105"/>
      <c r="Q286" s="106">
        <f t="shared" si="177"/>
        <v>10045.83</v>
      </c>
      <c r="R286" s="104"/>
      <c r="S286" s="105"/>
      <c r="T286" s="106">
        <f t="shared" si="178"/>
        <v>0</v>
      </c>
      <c r="U286" s="439"/>
      <c r="V286" s="42">
        <f t="shared" si="146"/>
        <v>281</v>
      </c>
      <c r="W286" s="39" t="str">
        <f>IF(AND(E286='Povolené hodnoty'!$B$4,F286=2),I286+L286+O286+R286,"")</f>
        <v/>
      </c>
      <c r="X286" s="41" t="str">
        <f>IF(AND(E286='Povolené hodnoty'!$B$4,F286=1),I286+L286+O286+R286,"")</f>
        <v/>
      </c>
      <c r="Y286" s="39" t="str">
        <f>IF(AND(E286='Povolené hodnoty'!$B$4,F286=10),J286+M286+P286+S286,"")</f>
        <v/>
      </c>
      <c r="Z286" s="41" t="str">
        <f>IF(AND(E286='Povolené hodnoty'!$B$4,F286=9),J286+M286+P286+S286,"")</f>
        <v/>
      </c>
      <c r="AA286" s="39" t="str">
        <f>IF(AND(E286&lt;&gt;'Povolené hodnoty'!$B$4,F286=2),I286+L286+O286+R286,"")</f>
        <v/>
      </c>
      <c r="AB286" s="40" t="str">
        <f>IF(AND(E286&lt;&gt;'Povolené hodnoty'!$B$4,F286=3),I286+L286+O286+R286,"")</f>
        <v/>
      </c>
      <c r="AC286" s="40" t="str">
        <f>IF(AND(E286&lt;&gt;'Povolené hodnoty'!$B$4,F286=4),I286+L286+O286+R286,"")</f>
        <v/>
      </c>
      <c r="AD286" s="40" t="str">
        <f>IF(AND(E286&lt;&gt;'Povolené hodnoty'!$B$4,F286="5a"),I286-J286+L286-M286+O286-P286+R286-S286,"")</f>
        <v/>
      </c>
      <c r="AE286" s="40" t="str">
        <f>IF(AND(E286&lt;&gt;'Povolené hodnoty'!$B$4,F286="5b"),I286-J286+L286-M286+O286-P286+R286-S286,"")</f>
        <v/>
      </c>
      <c r="AF286" s="40" t="str">
        <f>IF(AND(E286&lt;&gt;'Povolené hodnoty'!$B$4,F286=6),I286+L286+O286+R286,"")</f>
        <v/>
      </c>
      <c r="AG286" s="41" t="str">
        <f>IF(AND(E286&lt;&gt;'Povolené hodnoty'!$B$4,F286=7),I286+L286+O286+R286,"")</f>
        <v/>
      </c>
      <c r="AH286" s="39" t="str">
        <f>IF(AND(E286&lt;&gt;'Povolené hodnoty'!$B$4,F286=10),J286+M286+P286+S286,"")</f>
        <v/>
      </c>
      <c r="AI286" s="40" t="str">
        <f>IF(AND(E286&lt;&gt;'Povolené hodnoty'!$B$4,F286=11),J286+M286+P286+S286,"")</f>
        <v/>
      </c>
      <c r="AJ286" s="40" t="str">
        <f>IF(AND(E286&lt;&gt;'Povolené hodnoty'!$B$4,F286=12),J286+M286+P286+S286,"")</f>
        <v/>
      </c>
      <c r="AK286" s="41" t="str">
        <f>IF(AND(E286&lt;&gt;'Povolené hodnoty'!$B$4,F286=13),J286+M286+P286+S286,"")</f>
        <v/>
      </c>
      <c r="AL286" s="39" t="str">
        <f>IF(AND($G286='Povolené hodnoty'!$B$13,$H286=AL$4),SUM($I286,$L286,$O286,$R286),"")</f>
        <v/>
      </c>
      <c r="AM286" s="458" t="str">
        <f>IF(AND($G286='Povolené hodnoty'!$B$13,$H286=AM$4),SUM($I286,$L286,$O286,$R286),"")</f>
        <v/>
      </c>
      <c r="AN286" s="458" t="str">
        <f>IF(AND($G286='Povolené hodnoty'!$B$13,$H286=AN$4),SUM($I286,$L286,$O286,$R286),"")</f>
        <v/>
      </c>
      <c r="AO286" s="458" t="str">
        <f>IF(AND($G286='Povolené hodnoty'!$B$13,$H286=AO$4),SUM($I286,$L286,$O286,$R286),"")</f>
        <v/>
      </c>
      <c r="AP286" s="458" t="str">
        <f>IF(AND($G286='Povolené hodnoty'!$B$13,$H286=AP$4),SUM($I286,$L286,$O286,$R286),"")</f>
        <v/>
      </c>
      <c r="AQ286" s="40" t="str">
        <f>IF(AND($G286='Povolené hodnoty'!$B$13,OR($H286=AQ$4,$H286='Povolené hodnoty'!$E$36)),SUM($I286,-$J286,$L286,-$M286,$O286,-$P286,$R286,-$S286),"")</f>
        <v/>
      </c>
      <c r="AR286" s="40" t="str">
        <f>IF(AND($G286='Povolené hodnoty'!$B$13,$H286=AR$4),SUM($I286,$L286,$O286,$R286),"")</f>
        <v/>
      </c>
      <c r="AS286" s="41" t="str">
        <f>IF(AND($G286='Povolené hodnoty'!$B$13,$H286=AS$4),SUM($I286,$L286,$O286,$R286),"")</f>
        <v/>
      </c>
      <c r="AT286" s="39" t="str">
        <f>IF(AND($G286='Povolené hodnoty'!$B$14,$H286=AT$4),SUM($I286,$L286,$O286,$R286),"")</f>
        <v/>
      </c>
      <c r="AU286" s="458" t="str">
        <f>IF(AND($G286='Povolené hodnoty'!$B$14,$H286=AU$4),SUM($I286,$L286,$O286,$R286),"")</f>
        <v/>
      </c>
      <c r="AV286" s="41" t="str">
        <f>IF(AND($G286='Povolené hodnoty'!$B$14,$H286=AV$4),SUM($I286,$L286,$O286,$R286),"")</f>
        <v/>
      </c>
      <c r="AW286" s="39" t="str">
        <f>IF(AND($G286='Povolené hodnoty'!$B$13,$H286=AW$4),SUM($J286,$M286,$P286,$S286),"")</f>
        <v/>
      </c>
      <c r="AX286" s="458" t="str">
        <f>IF(AND($G286='Povolené hodnoty'!$B$13,$H286=AX$4),SUM($J286,$M286,$P286,$S286),"")</f>
        <v/>
      </c>
      <c r="AY286" s="458" t="str">
        <f>IF(AND($G286='Povolené hodnoty'!$B$13,$H286=AY$4),SUM($J286,$M286,$P286,$S286),"")</f>
        <v/>
      </c>
      <c r="AZ286" s="458" t="str">
        <f>IF(AND($G286='Povolené hodnoty'!$B$13,$H286=AZ$4),SUM($J286,$M286,$P286,$S286),"")</f>
        <v/>
      </c>
      <c r="BA286" s="458" t="str">
        <f>IF(AND($G286='Povolené hodnoty'!$B$13,$H286=BA$4),SUM($J286,$M286,$P286,$S286),"")</f>
        <v/>
      </c>
      <c r="BB286" s="40" t="str">
        <f>IF(AND($G286='Povolené hodnoty'!$B$13,$H286=BB$4),SUM($J286,$M286,$P286,$S286),"")</f>
        <v/>
      </c>
      <c r="BC286" s="40" t="str">
        <f>IF(AND($G286='Povolené hodnoty'!$B$13,$H286=BC$4),SUM($J286,$M286,$P286,$S286),"")</f>
        <v/>
      </c>
      <c r="BD286" s="40" t="str">
        <f>IF(AND($G286='Povolené hodnoty'!$B$13,$H286=BD$4),SUM($J286,$M286,$P286,$S286),"")</f>
        <v/>
      </c>
      <c r="BE286" s="41" t="str">
        <f>IF(AND($G286='Povolené hodnoty'!$B$13,$H286=BE$4),SUM($J286,$M286,$P286,$S286),"")</f>
        <v/>
      </c>
      <c r="BF286" s="39" t="str">
        <f>IF(AND($G286='Povolené hodnoty'!$B$14,$H286=BF$4),SUM($J286,$M286,$P286,$S286),"")</f>
        <v/>
      </c>
      <c r="BG286" s="458" t="str">
        <f>IF(AND($G286='Povolené hodnoty'!$B$14,$H286=BG$4),SUM($J286,$M286,$P286,$S286),"")</f>
        <v/>
      </c>
      <c r="BH286" s="458" t="str">
        <f>IF(AND($G286='Povolené hodnoty'!$B$14,$H286=BH$4),SUM($J286,$M286,$P286,$S286),"")</f>
        <v/>
      </c>
      <c r="BI286" s="458" t="str">
        <f>IF(AND($G286='Povolené hodnoty'!$B$14,$H286=BI$4),SUM($J286,$M286,$P286,$S286),"")</f>
        <v/>
      </c>
      <c r="BJ286" s="458" t="str">
        <f>IF(AND($G286='Povolené hodnoty'!$B$14,$H286=BJ$4),SUM($J286,$M286,$P286,$S286),"")</f>
        <v/>
      </c>
      <c r="BK286" s="40" t="str">
        <f>IF(AND($G286='Povolené hodnoty'!$B$14,$H286=BK$4),SUM($J286,$M286,$P286,$S286),"")</f>
        <v/>
      </c>
      <c r="BL286" s="40" t="str">
        <f>IF(AND($G286='Povolené hodnoty'!$B$14,$H286=BL$4),SUM($J286,$M286,$P286,$S286),"")</f>
        <v/>
      </c>
      <c r="BM286" s="41" t="str">
        <f>IF(AND($G286='Povolené hodnoty'!$B$14,$H286=BM$4),SUM($J286,$M286,$P286,$S286),"")</f>
        <v/>
      </c>
      <c r="BO286" s="18" t="b">
        <f t="shared" si="176"/>
        <v>0</v>
      </c>
      <c r="BP286" s="18" t="b">
        <f t="shared" si="147"/>
        <v>0</v>
      </c>
      <c r="BQ286" s="18" t="b">
        <f>AND(E286&lt;&gt;'Povolené hodnoty'!$B$6,F286&lt;&gt;'Povolené hodnoty'!$D$7,F286&lt;&gt;'Povolené hodnoty'!$D$8,OR(SUM(I286,L286,O286,R286)&lt;&gt;SUM(W286:X286,AA286:AG286),SUM(J286,M286,P286,S286)&lt;&gt;SUM(Y286:Z286,AH286:AK286),COUNT(I286:J286,L286:M286,O286:P286,R286:S286)&lt;&gt;COUNT(W286:AK286)))</f>
        <v>0</v>
      </c>
      <c r="BR286" s="18" t="b">
        <f>OR(AND(E286='Povolené hodnoty'!$B$6,$BR$5),AND(E286='Povolené hodnoty'!$B$6,H286&lt;&gt;'Povolené hodnoty'!$E$26,H286&lt;&gt;'Povolené hodnoty'!$E$35),AND(E286&lt;&gt;'Povolené hodnoty'!$B$6,OR(H286='Povolené hodnoty'!$E$26,H286='Povolené hodnoty'!$E$35)))</f>
        <v>0</v>
      </c>
      <c r="BS286" s="18" t="b">
        <f>OR(AND(G286&lt;&gt;'Povolené hodnoty'!$B$13,OR(H286='Povolené hodnoty'!$E$21,H286='Povolené hodnoty'!$E$22,H286='Povolené hodnoty'!$E$23,H286='Povolené hodnoty'!$E$24,H286='Povolené hodnoty'!$E$26,H286='Povolené hodnoty'!$E$36)),COUNT(I286:J286,L286:M286,O286:P286,R286:S286)&lt;&gt;COUNT(AL286:BM286))</f>
        <v>0</v>
      </c>
      <c r="BT286" s="18" t="b">
        <f t="shared" si="148"/>
        <v>0</v>
      </c>
      <c r="BV286" s="39" t="str">
        <f t="shared" si="149"/>
        <v/>
      </c>
      <c r="BW286" s="458" t="str">
        <f t="shared" si="150"/>
        <v/>
      </c>
      <c r="BX286" s="458" t="str">
        <f t="shared" si="151"/>
        <v/>
      </c>
      <c r="BY286" s="458" t="str">
        <f t="shared" si="152"/>
        <v/>
      </c>
      <c r="BZ286" s="458" t="str">
        <f t="shared" si="153"/>
        <v/>
      </c>
      <c r="CA286" s="40" t="str">
        <f t="shared" si="154"/>
        <v/>
      </c>
      <c r="CB286" s="40" t="str">
        <f t="shared" si="155"/>
        <v/>
      </c>
      <c r="CC286" s="39" t="str">
        <f t="shared" si="156"/>
        <v/>
      </c>
      <c r="CD286" s="458" t="str">
        <f t="shared" si="157"/>
        <v/>
      </c>
      <c r="CE286" s="41" t="str">
        <f t="shared" si="158"/>
        <v/>
      </c>
      <c r="CF286" s="39" t="str">
        <f t="shared" si="159"/>
        <v/>
      </c>
      <c r="CG286" s="458" t="str">
        <f t="shared" si="160"/>
        <v/>
      </c>
      <c r="CH286" s="458" t="str">
        <f t="shared" si="161"/>
        <v/>
      </c>
      <c r="CI286" s="458" t="str">
        <f t="shared" si="162"/>
        <v/>
      </c>
      <c r="CJ286" s="458" t="str">
        <f t="shared" si="163"/>
        <v/>
      </c>
      <c r="CK286" s="40" t="str">
        <f t="shared" si="164"/>
        <v/>
      </c>
      <c r="CL286" s="40" t="str">
        <f t="shared" si="165"/>
        <v/>
      </c>
      <c r="CM286" s="40" t="str">
        <f t="shared" si="166"/>
        <v/>
      </c>
      <c r="CN286" s="39" t="str">
        <f t="shared" si="167"/>
        <v/>
      </c>
      <c r="CO286" s="458" t="str">
        <f t="shared" si="168"/>
        <v/>
      </c>
      <c r="CP286" s="458" t="str">
        <f t="shared" si="169"/>
        <v/>
      </c>
      <c r="CQ286" s="458" t="str">
        <f t="shared" si="170"/>
        <v/>
      </c>
      <c r="CR286" s="458" t="str">
        <f t="shared" si="171"/>
        <v/>
      </c>
      <c r="CS286" s="40" t="str">
        <f t="shared" si="172"/>
        <v/>
      </c>
      <c r="CT286" s="40" t="str">
        <f t="shared" si="173"/>
        <v/>
      </c>
      <c r="CU286" s="41" t="str">
        <f t="shared" si="174"/>
        <v/>
      </c>
    </row>
    <row r="287" spans="1:99" x14ac:dyDescent="0.2">
      <c r="A287" s="77">
        <f t="shared" si="175"/>
        <v>282</v>
      </c>
      <c r="B287" s="81"/>
      <c r="C287" s="82"/>
      <c r="D287" s="71"/>
      <c r="E287" s="72"/>
      <c r="F287" s="73"/>
      <c r="G287" s="443"/>
      <c r="H287" s="443"/>
      <c r="I287" s="74"/>
      <c r="J287" s="75"/>
      <c r="K287" s="41">
        <f t="shared" si="144"/>
        <v>3625</v>
      </c>
      <c r="L287" s="104"/>
      <c r="M287" s="105"/>
      <c r="N287" s="106">
        <f t="shared" si="145"/>
        <v>537.05999999999995</v>
      </c>
      <c r="O287" s="104"/>
      <c r="P287" s="105"/>
      <c r="Q287" s="106">
        <f t="shared" si="177"/>
        <v>10045.83</v>
      </c>
      <c r="R287" s="104"/>
      <c r="S287" s="105"/>
      <c r="T287" s="106">
        <f t="shared" si="178"/>
        <v>0</v>
      </c>
      <c r="U287" s="439"/>
      <c r="V287" s="42">
        <f t="shared" si="146"/>
        <v>282</v>
      </c>
      <c r="W287" s="39" t="str">
        <f>IF(AND(E287='Povolené hodnoty'!$B$4,F287=2),I287+L287+O287+R287,"")</f>
        <v/>
      </c>
      <c r="X287" s="41" t="str">
        <f>IF(AND(E287='Povolené hodnoty'!$B$4,F287=1),I287+L287+O287+R287,"")</f>
        <v/>
      </c>
      <c r="Y287" s="39" t="str">
        <f>IF(AND(E287='Povolené hodnoty'!$B$4,F287=10),J287+M287+P287+S287,"")</f>
        <v/>
      </c>
      <c r="Z287" s="41" t="str">
        <f>IF(AND(E287='Povolené hodnoty'!$B$4,F287=9),J287+M287+P287+S287,"")</f>
        <v/>
      </c>
      <c r="AA287" s="39" t="str">
        <f>IF(AND(E287&lt;&gt;'Povolené hodnoty'!$B$4,F287=2),I287+L287+O287+R287,"")</f>
        <v/>
      </c>
      <c r="AB287" s="40" t="str">
        <f>IF(AND(E287&lt;&gt;'Povolené hodnoty'!$B$4,F287=3),I287+L287+O287+R287,"")</f>
        <v/>
      </c>
      <c r="AC287" s="40" t="str">
        <f>IF(AND(E287&lt;&gt;'Povolené hodnoty'!$B$4,F287=4),I287+L287+O287+R287,"")</f>
        <v/>
      </c>
      <c r="AD287" s="40" t="str">
        <f>IF(AND(E287&lt;&gt;'Povolené hodnoty'!$B$4,F287="5a"),I287-J287+L287-M287+O287-P287+R287-S287,"")</f>
        <v/>
      </c>
      <c r="AE287" s="40" t="str">
        <f>IF(AND(E287&lt;&gt;'Povolené hodnoty'!$B$4,F287="5b"),I287-J287+L287-M287+O287-P287+R287-S287,"")</f>
        <v/>
      </c>
      <c r="AF287" s="40" t="str">
        <f>IF(AND(E287&lt;&gt;'Povolené hodnoty'!$B$4,F287=6),I287+L287+O287+R287,"")</f>
        <v/>
      </c>
      <c r="AG287" s="41" t="str">
        <f>IF(AND(E287&lt;&gt;'Povolené hodnoty'!$B$4,F287=7),I287+L287+O287+R287,"")</f>
        <v/>
      </c>
      <c r="AH287" s="39" t="str">
        <f>IF(AND(E287&lt;&gt;'Povolené hodnoty'!$B$4,F287=10),J287+M287+P287+S287,"")</f>
        <v/>
      </c>
      <c r="AI287" s="40" t="str">
        <f>IF(AND(E287&lt;&gt;'Povolené hodnoty'!$B$4,F287=11),J287+M287+P287+S287,"")</f>
        <v/>
      </c>
      <c r="AJ287" s="40" t="str">
        <f>IF(AND(E287&lt;&gt;'Povolené hodnoty'!$B$4,F287=12),J287+M287+P287+S287,"")</f>
        <v/>
      </c>
      <c r="AK287" s="41" t="str">
        <f>IF(AND(E287&lt;&gt;'Povolené hodnoty'!$B$4,F287=13),J287+M287+P287+S287,"")</f>
        <v/>
      </c>
      <c r="AL287" s="39" t="str">
        <f>IF(AND($G287='Povolené hodnoty'!$B$13,$H287=AL$4),SUM($I287,$L287,$O287,$R287),"")</f>
        <v/>
      </c>
      <c r="AM287" s="458" t="str">
        <f>IF(AND($G287='Povolené hodnoty'!$B$13,$H287=AM$4),SUM($I287,$L287,$O287,$R287),"")</f>
        <v/>
      </c>
      <c r="AN287" s="458" t="str">
        <f>IF(AND($G287='Povolené hodnoty'!$B$13,$H287=AN$4),SUM($I287,$L287,$O287,$R287),"")</f>
        <v/>
      </c>
      <c r="AO287" s="458" t="str">
        <f>IF(AND($G287='Povolené hodnoty'!$B$13,$H287=AO$4),SUM($I287,$L287,$O287,$R287),"")</f>
        <v/>
      </c>
      <c r="AP287" s="458" t="str">
        <f>IF(AND($G287='Povolené hodnoty'!$B$13,$H287=AP$4),SUM($I287,$L287,$O287,$R287),"")</f>
        <v/>
      </c>
      <c r="AQ287" s="40" t="str">
        <f>IF(AND($G287='Povolené hodnoty'!$B$13,OR($H287=AQ$4,$H287='Povolené hodnoty'!$E$36)),SUM($I287,-$J287,$L287,-$M287,$O287,-$P287,$R287,-$S287),"")</f>
        <v/>
      </c>
      <c r="AR287" s="40" t="str">
        <f>IF(AND($G287='Povolené hodnoty'!$B$13,$H287=AR$4),SUM($I287,$L287,$O287,$R287),"")</f>
        <v/>
      </c>
      <c r="AS287" s="41" t="str">
        <f>IF(AND($G287='Povolené hodnoty'!$B$13,$H287=AS$4),SUM($I287,$L287,$O287,$R287),"")</f>
        <v/>
      </c>
      <c r="AT287" s="39" t="str">
        <f>IF(AND($G287='Povolené hodnoty'!$B$14,$H287=AT$4),SUM($I287,$L287,$O287,$R287),"")</f>
        <v/>
      </c>
      <c r="AU287" s="458" t="str">
        <f>IF(AND($G287='Povolené hodnoty'!$B$14,$H287=AU$4),SUM($I287,$L287,$O287,$R287),"")</f>
        <v/>
      </c>
      <c r="AV287" s="41" t="str">
        <f>IF(AND($G287='Povolené hodnoty'!$B$14,$H287=AV$4),SUM($I287,$L287,$O287,$R287),"")</f>
        <v/>
      </c>
      <c r="AW287" s="39" t="str">
        <f>IF(AND($G287='Povolené hodnoty'!$B$13,$H287=AW$4),SUM($J287,$M287,$P287,$S287),"")</f>
        <v/>
      </c>
      <c r="AX287" s="458" t="str">
        <f>IF(AND($G287='Povolené hodnoty'!$B$13,$H287=AX$4),SUM($J287,$M287,$P287,$S287),"")</f>
        <v/>
      </c>
      <c r="AY287" s="458" t="str">
        <f>IF(AND($G287='Povolené hodnoty'!$B$13,$H287=AY$4),SUM($J287,$M287,$P287,$S287),"")</f>
        <v/>
      </c>
      <c r="AZ287" s="458" t="str">
        <f>IF(AND($G287='Povolené hodnoty'!$B$13,$H287=AZ$4),SUM($J287,$M287,$P287,$S287),"")</f>
        <v/>
      </c>
      <c r="BA287" s="458" t="str">
        <f>IF(AND($G287='Povolené hodnoty'!$B$13,$H287=BA$4),SUM($J287,$M287,$P287,$S287),"")</f>
        <v/>
      </c>
      <c r="BB287" s="40" t="str">
        <f>IF(AND($G287='Povolené hodnoty'!$B$13,$H287=BB$4),SUM($J287,$M287,$P287,$S287),"")</f>
        <v/>
      </c>
      <c r="BC287" s="40" t="str">
        <f>IF(AND($G287='Povolené hodnoty'!$B$13,$H287=BC$4),SUM($J287,$M287,$P287,$S287),"")</f>
        <v/>
      </c>
      <c r="BD287" s="40" t="str">
        <f>IF(AND($G287='Povolené hodnoty'!$B$13,$H287=BD$4),SUM($J287,$M287,$P287,$S287),"")</f>
        <v/>
      </c>
      <c r="BE287" s="41" t="str">
        <f>IF(AND($G287='Povolené hodnoty'!$B$13,$H287=BE$4),SUM($J287,$M287,$P287,$S287),"")</f>
        <v/>
      </c>
      <c r="BF287" s="39" t="str">
        <f>IF(AND($G287='Povolené hodnoty'!$B$14,$H287=BF$4),SUM($J287,$M287,$P287,$S287),"")</f>
        <v/>
      </c>
      <c r="BG287" s="458" t="str">
        <f>IF(AND($G287='Povolené hodnoty'!$B$14,$H287=BG$4),SUM($J287,$M287,$P287,$S287),"")</f>
        <v/>
      </c>
      <c r="BH287" s="458" t="str">
        <f>IF(AND($G287='Povolené hodnoty'!$B$14,$H287=BH$4),SUM($J287,$M287,$P287,$S287),"")</f>
        <v/>
      </c>
      <c r="BI287" s="458" t="str">
        <f>IF(AND($G287='Povolené hodnoty'!$B$14,$H287=BI$4),SUM($J287,$M287,$P287,$S287),"")</f>
        <v/>
      </c>
      <c r="BJ287" s="458" t="str">
        <f>IF(AND($G287='Povolené hodnoty'!$B$14,$H287=BJ$4),SUM($J287,$M287,$P287,$S287),"")</f>
        <v/>
      </c>
      <c r="BK287" s="40" t="str">
        <f>IF(AND($G287='Povolené hodnoty'!$B$14,$H287=BK$4),SUM($J287,$M287,$P287,$S287),"")</f>
        <v/>
      </c>
      <c r="BL287" s="40" t="str">
        <f>IF(AND($G287='Povolené hodnoty'!$B$14,$H287=BL$4),SUM($J287,$M287,$P287,$S287),"")</f>
        <v/>
      </c>
      <c r="BM287" s="41" t="str">
        <f>IF(AND($G287='Povolené hodnoty'!$B$14,$H287=BM$4),SUM($J287,$M287,$P287,$S287),"")</f>
        <v/>
      </c>
      <c r="BO287" s="18" t="b">
        <f t="shared" si="176"/>
        <v>0</v>
      </c>
      <c r="BP287" s="18" t="b">
        <f t="shared" si="147"/>
        <v>0</v>
      </c>
      <c r="BQ287" s="18" t="b">
        <f>AND(E287&lt;&gt;'Povolené hodnoty'!$B$6,F287&lt;&gt;'Povolené hodnoty'!$D$7,F287&lt;&gt;'Povolené hodnoty'!$D$8,OR(SUM(I287,L287,O287,R287)&lt;&gt;SUM(W287:X287,AA287:AG287),SUM(J287,M287,P287,S287)&lt;&gt;SUM(Y287:Z287,AH287:AK287),COUNT(I287:J287,L287:M287,O287:P287,R287:S287)&lt;&gt;COUNT(W287:AK287)))</f>
        <v>0</v>
      </c>
      <c r="BR287" s="18" t="b">
        <f>OR(AND(E287='Povolené hodnoty'!$B$6,$BR$5),AND(E287='Povolené hodnoty'!$B$6,H287&lt;&gt;'Povolené hodnoty'!$E$26,H287&lt;&gt;'Povolené hodnoty'!$E$35),AND(E287&lt;&gt;'Povolené hodnoty'!$B$6,OR(H287='Povolené hodnoty'!$E$26,H287='Povolené hodnoty'!$E$35)))</f>
        <v>0</v>
      </c>
      <c r="BS287" s="18" t="b">
        <f>OR(AND(G287&lt;&gt;'Povolené hodnoty'!$B$13,OR(H287='Povolené hodnoty'!$E$21,H287='Povolené hodnoty'!$E$22,H287='Povolené hodnoty'!$E$23,H287='Povolené hodnoty'!$E$24,H287='Povolené hodnoty'!$E$26,H287='Povolené hodnoty'!$E$36)),COUNT(I287:J287,L287:M287,O287:P287,R287:S287)&lt;&gt;COUNT(AL287:BM287))</f>
        <v>0</v>
      </c>
      <c r="BT287" s="18" t="b">
        <f t="shared" si="148"/>
        <v>0</v>
      </c>
      <c r="BV287" s="39" t="str">
        <f t="shared" si="149"/>
        <v/>
      </c>
      <c r="BW287" s="458" t="str">
        <f t="shared" si="150"/>
        <v/>
      </c>
      <c r="BX287" s="458" t="str">
        <f t="shared" si="151"/>
        <v/>
      </c>
      <c r="BY287" s="458" t="str">
        <f t="shared" si="152"/>
        <v/>
      </c>
      <c r="BZ287" s="458" t="str">
        <f t="shared" si="153"/>
        <v/>
      </c>
      <c r="CA287" s="40" t="str">
        <f t="shared" si="154"/>
        <v/>
      </c>
      <c r="CB287" s="40" t="str">
        <f t="shared" si="155"/>
        <v/>
      </c>
      <c r="CC287" s="39" t="str">
        <f t="shared" si="156"/>
        <v/>
      </c>
      <c r="CD287" s="458" t="str">
        <f t="shared" si="157"/>
        <v/>
      </c>
      <c r="CE287" s="41" t="str">
        <f t="shared" si="158"/>
        <v/>
      </c>
      <c r="CF287" s="39" t="str">
        <f t="shared" si="159"/>
        <v/>
      </c>
      <c r="CG287" s="458" t="str">
        <f t="shared" si="160"/>
        <v/>
      </c>
      <c r="CH287" s="458" t="str">
        <f t="shared" si="161"/>
        <v/>
      </c>
      <c r="CI287" s="458" t="str">
        <f t="shared" si="162"/>
        <v/>
      </c>
      <c r="CJ287" s="458" t="str">
        <f t="shared" si="163"/>
        <v/>
      </c>
      <c r="CK287" s="40" t="str">
        <f t="shared" si="164"/>
        <v/>
      </c>
      <c r="CL287" s="40" t="str">
        <f t="shared" si="165"/>
        <v/>
      </c>
      <c r="CM287" s="40" t="str">
        <f t="shared" si="166"/>
        <v/>
      </c>
      <c r="CN287" s="39" t="str">
        <f t="shared" si="167"/>
        <v/>
      </c>
      <c r="CO287" s="458" t="str">
        <f t="shared" si="168"/>
        <v/>
      </c>
      <c r="CP287" s="458" t="str">
        <f t="shared" si="169"/>
        <v/>
      </c>
      <c r="CQ287" s="458" t="str">
        <f t="shared" si="170"/>
        <v/>
      </c>
      <c r="CR287" s="458" t="str">
        <f t="shared" si="171"/>
        <v/>
      </c>
      <c r="CS287" s="40" t="str">
        <f t="shared" si="172"/>
        <v/>
      </c>
      <c r="CT287" s="40" t="str">
        <f t="shared" si="173"/>
        <v/>
      </c>
      <c r="CU287" s="41" t="str">
        <f t="shared" si="174"/>
        <v/>
      </c>
    </row>
    <row r="288" spans="1:99" x14ac:dyDescent="0.2">
      <c r="A288" s="77">
        <f t="shared" si="175"/>
        <v>283</v>
      </c>
      <c r="B288" s="81"/>
      <c r="C288" s="82"/>
      <c r="D288" s="71"/>
      <c r="E288" s="72"/>
      <c r="F288" s="73"/>
      <c r="G288" s="443"/>
      <c r="H288" s="443"/>
      <c r="I288" s="74"/>
      <c r="J288" s="75"/>
      <c r="K288" s="41">
        <f t="shared" si="144"/>
        <v>3625</v>
      </c>
      <c r="L288" s="104"/>
      <c r="M288" s="105"/>
      <c r="N288" s="106">
        <f t="shared" si="145"/>
        <v>537.05999999999995</v>
      </c>
      <c r="O288" s="104"/>
      <c r="P288" s="105"/>
      <c r="Q288" s="106">
        <f t="shared" si="177"/>
        <v>10045.83</v>
      </c>
      <c r="R288" s="104"/>
      <c r="S288" s="105"/>
      <c r="T288" s="106">
        <f t="shared" si="178"/>
        <v>0</v>
      </c>
      <c r="U288" s="439"/>
      <c r="V288" s="42">
        <f t="shared" si="146"/>
        <v>283</v>
      </c>
      <c r="W288" s="39" t="str">
        <f>IF(AND(E288='Povolené hodnoty'!$B$4,F288=2),I288+L288+O288+R288,"")</f>
        <v/>
      </c>
      <c r="X288" s="41" t="str">
        <f>IF(AND(E288='Povolené hodnoty'!$B$4,F288=1),I288+L288+O288+R288,"")</f>
        <v/>
      </c>
      <c r="Y288" s="39" t="str">
        <f>IF(AND(E288='Povolené hodnoty'!$B$4,F288=10),J288+M288+P288+S288,"")</f>
        <v/>
      </c>
      <c r="Z288" s="41" t="str">
        <f>IF(AND(E288='Povolené hodnoty'!$B$4,F288=9),J288+M288+P288+S288,"")</f>
        <v/>
      </c>
      <c r="AA288" s="39" t="str">
        <f>IF(AND(E288&lt;&gt;'Povolené hodnoty'!$B$4,F288=2),I288+L288+O288+R288,"")</f>
        <v/>
      </c>
      <c r="AB288" s="40" t="str">
        <f>IF(AND(E288&lt;&gt;'Povolené hodnoty'!$B$4,F288=3),I288+L288+O288+R288,"")</f>
        <v/>
      </c>
      <c r="AC288" s="40" t="str">
        <f>IF(AND(E288&lt;&gt;'Povolené hodnoty'!$B$4,F288=4),I288+L288+O288+R288,"")</f>
        <v/>
      </c>
      <c r="AD288" s="40" t="str">
        <f>IF(AND(E288&lt;&gt;'Povolené hodnoty'!$B$4,F288="5a"),I288-J288+L288-M288+O288-P288+R288-S288,"")</f>
        <v/>
      </c>
      <c r="AE288" s="40" t="str">
        <f>IF(AND(E288&lt;&gt;'Povolené hodnoty'!$B$4,F288="5b"),I288-J288+L288-M288+O288-P288+R288-S288,"")</f>
        <v/>
      </c>
      <c r="AF288" s="40" t="str">
        <f>IF(AND(E288&lt;&gt;'Povolené hodnoty'!$B$4,F288=6),I288+L288+O288+R288,"")</f>
        <v/>
      </c>
      <c r="AG288" s="41" t="str">
        <f>IF(AND(E288&lt;&gt;'Povolené hodnoty'!$B$4,F288=7),I288+L288+O288+R288,"")</f>
        <v/>
      </c>
      <c r="AH288" s="39" t="str">
        <f>IF(AND(E288&lt;&gt;'Povolené hodnoty'!$B$4,F288=10),J288+M288+P288+S288,"")</f>
        <v/>
      </c>
      <c r="AI288" s="40" t="str">
        <f>IF(AND(E288&lt;&gt;'Povolené hodnoty'!$B$4,F288=11),J288+M288+P288+S288,"")</f>
        <v/>
      </c>
      <c r="AJ288" s="40" t="str">
        <f>IF(AND(E288&lt;&gt;'Povolené hodnoty'!$B$4,F288=12),J288+M288+P288+S288,"")</f>
        <v/>
      </c>
      <c r="AK288" s="41" t="str">
        <f>IF(AND(E288&lt;&gt;'Povolené hodnoty'!$B$4,F288=13),J288+M288+P288+S288,"")</f>
        <v/>
      </c>
      <c r="AL288" s="39" t="str">
        <f>IF(AND($G288='Povolené hodnoty'!$B$13,$H288=AL$4),SUM($I288,$L288,$O288,$R288),"")</f>
        <v/>
      </c>
      <c r="AM288" s="458" t="str">
        <f>IF(AND($G288='Povolené hodnoty'!$B$13,$H288=AM$4),SUM($I288,$L288,$O288,$R288),"")</f>
        <v/>
      </c>
      <c r="AN288" s="458" t="str">
        <f>IF(AND($G288='Povolené hodnoty'!$B$13,$H288=AN$4),SUM($I288,$L288,$O288,$R288),"")</f>
        <v/>
      </c>
      <c r="AO288" s="458" t="str">
        <f>IF(AND($G288='Povolené hodnoty'!$B$13,$H288=AO$4),SUM($I288,$L288,$O288,$R288),"")</f>
        <v/>
      </c>
      <c r="AP288" s="458" t="str">
        <f>IF(AND($G288='Povolené hodnoty'!$B$13,$H288=AP$4),SUM($I288,$L288,$O288,$R288),"")</f>
        <v/>
      </c>
      <c r="AQ288" s="40" t="str">
        <f>IF(AND($G288='Povolené hodnoty'!$B$13,OR($H288=AQ$4,$H288='Povolené hodnoty'!$E$36)),SUM($I288,-$J288,$L288,-$M288,$O288,-$P288,$R288,-$S288),"")</f>
        <v/>
      </c>
      <c r="AR288" s="40" t="str">
        <f>IF(AND($G288='Povolené hodnoty'!$B$13,$H288=AR$4),SUM($I288,$L288,$O288,$R288),"")</f>
        <v/>
      </c>
      <c r="AS288" s="41" t="str">
        <f>IF(AND($G288='Povolené hodnoty'!$B$13,$H288=AS$4),SUM($I288,$L288,$O288,$R288),"")</f>
        <v/>
      </c>
      <c r="AT288" s="39" t="str">
        <f>IF(AND($G288='Povolené hodnoty'!$B$14,$H288=AT$4),SUM($I288,$L288,$O288,$R288),"")</f>
        <v/>
      </c>
      <c r="AU288" s="458" t="str">
        <f>IF(AND($G288='Povolené hodnoty'!$B$14,$H288=AU$4),SUM($I288,$L288,$O288,$R288),"")</f>
        <v/>
      </c>
      <c r="AV288" s="41" t="str">
        <f>IF(AND($G288='Povolené hodnoty'!$B$14,$H288=AV$4),SUM($I288,$L288,$O288,$R288),"")</f>
        <v/>
      </c>
      <c r="AW288" s="39" t="str">
        <f>IF(AND($G288='Povolené hodnoty'!$B$13,$H288=AW$4),SUM($J288,$M288,$P288,$S288),"")</f>
        <v/>
      </c>
      <c r="AX288" s="458" t="str">
        <f>IF(AND($G288='Povolené hodnoty'!$B$13,$H288=AX$4),SUM($J288,$M288,$P288,$S288),"")</f>
        <v/>
      </c>
      <c r="AY288" s="458" t="str">
        <f>IF(AND($G288='Povolené hodnoty'!$B$13,$H288=AY$4),SUM($J288,$M288,$P288,$S288),"")</f>
        <v/>
      </c>
      <c r="AZ288" s="458" t="str">
        <f>IF(AND($G288='Povolené hodnoty'!$B$13,$H288=AZ$4),SUM($J288,$M288,$P288,$S288),"")</f>
        <v/>
      </c>
      <c r="BA288" s="458" t="str">
        <f>IF(AND($G288='Povolené hodnoty'!$B$13,$H288=BA$4),SUM($J288,$M288,$P288,$S288),"")</f>
        <v/>
      </c>
      <c r="BB288" s="40" t="str">
        <f>IF(AND($G288='Povolené hodnoty'!$B$13,$H288=BB$4),SUM($J288,$M288,$P288,$S288),"")</f>
        <v/>
      </c>
      <c r="BC288" s="40" t="str">
        <f>IF(AND($G288='Povolené hodnoty'!$B$13,$H288=BC$4),SUM($J288,$M288,$P288,$S288),"")</f>
        <v/>
      </c>
      <c r="BD288" s="40" t="str">
        <f>IF(AND($G288='Povolené hodnoty'!$B$13,$H288=BD$4),SUM($J288,$M288,$P288,$S288),"")</f>
        <v/>
      </c>
      <c r="BE288" s="41" t="str">
        <f>IF(AND($G288='Povolené hodnoty'!$B$13,$H288=BE$4),SUM($J288,$M288,$P288,$S288),"")</f>
        <v/>
      </c>
      <c r="BF288" s="39" t="str">
        <f>IF(AND($G288='Povolené hodnoty'!$B$14,$H288=BF$4),SUM($J288,$M288,$P288,$S288),"")</f>
        <v/>
      </c>
      <c r="BG288" s="458" t="str">
        <f>IF(AND($G288='Povolené hodnoty'!$B$14,$H288=BG$4),SUM($J288,$M288,$P288,$S288),"")</f>
        <v/>
      </c>
      <c r="BH288" s="458" t="str">
        <f>IF(AND($G288='Povolené hodnoty'!$B$14,$H288=BH$4),SUM($J288,$M288,$P288,$S288),"")</f>
        <v/>
      </c>
      <c r="BI288" s="458" t="str">
        <f>IF(AND($G288='Povolené hodnoty'!$B$14,$H288=BI$4),SUM($J288,$M288,$P288,$S288),"")</f>
        <v/>
      </c>
      <c r="BJ288" s="458" t="str">
        <f>IF(AND($G288='Povolené hodnoty'!$B$14,$H288=BJ$4),SUM($J288,$M288,$P288,$S288),"")</f>
        <v/>
      </c>
      <c r="BK288" s="40" t="str">
        <f>IF(AND($G288='Povolené hodnoty'!$B$14,$H288=BK$4),SUM($J288,$M288,$P288,$S288),"")</f>
        <v/>
      </c>
      <c r="BL288" s="40" t="str">
        <f>IF(AND($G288='Povolené hodnoty'!$B$14,$H288=BL$4),SUM($J288,$M288,$P288,$S288),"")</f>
        <v/>
      </c>
      <c r="BM288" s="41" t="str">
        <f>IF(AND($G288='Povolené hodnoty'!$B$14,$H288=BM$4),SUM($J288,$M288,$P288,$S288),"")</f>
        <v/>
      </c>
      <c r="BO288" s="18" t="b">
        <f t="shared" si="176"/>
        <v>0</v>
      </c>
      <c r="BP288" s="18" t="b">
        <f t="shared" si="147"/>
        <v>0</v>
      </c>
      <c r="BQ288" s="18" t="b">
        <f>AND(E288&lt;&gt;'Povolené hodnoty'!$B$6,F288&lt;&gt;'Povolené hodnoty'!$D$7,F288&lt;&gt;'Povolené hodnoty'!$D$8,OR(SUM(I288,L288,O288,R288)&lt;&gt;SUM(W288:X288,AA288:AG288),SUM(J288,M288,P288,S288)&lt;&gt;SUM(Y288:Z288,AH288:AK288),COUNT(I288:J288,L288:M288,O288:P288,R288:S288)&lt;&gt;COUNT(W288:AK288)))</f>
        <v>0</v>
      </c>
      <c r="BR288" s="18" t="b">
        <f>OR(AND(E288='Povolené hodnoty'!$B$6,$BR$5),AND(E288='Povolené hodnoty'!$B$6,H288&lt;&gt;'Povolené hodnoty'!$E$26,H288&lt;&gt;'Povolené hodnoty'!$E$35),AND(E288&lt;&gt;'Povolené hodnoty'!$B$6,OR(H288='Povolené hodnoty'!$E$26,H288='Povolené hodnoty'!$E$35)))</f>
        <v>0</v>
      </c>
      <c r="BS288" s="18" t="b">
        <f>OR(AND(G288&lt;&gt;'Povolené hodnoty'!$B$13,OR(H288='Povolené hodnoty'!$E$21,H288='Povolené hodnoty'!$E$22,H288='Povolené hodnoty'!$E$23,H288='Povolené hodnoty'!$E$24,H288='Povolené hodnoty'!$E$26,H288='Povolené hodnoty'!$E$36)),COUNT(I288:J288,L288:M288,O288:P288,R288:S288)&lt;&gt;COUNT(AL288:BM288))</f>
        <v>0</v>
      </c>
      <c r="BT288" s="18" t="b">
        <f t="shared" si="148"/>
        <v>0</v>
      </c>
      <c r="BV288" s="39" t="str">
        <f t="shared" si="149"/>
        <v/>
      </c>
      <c r="BW288" s="458" t="str">
        <f t="shared" si="150"/>
        <v/>
      </c>
      <c r="BX288" s="458" t="str">
        <f t="shared" si="151"/>
        <v/>
      </c>
      <c r="BY288" s="458" t="str">
        <f t="shared" si="152"/>
        <v/>
      </c>
      <c r="BZ288" s="458" t="str">
        <f t="shared" si="153"/>
        <v/>
      </c>
      <c r="CA288" s="40" t="str">
        <f t="shared" si="154"/>
        <v/>
      </c>
      <c r="CB288" s="40" t="str">
        <f t="shared" si="155"/>
        <v/>
      </c>
      <c r="CC288" s="39" t="str">
        <f t="shared" si="156"/>
        <v/>
      </c>
      <c r="CD288" s="458" t="str">
        <f t="shared" si="157"/>
        <v/>
      </c>
      <c r="CE288" s="41" t="str">
        <f t="shared" si="158"/>
        <v/>
      </c>
      <c r="CF288" s="39" t="str">
        <f t="shared" si="159"/>
        <v/>
      </c>
      <c r="CG288" s="458" t="str">
        <f t="shared" si="160"/>
        <v/>
      </c>
      <c r="CH288" s="458" t="str">
        <f t="shared" si="161"/>
        <v/>
      </c>
      <c r="CI288" s="458" t="str">
        <f t="shared" si="162"/>
        <v/>
      </c>
      <c r="CJ288" s="458" t="str">
        <f t="shared" si="163"/>
        <v/>
      </c>
      <c r="CK288" s="40" t="str">
        <f t="shared" si="164"/>
        <v/>
      </c>
      <c r="CL288" s="40" t="str">
        <f t="shared" si="165"/>
        <v/>
      </c>
      <c r="CM288" s="40" t="str">
        <f t="shared" si="166"/>
        <v/>
      </c>
      <c r="CN288" s="39" t="str">
        <f t="shared" si="167"/>
        <v/>
      </c>
      <c r="CO288" s="458" t="str">
        <f t="shared" si="168"/>
        <v/>
      </c>
      <c r="CP288" s="458" t="str">
        <f t="shared" si="169"/>
        <v/>
      </c>
      <c r="CQ288" s="458" t="str">
        <f t="shared" si="170"/>
        <v/>
      </c>
      <c r="CR288" s="458" t="str">
        <f t="shared" si="171"/>
        <v/>
      </c>
      <c r="CS288" s="40" t="str">
        <f t="shared" si="172"/>
        <v/>
      </c>
      <c r="CT288" s="40" t="str">
        <f t="shared" si="173"/>
        <v/>
      </c>
      <c r="CU288" s="41" t="str">
        <f t="shared" si="174"/>
        <v/>
      </c>
    </row>
    <row r="289" spans="1:99" x14ac:dyDescent="0.2">
      <c r="A289" s="77">
        <f t="shared" si="175"/>
        <v>284</v>
      </c>
      <c r="B289" s="81"/>
      <c r="C289" s="82"/>
      <c r="D289" s="71"/>
      <c r="E289" s="72"/>
      <c r="F289" s="73"/>
      <c r="G289" s="443"/>
      <c r="H289" s="443"/>
      <c r="I289" s="74"/>
      <c r="J289" s="75"/>
      <c r="K289" s="41">
        <f t="shared" si="144"/>
        <v>3625</v>
      </c>
      <c r="L289" s="104"/>
      <c r="M289" s="105"/>
      <c r="N289" s="106">
        <f t="shared" si="145"/>
        <v>537.05999999999995</v>
      </c>
      <c r="O289" s="104"/>
      <c r="P289" s="105"/>
      <c r="Q289" s="106">
        <f t="shared" si="177"/>
        <v>10045.83</v>
      </c>
      <c r="R289" s="104"/>
      <c r="S289" s="105"/>
      <c r="T289" s="106">
        <f t="shared" si="178"/>
        <v>0</v>
      </c>
      <c r="U289" s="439"/>
      <c r="V289" s="42">
        <f t="shared" si="146"/>
        <v>284</v>
      </c>
      <c r="W289" s="39" t="str">
        <f>IF(AND(E289='Povolené hodnoty'!$B$4,F289=2),I289+L289+O289+R289,"")</f>
        <v/>
      </c>
      <c r="X289" s="41" t="str">
        <f>IF(AND(E289='Povolené hodnoty'!$B$4,F289=1),I289+L289+O289+R289,"")</f>
        <v/>
      </c>
      <c r="Y289" s="39" t="str">
        <f>IF(AND(E289='Povolené hodnoty'!$B$4,F289=10),J289+M289+P289+S289,"")</f>
        <v/>
      </c>
      <c r="Z289" s="41" t="str">
        <f>IF(AND(E289='Povolené hodnoty'!$B$4,F289=9),J289+M289+P289+S289,"")</f>
        <v/>
      </c>
      <c r="AA289" s="39" t="str">
        <f>IF(AND(E289&lt;&gt;'Povolené hodnoty'!$B$4,F289=2),I289+L289+O289+R289,"")</f>
        <v/>
      </c>
      <c r="AB289" s="40" t="str">
        <f>IF(AND(E289&lt;&gt;'Povolené hodnoty'!$B$4,F289=3),I289+L289+O289+R289,"")</f>
        <v/>
      </c>
      <c r="AC289" s="40" t="str">
        <f>IF(AND(E289&lt;&gt;'Povolené hodnoty'!$B$4,F289=4),I289+L289+O289+R289,"")</f>
        <v/>
      </c>
      <c r="AD289" s="40" t="str">
        <f>IF(AND(E289&lt;&gt;'Povolené hodnoty'!$B$4,F289="5a"),I289-J289+L289-M289+O289-P289+R289-S289,"")</f>
        <v/>
      </c>
      <c r="AE289" s="40" t="str">
        <f>IF(AND(E289&lt;&gt;'Povolené hodnoty'!$B$4,F289="5b"),I289-J289+L289-M289+O289-P289+R289-S289,"")</f>
        <v/>
      </c>
      <c r="AF289" s="40" t="str">
        <f>IF(AND(E289&lt;&gt;'Povolené hodnoty'!$B$4,F289=6),I289+L289+O289+R289,"")</f>
        <v/>
      </c>
      <c r="AG289" s="41" t="str">
        <f>IF(AND(E289&lt;&gt;'Povolené hodnoty'!$B$4,F289=7),I289+L289+O289+R289,"")</f>
        <v/>
      </c>
      <c r="AH289" s="39" t="str">
        <f>IF(AND(E289&lt;&gt;'Povolené hodnoty'!$B$4,F289=10),J289+M289+P289+S289,"")</f>
        <v/>
      </c>
      <c r="AI289" s="40" t="str">
        <f>IF(AND(E289&lt;&gt;'Povolené hodnoty'!$B$4,F289=11),J289+M289+P289+S289,"")</f>
        <v/>
      </c>
      <c r="AJ289" s="40" t="str">
        <f>IF(AND(E289&lt;&gt;'Povolené hodnoty'!$B$4,F289=12),J289+M289+P289+S289,"")</f>
        <v/>
      </c>
      <c r="AK289" s="41" t="str">
        <f>IF(AND(E289&lt;&gt;'Povolené hodnoty'!$B$4,F289=13),J289+M289+P289+S289,"")</f>
        <v/>
      </c>
      <c r="AL289" s="39" t="str">
        <f>IF(AND($G289='Povolené hodnoty'!$B$13,$H289=AL$4),SUM($I289,$L289,$O289,$R289),"")</f>
        <v/>
      </c>
      <c r="AM289" s="458" t="str">
        <f>IF(AND($G289='Povolené hodnoty'!$B$13,$H289=AM$4),SUM($I289,$L289,$O289,$R289),"")</f>
        <v/>
      </c>
      <c r="AN289" s="458" t="str">
        <f>IF(AND($G289='Povolené hodnoty'!$B$13,$H289=AN$4),SUM($I289,$L289,$O289,$R289),"")</f>
        <v/>
      </c>
      <c r="AO289" s="458" t="str">
        <f>IF(AND($G289='Povolené hodnoty'!$B$13,$H289=AO$4),SUM($I289,$L289,$O289,$R289),"")</f>
        <v/>
      </c>
      <c r="AP289" s="458" t="str">
        <f>IF(AND($G289='Povolené hodnoty'!$B$13,$H289=AP$4),SUM($I289,$L289,$O289,$R289),"")</f>
        <v/>
      </c>
      <c r="AQ289" s="40" t="str">
        <f>IF(AND($G289='Povolené hodnoty'!$B$13,OR($H289=AQ$4,$H289='Povolené hodnoty'!$E$36)),SUM($I289,-$J289,$L289,-$M289,$O289,-$P289,$R289,-$S289),"")</f>
        <v/>
      </c>
      <c r="AR289" s="40" t="str">
        <f>IF(AND($G289='Povolené hodnoty'!$B$13,$H289=AR$4),SUM($I289,$L289,$O289,$R289),"")</f>
        <v/>
      </c>
      <c r="AS289" s="41" t="str">
        <f>IF(AND($G289='Povolené hodnoty'!$B$13,$H289=AS$4),SUM($I289,$L289,$O289,$R289),"")</f>
        <v/>
      </c>
      <c r="AT289" s="39" t="str">
        <f>IF(AND($G289='Povolené hodnoty'!$B$14,$H289=AT$4),SUM($I289,$L289,$O289,$R289),"")</f>
        <v/>
      </c>
      <c r="AU289" s="458" t="str">
        <f>IF(AND($G289='Povolené hodnoty'!$B$14,$H289=AU$4),SUM($I289,$L289,$O289,$R289),"")</f>
        <v/>
      </c>
      <c r="AV289" s="41" t="str">
        <f>IF(AND($G289='Povolené hodnoty'!$B$14,$H289=AV$4),SUM($I289,$L289,$O289,$R289),"")</f>
        <v/>
      </c>
      <c r="AW289" s="39" t="str">
        <f>IF(AND($G289='Povolené hodnoty'!$B$13,$H289=AW$4),SUM($J289,$M289,$P289,$S289),"")</f>
        <v/>
      </c>
      <c r="AX289" s="458" t="str">
        <f>IF(AND($G289='Povolené hodnoty'!$B$13,$H289=AX$4),SUM($J289,$M289,$P289,$S289),"")</f>
        <v/>
      </c>
      <c r="AY289" s="458" t="str">
        <f>IF(AND($G289='Povolené hodnoty'!$B$13,$H289=AY$4),SUM($J289,$M289,$P289,$S289),"")</f>
        <v/>
      </c>
      <c r="AZ289" s="458" t="str">
        <f>IF(AND($G289='Povolené hodnoty'!$B$13,$H289=AZ$4),SUM($J289,$M289,$P289,$S289),"")</f>
        <v/>
      </c>
      <c r="BA289" s="458" t="str">
        <f>IF(AND($G289='Povolené hodnoty'!$B$13,$H289=BA$4),SUM($J289,$M289,$P289,$S289),"")</f>
        <v/>
      </c>
      <c r="BB289" s="40" t="str">
        <f>IF(AND($G289='Povolené hodnoty'!$B$13,$H289=BB$4),SUM($J289,$M289,$P289,$S289),"")</f>
        <v/>
      </c>
      <c r="BC289" s="40" t="str">
        <f>IF(AND($G289='Povolené hodnoty'!$B$13,$H289=BC$4),SUM($J289,$M289,$P289,$S289),"")</f>
        <v/>
      </c>
      <c r="BD289" s="40" t="str">
        <f>IF(AND($G289='Povolené hodnoty'!$B$13,$H289=BD$4),SUM($J289,$M289,$P289,$S289),"")</f>
        <v/>
      </c>
      <c r="BE289" s="41" t="str">
        <f>IF(AND($G289='Povolené hodnoty'!$B$13,$H289=BE$4),SUM($J289,$M289,$P289,$S289),"")</f>
        <v/>
      </c>
      <c r="BF289" s="39" t="str">
        <f>IF(AND($G289='Povolené hodnoty'!$B$14,$H289=BF$4),SUM($J289,$M289,$P289,$S289),"")</f>
        <v/>
      </c>
      <c r="BG289" s="458" t="str">
        <f>IF(AND($G289='Povolené hodnoty'!$B$14,$H289=BG$4),SUM($J289,$M289,$P289,$S289),"")</f>
        <v/>
      </c>
      <c r="BH289" s="458" t="str">
        <f>IF(AND($G289='Povolené hodnoty'!$B$14,$H289=BH$4),SUM($J289,$M289,$P289,$S289),"")</f>
        <v/>
      </c>
      <c r="BI289" s="458" t="str">
        <f>IF(AND($G289='Povolené hodnoty'!$B$14,$H289=BI$4),SUM($J289,$M289,$P289,$S289),"")</f>
        <v/>
      </c>
      <c r="BJ289" s="458" t="str">
        <f>IF(AND($G289='Povolené hodnoty'!$B$14,$H289=BJ$4),SUM($J289,$M289,$P289,$S289),"")</f>
        <v/>
      </c>
      <c r="BK289" s="40" t="str">
        <f>IF(AND($G289='Povolené hodnoty'!$B$14,$H289=BK$4),SUM($J289,$M289,$P289,$S289),"")</f>
        <v/>
      </c>
      <c r="BL289" s="40" t="str">
        <f>IF(AND($G289='Povolené hodnoty'!$B$14,$H289=BL$4),SUM($J289,$M289,$P289,$S289),"")</f>
        <v/>
      </c>
      <c r="BM289" s="41" t="str">
        <f>IF(AND($G289='Povolené hodnoty'!$B$14,$H289=BM$4),SUM($J289,$M289,$P289,$S289),"")</f>
        <v/>
      </c>
      <c r="BO289" s="18" t="b">
        <f t="shared" si="176"/>
        <v>0</v>
      </c>
      <c r="BP289" s="18" t="b">
        <f t="shared" si="147"/>
        <v>0</v>
      </c>
      <c r="BQ289" s="18" t="b">
        <f>AND(E289&lt;&gt;'Povolené hodnoty'!$B$6,F289&lt;&gt;'Povolené hodnoty'!$D$7,F289&lt;&gt;'Povolené hodnoty'!$D$8,OR(SUM(I289,L289,O289,R289)&lt;&gt;SUM(W289:X289,AA289:AG289),SUM(J289,M289,P289,S289)&lt;&gt;SUM(Y289:Z289,AH289:AK289),COUNT(I289:J289,L289:M289,O289:P289,R289:S289)&lt;&gt;COUNT(W289:AK289)))</f>
        <v>0</v>
      </c>
      <c r="BR289" s="18" t="b">
        <f>OR(AND(E289='Povolené hodnoty'!$B$6,$BR$5),AND(E289='Povolené hodnoty'!$B$6,H289&lt;&gt;'Povolené hodnoty'!$E$26,H289&lt;&gt;'Povolené hodnoty'!$E$35),AND(E289&lt;&gt;'Povolené hodnoty'!$B$6,OR(H289='Povolené hodnoty'!$E$26,H289='Povolené hodnoty'!$E$35)))</f>
        <v>0</v>
      </c>
      <c r="BS289" s="18" t="b">
        <f>OR(AND(G289&lt;&gt;'Povolené hodnoty'!$B$13,OR(H289='Povolené hodnoty'!$E$21,H289='Povolené hodnoty'!$E$22,H289='Povolené hodnoty'!$E$23,H289='Povolené hodnoty'!$E$24,H289='Povolené hodnoty'!$E$26,H289='Povolené hodnoty'!$E$36)),COUNT(I289:J289,L289:M289,O289:P289,R289:S289)&lt;&gt;COUNT(AL289:BM289))</f>
        <v>0</v>
      </c>
      <c r="BT289" s="18" t="b">
        <f t="shared" si="148"/>
        <v>0</v>
      </c>
      <c r="BV289" s="39" t="str">
        <f t="shared" si="149"/>
        <v/>
      </c>
      <c r="BW289" s="458" t="str">
        <f t="shared" si="150"/>
        <v/>
      </c>
      <c r="BX289" s="458" t="str">
        <f t="shared" si="151"/>
        <v/>
      </c>
      <c r="BY289" s="458" t="str">
        <f t="shared" si="152"/>
        <v/>
      </c>
      <c r="BZ289" s="458" t="str">
        <f t="shared" si="153"/>
        <v/>
      </c>
      <c r="CA289" s="40" t="str">
        <f t="shared" si="154"/>
        <v/>
      </c>
      <c r="CB289" s="40" t="str">
        <f t="shared" si="155"/>
        <v/>
      </c>
      <c r="CC289" s="39" t="str">
        <f t="shared" si="156"/>
        <v/>
      </c>
      <c r="CD289" s="458" t="str">
        <f t="shared" si="157"/>
        <v/>
      </c>
      <c r="CE289" s="41" t="str">
        <f t="shared" si="158"/>
        <v/>
      </c>
      <c r="CF289" s="39" t="str">
        <f t="shared" si="159"/>
        <v/>
      </c>
      <c r="CG289" s="458" t="str">
        <f t="shared" si="160"/>
        <v/>
      </c>
      <c r="CH289" s="458" t="str">
        <f t="shared" si="161"/>
        <v/>
      </c>
      <c r="CI289" s="458" t="str">
        <f t="shared" si="162"/>
        <v/>
      </c>
      <c r="CJ289" s="458" t="str">
        <f t="shared" si="163"/>
        <v/>
      </c>
      <c r="CK289" s="40" t="str">
        <f t="shared" si="164"/>
        <v/>
      </c>
      <c r="CL289" s="40" t="str">
        <f t="shared" si="165"/>
        <v/>
      </c>
      <c r="CM289" s="40" t="str">
        <f t="shared" si="166"/>
        <v/>
      </c>
      <c r="CN289" s="39" t="str">
        <f t="shared" si="167"/>
        <v/>
      </c>
      <c r="CO289" s="458" t="str">
        <f t="shared" si="168"/>
        <v/>
      </c>
      <c r="CP289" s="458" t="str">
        <f t="shared" si="169"/>
        <v/>
      </c>
      <c r="CQ289" s="458" t="str">
        <f t="shared" si="170"/>
        <v/>
      </c>
      <c r="CR289" s="458" t="str">
        <f t="shared" si="171"/>
        <v/>
      </c>
      <c r="CS289" s="40" t="str">
        <f t="shared" si="172"/>
        <v/>
      </c>
      <c r="CT289" s="40" t="str">
        <f t="shared" si="173"/>
        <v/>
      </c>
      <c r="CU289" s="41" t="str">
        <f t="shared" si="174"/>
        <v/>
      </c>
    </row>
    <row r="290" spans="1:99" x14ac:dyDescent="0.2">
      <c r="A290" s="77">
        <f t="shared" si="175"/>
        <v>285</v>
      </c>
      <c r="B290" s="81"/>
      <c r="C290" s="82"/>
      <c r="D290" s="71"/>
      <c r="E290" s="72"/>
      <c r="F290" s="73"/>
      <c r="G290" s="443"/>
      <c r="H290" s="443"/>
      <c r="I290" s="74"/>
      <c r="J290" s="75"/>
      <c r="K290" s="41">
        <f t="shared" si="144"/>
        <v>3625</v>
      </c>
      <c r="L290" s="104"/>
      <c r="M290" s="105"/>
      <c r="N290" s="106">
        <f t="shared" si="145"/>
        <v>537.05999999999995</v>
      </c>
      <c r="O290" s="104"/>
      <c r="P290" s="105"/>
      <c r="Q290" s="106">
        <f t="shared" si="177"/>
        <v>10045.83</v>
      </c>
      <c r="R290" s="104"/>
      <c r="S290" s="105"/>
      <c r="T290" s="106">
        <f t="shared" si="178"/>
        <v>0</v>
      </c>
      <c r="U290" s="439"/>
      <c r="V290" s="42">
        <f t="shared" si="146"/>
        <v>285</v>
      </c>
      <c r="W290" s="39" t="str">
        <f>IF(AND(E290='Povolené hodnoty'!$B$4,F290=2),I290+L290+O290+R290,"")</f>
        <v/>
      </c>
      <c r="X290" s="41" t="str">
        <f>IF(AND(E290='Povolené hodnoty'!$B$4,F290=1),I290+L290+O290+R290,"")</f>
        <v/>
      </c>
      <c r="Y290" s="39" t="str">
        <f>IF(AND(E290='Povolené hodnoty'!$B$4,F290=10),J290+M290+P290+S290,"")</f>
        <v/>
      </c>
      <c r="Z290" s="41" t="str">
        <f>IF(AND(E290='Povolené hodnoty'!$B$4,F290=9),J290+M290+P290+S290,"")</f>
        <v/>
      </c>
      <c r="AA290" s="39" t="str">
        <f>IF(AND(E290&lt;&gt;'Povolené hodnoty'!$B$4,F290=2),I290+L290+O290+R290,"")</f>
        <v/>
      </c>
      <c r="AB290" s="40" t="str">
        <f>IF(AND(E290&lt;&gt;'Povolené hodnoty'!$B$4,F290=3),I290+L290+O290+R290,"")</f>
        <v/>
      </c>
      <c r="AC290" s="40" t="str">
        <f>IF(AND(E290&lt;&gt;'Povolené hodnoty'!$B$4,F290=4),I290+L290+O290+R290,"")</f>
        <v/>
      </c>
      <c r="AD290" s="40" t="str">
        <f>IF(AND(E290&lt;&gt;'Povolené hodnoty'!$B$4,F290="5a"),I290-J290+L290-M290+O290-P290+R290-S290,"")</f>
        <v/>
      </c>
      <c r="AE290" s="40" t="str">
        <f>IF(AND(E290&lt;&gt;'Povolené hodnoty'!$B$4,F290="5b"),I290-J290+L290-M290+O290-P290+R290-S290,"")</f>
        <v/>
      </c>
      <c r="AF290" s="40" t="str">
        <f>IF(AND(E290&lt;&gt;'Povolené hodnoty'!$B$4,F290=6),I290+L290+O290+R290,"")</f>
        <v/>
      </c>
      <c r="AG290" s="41" t="str">
        <f>IF(AND(E290&lt;&gt;'Povolené hodnoty'!$B$4,F290=7),I290+L290+O290+R290,"")</f>
        <v/>
      </c>
      <c r="AH290" s="39" t="str">
        <f>IF(AND(E290&lt;&gt;'Povolené hodnoty'!$B$4,F290=10),J290+M290+P290+S290,"")</f>
        <v/>
      </c>
      <c r="AI290" s="40" t="str">
        <f>IF(AND(E290&lt;&gt;'Povolené hodnoty'!$B$4,F290=11),J290+M290+P290+S290,"")</f>
        <v/>
      </c>
      <c r="AJ290" s="40" t="str">
        <f>IF(AND(E290&lt;&gt;'Povolené hodnoty'!$B$4,F290=12),J290+M290+P290+S290,"")</f>
        <v/>
      </c>
      <c r="AK290" s="41" t="str">
        <f>IF(AND(E290&lt;&gt;'Povolené hodnoty'!$B$4,F290=13),J290+M290+P290+S290,"")</f>
        <v/>
      </c>
      <c r="AL290" s="39" t="str">
        <f>IF(AND($G290='Povolené hodnoty'!$B$13,$H290=AL$4),SUM($I290,$L290,$O290,$R290),"")</f>
        <v/>
      </c>
      <c r="AM290" s="458" t="str">
        <f>IF(AND($G290='Povolené hodnoty'!$B$13,$H290=AM$4),SUM($I290,$L290,$O290,$R290),"")</f>
        <v/>
      </c>
      <c r="AN290" s="458" t="str">
        <f>IF(AND($G290='Povolené hodnoty'!$B$13,$H290=AN$4),SUM($I290,$L290,$O290,$R290),"")</f>
        <v/>
      </c>
      <c r="AO290" s="458" t="str">
        <f>IF(AND($G290='Povolené hodnoty'!$B$13,$H290=AO$4),SUM($I290,$L290,$O290,$R290),"")</f>
        <v/>
      </c>
      <c r="AP290" s="458" t="str">
        <f>IF(AND($G290='Povolené hodnoty'!$B$13,$H290=AP$4),SUM($I290,$L290,$O290,$R290),"")</f>
        <v/>
      </c>
      <c r="AQ290" s="40" t="str">
        <f>IF(AND($G290='Povolené hodnoty'!$B$13,OR($H290=AQ$4,$H290='Povolené hodnoty'!$E$36)),SUM($I290,-$J290,$L290,-$M290,$O290,-$P290,$R290,-$S290),"")</f>
        <v/>
      </c>
      <c r="AR290" s="40" t="str">
        <f>IF(AND($G290='Povolené hodnoty'!$B$13,$H290=AR$4),SUM($I290,$L290,$O290,$R290),"")</f>
        <v/>
      </c>
      <c r="AS290" s="41" t="str">
        <f>IF(AND($G290='Povolené hodnoty'!$B$13,$H290=AS$4),SUM($I290,$L290,$O290,$R290),"")</f>
        <v/>
      </c>
      <c r="AT290" s="39" t="str">
        <f>IF(AND($G290='Povolené hodnoty'!$B$14,$H290=AT$4),SUM($I290,$L290,$O290,$R290),"")</f>
        <v/>
      </c>
      <c r="AU290" s="458" t="str">
        <f>IF(AND($G290='Povolené hodnoty'!$B$14,$H290=AU$4),SUM($I290,$L290,$O290,$R290),"")</f>
        <v/>
      </c>
      <c r="AV290" s="41" t="str">
        <f>IF(AND($G290='Povolené hodnoty'!$B$14,$H290=AV$4),SUM($I290,$L290,$O290,$R290),"")</f>
        <v/>
      </c>
      <c r="AW290" s="39" t="str">
        <f>IF(AND($G290='Povolené hodnoty'!$B$13,$H290=AW$4),SUM($J290,$M290,$P290,$S290),"")</f>
        <v/>
      </c>
      <c r="AX290" s="458" t="str">
        <f>IF(AND($G290='Povolené hodnoty'!$B$13,$H290=AX$4),SUM($J290,$M290,$P290,$S290),"")</f>
        <v/>
      </c>
      <c r="AY290" s="458" t="str">
        <f>IF(AND($G290='Povolené hodnoty'!$B$13,$H290=AY$4),SUM($J290,$M290,$P290,$S290),"")</f>
        <v/>
      </c>
      <c r="AZ290" s="458" t="str">
        <f>IF(AND($G290='Povolené hodnoty'!$B$13,$H290=AZ$4),SUM($J290,$M290,$P290,$S290),"")</f>
        <v/>
      </c>
      <c r="BA290" s="458" t="str">
        <f>IF(AND($G290='Povolené hodnoty'!$B$13,$H290=BA$4),SUM($J290,$M290,$P290,$S290),"")</f>
        <v/>
      </c>
      <c r="BB290" s="40" t="str">
        <f>IF(AND($G290='Povolené hodnoty'!$B$13,$H290=BB$4),SUM($J290,$M290,$P290,$S290),"")</f>
        <v/>
      </c>
      <c r="BC290" s="40" t="str">
        <f>IF(AND($G290='Povolené hodnoty'!$B$13,$H290=BC$4),SUM($J290,$M290,$P290,$S290),"")</f>
        <v/>
      </c>
      <c r="BD290" s="40" t="str">
        <f>IF(AND($G290='Povolené hodnoty'!$B$13,$H290=BD$4),SUM($J290,$M290,$P290,$S290),"")</f>
        <v/>
      </c>
      <c r="BE290" s="41" t="str">
        <f>IF(AND($G290='Povolené hodnoty'!$B$13,$H290=BE$4),SUM($J290,$M290,$P290,$S290),"")</f>
        <v/>
      </c>
      <c r="BF290" s="39" t="str">
        <f>IF(AND($G290='Povolené hodnoty'!$B$14,$H290=BF$4),SUM($J290,$M290,$P290,$S290),"")</f>
        <v/>
      </c>
      <c r="BG290" s="458" t="str">
        <f>IF(AND($G290='Povolené hodnoty'!$B$14,$H290=BG$4),SUM($J290,$M290,$P290,$S290),"")</f>
        <v/>
      </c>
      <c r="BH290" s="458" t="str">
        <f>IF(AND($G290='Povolené hodnoty'!$B$14,$H290=BH$4),SUM($J290,$M290,$P290,$S290),"")</f>
        <v/>
      </c>
      <c r="BI290" s="458" t="str">
        <f>IF(AND($G290='Povolené hodnoty'!$B$14,$H290=BI$4),SUM($J290,$M290,$P290,$S290),"")</f>
        <v/>
      </c>
      <c r="BJ290" s="458" t="str">
        <f>IF(AND($G290='Povolené hodnoty'!$B$14,$H290=BJ$4),SUM($J290,$M290,$P290,$S290),"")</f>
        <v/>
      </c>
      <c r="BK290" s="40" t="str">
        <f>IF(AND($G290='Povolené hodnoty'!$B$14,$H290=BK$4),SUM($J290,$M290,$P290,$S290),"")</f>
        <v/>
      </c>
      <c r="BL290" s="40" t="str">
        <f>IF(AND($G290='Povolené hodnoty'!$B$14,$H290=BL$4),SUM($J290,$M290,$P290,$S290),"")</f>
        <v/>
      </c>
      <c r="BM290" s="41" t="str">
        <f>IF(AND($G290='Povolené hodnoty'!$B$14,$H290=BM$4),SUM($J290,$M290,$P290,$S290),"")</f>
        <v/>
      </c>
      <c r="BO290" s="18" t="b">
        <f t="shared" si="176"/>
        <v>0</v>
      </c>
      <c r="BP290" s="18" t="b">
        <f t="shared" si="147"/>
        <v>0</v>
      </c>
      <c r="BQ290" s="18" t="b">
        <f>AND(E290&lt;&gt;'Povolené hodnoty'!$B$6,F290&lt;&gt;'Povolené hodnoty'!$D$7,F290&lt;&gt;'Povolené hodnoty'!$D$8,OR(SUM(I290,L290,O290,R290)&lt;&gt;SUM(W290:X290,AA290:AG290),SUM(J290,M290,P290,S290)&lt;&gt;SUM(Y290:Z290,AH290:AK290),COUNT(I290:J290,L290:M290,O290:P290,R290:S290)&lt;&gt;COUNT(W290:AK290)))</f>
        <v>0</v>
      </c>
      <c r="BR290" s="18" t="b">
        <f>OR(AND(E290='Povolené hodnoty'!$B$6,$BR$5),AND(E290='Povolené hodnoty'!$B$6,H290&lt;&gt;'Povolené hodnoty'!$E$26,H290&lt;&gt;'Povolené hodnoty'!$E$35),AND(E290&lt;&gt;'Povolené hodnoty'!$B$6,OR(H290='Povolené hodnoty'!$E$26,H290='Povolené hodnoty'!$E$35)))</f>
        <v>0</v>
      </c>
      <c r="BS290" s="18" t="b">
        <f>OR(AND(G290&lt;&gt;'Povolené hodnoty'!$B$13,OR(H290='Povolené hodnoty'!$E$21,H290='Povolené hodnoty'!$E$22,H290='Povolené hodnoty'!$E$23,H290='Povolené hodnoty'!$E$24,H290='Povolené hodnoty'!$E$26,H290='Povolené hodnoty'!$E$36)),COUNT(I290:J290,L290:M290,O290:P290,R290:S290)&lt;&gt;COUNT(AL290:BM290))</f>
        <v>0</v>
      </c>
      <c r="BT290" s="18" t="b">
        <f t="shared" si="148"/>
        <v>0</v>
      </c>
      <c r="BV290" s="39" t="str">
        <f t="shared" si="149"/>
        <v/>
      </c>
      <c r="BW290" s="458" t="str">
        <f t="shared" si="150"/>
        <v/>
      </c>
      <c r="BX290" s="458" t="str">
        <f t="shared" si="151"/>
        <v/>
      </c>
      <c r="BY290" s="458" t="str">
        <f t="shared" si="152"/>
        <v/>
      </c>
      <c r="BZ290" s="458" t="str">
        <f t="shared" si="153"/>
        <v/>
      </c>
      <c r="CA290" s="40" t="str">
        <f t="shared" si="154"/>
        <v/>
      </c>
      <c r="CB290" s="40" t="str">
        <f t="shared" si="155"/>
        <v/>
      </c>
      <c r="CC290" s="39" t="str">
        <f t="shared" si="156"/>
        <v/>
      </c>
      <c r="CD290" s="458" t="str">
        <f t="shared" si="157"/>
        <v/>
      </c>
      <c r="CE290" s="41" t="str">
        <f t="shared" si="158"/>
        <v/>
      </c>
      <c r="CF290" s="39" t="str">
        <f t="shared" si="159"/>
        <v/>
      </c>
      <c r="CG290" s="458" t="str">
        <f t="shared" si="160"/>
        <v/>
      </c>
      <c r="CH290" s="458" t="str">
        <f t="shared" si="161"/>
        <v/>
      </c>
      <c r="CI290" s="458" t="str">
        <f t="shared" si="162"/>
        <v/>
      </c>
      <c r="CJ290" s="458" t="str">
        <f t="shared" si="163"/>
        <v/>
      </c>
      <c r="CK290" s="40" t="str">
        <f t="shared" si="164"/>
        <v/>
      </c>
      <c r="CL290" s="40" t="str">
        <f t="shared" si="165"/>
        <v/>
      </c>
      <c r="CM290" s="40" t="str">
        <f t="shared" si="166"/>
        <v/>
      </c>
      <c r="CN290" s="39" t="str">
        <f t="shared" si="167"/>
        <v/>
      </c>
      <c r="CO290" s="458" t="str">
        <f t="shared" si="168"/>
        <v/>
      </c>
      <c r="CP290" s="458" t="str">
        <f t="shared" si="169"/>
        <v/>
      </c>
      <c r="CQ290" s="458" t="str">
        <f t="shared" si="170"/>
        <v/>
      </c>
      <c r="CR290" s="458" t="str">
        <f t="shared" si="171"/>
        <v/>
      </c>
      <c r="CS290" s="40" t="str">
        <f t="shared" si="172"/>
        <v/>
      </c>
      <c r="CT290" s="40" t="str">
        <f t="shared" si="173"/>
        <v/>
      </c>
      <c r="CU290" s="41" t="str">
        <f t="shared" si="174"/>
        <v/>
      </c>
    </row>
    <row r="291" spans="1:99" x14ac:dyDescent="0.2">
      <c r="A291" s="77">
        <f t="shared" si="175"/>
        <v>286</v>
      </c>
      <c r="B291" s="81"/>
      <c r="C291" s="82"/>
      <c r="D291" s="71"/>
      <c r="E291" s="72"/>
      <c r="F291" s="73"/>
      <c r="G291" s="443"/>
      <c r="H291" s="443"/>
      <c r="I291" s="74"/>
      <c r="J291" s="75"/>
      <c r="K291" s="41">
        <f t="shared" si="144"/>
        <v>3625</v>
      </c>
      <c r="L291" s="104"/>
      <c r="M291" s="105"/>
      <c r="N291" s="106">
        <f t="shared" si="145"/>
        <v>537.05999999999995</v>
      </c>
      <c r="O291" s="104"/>
      <c r="P291" s="105"/>
      <c r="Q291" s="106">
        <f t="shared" si="177"/>
        <v>10045.83</v>
      </c>
      <c r="R291" s="104"/>
      <c r="S291" s="105"/>
      <c r="T291" s="106">
        <f t="shared" si="178"/>
        <v>0</v>
      </c>
      <c r="U291" s="439"/>
      <c r="V291" s="42">
        <f t="shared" si="146"/>
        <v>286</v>
      </c>
      <c r="W291" s="39" t="str">
        <f>IF(AND(E291='Povolené hodnoty'!$B$4,F291=2),I291+L291+O291+R291,"")</f>
        <v/>
      </c>
      <c r="X291" s="41" t="str">
        <f>IF(AND(E291='Povolené hodnoty'!$B$4,F291=1),I291+L291+O291+R291,"")</f>
        <v/>
      </c>
      <c r="Y291" s="39" t="str">
        <f>IF(AND(E291='Povolené hodnoty'!$B$4,F291=10),J291+M291+P291+S291,"")</f>
        <v/>
      </c>
      <c r="Z291" s="41" t="str">
        <f>IF(AND(E291='Povolené hodnoty'!$B$4,F291=9),J291+M291+P291+S291,"")</f>
        <v/>
      </c>
      <c r="AA291" s="39" t="str">
        <f>IF(AND(E291&lt;&gt;'Povolené hodnoty'!$B$4,F291=2),I291+L291+O291+R291,"")</f>
        <v/>
      </c>
      <c r="AB291" s="40" t="str">
        <f>IF(AND(E291&lt;&gt;'Povolené hodnoty'!$B$4,F291=3),I291+L291+O291+R291,"")</f>
        <v/>
      </c>
      <c r="AC291" s="40" t="str">
        <f>IF(AND(E291&lt;&gt;'Povolené hodnoty'!$B$4,F291=4),I291+L291+O291+R291,"")</f>
        <v/>
      </c>
      <c r="AD291" s="40" t="str">
        <f>IF(AND(E291&lt;&gt;'Povolené hodnoty'!$B$4,F291="5a"),I291-J291+L291-M291+O291-P291+R291-S291,"")</f>
        <v/>
      </c>
      <c r="AE291" s="40" t="str">
        <f>IF(AND(E291&lt;&gt;'Povolené hodnoty'!$B$4,F291="5b"),I291-J291+L291-M291+O291-P291+R291-S291,"")</f>
        <v/>
      </c>
      <c r="AF291" s="40" t="str">
        <f>IF(AND(E291&lt;&gt;'Povolené hodnoty'!$B$4,F291=6),I291+L291+O291+R291,"")</f>
        <v/>
      </c>
      <c r="AG291" s="41" t="str">
        <f>IF(AND(E291&lt;&gt;'Povolené hodnoty'!$B$4,F291=7),I291+L291+O291+R291,"")</f>
        <v/>
      </c>
      <c r="AH291" s="39" t="str">
        <f>IF(AND(E291&lt;&gt;'Povolené hodnoty'!$B$4,F291=10),J291+M291+P291+S291,"")</f>
        <v/>
      </c>
      <c r="AI291" s="40" t="str">
        <f>IF(AND(E291&lt;&gt;'Povolené hodnoty'!$B$4,F291=11),J291+M291+P291+S291,"")</f>
        <v/>
      </c>
      <c r="AJ291" s="40" t="str">
        <f>IF(AND(E291&lt;&gt;'Povolené hodnoty'!$B$4,F291=12),J291+M291+P291+S291,"")</f>
        <v/>
      </c>
      <c r="AK291" s="41" t="str">
        <f>IF(AND(E291&lt;&gt;'Povolené hodnoty'!$B$4,F291=13),J291+M291+P291+S291,"")</f>
        <v/>
      </c>
      <c r="AL291" s="39" t="str">
        <f>IF(AND($G291='Povolené hodnoty'!$B$13,$H291=AL$4),SUM($I291,$L291,$O291,$R291),"")</f>
        <v/>
      </c>
      <c r="AM291" s="458" t="str">
        <f>IF(AND($G291='Povolené hodnoty'!$B$13,$H291=AM$4),SUM($I291,$L291,$O291,$R291),"")</f>
        <v/>
      </c>
      <c r="AN291" s="458" t="str">
        <f>IF(AND($G291='Povolené hodnoty'!$B$13,$H291=AN$4),SUM($I291,$L291,$O291,$R291),"")</f>
        <v/>
      </c>
      <c r="AO291" s="458" t="str">
        <f>IF(AND($G291='Povolené hodnoty'!$B$13,$H291=AO$4),SUM($I291,$L291,$O291,$R291),"")</f>
        <v/>
      </c>
      <c r="AP291" s="458" t="str">
        <f>IF(AND($G291='Povolené hodnoty'!$B$13,$H291=AP$4),SUM($I291,$L291,$O291,$R291),"")</f>
        <v/>
      </c>
      <c r="AQ291" s="40" t="str">
        <f>IF(AND($G291='Povolené hodnoty'!$B$13,OR($H291=AQ$4,$H291='Povolené hodnoty'!$E$36)),SUM($I291,-$J291,$L291,-$M291,$O291,-$P291,$R291,-$S291),"")</f>
        <v/>
      </c>
      <c r="AR291" s="40" t="str">
        <f>IF(AND($G291='Povolené hodnoty'!$B$13,$H291=AR$4),SUM($I291,$L291,$O291,$R291),"")</f>
        <v/>
      </c>
      <c r="AS291" s="41" t="str">
        <f>IF(AND($G291='Povolené hodnoty'!$B$13,$H291=AS$4),SUM($I291,$L291,$O291,$R291),"")</f>
        <v/>
      </c>
      <c r="AT291" s="39" t="str">
        <f>IF(AND($G291='Povolené hodnoty'!$B$14,$H291=AT$4),SUM($I291,$L291,$O291,$R291),"")</f>
        <v/>
      </c>
      <c r="AU291" s="458" t="str">
        <f>IF(AND($G291='Povolené hodnoty'!$B$14,$H291=AU$4),SUM($I291,$L291,$O291,$R291),"")</f>
        <v/>
      </c>
      <c r="AV291" s="41" t="str">
        <f>IF(AND($G291='Povolené hodnoty'!$B$14,$H291=AV$4),SUM($I291,$L291,$O291,$R291),"")</f>
        <v/>
      </c>
      <c r="AW291" s="39" t="str">
        <f>IF(AND($G291='Povolené hodnoty'!$B$13,$H291=AW$4),SUM($J291,$M291,$P291,$S291),"")</f>
        <v/>
      </c>
      <c r="AX291" s="458" t="str">
        <f>IF(AND($G291='Povolené hodnoty'!$B$13,$H291=AX$4),SUM($J291,$M291,$P291,$S291),"")</f>
        <v/>
      </c>
      <c r="AY291" s="458" t="str">
        <f>IF(AND($G291='Povolené hodnoty'!$B$13,$H291=AY$4),SUM($J291,$M291,$P291,$S291),"")</f>
        <v/>
      </c>
      <c r="AZ291" s="458" t="str">
        <f>IF(AND($G291='Povolené hodnoty'!$B$13,$H291=AZ$4),SUM($J291,$M291,$P291,$S291),"")</f>
        <v/>
      </c>
      <c r="BA291" s="458" t="str">
        <f>IF(AND($G291='Povolené hodnoty'!$B$13,$H291=BA$4),SUM($J291,$M291,$P291,$S291),"")</f>
        <v/>
      </c>
      <c r="BB291" s="40" t="str">
        <f>IF(AND($G291='Povolené hodnoty'!$B$13,$H291=BB$4),SUM($J291,$M291,$P291,$S291),"")</f>
        <v/>
      </c>
      <c r="BC291" s="40" t="str">
        <f>IF(AND($G291='Povolené hodnoty'!$B$13,$H291=BC$4),SUM($J291,$M291,$P291,$S291),"")</f>
        <v/>
      </c>
      <c r="BD291" s="40" t="str">
        <f>IF(AND($G291='Povolené hodnoty'!$B$13,$H291=BD$4),SUM($J291,$M291,$P291,$S291),"")</f>
        <v/>
      </c>
      <c r="BE291" s="41" t="str">
        <f>IF(AND($G291='Povolené hodnoty'!$B$13,$H291=BE$4),SUM($J291,$M291,$P291,$S291),"")</f>
        <v/>
      </c>
      <c r="BF291" s="39" t="str">
        <f>IF(AND($G291='Povolené hodnoty'!$B$14,$H291=BF$4),SUM($J291,$M291,$P291,$S291),"")</f>
        <v/>
      </c>
      <c r="BG291" s="458" t="str">
        <f>IF(AND($G291='Povolené hodnoty'!$B$14,$H291=BG$4),SUM($J291,$M291,$P291,$S291),"")</f>
        <v/>
      </c>
      <c r="BH291" s="458" t="str">
        <f>IF(AND($G291='Povolené hodnoty'!$B$14,$H291=BH$4),SUM($J291,$M291,$P291,$S291),"")</f>
        <v/>
      </c>
      <c r="BI291" s="458" t="str">
        <f>IF(AND($G291='Povolené hodnoty'!$B$14,$H291=BI$4),SUM($J291,$M291,$P291,$S291),"")</f>
        <v/>
      </c>
      <c r="BJ291" s="458" t="str">
        <f>IF(AND($G291='Povolené hodnoty'!$B$14,$H291=BJ$4),SUM($J291,$M291,$P291,$S291),"")</f>
        <v/>
      </c>
      <c r="BK291" s="40" t="str">
        <f>IF(AND($G291='Povolené hodnoty'!$B$14,$H291=BK$4),SUM($J291,$M291,$P291,$S291),"")</f>
        <v/>
      </c>
      <c r="BL291" s="40" t="str">
        <f>IF(AND($G291='Povolené hodnoty'!$B$14,$H291=BL$4),SUM($J291,$M291,$P291,$S291),"")</f>
        <v/>
      </c>
      <c r="BM291" s="41" t="str">
        <f>IF(AND($G291='Povolené hodnoty'!$B$14,$H291=BM$4),SUM($J291,$M291,$P291,$S291),"")</f>
        <v/>
      </c>
      <c r="BO291" s="18" t="b">
        <f t="shared" si="176"/>
        <v>0</v>
      </c>
      <c r="BP291" s="18" t="b">
        <f t="shared" si="147"/>
        <v>0</v>
      </c>
      <c r="BQ291" s="18" t="b">
        <f>AND(E291&lt;&gt;'Povolené hodnoty'!$B$6,F291&lt;&gt;'Povolené hodnoty'!$D$7,F291&lt;&gt;'Povolené hodnoty'!$D$8,OR(SUM(I291,L291,O291,R291)&lt;&gt;SUM(W291:X291,AA291:AG291),SUM(J291,M291,P291,S291)&lt;&gt;SUM(Y291:Z291,AH291:AK291),COUNT(I291:J291,L291:M291,O291:P291,R291:S291)&lt;&gt;COUNT(W291:AK291)))</f>
        <v>0</v>
      </c>
      <c r="BR291" s="18" t="b">
        <f>OR(AND(E291='Povolené hodnoty'!$B$6,$BR$5),AND(E291='Povolené hodnoty'!$B$6,H291&lt;&gt;'Povolené hodnoty'!$E$26,H291&lt;&gt;'Povolené hodnoty'!$E$35),AND(E291&lt;&gt;'Povolené hodnoty'!$B$6,OR(H291='Povolené hodnoty'!$E$26,H291='Povolené hodnoty'!$E$35)))</f>
        <v>0</v>
      </c>
      <c r="BS291" s="18" t="b">
        <f>OR(AND(G291&lt;&gt;'Povolené hodnoty'!$B$13,OR(H291='Povolené hodnoty'!$E$21,H291='Povolené hodnoty'!$E$22,H291='Povolené hodnoty'!$E$23,H291='Povolené hodnoty'!$E$24,H291='Povolené hodnoty'!$E$26,H291='Povolené hodnoty'!$E$36)),COUNT(I291:J291,L291:M291,O291:P291,R291:S291)&lt;&gt;COUNT(AL291:BM291))</f>
        <v>0</v>
      </c>
      <c r="BT291" s="18" t="b">
        <f t="shared" si="148"/>
        <v>0</v>
      </c>
      <c r="BV291" s="39" t="str">
        <f t="shared" si="149"/>
        <v/>
      </c>
      <c r="BW291" s="458" t="str">
        <f t="shared" si="150"/>
        <v/>
      </c>
      <c r="BX291" s="458" t="str">
        <f t="shared" si="151"/>
        <v/>
      </c>
      <c r="BY291" s="458" t="str">
        <f t="shared" si="152"/>
        <v/>
      </c>
      <c r="BZ291" s="458" t="str">
        <f t="shared" si="153"/>
        <v/>
      </c>
      <c r="CA291" s="40" t="str">
        <f t="shared" si="154"/>
        <v/>
      </c>
      <c r="CB291" s="40" t="str">
        <f t="shared" si="155"/>
        <v/>
      </c>
      <c r="CC291" s="39" t="str">
        <f t="shared" si="156"/>
        <v/>
      </c>
      <c r="CD291" s="458" t="str">
        <f t="shared" si="157"/>
        <v/>
      </c>
      <c r="CE291" s="41" t="str">
        <f t="shared" si="158"/>
        <v/>
      </c>
      <c r="CF291" s="39" t="str">
        <f t="shared" si="159"/>
        <v/>
      </c>
      <c r="CG291" s="458" t="str">
        <f t="shared" si="160"/>
        <v/>
      </c>
      <c r="CH291" s="458" t="str">
        <f t="shared" si="161"/>
        <v/>
      </c>
      <c r="CI291" s="458" t="str">
        <f t="shared" si="162"/>
        <v/>
      </c>
      <c r="CJ291" s="458" t="str">
        <f t="shared" si="163"/>
        <v/>
      </c>
      <c r="CK291" s="40" t="str">
        <f t="shared" si="164"/>
        <v/>
      </c>
      <c r="CL291" s="40" t="str">
        <f t="shared" si="165"/>
        <v/>
      </c>
      <c r="CM291" s="40" t="str">
        <f t="shared" si="166"/>
        <v/>
      </c>
      <c r="CN291" s="39" t="str">
        <f t="shared" si="167"/>
        <v/>
      </c>
      <c r="CO291" s="458" t="str">
        <f t="shared" si="168"/>
        <v/>
      </c>
      <c r="CP291" s="458" t="str">
        <f t="shared" si="169"/>
        <v/>
      </c>
      <c r="CQ291" s="458" t="str">
        <f t="shared" si="170"/>
        <v/>
      </c>
      <c r="CR291" s="458" t="str">
        <f t="shared" si="171"/>
        <v/>
      </c>
      <c r="CS291" s="40" t="str">
        <f t="shared" si="172"/>
        <v/>
      </c>
      <c r="CT291" s="40" t="str">
        <f t="shared" si="173"/>
        <v/>
      </c>
      <c r="CU291" s="41" t="str">
        <f t="shared" si="174"/>
        <v/>
      </c>
    </row>
    <row r="292" spans="1:99" x14ac:dyDescent="0.2">
      <c r="A292" s="77">
        <f t="shared" si="175"/>
        <v>287</v>
      </c>
      <c r="B292" s="81"/>
      <c r="C292" s="82"/>
      <c r="D292" s="71"/>
      <c r="E292" s="72"/>
      <c r="F292" s="73"/>
      <c r="G292" s="443"/>
      <c r="H292" s="443"/>
      <c r="I292" s="74"/>
      <c r="J292" s="75"/>
      <c r="K292" s="41">
        <f t="shared" si="144"/>
        <v>3625</v>
      </c>
      <c r="L292" s="104"/>
      <c r="M292" s="105"/>
      <c r="N292" s="106">
        <f t="shared" si="145"/>
        <v>537.05999999999995</v>
      </c>
      <c r="O292" s="104"/>
      <c r="P292" s="105"/>
      <c r="Q292" s="106">
        <f t="shared" si="177"/>
        <v>10045.83</v>
      </c>
      <c r="R292" s="104"/>
      <c r="S292" s="105"/>
      <c r="T292" s="106">
        <f t="shared" si="178"/>
        <v>0</v>
      </c>
      <c r="U292" s="439"/>
      <c r="V292" s="42">
        <f t="shared" si="146"/>
        <v>287</v>
      </c>
      <c r="W292" s="39" t="str">
        <f>IF(AND(E292='Povolené hodnoty'!$B$4,F292=2),I292+L292+O292+R292,"")</f>
        <v/>
      </c>
      <c r="X292" s="41" t="str">
        <f>IF(AND(E292='Povolené hodnoty'!$B$4,F292=1),I292+L292+O292+R292,"")</f>
        <v/>
      </c>
      <c r="Y292" s="39" t="str">
        <f>IF(AND(E292='Povolené hodnoty'!$B$4,F292=10),J292+M292+P292+S292,"")</f>
        <v/>
      </c>
      <c r="Z292" s="41" t="str">
        <f>IF(AND(E292='Povolené hodnoty'!$B$4,F292=9),J292+M292+P292+S292,"")</f>
        <v/>
      </c>
      <c r="AA292" s="39" t="str">
        <f>IF(AND(E292&lt;&gt;'Povolené hodnoty'!$B$4,F292=2),I292+L292+O292+R292,"")</f>
        <v/>
      </c>
      <c r="AB292" s="40" t="str">
        <f>IF(AND(E292&lt;&gt;'Povolené hodnoty'!$B$4,F292=3),I292+L292+O292+R292,"")</f>
        <v/>
      </c>
      <c r="AC292" s="40" t="str">
        <f>IF(AND(E292&lt;&gt;'Povolené hodnoty'!$B$4,F292=4),I292+L292+O292+R292,"")</f>
        <v/>
      </c>
      <c r="AD292" s="40" t="str">
        <f>IF(AND(E292&lt;&gt;'Povolené hodnoty'!$B$4,F292="5a"),I292-J292+L292-M292+O292-P292+R292-S292,"")</f>
        <v/>
      </c>
      <c r="AE292" s="40" t="str">
        <f>IF(AND(E292&lt;&gt;'Povolené hodnoty'!$B$4,F292="5b"),I292-J292+L292-M292+O292-P292+R292-S292,"")</f>
        <v/>
      </c>
      <c r="AF292" s="40" t="str">
        <f>IF(AND(E292&lt;&gt;'Povolené hodnoty'!$B$4,F292=6),I292+L292+O292+R292,"")</f>
        <v/>
      </c>
      <c r="AG292" s="41" t="str">
        <f>IF(AND(E292&lt;&gt;'Povolené hodnoty'!$B$4,F292=7),I292+L292+O292+R292,"")</f>
        <v/>
      </c>
      <c r="AH292" s="39" t="str">
        <f>IF(AND(E292&lt;&gt;'Povolené hodnoty'!$B$4,F292=10),J292+M292+P292+S292,"")</f>
        <v/>
      </c>
      <c r="AI292" s="40" t="str">
        <f>IF(AND(E292&lt;&gt;'Povolené hodnoty'!$B$4,F292=11),J292+M292+P292+S292,"")</f>
        <v/>
      </c>
      <c r="AJ292" s="40" t="str">
        <f>IF(AND(E292&lt;&gt;'Povolené hodnoty'!$B$4,F292=12),J292+M292+P292+S292,"")</f>
        <v/>
      </c>
      <c r="AK292" s="41" t="str">
        <f>IF(AND(E292&lt;&gt;'Povolené hodnoty'!$B$4,F292=13),J292+M292+P292+S292,"")</f>
        <v/>
      </c>
      <c r="AL292" s="39" t="str">
        <f>IF(AND($G292='Povolené hodnoty'!$B$13,$H292=AL$4),SUM($I292,$L292,$O292,$R292),"")</f>
        <v/>
      </c>
      <c r="AM292" s="458" t="str">
        <f>IF(AND($G292='Povolené hodnoty'!$B$13,$H292=AM$4),SUM($I292,$L292,$O292,$R292),"")</f>
        <v/>
      </c>
      <c r="AN292" s="458" t="str">
        <f>IF(AND($G292='Povolené hodnoty'!$B$13,$H292=AN$4),SUM($I292,$L292,$O292,$R292),"")</f>
        <v/>
      </c>
      <c r="AO292" s="458" t="str">
        <f>IF(AND($G292='Povolené hodnoty'!$B$13,$H292=AO$4),SUM($I292,$L292,$O292,$R292),"")</f>
        <v/>
      </c>
      <c r="AP292" s="458" t="str">
        <f>IF(AND($G292='Povolené hodnoty'!$B$13,$H292=AP$4),SUM($I292,$L292,$O292,$R292),"")</f>
        <v/>
      </c>
      <c r="AQ292" s="40" t="str">
        <f>IF(AND($G292='Povolené hodnoty'!$B$13,OR($H292=AQ$4,$H292='Povolené hodnoty'!$E$36)),SUM($I292,-$J292,$L292,-$M292,$O292,-$P292,$R292,-$S292),"")</f>
        <v/>
      </c>
      <c r="AR292" s="40" t="str">
        <f>IF(AND($G292='Povolené hodnoty'!$B$13,$H292=AR$4),SUM($I292,$L292,$O292,$R292),"")</f>
        <v/>
      </c>
      <c r="AS292" s="41" t="str">
        <f>IF(AND($G292='Povolené hodnoty'!$B$13,$H292=AS$4),SUM($I292,$L292,$O292,$R292),"")</f>
        <v/>
      </c>
      <c r="AT292" s="39" t="str">
        <f>IF(AND($G292='Povolené hodnoty'!$B$14,$H292=AT$4),SUM($I292,$L292,$O292,$R292),"")</f>
        <v/>
      </c>
      <c r="AU292" s="458" t="str">
        <f>IF(AND($G292='Povolené hodnoty'!$B$14,$H292=AU$4),SUM($I292,$L292,$O292,$R292),"")</f>
        <v/>
      </c>
      <c r="AV292" s="41" t="str">
        <f>IF(AND($G292='Povolené hodnoty'!$B$14,$H292=AV$4),SUM($I292,$L292,$O292,$R292),"")</f>
        <v/>
      </c>
      <c r="AW292" s="39" t="str">
        <f>IF(AND($G292='Povolené hodnoty'!$B$13,$H292=AW$4),SUM($J292,$M292,$P292,$S292),"")</f>
        <v/>
      </c>
      <c r="AX292" s="458" t="str">
        <f>IF(AND($G292='Povolené hodnoty'!$B$13,$H292=AX$4),SUM($J292,$M292,$P292,$S292),"")</f>
        <v/>
      </c>
      <c r="AY292" s="458" t="str">
        <f>IF(AND($G292='Povolené hodnoty'!$B$13,$H292=AY$4),SUM($J292,$M292,$P292,$S292),"")</f>
        <v/>
      </c>
      <c r="AZ292" s="458" t="str">
        <f>IF(AND($G292='Povolené hodnoty'!$B$13,$H292=AZ$4),SUM($J292,$M292,$P292,$S292),"")</f>
        <v/>
      </c>
      <c r="BA292" s="458" t="str">
        <f>IF(AND($G292='Povolené hodnoty'!$B$13,$H292=BA$4),SUM($J292,$M292,$P292,$S292),"")</f>
        <v/>
      </c>
      <c r="BB292" s="40" t="str">
        <f>IF(AND($G292='Povolené hodnoty'!$B$13,$H292=BB$4),SUM($J292,$M292,$P292,$S292),"")</f>
        <v/>
      </c>
      <c r="BC292" s="40" t="str">
        <f>IF(AND($G292='Povolené hodnoty'!$B$13,$H292=BC$4),SUM($J292,$M292,$P292,$S292),"")</f>
        <v/>
      </c>
      <c r="BD292" s="40" t="str">
        <f>IF(AND($G292='Povolené hodnoty'!$B$13,$H292=BD$4),SUM($J292,$M292,$P292,$S292),"")</f>
        <v/>
      </c>
      <c r="BE292" s="41" t="str">
        <f>IF(AND($G292='Povolené hodnoty'!$B$13,$H292=BE$4),SUM($J292,$M292,$P292,$S292),"")</f>
        <v/>
      </c>
      <c r="BF292" s="39" t="str">
        <f>IF(AND($G292='Povolené hodnoty'!$B$14,$H292=BF$4),SUM($J292,$M292,$P292,$S292),"")</f>
        <v/>
      </c>
      <c r="BG292" s="458" t="str">
        <f>IF(AND($G292='Povolené hodnoty'!$B$14,$H292=BG$4),SUM($J292,$M292,$P292,$S292),"")</f>
        <v/>
      </c>
      <c r="BH292" s="458" t="str">
        <f>IF(AND($G292='Povolené hodnoty'!$B$14,$H292=BH$4),SUM($J292,$M292,$P292,$S292),"")</f>
        <v/>
      </c>
      <c r="BI292" s="458" t="str">
        <f>IF(AND($G292='Povolené hodnoty'!$B$14,$H292=BI$4),SUM($J292,$M292,$P292,$S292),"")</f>
        <v/>
      </c>
      <c r="BJ292" s="458" t="str">
        <f>IF(AND($G292='Povolené hodnoty'!$B$14,$H292=BJ$4),SUM($J292,$M292,$P292,$S292),"")</f>
        <v/>
      </c>
      <c r="BK292" s="40" t="str">
        <f>IF(AND($G292='Povolené hodnoty'!$B$14,$H292=BK$4),SUM($J292,$M292,$P292,$S292),"")</f>
        <v/>
      </c>
      <c r="BL292" s="40" t="str">
        <f>IF(AND($G292='Povolené hodnoty'!$B$14,$H292=BL$4),SUM($J292,$M292,$P292,$S292),"")</f>
        <v/>
      </c>
      <c r="BM292" s="41" t="str">
        <f>IF(AND($G292='Povolené hodnoty'!$B$14,$H292=BM$4),SUM($J292,$M292,$P292,$S292),"")</f>
        <v/>
      </c>
      <c r="BO292" s="18" t="b">
        <f t="shared" si="176"/>
        <v>0</v>
      </c>
      <c r="BP292" s="18" t="b">
        <f t="shared" si="147"/>
        <v>0</v>
      </c>
      <c r="BQ292" s="18" t="b">
        <f>AND(E292&lt;&gt;'Povolené hodnoty'!$B$6,F292&lt;&gt;'Povolené hodnoty'!$D$7,F292&lt;&gt;'Povolené hodnoty'!$D$8,OR(SUM(I292,L292,O292,R292)&lt;&gt;SUM(W292:X292,AA292:AG292),SUM(J292,M292,P292,S292)&lt;&gt;SUM(Y292:Z292,AH292:AK292),COUNT(I292:J292,L292:M292,O292:P292,R292:S292)&lt;&gt;COUNT(W292:AK292)))</f>
        <v>0</v>
      </c>
      <c r="BR292" s="18" t="b">
        <f>OR(AND(E292='Povolené hodnoty'!$B$6,$BR$5),AND(E292='Povolené hodnoty'!$B$6,H292&lt;&gt;'Povolené hodnoty'!$E$26,H292&lt;&gt;'Povolené hodnoty'!$E$35),AND(E292&lt;&gt;'Povolené hodnoty'!$B$6,OR(H292='Povolené hodnoty'!$E$26,H292='Povolené hodnoty'!$E$35)))</f>
        <v>0</v>
      </c>
      <c r="BS292" s="18" t="b">
        <f>OR(AND(G292&lt;&gt;'Povolené hodnoty'!$B$13,OR(H292='Povolené hodnoty'!$E$21,H292='Povolené hodnoty'!$E$22,H292='Povolené hodnoty'!$E$23,H292='Povolené hodnoty'!$E$24,H292='Povolené hodnoty'!$E$26,H292='Povolené hodnoty'!$E$36)),COUNT(I292:J292,L292:M292,O292:P292,R292:S292)&lt;&gt;COUNT(AL292:BM292))</f>
        <v>0</v>
      </c>
      <c r="BT292" s="18" t="b">
        <f t="shared" si="148"/>
        <v>0</v>
      </c>
      <c r="BV292" s="39" t="str">
        <f t="shared" si="149"/>
        <v/>
      </c>
      <c r="BW292" s="458" t="str">
        <f t="shared" si="150"/>
        <v/>
      </c>
      <c r="BX292" s="458" t="str">
        <f t="shared" si="151"/>
        <v/>
      </c>
      <c r="BY292" s="458" t="str">
        <f t="shared" si="152"/>
        <v/>
      </c>
      <c r="BZ292" s="458" t="str">
        <f t="shared" si="153"/>
        <v/>
      </c>
      <c r="CA292" s="40" t="str">
        <f t="shared" si="154"/>
        <v/>
      </c>
      <c r="CB292" s="40" t="str">
        <f t="shared" si="155"/>
        <v/>
      </c>
      <c r="CC292" s="39" t="str">
        <f t="shared" si="156"/>
        <v/>
      </c>
      <c r="CD292" s="458" t="str">
        <f t="shared" si="157"/>
        <v/>
      </c>
      <c r="CE292" s="41" t="str">
        <f t="shared" si="158"/>
        <v/>
      </c>
      <c r="CF292" s="39" t="str">
        <f t="shared" si="159"/>
        <v/>
      </c>
      <c r="CG292" s="458" t="str">
        <f t="shared" si="160"/>
        <v/>
      </c>
      <c r="CH292" s="458" t="str">
        <f t="shared" si="161"/>
        <v/>
      </c>
      <c r="CI292" s="458" t="str">
        <f t="shared" si="162"/>
        <v/>
      </c>
      <c r="CJ292" s="458" t="str">
        <f t="shared" si="163"/>
        <v/>
      </c>
      <c r="CK292" s="40" t="str">
        <f t="shared" si="164"/>
        <v/>
      </c>
      <c r="CL292" s="40" t="str">
        <f t="shared" si="165"/>
        <v/>
      </c>
      <c r="CM292" s="40" t="str">
        <f t="shared" si="166"/>
        <v/>
      </c>
      <c r="CN292" s="39" t="str">
        <f t="shared" si="167"/>
        <v/>
      </c>
      <c r="CO292" s="458" t="str">
        <f t="shared" si="168"/>
        <v/>
      </c>
      <c r="CP292" s="458" t="str">
        <f t="shared" si="169"/>
        <v/>
      </c>
      <c r="CQ292" s="458" t="str">
        <f t="shared" si="170"/>
        <v/>
      </c>
      <c r="CR292" s="458" t="str">
        <f t="shared" si="171"/>
        <v/>
      </c>
      <c r="CS292" s="40" t="str">
        <f t="shared" si="172"/>
        <v/>
      </c>
      <c r="CT292" s="40" t="str">
        <f t="shared" si="173"/>
        <v/>
      </c>
      <c r="CU292" s="41" t="str">
        <f t="shared" si="174"/>
        <v/>
      </c>
    </row>
    <row r="293" spans="1:99" x14ac:dyDescent="0.2">
      <c r="A293" s="77">
        <f t="shared" si="175"/>
        <v>288</v>
      </c>
      <c r="B293" s="81"/>
      <c r="C293" s="82"/>
      <c r="D293" s="71"/>
      <c r="E293" s="72"/>
      <c r="F293" s="73"/>
      <c r="G293" s="443"/>
      <c r="H293" s="443"/>
      <c r="I293" s="74"/>
      <c r="J293" s="75"/>
      <c r="K293" s="41">
        <f t="shared" si="144"/>
        <v>3625</v>
      </c>
      <c r="L293" s="104"/>
      <c r="M293" s="105"/>
      <c r="N293" s="106">
        <f t="shared" si="145"/>
        <v>537.05999999999995</v>
      </c>
      <c r="O293" s="104"/>
      <c r="P293" s="105"/>
      <c r="Q293" s="106">
        <f t="shared" si="177"/>
        <v>10045.83</v>
      </c>
      <c r="R293" s="104"/>
      <c r="S293" s="105"/>
      <c r="T293" s="106">
        <f t="shared" si="178"/>
        <v>0</v>
      </c>
      <c r="U293" s="439"/>
      <c r="V293" s="42">
        <f t="shared" si="146"/>
        <v>288</v>
      </c>
      <c r="W293" s="39" t="str">
        <f>IF(AND(E293='Povolené hodnoty'!$B$4,F293=2),I293+L293+O293+R293,"")</f>
        <v/>
      </c>
      <c r="X293" s="41" t="str">
        <f>IF(AND(E293='Povolené hodnoty'!$B$4,F293=1),I293+L293+O293+R293,"")</f>
        <v/>
      </c>
      <c r="Y293" s="39" t="str">
        <f>IF(AND(E293='Povolené hodnoty'!$B$4,F293=10),J293+M293+P293+S293,"")</f>
        <v/>
      </c>
      <c r="Z293" s="41" t="str">
        <f>IF(AND(E293='Povolené hodnoty'!$B$4,F293=9),J293+M293+P293+S293,"")</f>
        <v/>
      </c>
      <c r="AA293" s="39" t="str">
        <f>IF(AND(E293&lt;&gt;'Povolené hodnoty'!$B$4,F293=2),I293+L293+O293+R293,"")</f>
        <v/>
      </c>
      <c r="AB293" s="40" t="str">
        <f>IF(AND(E293&lt;&gt;'Povolené hodnoty'!$B$4,F293=3),I293+L293+O293+R293,"")</f>
        <v/>
      </c>
      <c r="AC293" s="40" t="str">
        <f>IF(AND(E293&lt;&gt;'Povolené hodnoty'!$B$4,F293=4),I293+L293+O293+R293,"")</f>
        <v/>
      </c>
      <c r="AD293" s="40" t="str">
        <f>IF(AND(E293&lt;&gt;'Povolené hodnoty'!$B$4,F293="5a"),I293-J293+L293-M293+O293-P293+R293-S293,"")</f>
        <v/>
      </c>
      <c r="AE293" s="40" t="str">
        <f>IF(AND(E293&lt;&gt;'Povolené hodnoty'!$B$4,F293="5b"),I293-J293+L293-M293+O293-P293+R293-S293,"")</f>
        <v/>
      </c>
      <c r="AF293" s="40" t="str">
        <f>IF(AND(E293&lt;&gt;'Povolené hodnoty'!$B$4,F293=6),I293+L293+O293+R293,"")</f>
        <v/>
      </c>
      <c r="AG293" s="41" t="str">
        <f>IF(AND(E293&lt;&gt;'Povolené hodnoty'!$B$4,F293=7),I293+L293+O293+R293,"")</f>
        <v/>
      </c>
      <c r="AH293" s="39" t="str">
        <f>IF(AND(E293&lt;&gt;'Povolené hodnoty'!$B$4,F293=10),J293+M293+P293+S293,"")</f>
        <v/>
      </c>
      <c r="AI293" s="40" t="str">
        <f>IF(AND(E293&lt;&gt;'Povolené hodnoty'!$B$4,F293=11),J293+M293+P293+S293,"")</f>
        <v/>
      </c>
      <c r="AJ293" s="40" t="str">
        <f>IF(AND(E293&lt;&gt;'Povolené hodnoty'!$B$4,F293=12),J293+M293+P293+S293,"")</f>
        <v/>
      </c>
      <c r="AK293" s="41" t="str">
        <f>IF(AND(E293&lt;&gt;'Povolené hodnoty'!$B$4,F293=13),J293+M293+P293+S293,"")</f>
        <v/>
      </c>
      <c r="AL293" s="39" t="str">
        <f>IF(AND($G293='Povolené hodnoty'!$B$13,$H293=AL$4),SUM($I293,$L293,$O293,$R293),"")</f>
        <v/>
      </c>
      <c r="AM293" s="458" t="str">
        <f>IF(AND($G293='Povolené hodnoty'!$B$13,$H293=AM$4),SUM($I293,$L293,$O293,$R293),"")</f>
        <v/>
      </c>
      <c r="AN293" s="458" t="str">
        <f>IF(AND($G293='Povolené hodnoty'!$B$13,$H293=AN$4),SUM($I293,$L293,$O293,$R293),"")</f>
        <v/>
      </c>
      <c r="AO293" s="458" t="str">
        <f>IF(AND($G293='Povolené hodnoty'!$B$13,$H293=AO$4),SUM($I293,$L293,$O293,$R293),"")</f>
        <v/>
      </c>
      <c r="AP293" s="458" t="str">
        <f>IF(AND($G293='Povolené hodnoty'!$B$13,$H293=AP$4),SUM($I293,$L293,$O293,$R293),"")</f>
        <v/>
      </c>
      <c r="AQ293" s="40" t="str">
        <f>IF(AND($G293='Povolené hodnoty'!$B$13,OR($H293=AQ$4,$H293='Povolené hodnoty'!$E$36)),SUM($I293,-$J293,$L293,-$M293,$O293,-$P293,$R293,-$S293),"")</f>
        <v/>
      </c>
      <c r="AR293" s="40" t="str">
        <f>IF(AND($G293='Povolené hodnoty'!$B$13,$H293=AR$4),SUM($I293,$L293,$O293,$R293),"")</f>
        <v/>
      </c>
      <c r="AS293" s="41" t="str">
        <f>IF(AND($G293='Povolené hodnoty'!$B$13,$H293=AS$4),SUM($I293,$L293,$O293,$R293),"")</f>
        <v/>
      </c>
      <c r="AT293" s="39" t="str">
        <f>IF(AND($G293='Povolené hodnoty'!$B$14,$H293=AT$4),SUM($I293,$L293,$O293,$R293),"")</f>
        <v/>
      </c>
      <c r="AU293" s="458" t="str">
        <f>IF(AND($G293='Povolené hodnoty'!$B$14,$H293=AU$4),SUM($I293,$L293,$O293,$R293),"")</f>
        <v/>
      </c>
      <c r="AV293" s="41" t="str">
        <f>IF(AND($G293='Povolené hodnoty'!$B$14,$H293=AV$4),SUM($I293,$L293,$O293,$R293),"")</f>
        <v/>
      </c>
      <c r="AW293" s="39" t="str">
        <f>IF(AND($G293='Povolené hodnoty'!$B$13,$H293=AW$4),SUM($J293,$M293,$P293,$S293),"")</f>
        <v/>
      </c>
      <c r="AX293" s="458" t="str">
        <f>IF(AND($G293='Povolené hodnoty'!$B$13,$H293=AX$4),SUM($J293,$M293,$P293,$S293),"")</f>
        <v/>
      </c>
      <c r="AY293" s="458" t="str">
        <f>IF(AND($G293='Povolené hodnoty'!$B$13,$H293=AY$4),SUM($J293,$M293,$P293,$S293),"")</f>
        <v/>
      </c>
      <c r="AZ293" s="458" t="str">
        <f>IF(AND($G293='Povolené hodnoty'!$B$13,$H293=AZ$4),SUM($J293,$M293,$P293,$S293),"")</f>
        <v/>
      </c>
      <c r="BA293" s="458" t="str">
        <f>IF(AND($G293='Povolené hodnoty'!$B$13,$H293=BA$4),SUM($J293,$M293,$P293,$S293),"")</f>
        <v/>
      </c>
      <c r="BB293" s="40" t="str">
        <f>IF(AND($G293='Povolené hodnoty'!$B$13,$H293=BB$4),SUM($J293,$M293,$P293,$S293),"")</f>
        <v/>
      </c>
      <c r="BC293" s="40" t="str">
        <f>IF(AND($G293='Povolené hodnoty'!$B$13,$H293=BC$4),SUM($J293,$M293,$P293,$S293),"")</f>
        <v/>
      </c>
      <c r="BD293" s="40" t="str">
        <f>IF(AND($G293='Povolené hodnoty'!$B$13,$H293=BD$4),SUM($J293,$M293,$P293,$S293),"")</f>
        <v/>
      </c>
      <c r="BE293" s="41" t="str">
        <f>IF(AND($G293='Povolené hodnoty'!$B$13,$H293=BE$4),SUM($J293,$M293,$P293,$S293),"")</f>
        <v/>
      </c>
      <c r="BF293" s="39" t="str">
        <f>IF(AND($G293='Povolené hodnoty'!$B$14,$H293=BF$4),SUM($J293,$M293,$P293,$S293),"")</f>
        <v/>
      </c>
      <c r="BG293" s="458" t="str">
        <f>IF(AND($G293='Povolené hodnoty'!$B$14,$H293=BG$4),SUM($J293,$M293,$P293,$S293),"")</f>
        <v/>
      </c>
      <c r="BH293" s="458" t="str">
        <f>IF(AND($G293='Povolené hodnoty'!$B$14,$H293=BH$4),SUM($J293,$M293,$P293,$S293),"")</f>
        <v/>
      </c>
      <c r="BI293" s="458" t="str">
        <f>IF(AND($G293='Povolené hodnoty'!$B$14,$H293=BI$4),SUM($J293,$M293,$P293,$S293),"")</f>
        <v/>
      </c>
      <c r="BJ293" s="458" t="str">
        <f>IF(AND($G293='Povolené hodnoty'!$B$14,$H293=BJ$4),SUM($J293,$M293,$P293,$S293),"")</f>
        <v/>
      </c>
      <c r="BK293" s="40" t="str">
        <f>IF(AND($G293='Povolené hodnoty'!$B$14,$H293=BK$4),SUM($J293,$M293,$P293,$S293),"")</f>
        <v/>
      </c>
      <c r="BL293" s="40" t="str">
        <f>IF(AND($G293='Povolené hodnoty'!$B$14,$H293=BL$4),SUM($J293,$M293,$P293,$S293),"")</f>
        <v/>
      </c>
      <c r="BM293" s="41" t="str">
        <f>IF(AND($G293='Povolené hodnoty'!$B$14,$H293=BM$4),SUM($J293,$M293,$P293,$S293),"")</f>
        <v/>
      </c>
      <c r="BO293" s="18" t="b">
        <f t="shared" si="176"/>
        <v>0</v>
      </c>
      <c r="BP293" s="18" t="b">
        <f t="shared" si="147"/>
        <v>0</v>
      </c>
      <c r="BQ293" s="18" t="b">
        <f>AND(E293&lt;&gt;'Povolené hodnoty'!$B$6,F293&lt;&gt;'Povolené hodnoty'!$D$7,F293&lt;&gt;'Povolené hodnoty'!$D$8,OR(SUM(I293,L293,O293,R293)&lt;&gt;SUM(W293:X293,AA293:AG293),SUM(J293,M293,P293,S293)&lt;&gt;SUM(Y293:Z293,AH293:AK293),COUNT(I293:J293,L293:M293,O293:P293,R293:S293)&lt;&gt;COUNT(W293:AK293)))</f>
        <v>0</v>
      </c>
      <c r="BR293" s="18" t="b">
        <f>OR(AND(E293='Povolené hodnoty'!$B$6,$BR$5),AND(E293='Povolené hodnoty'!$B$6,H293&lt;&gt;'Povolené hodnoty'!$E$26,H293&lt;&gt;'Povolené hodnoty'!$E$35),AND(E293&lt;&gt;'Povolené hodnoty'!$B$6,OR(H293='Povolené hodnoty'!$E$26,H293='Povolené hodnoty'!$E$35)))</f>
        <v>0</v>
      </c>
      <c r="BS293" s="18" t="b">
        <f>OR(AND(G293&lt;&gt;'Povolené hodnoty'!$B$13,OR(H293='Povolené hodnoty'!$E$21,H293='Povolené hodnoty'!$E$22,H293='Povolené hodnoty'!$E$23,H293='Povolené hodnoty'!$E$24,H293='Povolené hodnoty'!$E$26,H293='Povolené hodnoty'!$E$36)),COUNT(I293:J293,L293:M293,O293:P293,R293:S293)&lt;&gt;COUNT(AL293:BM293))</f>
        <v>0</v>
      </c>
      <c r="BT293" s="18" t="b">
        <f t="shared" si="148"/>
        <v>0</v>
      </c>
      <c r="BV293" s="39" t="str">
        <f t="shared" si="149"/>
        <v/>
      </c>
      <c r="BW293" s="458" t="str">
        <f t="shared" si="150"/>
        <v/>
      </c>
      <c r="BX293" s="458" t="str">
        <f t="shared" si="151"/>
        <v/>
      </c>
      <c r="BY293" s="458" t="str">
        <f t="shared" si="152"/>
        <v/>
      </c>
      <c r="BZ293" s="458" t="str">
        <f t="shared" si="153"/>
        <v/>
      </c>
      <c r="CA293" s="40" t="str">
        <f t="shared" si="154"/>
        <v/>
      </c>
      <c r="CB293" s="40" t="str">
        <f t="shared" si="155"/>
        <v/>
      </c>
      <c r="CC293" s="39" t="str">
        <f t="shared" si="156"/>
        <v/>
      </c>
      <c r="CD293" s="458" t="str">
        <f t="shared" si="157"/>
        <v/>
      </c>
      <c r="CE293" s="41" t="str">
        <f t="shared" si="158"/>
        <v/>
      </c>
      <c r="CF293" s="39" t="str">
        <f t="shared" si="159"/>
        <v/>
      </c>
      <c r="CG293" s="458" t="str">
        <f t="shared" si="160"/>
        <v/>
      </c>
      <c r="CH293" s="458" t="str">
        <f t="shared" si="161"/>
        <v/>
      </c>
      <c r="CI293" s="458" t="str">
        <f t="shared" si="162"/>
        <v/>
      </c>
      <c r="CJ293" s="458" t="str">
        <f t="shared" si="163"/>
        <v/>
      </c>
      <c r="CK293" s="40" t="str">
        <f t="shared" si="164"/>
        <v/>
      </c>
      <c r="CL293" s="40" t="str">
        <f t="shared" si="165"/>
        <v/>
      </c>
      <c r="CM293" s="40" t="str">
        <f t="shared" si="166"/>
        <v/>
      </c>
      <c r="CN293" s="39" t="str">
        <f t="shared" si="167"/>
        <v/>
      </c>
      <c r="CO293" s="458" t="str">
        <f t="shared" si="168"/>
        <v/>
      </c>
      <c r="CP293" s="458" t="str">
        <f t="shared" si="169"/>
        <v/>
      </c>
      <c r="CQ293" s="458" t="str">
        <f t="shared" si="170"/>
        <v/>
      </c>
      <c r="CR293" s="458" t="str">
        <f t="shared" si="171"/>
        <v/>
      </c>
      <c r="CS293" s="40" t="str">
        <f t="shared" si="172"/>
        <v/>
      </c>
      <c r="CT293" s="40" t="str">
        <f t="shared" si="173"/>
        <v/>
      </c>
      <c r="CU293" s="41" t="str">
        <f t="shared" si="174"/>
        <v/>
      </c>
    </row>
    <row r="294" spans="1:99" x14ac:dyDescent="0.2">
      <c r="A294" s="77">
        <f t="shared" si="175"/>
        <v>289</v>
      </c>
      <c r="B294" s="81"/>
      <c r="C294" s="82"/>
      <c r="D294" s="71"/>
      <c r="E294" s="72"/>
      <c r="F294" s="73"/>
      <c r="G294" s="443"/>
      <c r="H294" s="443"/>
      <c r="I294" s="74"/>
      <c r="J294" s="75"/>
      <c r="K294" s="41">
        <f t="shared" si="144"/>
        <v>3625</v>
      </c>
      <c r="L294" s="104"/>
      <c r="M294" s="105"/>
      <c r="N294" s="106">
        <f t="shared" si="145"/>
        <v>537.05999999999995</v>
      </c>
      <c r="O294" s="104"/>
      <c r="P294" s="105"/>
      <c r="Q294" s="106">
        <f t="shared" si="177"/>
        <v>10045.83</v>
      </c>
      <c r="R294" s="104"/>
      <c r="S294" s="105"/>
      <c r="T294" s="106">
        <f t="shared" si="178"/>
        <v>0</v>
      </c>
      <c r="U294" s="439"/>
      <c r="V294" s="42">
        <f t="shared" si="146"/>
        <v>289</v>
      </c>
      <c r="W294" s="39" t="str">
        <f>IF(AND(E294='Povolené hodnoty'!$B$4,F294=2),I294+L294+O294+R294,"")</f>
        <v/>
      </c>
      <c r="X294" s="41" t="str">
        <f>IF(AND(E294='Povolené hodnoty'!$B$4,F294=1),I294+L294+O294+R294,"")</f>
        <v/>
      </c>
      <c r="Y294" s="39" t="str">
        <f>IF(AND(E294='Povolené hodnoty'!$B$4,F294=10),J294+M294+P294+S294,"")</f>
        <v/>
      </c>
      <c r="Z294" s="41" t="str">
        <f>IF(AND(E294='Povolené hodnoty'!$B$4,F294=9),J294+M294+P294+S294,"")</f>
        <v/>
      </c>
      <c r="AA294" s="39" t="str">
        <f>IF(AND(E294&lt;&gt;'Povolené hodnoty'!$B$4,F294=2),I294+L294+O294+R294,"")</f>
        <v/>
      </c>
      <c r="AB294" s="40" t="str">
        <f>IF(AND(E294&lt;&gt;'Povolené hodnoty'!$B$4,F294=3),I294+L294+O294+R294,"")</f>
        <v/>
      </c>
      <c r="AC294" s="40" t="str">
        <f>IF(AND(E294&lt;&gt;'Povolené hodnoty'!$B$4,F294=4),I294+L294+O294+R294,"")</f>
        <v/>
      </c>
      <c r="AD294" s="40" t="str">
        <f>IF(AND(E294&lt;&gt;'Povolené hodnoty'!$B$4,F294="5a"),I294-J294+L294-M294+O294-P294+R294-S294,"")</f>
        <v/>
      </c>
      <c r="AE294" s="40" t="str">
        <f>IF(AND(E294&lt;&gt;'Povolené hodnoty'!$B$4,F294="5b"),I294-J294+L294-M294+O294-P294+R294-S294,"")</f>
        <v/>
      </c>
      <c r="AF294" s="40" t="str">
        <f>IF(AND(E294&lt;&gt;'Povolené hodnoty'!$B$4,F294=6),I294+L294+O294+R294,"")</f>
        <v/>
      </c>
      <c r="AG294" s="41" t="str">
        <f>IF(AND(E294&lt;&gt;'Povolené hodnoty'!$B$4,F294=7),I294+L294+O294+R294,"")</f>
        <v/>
      </c>
      <c r="AH294" s="39" t="str">
        <f>IF(AND(E294&lt;&gt;'Povolené hodnoty'!$B$4,F294=10),J294+M294+P294+S294,"")</f>
        <v/>
      </c>
      <c r="AI294" s="40" t="str">
        <f>IF(AND(E294&lt;&gt;'Povolené hodnoty'!$B$4,F294=11),J294+M294+P294+S294,"")</f>
        <v/>
      </c>
      <c r="AJ294" s="40" t="str">
        <f>IF(AND(E294&lt;&gt;'Povolené hodnoty'!$B$4,F294=12),J294+M294+P294+S294,"")</f>
        <v/>
      </c>
      <c r="AK294" s="41" t="str">
        <f>IF(AND(E294&lt;&gt;'Povolené hodnoty'!$B$4,F294=13),J294+M294+P294+S294,"")</f>
        <v/>
      </c>
      <c r="AL294" s="39" t="str">
        <f>IF(AND($G294='Povolené hodnoty'!$B$13,$H294=AL$4),SUM($I294,$L294,$O294,$R294),"")</f>
        <v/>
      </c>
      <c r="AM294" s="458" t="str">
        <f>IF(AND($G294='Povolené hodnoty'!$B$13,$H294=AM$4),SUM($I294,$L294,$O294,$R294),"")</f>
        <v/>
      </c>
      <c r="AN294" s="458" t="str">
        <f>IF(AND($G294='Povolené hodnoty'!$B$13,$H294=AN$4),SUM($I294,$L294,$O294,$R294),"")</f>
        <v/>
      </c>
      <c r="AO294" s="458" t="str">
        <f>IF(AND($G294='Povolené hodnoty'!$B$13,$H294=AO$4),SUM($I294,$L294,$O294,$R294),"")</f>
        <v/>
      </c>
      <c r="AP294" s="458" t="str">
        <f>IF(AND($G294='Povolené hodnoty'!$B$13,$H294=AP$4),SUM($I294,$L294,$O294,$R294),"")</f>
        <v/>
      </c>
      <c r="AQ294" s="40" t="str">
        <f>IF(AND($G294='Povolené hodnoty'!$B$13,OR($H294=AQ$4,$H294='Povolené hodnoty'!$E$36)),SUM($I294,-$J294,$L294,-$M294,$O294,-$P294,$R294,-$S294),"")</f>
        <v/>
      </c>
      <c r="AR294" s="40" t="str">
        <f>IF(AND($G294='Povolené hodnoty'!$B$13,$H294=AR$4),SUM($I294,$L294,$O294,$R294),"")</f>
        <v/>
      </c>
      <c r="AS294" s="41" t="str">
        <f>IF(AND($G294='Povolené hodnoty'!$B$13,$H294=AS$4),SUM($I294,$L294,$O294,$R294),"")</f>
        <v/>
      </c>
      <c r="AT294" s="39" t="str">
        <f>IF(AND($G294='Povolené hodnoty'!$B$14,$H294=AT$4),SUM($I294,$L294,$O294,$R294),"")</f>
        <v/>
      </c>
      <c r="AU294" s="458" t="str">
        <f>IF(AND($G294='Povolené hodnoty'!$B$14,$H294=AU$4),SUM($I294,$L294,$O294,$R294),"")</f>
        <v/>
      </c>
      <c r="AV294" s="41" t="str">
        <f>IF(AND($G294='Povolené hodnoty'!$B$14,$H294=AV$4),SUM($I294,$L294,$O294,$R294),"")</f>
        <v/>
      </c>
      <c r="AW294" s="39" t="str">
        <f>IF(AND($G294='Povolené hodnoty'!$B$13,$H294=AW$4),SUM($J294,$M294,$P294,$S294),"")</f>
        <v/>
      </c>
      <c r="AX294" s="458" t="str">
        <f>IF(AND($G294='Povolené hodnoty'!$B$13,$H294=AX$4),SUM($J294,$M294,$P294,$S294),"")</f>
        <v/>
      </c>
      <c r="AY294" s="458" t="str">
        <f>IF(AND($G294='Povolené hodnoty'!$B$13,$H294=AY$4),SUM($J294,$M294,$P294,$S294),"")</f>
        <v/>
      </c>
      <c r="AZ294" s="458" t="str">
        <f>IF(AND($G294='Povolené hodnoty'!$B$13,$H294=AZ$4),SUM($J294,$M294,$P294,$S294),"")</f>
        <v/>
      </c>
      <c r="BA294" s="458" t="str">
        <f>IF(AND($G294='Povolené hodnoty'!$B$13,$H294=BA$4),SUM($J294,$M294,$P294,$S294),"")</f>
        <v/>
      </c>
      <c r="BB294" s="40" t="str">
        <f>IF(AND($G294='Povolené hodnoty'!$B$13,$H294=BB$4),SUM($J294,$M294,$P294,$S294),"")</f>
        <v/>
      </c>
      <c r="BC294" s="40" t="str">
        <f>IF(AND($G294='Povolené hodnoty'!$B$13,$H294=BC$4),SUM($J294,$M294,$P294,$S294),"")</f>
        <v/>
      </c>
      <c r="BD294" s="40" t="str">
        <f>IF(AND($G294='Povolené hodnoty'!$B$13,$H294=BD$4),SUM($J294,$M294,$P294,$S294),"")</f>
        <v/>
      </c>
      <c r="BE294" s="41" t="str">
        <f>IF(AND($G294='Povolené hodnoty'!$B$13,$H294=BE$4),SUM($J294,$M294,$P294,$S294),"")</f>
        <v/>
      </c>
      <c r="BF294" s="39" t="str">
        <f>IF(AND($G294='Povolené hodnoty'!$B$14,$H294=BF$4),SUM($J294,$M294,$P294,$S294),"")</f>
        <v/>
      </c>
      <c r="BG294" s="458" t="str">
        <f>IF(AND($G294='Povolené hodnoty'!$B$14,$H294=BG$4),SUM($J294,$M294,$P294,$S294),"")</f>
        <v/>
      </c>
      <c r="BH294" s="458" t="str">
        <f>IF(AND($G294='Povolené hodnoty'!$B$14,$H294=BH$4),SUM($J294,$M294,$P294,$S294),"")</f>
        <v/>
      </c>
      <c r="BI294" s="458" t="str">
        <f>IF(AND($G294='Povolené hodnoty'!$B$14,$H294=BI$4),SUM($J294,$M294,$P294,$S294),"")</f>
        <v/>
      </c>
      <c r="BJ294" s="458" t="str">
        <f>IF(AND($G294='Povolené hodnoty'!$B$14,$H294=BJ$4),SUM($J294,$M294,$P294,$S294),"")</f>
        <v/>
      </c>
      <c r="BK294" s="40" t="str">
        <f>IF(AND($G294='Povolené hodnoty'!$B$14,$H294=BK$4),SUM($J294,$M294,$P294,$S294),"")</f>
        <v/>
      </c>
      <c r="BL294" s="40" t="str">
        <f>IF(AND($G294='Povolené hodnoty'!$B$14,$H294=BL$4),SUM($J294,$M294,$P294,$S294),"")</f>
        <v/>
      </c>
      <c r="BM294" s="41" t="str">
        <f>IF(AND($G294='Povolené hodnoty'!$B$14,$H294=BM$4),SUM($J294,$M294,$P294,$S294),"")</f>
        <v/>
      </c>
      <c r="BO294" s="18" t="b">
        <f t="shared" si="176"/>
        <v>0</v>
      </c>
      <c r="BP294" s="18" t="b">
        <f t="shared" si="147"/>
        <v>0</v>
      </c>
      <c r="BQ294" s="18" t="b">
        <f>AND(E294&lt;&gt;'Povolené hodnoty'!$B$6,F294&lt;&gt;'Povolené hodnoty'!$D$7,F294&lt;&gt;'Povolené hodnoty'!$D$8,OR(SUM(I294,L294,O294,R294)&lt;&gt;SUM(W294:X294,AA294:AG294),SUM(J294,M294,P294,S294)&lt;&gt;SUM(Y294:Z294,AH294:AK294),COUNT(I294:J294,L294:M294,O294:P294,R294:S294)&lt;&gt;COUNT(W294:AK294)))</f>
        <v>0</v>
      </c>
      <c r="BR294" s="18" t="b">
        <f>OR(AND(E294='Povolené hodnoty'!$B$6,$BR$5),AND(E294='Povolené hodnoty'!$B$6,H294&lt;&gt;'Povolené hodnoty'!$E$26,H294&lt;&gt;'Povolené hodnoty'!$E$35),AND(E294&lt;&gt;'Povolené hodnoty'!$B$6,OR(H294='Povolené hodnoty'!$E$26,H294='Povolené hodnoty'!$E$35)))</f>
        <v>0</v>
      </c>
      <c r="BS294" s="18" t="b">
        <f>OR(AND(G294&lt;&gt;'Povolené hodnoty'!$B$13,OR(H294='Povolené hodnoty'!$E$21,H294='Povolené hodnoty'!$E$22,H294='Povolené hodnoty'!$E$23,H294='Povolené hodnoty'!$E$24,H294='Povolené hodnoty'!$E$26,H294='Povolené hodnoty'!$E$36)),COUNT(I294:J294,L294:M294,O294:P294,R294:S294)&lt;&gt;COUNT(AL294:BM294))</f>
        <v>0</v>
      </c>
      <c r="BT294" s="18" t="b">
        <f t="shared" si="148"/>
        <v>0</v>
      </c>
      <c r="BV294" s="39" t="str">
        <f t="shared" si="149"/>
        <v/>
      </c>
      <c r="BW294" s="458" t="str">
        <f t="shared" si="150"/>
        <v/>
      </c>
      <c r="BX294" s="458" t="str">
        <f t="shared" si="151"/>
        <v/>
      </c>
      <c r="BY294" s="458" t="str">
        <f t="shared" si="152"/>
        <v/>
      </c>
      <c r="BZ294" s="458" t="str">
        <f t="shared" si="153"/>
        <v/>
      </c>
      <c r="CA294" s="40" t="str">
        <f t="shared" si="154"/>
        <v/>
      </c>
      <c r="CB294" s="40" t="str">
        <f t="shared" si="155"/>
        <v/>
      </c>
      <c r="CC294" s="39" t="str">
        <f t="shared" si="156"/>
        <v/>
      </c>
      <c r="CD294" s="458" t="str">
        <f t="shared" si="157"/>
        <v/>
      </c>
      <c r="CE294" s="41" t="str">
        <f t="shared" si="158"/>
        <v/>
      </c>
      <c r="CF294" s="39" t="str">
        <f t="shared" si="159"/>
        <v/>
      </c>
      <c r="CG294" s="458" t="str">
        <f t="shared" si="160"/>
        <v/>
      </c>
      <c r="CH294" s="458" t="str">
        <f t="shared" si="161"/>
        <v/>
      </c>
      <c r="CI294" s="458" t="str">
        <f t="shared" si="162"/>
        <v/>
      </c>
      <c r="CJ294" s="458" t="str">
        <f t="shared" si="163"/>
        <v/>
      </c>
      <c r="CK294" s="40" t="str">
        <f t="shared" si="164"/>
        <v/>
      </c>
      <c r="CL294" s="40" t="str">
        <f t="shared" si="165"/>
        <v/>
      </c>
      <c r="CM294" s="40" t="str">
        <f t="shared" si="166"/>
        <v/>
      </c>
      <c r="CN294" s="39" t="str">
        <f t="shared" si="167"/>
        <v/>
      </c>
      <c r="CO294" s="458" t="str">
        <f t="shared" si="168"/>
        <v/>
      </c>
      <c r="CP294" s="458" t="str">
        <f t="shared" si="169"/>
        <v/>
      </c>
      <c r="CQ294" s="458" t="str">
        <f t="shared" si="170"/>
        <v/>
      </c>
      <c r="CR294" s="458" t="str">
        <f t="shared" si="171"/>
        <v/>
      </c>
      <c r="CS294" s="40" t="str">
        <f t="shared" si="172"/>
        <v/>
      </c>
      <c r="CT294" s="40" t="str">
        <f t="shared" si="173"/>
        <v/>
      </c>
      <c r="CU294" s="41" t="str">
        <f t="shared" si="174"/>
        <v/>
      </c>
    </row>
    <row r="295" spans="1:99" x14ac:dyDescent="0.2">
      <c r="A295" s="77">
        <f t="shared" si="175"/>
        <v>290</v>
      </c>
      <c r="B295" s="81"/>
      <c r="C295" s="82"/>
      <c r="D295" s="71"/>
      <c r="E295" s="72"/>
      <c r="F295" s="73"/>
      <c r="G295" s="443"/>
      <c r="H295" s="443"/>
      <c r="I295" s="74"/>
      <c r="J295" s="75"/>
      <c r="K295" s="41">
        <f t="shared" si="144"/>
        <v>3625</v>
      </c>
      <c r="L295" s="104"/>
      <c r="M295" s="105"/>
      <c r="N295" s="106">
        <f t="shared" si="145"/>
        <v>537.05999999999995</v>
      </c>
      <c r="O295" s="104"/>
      <c r="P295" s="105"/>
      <c r="Q295" s="106">
        <f t="shared" si="177"/>
        <v>10045.83</v>
      </c>
      <c r="R295" s="104"/>
      <c r="S295" s="105"/>
      <c r="T295" s="106">
        <f t="shared" si="178"/>
        <v>0</v>
      </c>
      <c r="U295" s="439"/>
      <c r="V295" s="42">
        <f t="shared" si="146"/>
        <v>290</v>
      </c>
      <c r="W295" s="39" t="str">
        <f>IF(AND(E295='Povolené hodnoty'!$B$4,F295=2),I295+L295+O295+R295,"")</f>
        <v/>
      </c>
      <c r="X295" s="41" t="str">
        <f>IF(AND(E295='Povolené hodnoty'!$B$4,F295=1),I295+L295+O295+R295,"")</f>
        <v/>
      </c>
      <c r="Y295" s="39" t="str">
        <f>IF(AND(E295='Povolené hodnoty'!$B$4,F295=10),J295+M295+P295+S295,"")</f>
        <v/>
      </c>
      <c r="Z295" s="41" t="str">
        <f>IF(AND(E295='Povolené hodnoty'!$B$4,F295=9),J295+M295+P295+S295,"")</f>
        <v/>
      </c>
      <c r="AA295" s="39" t="str">
        <f>IF(AND(E295&lt;&gt;'Povolené hodnoty'!$B$4,F295=2),I295+L295+O295+R295,"")</f>
        <v/>
      </c>
      <c r="AB295" s="40" t="str">
        <f>IF(AND(E295&lt;&gt;'Povolené hodnoty'!$B$4,F295=3),I295+L295+O295+R295,"")</f>
        <v/>
      </c>
      <c r="AC295" s="40" t="str">
        <f>IF(AND(E295&lt;&gt;'Povolené hodnoty'!$B$4,F295=4),I295+L295+O295+R295,"")</f>
        <v/>
      </c>
      <c r="AD295" s="40" t="str">
        <f>IF(AND(E295&lt;&gt;'Povolené hodnoty'!$B$4,F295="5a"),I295-J295+L295-M295+O295-P295+R295-S295,"")</f>
        <v/>
      </c>
      <c r="AE295" s="40" t="str">
        <f>IF(AND(E295&lt;&gt;'Povolené hodnoty'!$B$4,F295="5b"),I295-J295+L295-M295+O295-P295+R295-S295,"")</f>
        <v/>
      </c>
      <c r="AF295" s="40" t="str">
        <f>IF(AND(E295&lt;&gt;'Povolené hodnoty'!$B$4,F295=6),I295+L295+O295+R295,"")</f>
        <v/>
      </c>
      <c r="AG295" s="41" t="str">
        <f>IF(AND(E295&lt;&gt;'Povolené hodnoty'!$B$4,F295=7),I295+L295+O295+R295,"")</f>
        <v/>
      </c>
      <c r="AH295" s="39" t="str">
        <f>IF(AND(E295&lt;&gt;'Povolené hodnoty'!$B$4,F295=10),J295+M295+P295+S295,"")</f>
        <v/>
      </c>
      <c r="AI295" s="40" t="str">
        <f>IF(AND(E295&lt;&gt;'Povolené hodnoty'!$B$4,F295=11),J295+M295+P295+S295,"")</f>
        <v/>
      </c>
      <c r="AJ295" s="40" t="str">
        <f>IF(AND(E295&lt;&gt;'Povolené hodnoty'!$B$4,F295=12),J295+M295+P295+S295,"")</f>
        <v/>
      </c>
      <c r="AK295" s="41" t="str">
        <f>IF(AND(E295&lt;&gt;'Povolené hodnoty'!$B$4,F295=13),J295+M295+P295+S295,"")</f>
        <v/>
      </c>
      <c r="AL295" s="39" t="str">
        <f>IF(AND($G295='Povolené hodnoty'!$B$13,$H295=AL$4),SUM($I295,$L295,$O295,$R295),"")</f>
        <v/>
      </c>
      <c r="AM295" s="458" t="str">
        <f>IF(AND($G295='Povolené hodnoty'!$B$13,$H295=AM$4),SUM($I295,$L295,$O295,$R295),"")</f>
        <v/>
      </c>
      <c r="AN295" s="458" t="str">
        <f>IF(AND($G295='Povolené hodnoty'!$B$13,$H295=AN$4),SUM($I295,$L295,$O295,$R295),"")</f>
        <v/>
      </c>
      <c r="AO295" s="458" t="str">
        <f>IF(AND($G295='Povolené hodnoty'!$B$13,$H295=AO$4),SUM($I295,$L295,$O295,$R295),"")</f>
        <v/>
      </c>
      <c r="AP295" s="458" t="str">
        <f>IF(AND($G295='Povolené hodnoty'!$B$13,$H295=AP$4),SUM($I295,$L295,$O295,$R295),"")</f>
        <v/>
      </c>
      <c r="AQ295" s="40" t="str">
        <f>IF(AND($G295='Povolené hodnoty'!$B$13,OR($H295=AQ$4,$H295='Povolené hodnoty'!$E$36)),SUM($I295,-$J295,$L295,-$M295,$O295,-$P295,$R295,-$S295),"")</f>
        <v/>
      </c>
      <c r="AR295" s="40" t="str">
        <f>IF(AND($G295='Povolené hodnoty'!$B$13,$H295=AR$4),SUM($I295,$L295,$O295,$R295),"")</f>
        <v/>
      </c>
      <c r="AS295" s="41" t="str">
        <f>IF(AND($G295='Povolené hodnoty'!$B$13,$H295=AS$4),SUM($I295,$L295,$O295,$R295),"")</f>
        <v/>
      </c>
      <c r="AT295" s="39" t="str">
        <f>IF(AND($G295='Povolené hodnoty'!$B$14,$H295=AT$4),SUM($I295,$L295,$O295,$R295),"")</f>
        <v/>
      </c>
      <c r="AU295" s="458" t="str">
        <f>IF(AND($G295='Povolené hodnoty'!$B$14,$H295=AU$4),SUM($I295,$L295,$O295,$R295),"")</f>
        <v/>
      </c>
      <c r="AV295" s="41" t="str">
        <f>IF(AND($G295='Povolené hodnoty'!$B$14,$H295=AV$4),SUM($I295,$L295,$O295,$R295),"")</f>
        <v/>
      </c>
      <c r="AW295" s="39" t="str">
        <f>IF(AND($G295='Povolené hodnoty'!$B$13,$H295=AW$4),SUM($J295,$M295,$P295,$S295),"")</f>
        <v/>
      </c>
      <c r="AX295" s="458" t="str">
        <f>IF(AND($G295='Povolené hodnoty'!$B$13,$H295=AX$4),SUM($J295,$M295,$P295,$S295),"")</f>
        <v/>
      </c>
      <c r="AY295" s="458" t="str">
        <f>IF(AND($G295='Povolené hodnoty'!$B$13,$H295=AY$4),SUM($J295,$M295,$P295,$S295),"")</f>
        <v/>
      </c>
      <c r="AZ295" s="458" t="str">
        <f>IF(AND($G295='Povolené hodnoty'!$B$13,$H295=AZ$4),SUM($J295,$M295,$P295,$S295),"")</f>
        <v/>
      </c>
      <c r="BA295" s="458" t="str">
        <f>IF(AND($G295='Povolené hodnoty'!$B$13,$H295=BA$4),SUM($J295,$M295,$P295,$S295),"")</f>
        <v/>
      </c>
      <c r="BB295" s="40" t="str">
        <f>IF(AND($G295='Povolené hodnoty'!$B$13,$H295=BB$4),SUM($J295,$M295,$P295,$S295),"")</f>
        <v/>
      </c>
      <c r="BC295" s="40" t="str">
        <f>IF(AND($G295='Povolené hodnoty'!$B$13,$H295=BC$4),SUM($J295,$M295,$P295,$S295),"")</f>
        <v/>
      </c>
      <c r="BD295" s="40" t="str">
        <f>IF(AND($G295='Povolené hodnoty'!$B$13,$H295=BD$4),SUM($J295,$M295,$P295,$S295),"")</f>
        <v/>
      </c>
      <c r="BE295" s="41" t="str">
        <f>IF(AND($G295='Povolené hodnoty'!$B$13,$H295=BE$4),SUM($J295,$M295,$P295,$S295),"")</f>
        <v/>
      </c>
      <c r="BF295" s="39" t="str">
        <f>IF(AND($G295='Povolené hodnoty'!$B$14,$H295=BF$4),SUM($J295,$M295,$P295,$S295),"")</f>
        <v/>
      </c>
      <c r="BG295" s="458" t="str">
        <f>IF(AND($G295='Povolené hodnoty'!$B$14,$H295=BG$4),SUM($J295,$M295,$P295,$S295),"")</f>
        <v/>
      </c>
      <c r="BH295" s="458" t="str">
        <f>IF(AND($G295='Povolené hodnoty'!$B$14,$H295=BH$4),SUM($J295,$M295,$P295,$S295),"")</f>
        <v/>
      </c>
      <c r="BI295" s="458" t="str">
        <f>IF(AND($G295='Povolené hodnoty'!$B$14,$H295=BI$4),SUM($J295,$M295,$P295,$S295),"")</f>
        <v/>
      </c>
      <c r="BJ295" s="458" t="str">
        <f>IF(AND($G295='Povolené hodnoty'!$B$14,$H295=BJ$4),SUM($J295,$M295,$P295,$S295),"")</f>
        <v/>
      </c>
      <c r="BK295" s="40" t="str">
        <f>IF(AND($G295='Povolené hodnoty'!$B$14,$H295=BK$4),SUM($J295,$M295,$P295,$S295),"")</f>
        <v/>
      </c>
      <c r="BL295" s="40" t="str">
        <f>IF(AND($G295='Povolené hodnoty'!$B$14,$H295=BL$4),SUM($J295,$M295,$P295,$S295),"")</f>
        <v/>
      </c>
      <c r="BM295" s="41" t="str">
        <f>IF(AND($G295='Povolené hodnoty'!$B$14,$H295=BM$4),SUM($J295,$M295,$P295,$S295),"")</f>
        <v/>
      </c>
      <c r="BO295" s="18" t="b">
        <f t="shared" si="176"/>
        <v>0</v>
      </c>
      <c r="BP295" s="18" t="b">
        <f t="shared" si="147"/>
        <v>0</v>
      </c>
      <c r="BQ295" s="18" t="b">
        <f>AND(E295&lt;&gt;'Povolené hodnoty'!$B$6,F295&lt;&gt;'Povolené hodnoty'!$D$7,F295&lt;&gt;'Povolené hodnoty'!$D$8,OR(SUM(I295,L295,O295,R295)&lt;&gt;SUM(W295:X295,AA295:AG295),SUM(J295,M295,P295,S295)&lt;&gt;SUM(Y295:Z295,AH295:AK295),COUNT(I295:J295,L295:M295,O295:P295,R295:S295)&lt;&gt;COUNT(W295:AK295)))</f>
        <v>0</v>
      </c>
      <c r="BR295" s="18" t="b">
        <f>OR(AND(E295='Povolené hodnoty'!$B$6,$BR$5),AND(E295='Povolené hodnoty'!$B$6,H295&lt;&gt;'Povolené hodnoty'!$E$26,H295&lt;&gt;'Povolené hodnoty'!$E$35),AND(E295&lt;&gt;'Povolené hodnoty'!$B$6,OR(H295='Povolené hodnoty'!$E$26,H295='Povolené hodnoty'!$E$35)))</f>
        <v>0</v>
      </c>
      <c r="BS295" s="18" t="b">
        <f>OR(AND(G295&lt;&gt;'Povolené hodnoty'!$B$13,OR(H295='Povolené hodnoty'!$E$21,H295='Povolené hodnoty'!$E$22,H295='Povolené hodnoty'!$E$23,H295='Povolené hodnoty'!$E$24,H295='Povolené hodnoty'!$E$26,H295='Povolené hodnoty'!$E$36)),COUNT(I295:J295,L295:M295,O295:P295,R295:S295)&lt;&gt;COUNT(AL295:BM295))</f>
        <v>0</v>
      </c>
      <c r="BT295" s="18" t="b">
        <f t="shared" si="148"/>
        <v>0</v>
      </c>
      <c r="BV295" s="39" t="str">
        <f t="shared" si="149"/>
        <v/>
      </c>
      <c r="BW295" s="458" t="str">
        <f t="shared" si="150"/>
        <v/>
      </c>
      <c r="BX295" s="458" t="str">
        <f t="shared" si="151"/>
        <v/>
      </c>
      <c r="BY295" s="458" t="str">
        <f t="shared" si="152"/>
        <v/>
      </c>
      <c r="BZ295" s="458" t="str">
        <f t="shared" si="153"/>
        <v/>
      </c>
      <c r="CA295" s="40" t="str">
        <f t="shared" si="154"/>
        <v/>
      </c>
      <c r="CB295" s="40" t="str">
        <f t="shared" si="155"/>
        <v/>
      </c>
      <c r="CC295" s="39" t="str">
        <f t="shared" si="156"/>
        <v/>
      </c>
      <c r="CD295" s="458" t="str">
        <f t="shared" si="157"/>
        <v/>
      </c>
      <c r="CE295" s="41" t="str">
        <f t="shared" si="158"/>
        <v/>
      </c>
      <c r="CF295" s="39" t="str">
        <f t="shared" si="159"/>
        <v/>
      </c>
      <c r="CG295" s="458" t="str">
        <f t="shared" si="160"/>
        <v/>
      </c>
      <c r="CH295" s="458" t="str">
        <f t="shared" si="161"/>
        <v/>
      </c>
      <c r="CI295" s="458" t="str">
        <f t="shared" si="162"/>
        <v/>
      </c>
      <c r="CJ295" s="458" t="str">
        <f t="shared" si="163"/>
        <v/>
      </c>
      <c r="CK295" s="40" t="str">
        <f t="shared" si="164"/>
        <v/>
      </c>
      <c r="CL295" s="40" t="str">
        <f t="shared" si="165"/>
        <v/>
      </c>
      <c r="CM295" s="40" t="str">
        <f t="shared" si="166"/>
        <v/>
      </c>
      <c r="CN295" s="39" t="str">
        <f t="shared" si="167"/>
        <v/>
      </c>
      <c r="CO295" s="458" t="str">
        <f t="shared" si="168"/>
        <v/>
      </c>
      <c r="CP295" s="458" t="str">
        <f t="shared" si="169"/>
        <v/>
      </c>
      <c r="CQ295" s="458" t="str">
        <f t="shared" si="170"/>
        <v/>
      </c>
      <c r="CR295" s="458" t="str">
        <f t="shared" si="171"/>
        <v/>
      </c>
      <c r="CS295" s="40" t="str">
        <f t="shared" si="172"/>
        <v/>
      </c>
      <c r="CT295" s="40" t="str">
        <f t="shared" si="173"/>
        <v/>
      </c>
      <c r="CU295" s="41" t="str">
        <f t="shared" si="174"/>
        <v/>
      </c>
    </row>
    <row r="296" spans="1:99" x14ac:dyDescent="0.2">
      <c r="A296" s="77">
        <f t="shared" si="175"/>
        <v>291</v>
      </c>
      <c r="B296" s="81"/>
      <c r="C296" s="82"/>
      <c r="D296" s="71"/>
      <c r="E296" s="72"/>
      <c r="F296" s="73"/>
      <c r="G296" s="443"/>
      <c r="H296" s="443"/>
      <c r="I296" s="74"/>
      <c r="J296" s="75"/>
      <c r="K296" s="41">
        <f t="shared" si="144"/>
        <v>3625</v>
      </c>
      <c r="L296" s="104"/>
      <c r="M296" s="105"/>
      <c r="N296" s="106">
        <f t="shared" si="145"/>
        <v>537.05999999999995</v>
      </c>
      <c r="O296" s="104"/>
      <c r="P296" s="105"/>
      <c r="Q296" s="106">
        <f t="shared" si="177"/>
        <v>10045.83</v>
      </c>
      <c r="R296" s="104"/>
      <c r="S296" s="105"/>
      <c r="T296" s="106">
        <f t="shared" si="178"/>
        <v>0</v>
      </c>
      <c r="U296" s="439"/>
      <c r="V296" s="42">
        <f t="shared" si="146"/>
        <v>291</v>
      </c>
      <c r="W296" s="39" t="str">
        <f>IF(AND(E296='Povolené hodnoty'!$B$4,F296=2),I296+L296+O296+R296,"")</f>
        <v/>
      </c>
      <c r="X296" s="41" t="str">
        <f>IF(AND(E296='Povolené hodnoty'!$B$4,F296=1),I296+L296+O296+R296,"")</f>
        <v/>
      </c>
      <c r="Y296" s="39" t="str">
        <f>IF(AND(E296='Povolené hodnoty'!$B$4,F296=10),J296+M296+P296+S296,"")</f>
        <v/>
      </c>
      <c r="Z296" s="41" t="str">
        <f>IF(AND(E296='Povolené hodnoty'!$B$4,F296=9),J296+M296+P296+S296,"")</f>
        <v/>
      </c>
      <c r="AA296" s="39" t="str">
        <f>IF(AND(E296&lt;&gt;'Povolené hodnoty'!$B$4,F296=2),I296+L296+O296+R296,"")</f>
        <v/>
      </c>
      <c r="AB296" s="40" t="str">
        <f>IF(AND(E296&lt;&gt;'Povolené hodnoty'!$B$4,F296=3),I296+L296+O296+R296,"")</f>
        <v/>
      </c>
      <c r="AC296" s="40" t="str">
        <f>IF(AND(E296&lt;&gt;'Povolené hodnoty'!$B$4,F296=4),I296+L296+O296+R296,"")</f>
        <v/>
      </c>
      <c r="AD296" s="40" t="str">
        <f>IF(AND(E296&lt;&gt;'Povolené hodnoty'!$B$4,F296="5a"),I296-J296+L296-M296+O296-P296+R296-S296,"")</f>
        <v/>
      </c>
      <c r="AE296" s="40" t="str">
        <f>IF(AND(E296&lt;&gt;'Povolené hodnoty'!$B$4,F296="5b"),I296-J296+L296-M296+O296-P296+R296-S296,"")</f>
        <v/>
      </c>
      <c r="AF296" s="40" t="str">
        <f>IF(AND(E296&lt;&gt;'Povolené hodnoty'!$B$4,F296=6),I296+L296+O296+R296,"")</f>
        <v/>
      </c>
      <c r="AG296" s="41" t="str">
        <f>IF(AND(E296&lt;&gt;'Povolené hodnoty'!$B$4,F296=7),I296+L296+O296+R296,"")</f>
        <v/>
      </c>
      <c r="AH296" s="39" t="str">
        <f>IF(AND(E296&lt;&gt;'Povolené hodnoty'!$B$4,F296=10),J296+M296+P296+S296,"")</f>
        <v/>
      </c>
      <c r="AI296" s="40" t="str">
        <f>IF(AND(E296&lt;&gt;'Povolené hodnoty'!$B$4,F296=11),J296+M296+P296+S296,"")</f>
        <v/>
      </c>
      <c r="AJ296" s="40" t="str">
        <f>IF(AND(E296&lt;&gt;'Povolené hodnoty'!$B$4,F296=12),J296+M296+P296+S296,"")</f>
        <v/>
      </c>
      <c r="AK296" s="41" t="str">
        <f>IF(AND(E296&lt;&gt;'Povolené hodnoty'!$B$4,F296=13),J296+M296+P296+S296,"")</f>
        <v/>
      </c>
      <c r="AL296" s="39" t="str">
        <f>IF(AND($G296='Povolené hodnoty'!$B$13,$H296=AL$4),SUM($I296,$L296,$O296,$R296),"")</f>
        <v/>
      </c>
      <c r="AM296" s="458" t="str">
        <f>IF(AND($G296='Povolené hodnoty'!$B$13,$H296=AM$4),SUM($I296,$L296,$O296,$R296),"")</f>
        <v/>
      </c>
      <c r="AN296" s="458" t="str">
        <f>IF(AND($G296='Povolené hodnoty'!$B$13,$H296=AN$4),SUM($I296,$L296,$O296,$R296),"")</f>
        <v/>
      </c>
      <c r="AO296" s="458" t="str">
        <f>IF(AND($G296='Povolené hodnoty'!$B$13,$H296=AO$4),SUM($I296,$L296,$O296,$R296),"")</f>
        <v/>
      </c>
      <c r="AP296" s="458" t="str">
        <f>IF(AND($G296='Povolené hodnoty'!$B$13,$H296=AP$4),SUM($I296,$L296,$O296,$R296),"")</f>
        <v/>
      </c>
      <c r="AQ296" s="40" t="str">
        <f>IF(AND($G296='Povolené hodnoty'!$B$13,OR($H296=AQ$4,$H296='Povolené hodnoty'!$E$36)),SUM($I296,-$J296,$L296,-$M296,$O296,-$P296,$R296,-$S296),"")</f>
        <v/>
      </c>
      <c r="AR296" s="40" t="str">
        <f>IF(AND($G296='Povolené hodnoty'!$B$13,$H296=AR$4),SUM($I296,$L296,$O296,$R296),"")</f>
        <v/>
      </c>
      <c r="AS296" s="41" t="str">
        <f>IF(AND($G296='Povolené hodnoty'!$B$13,$H296=AS$4),SUM($I296,$L296,$O296,$R296),"")</f>
        <v/>
      </c>
      <c r="AT296" s="39" t="str">
        <f>IF(AND($G296='Povolené hodnoty'!$B$14,$H296=AT$4),SUM($I296,$L296,$O296,$R296),"")</f>
        <v/>
      </c>
      <c r="AU296" s="458" t="str">
        <f>IF(AND($G296='Povolené hodnoty'!$B$14,$H296=AU$4),SUM($I296,$L296,$O296,$R296),"")</f>
        <v/>
      </c>
      <c r="AV296" s="41" t="str">
        <f>IF(AND($G296='Povolené hodnoty'!$B$14,$H296=AV$4),SUM($I296,$L296,$O296,$R296),"")</f>
        <v/>
      </c>
      <c r="AW296" s="39" t="str">
        <f>IF(AND($G296='Povolené hodnoty'!$B$13,$H296=AW$4),SUM($J296,$M296,$P296,$S296),"")</f>
        <v/>
      </c>
      <c r="AX296" s="458" t="str">
        <f>IF(AND($G296='Povolené hodnoty'!$B$13,$H296=AX$4),SUM($J296,$M296,$P296,$S296),"")</f>
        <v/>
      </c>
      <c r="AY296" s="458" t="str">
        <f>IF(AND($G296='Povolené hodnoty'!$B$13,$H296=AY$4),SUM($J296,$M296,$P296,$S296),"")</f>
        <v/>
      </c>
      <c r="AZ296" s="458" t="str">
        <f>IF(AND($G296='Povolené hodnoty'!$B$13,$H296=AZ$4),SUM($J296,$M296,$P296,$S296),"")</f>
        <v/>
      </c>
      <c r="BA296" s="458" t="str">
        <f>IF(AND($G296='Povolené hodnoty'!$B$13,$H296=BA$4),SUM($J296,$M296,$P296,$S296),"")</f>
        <v/>
      </c>
      <c r="BB296" s="40" t="str">
        <f>IF(AND($G296='Povolené hodnoty'!$B$13,$H296=BB$4),SUM($J296,$M296,$P296,$S296),"")</f>
        <v/>
      </c>
      <c r="BC296" s="40" t="str">
        <f>IF(AND($G296='Povolené hodnoty'!$B$13,$H296=BC$4),SUM($J296,$M296,$P296,$S296),"")</f>
        <v/>
      </c>
      <c r="BD296" s="40" t="str">
        <f>IF(AND($G296='Povolené hodnoty'!$B$13,$H296=BD$4),SUM($J296,$M296,$P296,$S296),"")</f>
        <v/>
      </c>
      <c r="BE296" s="41" t="str">
        <f>IF(AND($G296='Povolené hodnoty'!$B$13,$H296=BE$4),SUM($J296,$M296,$P296,$S296),"")</f>
        <v/>
      </c>
      <c r="BF296" s="39" t="str">
        <f>IF(AND($G296='Povolené hodnoty'!$B$14,$H296=BF$4),SUM($J296,$M296,$P296,$S296),"")</f>
        <v/>
      </c>
      <c r="BG296" s="458" t="str">
        <f>IF(AND($G296='Povolené hodnoty'!$B$14,$H296=BG$4),SUM($J296,$M296,$P296,$S296),"")</f>
        <v/>
      </c>
      <c r="BH296" s="458" t="str">
        <f>IF(AND($G296='Povolené hodnoty'!$B$14,$H296=BH$4),SUM($J296,$M296,$P296,$S296),"")</f>
        <v/>
      </c>
      <c r="BI296" s="458" t="str">
        <f>IF(AND($G296='Povolené hodnoty'!$B$14,$H296=BI$4),SUM($J296,$M296,$P296,$S296),"")</f>
        <v/>
      </c>
      <c r="BJ296" s="458" t="str">
        <f>IF(AND($G296='Povolené hodnoty'!$B$14,$H296=BJ$4),SUM($J296,$M296,$P296,$S296),"")</f>
        <v/>
      </c>
      <c r="BK296" s="40" t="str">
        <f>IF(AND($G296='Povolené hodnoty'!$B$14,$H296=BK$4),SUM($J296,$M296,$P296,$S296),"")</f>
        <v/>
      </c>
      <c r="BL296" s="40" t="str">
        <f>IF(AND($G296='Povolené hodnoty'!$B$14,$H296=BL$4),SUM($J296,$M296,$P296,$S296),"")</f>
        <v/>
      </c>
      <c r="BM296" s="41" t="str">
        <f>IF(AND($G296='Povolené hodnoty'!$B$14,$H296=BM$4),SUM($J296,$M296,$P296,$S296),"")</f>
        <v/>
      </c>
      <c r="BO296" s="18" t="b">
        <f t="shared" si="176"/>
        <v>0</v>
      </c>
      <c r="BP296" s="18" t="b">
        <f t="shared" si="147"/>
        <v>0</v>
      </c>
      <c r="BQ296" s="18" t="b">
        <f>AND(E296&lt;&gt;'Povolené hodnoty'!$B$6,F296&lt;&gt;'Povolené hodnoty'!$D$7,F296&lt;&gt;'Povolené hodnoty'!$D$8,OR(SUM(I296,L296,O296,R296)&lt;&gt;SUM(W296:X296,AA296:AG296),SUM(J296,M296,P296,S296)&lt;&gt;SUM(Y296:Z296,AH296:AK296),COUNT(I296:J296,L296:M296,O296:P296,R296:S296)&lt;&gt;COUNT(W296:AK296)))</f>
        <v>0</v>
      </c>
      <c r="BR296" s="18" t="b">
        <f>OR(AND(E296='Povolené hodnoty'!$B$6,$BR$5),AND(E296='Povolené hodnoty'!$B$6,H296&lt;&gt;'Povolené hodnoty'!$E$26,H296&lt;&gt;'Povolené hodnoty'!$E$35),AND(E296&lt;&gt;'Povolené hodnoty'!$B$6,OR(H296='Povolené hodnoty'!$E$26,H296='Povolené hodnoty'!$E$35)))</f>
        <v>0</v>
      </c>
      <c r="BS296" s="18" t="b">
        <f>OR(AND(G296&lt;&gt;'Povolené hodnoty'!$B$13,OR(H296='Povolené hodnoty'!$E$21,H296='Povolené hodnoty'!$E$22,H296='Povolené hodnoty'!$E$23,H296='Povolené hodnoty'!$E$24,H296='Povolené hodnoty'!$E$26,H296='Povolené hodnoty'!$E$36)),COUNT(I296:J296,L296:M296,O296:P296,R296:S296)&lt;&gt;COUNT(AL296:BM296))</f>
        <v>0</v>
      </c>
      <c r="BT296" s="18" t="b">
        <f t="shared" si="148"/>
        <v>0</v>
      </c>
      <c r="BV296" s="39" t="str">
        <f t="shared" si="149"/>
        <v/>
      </c>
      <c r="BW296" s="458" t="str">
        <f t="shared" si="150"/>
        <v/>
      </c>
      <c r="BX296" s="458" t="str">
        <f t="shared" si="151"/>
        <v/>
      </c>
      <c r="BY296" s="458" t="str">
        <f t="shared" si="152"/>
        <v/>
      </c>
      <c r="BZ296" s="458" t="str">
        <f t="shared" si="153"/>
        <v/>
      </c>
      <c r="CA296" s="40" t="str">
        <f t="shared" si="154"/>
        <v/>
      </c>
      <c r="CB296" s="40" t="str">
        <f t="shared" si="155"/>
        <v/>
      </c>
      <c r="CC296" s="39" t="str">
        <f t="shared" si="156"/>
        <v/>
      </c>
      <c r="CD296" s="458" t="str">
        <f t="shared" si="157"/>
        <v/>
      </c>
      <c r="CE296" s="41" t="str">
        <f t="shared" si="158"/>
        <v/>
      </c>
      <c r="CF296" s="39" t="str">
        <f t="shared" si="159"/>
        <v/>
      </c>
      <c r="CG296" s="458" t="str">
        <f t="shared" si="160"/>
        <v/>
      </c>
      <c r="CH296" s="458" t="str">
        <f t="shared" si="161"/>
        <v/>
      </c>
      <c r="CI296" s="458" t="str">
        <f t="shared" si="162"/>
        <v/>
      </c>
      <c r="CJ296" s="458" t="str">
        <f t="shared" si="163"/>
        <v/>
      </c>
      <c r="CK296" s="40" t="str">
        <f t="shared" si="164"/>
        <v/>
      </c>
      <c r="CL296" s="40" t="str">
        <f t="shared" si="165"/>
        <v/>
      </c>
      <c r="CM296" s="40" t="str">
        <f t="shared" si="166"/>
        <v/>
      </c>
      <c r="CN296" s="39" t="str">
        <f t="shared" si="167"/>
        <v/>
      </c>
      <c r="CO296" s="458" t="str">
        <f t="shared" si="168"/>
        <v/>
      </c>
      <c r="CP296" s="458" t="str">
        <f t="shared" si="169"/>
        <v/>
      </c>
      <c r="CQ296" s="458" t="str">
        <f t="shared" si="170"/>
        <v/>
      </c>
      <c r="CR296" s="458" t="str">
        <f t="shared" si="171"/>
        <v/>
      </c>
      <c r="CS296" s="40" t="str">
        <f t="shared" si="172"/>
        <v/>
      </c>
      <c r="CT296" s="40" t="str">
        <f t="shared" si="173"/>
        <v/>
      </c>
      <c r="CU296" s="41" t="str">
        <f t="shared" si="174"/>
        <v/>
      </c>
    </row>
    <row r="297" spans="1:99" x14ac:dyDescent="0.2">
      <c r="A297" s="77">
        <f t="shared" si="175"/>
        <v>292</v>
      </c>
      <c r="B297" s="81"/>
      <c r="C297" s="82"/>
      <c r="D297" s="71"/>
      <c r="E297" s="72"/>
      <c r="F297" s="73"/>
      <c r="G297" s="443"/>
      <c r="H297" s="443"/>
      <c r="I297" s="74"/>
      <c r="J297" s="75"/>
      <c r="K297" s="41">
        <f t="shared" si="144"/>
        <v>3625</v>
      </c>
      <c r="L297" s="104"/>
      <c r="M297" s="105"/>
      <c r="N297" s="106">
        <f t="shared" si="145"/>
        <v>537.05999999999995</v>
      </c>
      <c r="O297" s="104"/>
      <c r="P297" s="105"/>
      <c r="Q297" s="106">
        <f t="shared" si="177"/>
        <v>10045.83</v>
      </c>
      <c r="R297" s="104"/>
      <c r="S297" s="105"/>
      <c r="T297" s="106">
        <f t="shared" si="178"/>
        <v>0</v>
      </c>
      <c r="U297" s="439"/>
      <c r="V297" s="42">
        <f t="shared" si="146"/>
        <v>292</v>
      </c>
      <c r="W297" s="39" t="str">
        <f>IF(AND(E297='Povolené hodnoty'!$B$4,F297=2),I297+L297+O297+R297,"")</f>
        <v/>
      </c>
      <c r="X297" s="41" t="str">
        <f>IF(AND(E297='Povolené hodnoty'!$B$4,F297=1),I297+L297+O297+R297,"")</f>
        <v/>
      </c>
      <c r="Y297" s="39" t="str">
        <f>IF(AND(E297='Povolené hodnoty'!$B$4,F297=10),J297+M297+P297+S297,"")</f>
        <v/>
      </c>
      <c r="Z297" s="41" t="str">
        <f>IF(AND(E297='Povolené hodnoty'!$B$4,F297=9),J297+M297+P297+S297,"")</f>
        <v/>
      </c>
      <c r="AA297" s="39" t="str">
        <f>IF(AND(E297&lt;&gt;'Povolené hodnoty'!$B$4,F297=2),I297+L297+O297+R297,"")</f>
        <v/>
      </c>
      <c r="AB297" s="40" t="str">
        <f>IF(AND(E297&lt;&gt;'Povolené hodnoty'!$B$4,F297=3),I297+L297+O297+R297,"")</f>
        <v/>
      </c>
      <c r="AC297" s="40" t="str">
        <f>IF(AND(E297&lt;&gt;'Povolené hodnoty'!$B$4,F297=4),I297+L297+O297+R297,"")</f>
        <v/>
      </c>
      <c r="AD297" s="40" t="str">
        <f>IF(AND(E297&lt;&gt;'Povolené hodnoty'!$B$4,F297="5a"),I297-J297+L297-M297+O297-P297+R297-S297,"")</f>
        <v/>
      </c>
      <c r="AE297" s="40" t="str">
        <f>IF(AND(E297&lt;&gt;'Povolené hodnoty'!$B$4,F297="5b"),I297-J297+L297-M297+O297-P297+R297-S297,"")</f>
        <v/>
      </c>
      <c r="AF297" s="40" t="str">
        <f>IF(AND(E297&lt;&gt;'Povolené hodnoty'!$B$4,F297=6),I297+L297+O297+R297,"")</f>
        <v/>
      </c>
      <c r="AG297" s="41" t="str">
        <f>IF(AND(E297&lt;&gt;'Povolené hodnoty'!$B$4,F297=7),I297+L297+O297+R297,"")</f>
        <v/>
      </c>
      <c r="AH297" s="39" t="str">
        <f>IF(AND(E297&lt;&gt;'Povolené hodnoty'!$B$4,F297=10),J297+M297+P297+S297,"")</f>
        <v/>
      </c>
      <c r="AI297" s="40" t="str">
        <f>IF(AND(E297&lt;&gt;'Povolené hodnoty'!$B$4,F297=11),J297+M297+P297+S297,"")</f>
        <v/>
      </c>
      <c r="AJ297" s="40" t="str">
        <f>IF(AND(E297&lt;&gt;'Povolené hodnoty'!$B$4,F297=12),J297+M297+P297+S297,"")</f>
        <v/>
      </c>
      <c r="AK297" s="41" t="str">
        <f>IF(AND(E297&lt;&gt;'Povolené hodnoty'!$B$4,F297=13),J297+M297+P297+S297,"")</f>
        <v/>
      </c>
      <c r="AL297" s="39" t="str">
        <f>IF(AND($G297='Povolené hodnoty'!$B$13,$H297=AL$4),SUM($I297,$L297,$O297,$R297),"")</f>
        <v/>
      </c>
      <c r="AM297" s="458" t="str">
        <f>IF(AND($G297='Povolené hodnoty'!$B$13,$H297=AM$4),SUM($I297,$L297,$O297,$R297),"")</f>
        <v/>
      </c>
      <c r="AN297" s="458" t="str">
        <f>IF(AND($G297='Povolené hodnoty'!$B$13,$H297=AN$4),SUM($I297,$L297,$O297,$R297),"")</f>
        <v/>
      </c>
      <c r="AO297" s="458" t="str">
        <f>IF(AND($G297='Povolené hodnoty'!$B$13,$H297=AO$4),SUM($I297,$L297,$O297,$R297),"")</f>
        <v/>
      </c>
      <c r="AP297" s="458" t="str">
        <f>IF(AND($G297='Povolené hodnoty'!$B$13,$H297=AP$4),SUM($I297,$L297,$O297,$R297),"")</f>
        <v/>
      </c>
      <c r="AQ297" s="40" t="str">
        <f>IF(AND($G297='Povolené hodnoty'!$B$13,OR($H297=AQ$4,$H297='Povolené hodnoty'!$E$36)),SUM($I297,-$J297,$L297,-$M297,$O297,-$P297,$R297,-$S297),"")</f>
        <v/>
      </c>
      <c r="AR297" s="40" t="str">
        <f>IF(AND($G297='Povolené hodnoty'!$B$13,$H297=AR$4),SUM($I297,$L297,$O297,$R297),"")</f>
        <v/>
      </c>
      <c r="AS297" s="41" t="str">
        <f>IF(AND($G297='Povolené hodnoty'!$B$13,$H297=AS$4),SUM($I297,$L297,$O297,$R297),"")</f>
        <v/>
      </c>
      <c r="AT297" s="39" t="str">
        <f>IF(AND($G297='Povolené hodnoty'!$B$14,$H297=AT$4),SUM($I297,$L297,$O297,$R297),"")</f>
        <v/>
      </c>
      <c r="AU297" s="458" t="str">
        <f>IF(AND($G297='Povolené hodnoty'!$B$14,$H297=AU$4),SUM($I297,$L297,$O297,$R297),"")</f>
        <v/>
      </c>
      <c r="AV297" s="41" t="str">
        <f>IF(AND($G297='Povolené hodnoty'!$B$14,$H297=AV$4),SUM($I297,$L297,$O297,$R297),"")</f>
        <v/>
      </c>
      <c r="AW297" s="39" t="str">
        <f>IF(AND($G297='Povolené hodnoty'!$B$13,$H297=AW$4),SUM($J297,$M297,$P297,$S297),"")</f>
        <v/>
      </c>
      <c r="AX297" s="458" t="str">
        <f>IF(AND($G297='Povolené hodnoty'!$B$13,$H297=AX$4),SUM($J297,$M297,$P297,$S297),"")</f>
        <v/>
      </c>
      <c r="AY297" s="458" t="str">
        <f>IF(AND($G297='Povolené hodnoty'!$B$13,$H297=AY$4),SUM($J297,$M297,$P297,$S297),"")</f>
        <v/>
      </c>
      <c r="AZ297" s="458" t="str">
        <f>IF(AND($G297='Povolené hodnoty'!$B$13,$H297=AZ$4),SUM($J297,$M297,$P297,$S297),"")</f>
        <v/>
      </c>
      <c r="BA297" s="458" t="str">
        <f>IF(AND($G297='Povolené hodnoty'!$B$13,$H297=BA$4),SUM($J297,$M297,$P297,$S297),"")</f>
        <v/>
      </c>
      <c r="BB297" s="40" t="str">
        <f>IF(AND($G297='Povolené hodnoty'!$B$13,$H297=BB$4),SUM($J297,$M297,$P297,$S297),"")</f>
        <v/>
      </c>
      <c r="BC297" s="40" t="str">
        <f>IF(AND($G297='Povolené hodnoty'!$B$13,$H297=BC$4),SUM($J297,$M297,$P297,$S297),"")</f>
        <v/>
      </c>
      <c r="BD297" s="40" t="str">
        <f>IF(AND($G297='Povolené hodnoty'!$B$13,$H297=BD$4),SUM($J297,$M297,$P297,$S297),"")</f>
        <v/>
      </c>
      <c r="BE297" s="41" t="str">
        <f>IF(AND($G297='Povolené hodnoty'!$B$13,$H297=BE$4),SUM($J297,$M297,$P297,$S297),"")</f>
        <v/>
      </c>
      <c r="BF297" s="39" t="str">
        <f>IF(AND($G297='Povolené hodnoty'!$B$14,$H297=BF$4),SUM($J297,$M297,$P297,$S297),"")</f>
        <v/>
      </c>
      <c r="BG297" s="458" t="str">
        <f>IF(AND($G297='Povolené hodnoty'!$B$14,$H297=BG$4),SUM($J297,$M297,$P297,$S297),"")</f>
        <v/>
      </c>
      <c r="BH297" s="458" t="str">
        <f>IF(AND($G297='Povolené hodnoty'!$B$14,$H297=BH$4),SUM($J297,$M297,$P297,$S297),"")</f>
        <v/>
      </c>
      <c r="BI297" s="458" t="str">
        <f>IF(AND($G297='Povolené hodnoty'!$B$14,$H297=BI$4),SUM($J297,$M297,$P297,$S297),"")</f>
        <v/>
      </c>
      <c r="BJ297" s="458" t="str">
        <f>IF(AND($G297='Povolené hodnoty'!$B$14,$H297=BJ$4),SUM($J297,$M297,$P297,$S297),"")</f>
        <v/>
      </c>
      <c r="BK297" s="40" t="str">
        <f>IF(AND($G297='Povolené hodnoty'!$B$14,$H297=BK$4),SUM($J297,$M297,$P297,$S297),"")</f>
        <v/>
      </c>
      <c r="BL297" s="40" t="str">
        <f>IF(AND($G297='Povolené hodnoty'!$B$14,$H297=BL$4),SUM($J297,$M297,$P297,$S297),"")</f>
        <v/>
      </c>
      <c r="BM297" s="41" t="str">
        <f>IF(AND($G297='Povolené hodnoty'!$B$14,$H297=BM$4),SUM($J297,$M297,$P297,$S297),"")</f>
        <v/>
      </c>
      <c r="BO297" s="18" t="b">
        <f t="shared" si="176"/>
        <v>0</v>
      </c>
      <c r="BP297" s="18" t="b">
        <f t="shared" si="147"/>
        <v>0</v>
      </c>
      <c r="BQ297" s="18" t="b">
        <f>AND(E297&lt;&gt;'Povolené hodnoty'!$B$6,F297&lt;&gt;'Povolené hodnoty'!$D$7,F297&lt;&gt;'Povolené hodnoty'!$D$8,OR(SUM(I297,L297,O297,R297)&lt;&gt;SUM(W297:X297,AA297:AG297),SUM(J297,M297,P297,S297)&lt;&gt;SUM(Y297:Z297,AH297:AK297),COUNT(I297:J297,L297:M297,O297:P297,R297:S297)&lt;&gt;COUNT(W297:AK297)))</f>
        <v>0</v>
      </c>
      <c r="BR297" s="18" t="b">
        <f>OR(AND(E297='Povolené hodnoty'!$B$6,$BR$5),AND(E297='Povolené hodnoty'!$B$6,H297&lt;&gt;'Povolené hodnoty'!$E$26,H297&lt;&gt;'Povolené hodnoty'!$E$35),AND(E297&lt;&gt;'Povolené hodnoty'!$B$6,OR(H297='Povolené hodnoty'!$E$26,H297='Povolené hodnoty'!$E$35)))</f>
        <v>0</v>
      </c>
      <c r="BS297" s="18" t="b">
        <f>OR(AND(G297&lt;&gt;'Povolené hodnoty'!$B$13,OR(H297='Povolené hodnoty'!$E$21,H297='Povolené hodnoty'!$E$22,H297='Povolené hodnoty'!$E$23,H297='Povolené hodnoty'!$E$24,H297='Povolené hodnoty'!$E$26,H297='Povolené hodnoty'!$E$36)),COUNT(I297:J297,L297:M297,O297:P297,R297:S297)&lt;&gt;COUNT(AL297:BM297))</f>
        <v>0</v>
      </c>
      <c r="BT297" s="18" t="b">
        <f t="shared" si="148"/>
        <v>0</v>
      </c>
      <c r="BV297" s="39" t="str">
        <f t="shared" si="149"/>
        <v/>
      </c>
      <c r="BW297" s="458" t="str">
        <f t="shared" si="150"/>
        <v/>
      </c>
      <c r="BX297" s="458" t="str">
        <f t="shared" si="151"/>
        <v/>
      </c>
      <c r="BY297" s="458" t="str">
        <f t="shared" si="152"/>
        <v/>
      </c>
      <c r="BZ297" s="458" t="str">
        <f t="shared" si="153"/>
        <v/>
      </c>
      <c r="CA297" s="40" t="str">
        <f t="shared" si="154"/>
        <v/>
      </c>
      <c r="CB297" s="40" t="str">
        <f t="shared" si="155"/>
        <v/>
      </c>
      <c r="CC297" s="39" t="str">
        <f t="shared" si="156"/>
        <v/>
      </c>
      <c r="CD297" s="458" t="str">
        <f t="shared" si="157"/>
        <v/>
      </c>
      <c r="CE297" s="41" t="str">
        <f t="shared" si="158"/>
        <v/>
      </c>
      <c r="CF297" s="39" t="str">
        <f t="shared" si="159"/>
        <v/>
      </c>
      <c r="CG297" s="458" t="str">
        <f t="shared" si="160"/>
        <v/>
      </c>
      <c r="CH297" s="458" t="str">
        <f t="shared" si="161"/>
        <v/>
      </c>
      <c r="CI297" s="458" t="str">
        <f t="shared" si="162"/>
        <v/>
      </c>
      <c r="CJ297" s="458" t="str">
        <f t="shared" si="163"/>
        <v/>
      </c>
      <c r="CK297" s="40" t="str">
        <f t="shared" si="164"/>
        <v/>
      </c>
      <c r="CL297" s="40" t="str">
        <f t="shared" si="165"/>
        <v/>
      </c>
      <c r="CM297" s="40" t="str">
        <f t="shared" si="166"/>
        <v/>
      </c>
      <c r="CN297" s="39" t="str">
        <f t="shared" si="167"/>
        <v/>
      </c>
      <c r="CO297" s="458" t="str">
        <f t="shared" si="168"/>
        <v/>
      </c>
      <c r="CP297" s="458" t="str">
        <f t="shared" si="169"/>
        <v/>
      </c>
      <c r="CQ297" s="458" t="str">
        <f t="shared" si="170"/>
        <v/>
      </c>
      <c r="CR297" s="458" t="str">
        <f t="shared" si="171"/>
        <v/>
      </c>
      <c r="CS297" s="40" t="str">
        <f t="shared" si="172"/>
        <v/>
      </c>
      <c r="CT297" s="40" t="str">
        <f t="shared" si="173"/>
        <v/>
      </c>
      <c r="CU297" s="41" t="str">
        <f t="shared" si="174"/>
        <v/>
      </c>
    </row>
    <row r="298" spans="1:99" x14ac:dyDescent="0.2">
      <c r="A298" s="77">
        <f t="shared" si="175"/>
        <v>293</v>
      </c>
      <c r="B298" s="81"/>
      <c r="C298" s="82"/>
      <c r="D298" s="71"/>
      <c r="E298" s="72"/>
      <c r="F298" s="73"/>
      <c r="G298" s="443"/>
      <c r="H298" s="443"/>
      <c r="I298" s="74"/>
      <c r="J298" s="75"/>
      <c r="K298" s="41">
        <f t="shared" si="144"/>
        <v>3625</v>
      </c>
      <c r="L298" s="104"/>
      <c r="M298" s="105"/>
      <c r="N298" s="106">
        <f t="shared" si="145"/>
        <v>537.05999999999995</v>
      </c>
      <c r="O298" s="104"/>
      <c r="P298" s="105"/>
      <c r="Q298" s="106">
        <f t="shared" si="177"/>
        <v>10045.83</v>
      </c>
      <c r="R298" s="104"/>
      <c r="S298" s="105"/>
      <c r="T298" s="106">
        <f t="shared" si="178"/>
        <v>0</v>
      </c>
      <c r="U298" s="439"/>
      <c r="V298" s="42">
        <f t="shared" si="146"/>
        <v>293</v>
      </c>
      <c r="W298" s="39" t="str">
        <f>IF(AND(E298='Povolené hodnoty'!$B$4,F298=2),I298+L298+O298+R298,"")</f>
        <v/>
      </c>
      <c r="X298" s="41" t="str">
        <f>IF(AND(E298='Povolené hodnoty'!$B$4,F298=1),I298+L298+O298+R298,"")</f>
        <v/>
      </c>
      <c r="Y298" s="39" t="str">
        <f>IF(AND(E298='Povolené hodnoty'!$B$4,F298=10),J298+M298+P298+S298,"")</f>
        <v/>
      </c>
      <c r="Z298" s="41" t="str">
        <f>IF(AND(E298='Povolené hodnoty'!$B$4,F298=9),J298+M298+P298+S298,"")</f>
        <v/>
      </c>
      <c r="AA298" s="39" t="str">
        <f>IF(AND(E298&lt;&gt;'Povolené hodnoty'!$B$4,F298=2),I298+L298+O298+R298,"")</f>
        <v/>
      </c>
      <c r="AB298" s="40" t="str">
        <f>IF(AND(E298&lt;&gt;'Povolené hodnoty'!$B$4,F298=3),I298+L298+O298+R298,"")</f>
        <v/>
      </c>
      <c r="AC298" s="40" t="str">
        <f>IF(AND(E298&lt;&gt;'Povolené hodnoty'!$B$4,F298=4),I298+L298+O298+R298,"")</f>
        <v/>
      </c>
      <c r="AD298" s="40" t="str">
        <f>IF(AND(E298&lt;&gt;'Povolené hodnoty'!$B$4,F298="5a"),I298-J298+L298-M298+O298-P298+R298-S298,"")</f>
        <v/>
      </c>
      <c r="AE298" s="40" t="str">
        <f>IF(AND(E298&lt;&gt;'Povolené hodnoty'!$B$4,F298="5b"),I298-J298+L298-M298+O298-P298+R298-S298,"")</f>
        <v/>
      </c>
      <c r="AF298" s="40" t="str">
        <f>IF(AND(E298&lt;&gt;'Povolené hodnoty'!$B$4,F298=6),I298+L298+O298+R298,"")</f>
        <v/>
      </c>
      <c r="AG298" s="41" t="str">
        <f>IF(AND(E298&lt;&gt;'Povolené hodnoty'!$B$4,F298=7),I298+L298+O298+R298,"")</f>
        <v/>
      </c>
      <c r="AH298" s="39" t="str">
        <f>IF(AND(E298&lt;&gt;'Povolené hodnoty'!$B$4,F298=10),J298+M298+P298+S298,"")</f>
        <v/>
      </c>
      <c r="AI298" s="40" t="str">
        <f>IF(AND(E298&lt;&gt;'Povolené hodnoty'!$B$4,F298=11),J298+M298+P298+S298,"")</f>
        <v/>
      </c>
      <c r="AJ298" s="40" t="str">
        <f>IF(AND(E298&lt;&gt;'Povolené hodnoty'!$B$4,F298=12),J298+M298+P298+S298,"")</f>
        <v/>
      </c>
      <c r="AK298" s="41" t="str">
        <f>IF(AND(E298&lt;&gt;'Povolené hodnoty'!$B$4,F298=13),J298+M298+P298+S298,"")</f>
        <v/>
      </c>
      <c r="AL298" s="39" t="str">
        <f>IF(AND($G298='Povolené hodnoty'!$B$13,$H298=AL$4),SUM($I298,$L298,$O298,$R298),"")</f>
        <v/>
      </c>
      <c r="AM298" s="458" t="str">
        <f>IF(AND($G298='Povolené hodnoty'!$B$13,$H298=AM$4),SUM($I298,$L298,$O298,$R298),"")</f>
        <v/>
      </c>
      <c r="AN298" s="458" t="str">
        <f>IF(AND($G298='Povolené hodnoty'!$B$13,$H298=AN$4),SUM($I298,$L298,$O298,$R298),"")</f>
        <v/>
      </c>
      <c r="AO298" s="458" t="str">
        <f>IF(AND($G298='Povolené hodnoty'!$B$13,$H298=AO$4),SUM($I298,$L298,$O298,$R298),"")</f>
        <v/>
      </c>
      <c r="AP298" s="458" t="str">
        <f>IF(AND($G298='Povolené hodnoty'!$B$13,$H298=AP$4),SUM($I298,$L298,$O298,$R298),"")</f>
        <v/>
      </c>
      <c r="AQ298" s="40" t="str">
        <f>IF(AND($G298='Povolené hodnoty'!$B$13,OR($H298=AQ$4,$H298='Povolené hodnoty'!$E$36)),SUM($I298,-$J298,$L298,-$M298,$O298,-$P298,$R298,-$S298),"")</f>
        <v/>
      </c>
      <c r="AR298" s="40" t="str">
        <f>IF(AND($G298='Povolené hodnoty'!$B$13,$H298=AR$4),SUM($I298,$L298,$O298,$R298),"")</f>
        <v/>
      </c>
      <c r="AS298" s="41" t="str">
        <f>IF(AND($G298='Povolené hodnoty'!$B$13,$H298=AS$4),SUM($I298,$L298,$O298,$R298),"")</f>
        <v/>
      </c>
      <c r="AT298" s="39" t="str">
        <f>IF(AND($G298='Povolené hodnoty'!$B$14,$H298=AT$4),SUM($I298,$L298,$O298,$R298),"")</f>
        <v/>
      </c>
      <c r="AU298" s="458" t="str">
        <f>IF(AND($G298='Povolené hodnoty'!$B$14,$H298=AU$4),SUM($I298,$L298,$O298,$R298),"")</f>
        <v/>
      </c>
      <c r="AV298" s="41" t="str">
        <f>IF(AND($G298='Povolené hodnoty'!$B$14,$H298=AV$4),SUM($I298,$L298,$O298,$R298),"")</f>
        <v/>
      </c>
      <c r="AW298" s="39" t="str">
        <f>IF(AND($G298='Povolené hodnoty'!$B$13,$H298=AW$4),SUM($J298,$M298,$P298,$S298),"")</f>
        <v/>
      </c>
      <c r="AX298" s="458" t="str">
        <f>IF(AND($G298='Povolené hodnoty'!$B$13,$H298=AX$4),SUM($J298,$M298,$P298,$S298),"")</f>
        <v/>
      </c>
      <c r="AY298" s="458" t="str">
        <f>IF(AND($G298='Povolené hodnoty'!$B$13,$H298=AY$4),SUM($J298,$M298,$P298,$S298),"")</f>
        <v/>
      </c>
      <c r="AZ298" s="458" t="str">
        <f>IF(AND($G298='Povolené hodnoty'!$B$13,$H298=AZ$4),SUM($J298,$M298,$P298,$S298),"")</f>
        <v/>
      </c>
      <c r="BA298" s="458" t="str">
        <f>IF(AND($G298='Povolené hodnoty'!$B$13,$H298=BA$4),SUM($J298,$M298,$P298,$S298),"")</f>
        <v/>
      </c>
      <c r="BB298" s="40" t="str">
        <f>IF(AND($G298='Povolené hodnoty'!$B$13,$H298=BB$4),SUM($J298,$M298,$P298,$S298),"")</f>
        <v/>
      </c>
      <c r="BC298" s="40" t="str">
        <f>IF(AND($G298='Povolené hodnoty'!$B$13,$H298=BC$4),SUM($J298,$M298,$P298,$S298),"")</f>
        <v/>
      </c>
      <c r="BD298" s="40" t="str">
        <f>IF(AND($G298='Povolené hodnoty'!$B$13,$H298=BD$4),SUM($J298,$M298,$P298,$S298),"")</f>
        <v/>
      </c>
      <c r="BE298" s="41" t="str">
        <f>IF(AND($G298='Povolené hodnoty'!$B$13,$H298=BE$4),SUM($J298,$M298,$P298,$S298),"")</f>
        <v/>
      </c>
      <c r="BF298" s="39" t="str">
        <f>IF(AND($G298='Povolené hodnoty'!$B$14,$H298=BF$4),SUM($J298,$M298,$P298,$S298),"")</f>
        <v/>
      </c>
      <c r="BG298" s="458" t="str">
        <f>IF(AND($G298='Povolené hodnoty'!$B$14,$H298=BG$4),SUM($J298,$M298,$P298,$S298),"")</f>
        <v/>
      </c>
      <c r="BH298" s="458" t="str">
        <f>IF(AND($G298='Povolené hodnoty'!$B$14,$H298=BH$4),SUM($J298,$M298,$P298,$S298),"")</f>
        <v/>
      </c>
      <c r="BI298" s="458" t="str">
        <f>IF(AND($G298='Povolené hodnoty'!$B$14,$H298=BI$4),SUM($J298,$M298,$P298,$S298),"")</f>
        <v/>
      </c>
      <c r="BJ298" s="458" t="str">
        <f>IF(AND($G298='Povolené hodnoty'!$B$14,$H298=BJ$4),SUM($J298,$M298,$P298,$S298),"")</f>
        <v/>
      </c>
      <c r="BK298" s="40" t="str">
        <f>IF(AND($G298='Povolené hodnoty'!$B$14,$H298=BK$4),SUM($J298,$M298,$P298,$S298),"")</f>
        <v/>
      </c>
      <c r="BL298" s="40" t="str">
        <f>IF(AND($G298='Povolené hodnoty'!$B$14,$H298=BL$4),SUM($J298,$M298,$P298,$S298),"")</f>
        <v/>
      </c>
      <c r="BM298" s="41" t="str">
        <f>IF(AND($G298='Povolené hodnoty'!$B$14,$H298=BM$4),SUM($J298,$M298,$P298,$S298),"")</f>
        <v/>
      </c>
      <c r="BO298" s="18" t="b">
        <f t="shared" si="176"/>
        <v>0</v>
      </c>
      <c r="BP298" s="18" t="b">
        <f t="shared" si="147"/>
        <v>0</v>
      </c>
      <c r="BQ298" s="18" t="b">
        <f>AND(E298&lt;&gt;'Povolené hodnoty'!$B$6,F298&lt;&gt;'Povolené hodnoty'!$D$7,F298&lt;&gt;'Povolené hodnoty'!$D$8,OR(SUM(I298,L298,O298,R298)&lt;&gt;SUM(W298:X298,AA298:AG298),SUM(J298,M298,P298,S298)&lt;&gt;SUM(Y298:Z298,AH298:AK298),COUNT(I298:J298,L298:M298,O298:P298,R298:S298)&lt;&gt;COUNT(W298:AK298)))</f>
        <v>0</v>
      </c>
      <c r="BR298" s="18" t="b">
        <f>OR(AND(E298='Povolené hodnoty'!$B$6,$BR$5),AND(E298='Povolené hodnoty'!$B$6,H298&lt;&gt;'Povolené hodnoty'!$E$26,H298&lt;&gt;'Povolené hodnoty'!$E$35),AND(E298&lt;&gt;'Povolené hodnoty'!$B$6,OR(H298='Povolené hodnoty'!$E$26,H298='Povolené hodnoty'!$E$35)))</f>
        <v>0</v>
      </c>
      <c r="BS298" s="18" t="b">
        <f>OR(AND(G298&lt;&gt;'Povolené hodnoty'!$B$13,OR(H298='Povolené hodnoty'!$E$21,H298='Povolené hodnoty'!$E$22,H298='Povolené hodnoty'!$E$23,H298='Povolené hodnoty'!$E$24,H298='Povolené hodnoty'!$E$26,H298='Povolené hodnoty'!$E$36)),COUNT(I298:J298,L298:M298,O298:P298,R298:S298)&lt;&gt;COUNT(AL298:BM298))</f>
        <v>0</v>
      </c>
      <c r="BT298" s="18" t="b">
        <f t="shared" si="148"/>
        <v>0</v>
      </c>
      <c r="BV298" s="39" t="str">
        <f t="shared" si="149"/>
        <v/>
      </c>
      <c r="BW298" s="458" t="str">
        <f t="shared" si="150"/>
        <v/>
      </c>
      <c r="BX298" s="458" t="str">
        <f t="shared" si="151"/>
        <v/>
      </c>
      <c r="BY298" s="458" t="str">
        <f t="shared" si="152"/>
        <v/>
      </c>
      <c r="BZ298" s="458" t="str">
        <f t="shared" si="153"/>
        <v/>
      </c>
      <c r="CA298" s="40" t="str">
        <f t="shared" si="154"/>
        <v/>
      </c>
      <c r="CB298" s="40" t="str">
        <f t="shared" si="155"/>
        <v/>
      </c>
      <c r="CC298" s="39" t="str">
        <f t="shared" si="156"/>
        <v/>
      </c>
      <c r="CD298" s="458" t="str">
        <f t="shared" si="157"/>
        <v/>
      </c>
      <c r="CE298" s="41" t="str">
        <f t="shared" si="158"/>
        <v/>
      </c>
      <c r="CF298" s="39" t="str">
        <f t="shared" si="159"/>
        <v/>
      </c>
      <c r="CG298" s="458" t="str">
        <f t="shared" si="160"/>
        <v/>
      </c>
      <c r="CH298" s="458" t="str">
        <f t="shared" si="161"/>
        <v/>
      </c>
      <c r="CI298" s="458" t="str">
        <f t="shared" si="162"/>
        <v/>
      </c>
      <c r="CJ298" s="458" t="str">
        <f t="shared" si="163"/>
        <v/>
      </c>
      <c r="CK298" s="40" t="str">
        <f t="shared" si="164"/>
        <v/>
      </c>
      <c r="CL298" s="40" t="str">
        <f t="shared" si="165"/>
        <v/>
      </c>
      <c r="CM298" s="40" t="str">
        <f t="shared" si="166"/>
        <v/>
      </c>
      <c r="CN298" s="39" t="str">
        <f t="shared" si="167"/>
        <v/>
      </c>
      <c r="CO298" s="458" t="str">
        <f t="shared" si="168"/>
        <v/>
      </c>
      <c r="CP298" s="458" t="str">
        <f t="shared" si="169"/>
        <v/>
      </c>
      <c r="CQ298" s="458" t="str">
        <f t="shared" si="170"/>
        <v/>
      </c>
      <c r="CR298" s="458" t="str">
        <f t="shared" si="171"/>
        <v/>
      </c>
      <c r="CS298" s="40" t="str">
        <f t="shared" si="172"/>
        <v/>
      </c>
      <c r="CT298" s="40" t="str">
        <f t="shared" si="173"/>
        <v/>
      </c>
      <c r="CU298" s="41" t="str">
        <f t="shared" si="174"/>
        <v/>
      </c>
    </row>
    <row r="299" spans="1:99" x14ac:dyDescent="0.2">
      <c r="A299" s="77">
        <f t="shared" si="175"/>
        <v>294</v>
      </c>
      <c r="B299" s="81"/>
      <c r="C299" s="82"/>
      <c r="D299" s="71"/>
      <c r="E299" s="72"/>
      <c r="F299" s="73"/>
      <c r="G299" s="443"/>
      <c r="H299" s="443"/>
      <c r="I299" s="74"/>
      <c r="J299" s="75"/>
      <c r="K299" s="41">
        <f t="shared" si="144"/>
        <v>3625</v>
      </c>
      <c r="L299" s="104"/>
      <c r="M299" s="105"/>
      <c r="N299" s="106">
        <f t="shared" si="145"/>
        <v>537.05999999999995</v>
      </c>
      <c r="O299" s="104"/>
      <c r="P299" s="105"/>
      <c r="Q299" s="106">
        <f t="shared" si="177"/>
        <v>10045.83</v>
      </c>
      <c r="R299" s="104"/>
      <c r="S299" s="105"/>
      <c r="T299" s="106">
        <f t="shared" si="178"/>
        <v>0</v>
      </c>
      <c r="U299" s="439"/>
      <c r="V299" s="42">
        <f t="shared" si="146"/>
        <v>294</v>
      </c>
      <c r="W299" s="39" t="str">
        <f>IF(AND(E299='Povolené hodnoty'!$B$4,F299=2),I299+L299+O299+R299,"")</f>
        <v/>
      </c>
      <c r="X299" s="41" t="str">
        <f>IF(AND(E299='Povolené hodnoty'!$B$4,F299=1),I299+L299+O299+R299,"")</f>
        <v/>
      </c>
      <c r="Y299" s="39" t="str">
        <f>IF(AND(E299='Povolené hodnoty'!$B$4,F299=10),J299+M299+P299+S299,"")</f>
        <v/>
      </c>
      <c r="Z299" s="41" t="str">
        <f>IF(AND(E299='Povolené hodnoty'!$B$4,F299=9),J299+M299+P299+S299,"")</f>
        <v/>
      </c>
      <c r="AA299" s="39" t="str">
        <f>IF(AND(E299&lt;&gt;'Povolené hodnoty'!$B$4,F299=2),I299+L299+O299+R299,"")</f>
        <v/>
      </c>
      <c r="AB299" s="40" t="str">
        <f>IF(AND(E299&lt;&gt;'Povolené hodnoty'!$B$4,F299=3),I299+L299+O299+R299,"")</f>
        <v/>
      </c>
      <c r="AC299" s="40" t="str">
        <f>IF(AND(E299&lt;&gt;'Povolené hodnoty'!$B$4,F299=4),I299+L299+O299+R299,"")</f>
        <v/>
      </c>
      <c r="AD299" s="40" t="str">
        <f>IF(AND(E299&lt;&gt;'Povolené hodnoty'!$B$4,F299="5a"),I299-J299+L299-M299+O299-P299+R299-S299,"")</f>
        <v/>
      </c>
      <c r="AE299" s="40" t="str">
        <f>IF(AND(E299&lt;&gt;'Povolené hodnoty'!$B$4,F299="5b"),I299-J299+L299-M299+O299-P299+R299-S299,"")</f>
        <v/>
      </c>
      <c r="AF299" s="40" t="str">
        <f>IF(AND(E299&lt;&gt;'Povolené hodnoty'!$B$4,F299=6),I299+L299+O299+R299,"")</f>
        <v/>
      </c>
      <c r="AG299" s="41" t="str">
        <f>IF(AND(E299&lt;&gt;'Povolené hodnoty'!$B$4,F299=7),I299+L299+O299+R299,"")</f>
        <v/>
      </c>
      <c r="AH299" s="39" t="str">
        <f>IF(AND(E299&lt;&gt;'Povolené hodnoty'!$B$4,F299=10),J299+M299+P299+S299,"")</f>
        <v/>
      </c>
      <c r="AI299" s="40" t="str">
        <f>IF(AND(E299&lt;&gt;'Povolené hodnoty'!$B$4,F299=11),J299+M299+P299+S299,"")</f>
        <v/>
      </c>
      <c r="AJ299" s="40" t="str">
        <f>IF(AND(E299&lt;&gt;'Povolené hodnoty'!$B$4,F299=12),J299+M299+P299+S299,"")</f>
        <v/>
      </c>
      <c r="AK299" s="41" t="str">
        <f>IF(AND(E299&lt;&gt;'Povolené hodnoty'!$B$4,F299=13),J299+M299+P299+S299,"")</f>
        <v/>
      </c>
      <c r="AL299" s="39" t="str">
        <f>IF(AND($G299='Povolené hodnoty'!$B$13,$H299=AL$4),SUM($I299,$L299,$O299,$R299),"")</f>
        <v/>
      </c>
      <c r="AM299" s="458" t="str">
        <f>IF(AND($G299='Povolené hodnoty'!$B$13,$H299=AM$4),SUM($I299,$L299,$O299,$R299),"")</f>
        <v/>
      </c>
      <c r="AN299" s="458" t="str">
        <f>IF(AND($G299='Povolené hodnoty'!$B$13,$H299=AN$4),SUM($I299,$L299,$O299,$R299),"")</f>
        <v/>
      </c>
      <c r="AO299" s="458" t="str">
        <f>IF(AND($G299='Povolené hodnoty'!$B$13,$H299=AO$4),SUM($I299,$L299,$O299,$R299),"")</f>
        <v/>
      </c>
      <c r="AP299" s="458" t="str">
        <f>IF(AND($G299='Povolené hodnoty'!$B$13,$H299=AP$4),SUM($I299,$L299,$O299,$R299),"")</f>
        <v/>
      </c>
      <c r="AQ299" s="40" t="str">
        <f>IF(AND($G299='Povolené hodnoty'!$B$13,OR($H299=AQ$4,$H299='Povolené hodnoty'!$E$36)),SUM($I299,-$J299,$L299,-$M299,$O299,-$P299,$R299,-$S299),"")</f>
        <v/>
      </c>
      <c r="AR299" s="40" t="str">
        <f>IF(AND($G299='Povolené hodnoty'!$B$13,$H299=AR$4),SUM($I299,$L299,$O299,$R299),"")</f>
        <v/>
      </c>
      <c r="AS299" s="41" t="str">
        <f>IF(AND($G299='Povolené hodnoty'!$B$13,$H299=AS$4),SUM($I299,$L299,$O299,$R299),"")</f>
        <v/>
      </c>
      <c r="AT299" s="39" t="str">
        <f>IF(AND($G299='Povolené hodnoty'!$B$14,$H299=AT$4),SUM($I299,$L299,$O299,$R299),"")</f>
        <v/>
      </c>
      <c r="AU299" s="458" t="str">
        <f>IF(AND($G299='Povolené hodnoty'!$B$14,$H299=AU$4),SUM($I299,$L299,$O299,$R299),"")</f>
        <v/>
      </c>
      <c r="AV299" s="41" t="str">
        <f>IF(AND($G299='Povolené hodnoty'!$B$14,$H299=AV$4),SUM($I299,$L299,$O299,$R299),"")</f>
        <v/>
      </c>
      <c r="AW299" s="39" t="str">
        <f>IF(AND($G299='Povolené hodnoty'!$B$13,$H299=AW$4),SUM($J299,$M299,$P299,$S299),"")</f>
        <v/>
      </c>
      <c r="AX299" s="458" t="str">
        <f>IF(AND($G299='Povolené hodnoty'!$B$13,$H299=AX$4),SUM($J299,$M299,$P299,$S299),"")</f>
        <v/>
      </c>
      <c r="AY299" s="458" t="str">
        <f>IF(AND($G299='Povolené hodnoty'!$B$13,$H299=AY$4),SUM($J299,$M299,$P299,$S299),"")</f>
        <v/>
      </c>
      <c r="AZ299" s="458" t="str">
        <f>IF(AND($G299='Povolené hodnoty'!$B$13,$H299=AZ$4),SUM($J299,$M299,$P299,$S299),"")</f>
        <v/>
      </c>
      <c r="BA299" s="458" t="str">
        <f>IF(AND($G299='Povolené hodnoty'!$B$13,$H299=BA$4),SUM($J299,$M299,$P299,$S299),"")</f>
        <v/>
      </c>
      <c r="BB299" s="40" t="str">
        <f>IF(AND($G299='Povolené hodnoty'!$B$13,$H299=BB$4),SUM($J299,$M299,$P299,$S299),"")</f>
        <v/>
      </c>
      <c r="BC299" s="40" t="str">
        <f>IF(AND($G299='Povolené hodnoty'!$B$13,$H299=BC$4),SUM($J299,$M299,$P299,$S299),"")</f>
        <v/>
      </c>
      <c r="BD299" s="40" t="str">
        <f>IF(AND($G299='Povolené hodnoty'!$B$13,$H299=BD$4),SUM($J299,$M299,$P299,$S299),"")</f>
        <v/>
      </c>
      <c r="BE299" s="41" t="str">
        <f>IF(AND($G299='Povolené hodnoty'!$B$13,$H299=BE$4),SUM($J299,$M299,$P299,$S299),"")</f>
        <v/>
      </c>
      <c r="BF299" s="39" t="str">
        <f>IF(AND($G299='Povolené hodnoty'!$B$14,$H299=BF$4),SUM($J299,$M299,$P299,$S299),"")</f>
        <v/>
      </c>
      <c r="BG299" s="458" t="str">
        <f>IF(AND($G299='Povolené hodnoty'!$B$14,$H299=BG$4),SUM($J299,$M299,$P299,$S299),"")</f>
        <v/>
      </c>
      <c r="BH299" s="458" t="str">
        <f>IF(AND($G299='Povolené hodnoty'!$B$14,$H299=BH$4),SUM($J299,$M299,$P299,$S299),"")</f>
        <v/>
      </c>
      <c r="BI299" s="458" t="str">
        <f>IF(AND($G299='Povolené hodnoty'!$B$14,$H299=BI$4),SUM($J299,$M299,$P299,$S299),"")</f>
        <v/>
      </c>
      <c r="BJ299" s="458" t="str">
        <f>IF(AND($G299='Povolené hodnoty'!$B$14,$H299=BJ$4),SUM($J299,$M299,$P299,$S299),"")</f>
        <v/>
      </c>
      <c r="BK299" s="40" t="str">
        <f>IF(AND($G299='Povolené hodnoty'!$B$14,$H299=BK$4),SUM($J299,$M299,$P299,$S299),"")</f>
        <v/>
      </c>
      <c r="BL299" s="40" t="str">
        <f>IF(AND($G299='Povolené hodnoty'!$B$14,$H299=BL$4),SUM($J299,$M299,$P299,$S299),"")</f>
        <v/>
      </c>
      <c r="BM299" s="41" t="str">
        <f>IF(AND($G299='Povolené hodnoty'!$B$14,$H299=BM$4),SUM($J299,$M299,$P299,$S299),"")</f>
        <v/>
      </c>
      <c r="BO299" s="18" t="b">
        <f t="shared" si="176"/>
        <v>0</v>
      </c>
      <c r="BP299" s="18" t="b">
        <f t="shared" si="147"/>
        <v>0</v>
      </c>
      <c r="BQ299" s="18" t="b">
        <f>AND(E299&lt;&gt;'Povolené hodnoty'!$B$6,F299&lt;&gt;'Povolené hodnoty'!$D$7,F299&lt;&gt;'Povolené hodnoty'!$D$8,OR(SUM(I299,L299,O299,R299)&lt;&gt;SUM(W299:X299,AA299:AG299),SUM(J299,M299,P299,S299)&lt;&gt;SUM(Y299:Z299,AH299:AK299),COUNT(I299:J299,L299:M299,O299:P299,R299:S299)&lt;&gt;COUNT(W299:AK299)))</f>
        <v>0</v>
      </c>
      <c r="BR299" s="18" t="b">
        <f>OR(AND(E299='Povolené hodnoty'!$B$6,$BR$5),AND(E299='Povolené hodnoty'!$B$6,H299&lt;&gt;'Povolené hodnoty'!$E$26,H299&lt;&gt;'Povolené hodnoty'!$E$35),AND(E299&lt;&gt;'Povolené hodnoty'!$B$6,OR(H299='Povolené hodnoty'!$E$26,H299='Povolené hodnoty'!$E$35)))</f>
        <v>0</v>
      </c>
      <c r="BS299" s="18" t="b">
        <f>OR(AND(G299&lt;&gt;'Povolené hodnoty'!$B$13,OR(H299='Povolené hodnoty'!$E$21,H299='Povolené hodnoty'!$E$22,H299='Povolené hodnoty'!$E$23,H299='Povolené hodnoty'!$E$24,H299='Povolené hodnoty'!$E$26,H299='Povolené hodnoty'!$E$36)),COUNT(I299:J299,L299:M299,O299:P299,R299:S299)&lt;&gt;COUNT(AL299:BM299))</f>
        <v>0</v>
      </c>
      <c r="BT299" s="18" t="b">
        <f t="shared" si="148"/>
        <v>0</v>
      </c>
      <c r="BV299" s="39" t="str">
        <f t="shared" si="149"/>
        <v/>
      </c>
      <c r="BW299" s="458" t="str">
        <f t="shared" si="150"/>
        <v/>
      </c>
      <c r="BX299" s="458" t="str">
        <f t="shared" si="151"/>
        <v/>
      </c>
      <c r="BY299" s="458" t="str">
        <f t="shared" si="152"/>
        <v/>
      </c>
      <c r="BZ299" s="458" t="str">
        <f t="shared" si="153"/>
        <v/>
      </c>
      <c r="CA299" s="40" t="str">
        <f t="shared" si="154"/>
        <v/>
      </c>
      <c r="CB299" s="40" t="str">
        <f t="shared" si="155"/>
        <v/>
      </c>
      <c r="CC299" s="39" t="str">
        <f t="shared" si="156"/>
        <v/>
      </c>
      <c r="CD299" s="458" t="str">
        <f t="shared" si="157"/>
        <v/>
      </c>
      <c r="CE299" s="41" t="str">
        <f t="shared" si="158"/>
        <v/>
      </c>
      <c r="CF299" s="39" t="str">
        <f t="shared" si="159"/>
        <v/>
      </c>
      <c r="CG299" s="458" t="str">
        <f t="shared" si="160"/>
        <v/>
      </c>
      <c r="CH299" s="458" t="str">
        <f t="shared" si="161"/>
        <v/>
      </c>
      <c r="CI299" s="458" t="str">
        <f t="shared" si="162"/>
        <v/>
      </c>
      <c r="CJ299" s="458" t="str">
        <f t="shared" si="163"/>
        <v/>
      </c>
      <c r="CK299" s="40" t="str">
        <f t="shared" si="164"/>
        <v/>
      </c>
      <c r="CL299" s="40" t="str">
        <f t="shared" si="165"/>
        <v/>
      </c>
      <c r="CM299" s="40" t="str">
        <f t="shared" si="166"/>
        <v/>
      </c>
      <c r="CN299" s="39" t="str">
        <f t="shared" si="167"/>
        <v/>
      </c>
      <c r="CO299" s="458" t="str">
        <f t="shared" si="168"/>
        <v/>
      </c>
      <c r="CP299" s="458" t="str">
        <f t="shared" si="169"/>
        <v/>
      </c>
      <c r="CQ299" s="458" t="str">
        <f t="shared" si="170"/>
        <v/>
      </c>
      <c r="CR299" s="458" t="str">
        <f t="shared" si="171"/>
        <v/>
      </c>
      <c r="CS299" s="40" t="str">
        <f t="shared" si="172"/>
        <v/>
      </c>
      <c r="CT299" s="40" t="str">
        <f t="shared" si="173"/>
        <v/>
      </c>
      <c r="CU299" s="41" t="str">
        <f t="shared" si="174"/>
        <v/>
      </c>
    </row>
    <row r="300" spans="1:99" x14ac:dyDescent="0.2">
      <c r="A300" s="77">
        <f t="shared" si="175"/>
        <v>295</v>
      </c>
      <c r="B300" s="81"/>
      <c r="C300" s="82"/>
      <c r="D300" s="71"/>
      <c r="E300" s="72"/>
      <c r="F300" s="73"/>
      <c r="G300" s="443"/>
      <c r="H300" s="443"/>
      <c r="I300" s="74"/>
      <c r="J300" s="75"/>
      <c r="K300" s="41">
        <f t="shared" si="144"/>
        <v>3625</v>
      </c>
      <c r="L300" s="104"/>
      <c r="M300" s="105"/>
      <c r="N300" s="106">
        <f t="shared" si="145"/>
        <v>537.05999999999995</v>
      </c>
      <c r="O300" s="104"/>
      <c r="P300" s="105"/>
      <c r="Q300" s="106">
        <f t="shared" si="177"/>
        <v>10045.83</v>
      </c>
      <c r="R300" s="104"/>
      <c r="S300" s="105"/>
      <c r="T300" s="106">
        <f t="shared" si="178"/>
        <v>0</v>
      </c>
      <c r="U300" s="439"/>
      <c r="V300" s="42">
        <f t="shared" si="146"/>
        <v>295</v>
      </c>
      <c r="W300" s="39" t="str">
        <f>IF(AND(E300='Povolené hodnoty'!$B$4,F300=2),I300+L300+O300+R300,"")</f>
        <v/>
      </c>
      <c r="X300" s="41" t="str">
        <f>IF(AND(E300='Povolené hodnoty'!$B$4,F300=1),I300+L300+O300+R300,"")</f>
        <v/>
      </c>
      <c r="Y300" s="39" t="str">
        <f>IF(AND(E300='Povolené hodnoty'!$B$4,F300=10),J300+M300+P300+S300,"")</f>
        <v/>
      </c>
      <c r="Z300" s="41" t="str">
        <f>IF(AND(E300='Povolené hodnoty'!$B$4,F300=9),J300+M300+P300+S300,"")</f>
        <v/>
      </c>
      <c r="AA300" s="39" t="str">
        <f>IF(AND(E300&lt;&gt;'Povolené hodnoty'!$B$4,F300=2),I300+L300+O300+R300,"")</f>
        <v/>
      </c>
      <c r="AB300" s="40" t="str">
        <f>IF(AND(E300&lt;&gt;'Povolené hodnoty'!$B$4,F300=3),I300+L300+O300+R300,"")</f>
        <v/>
      </c>
      <c r="AC300" s="40" t="str">
        <f>IF(AND(E300&lt;&gt;'Povolené hodnoty'!$B$4,F300=4),I300+L300+O300+R300,"")</f>
        <v/>
      </c>
      <c r="AD300" s="40" t="str">
        <f>IF(AND(E300&lt;&gt;'Povolené hodnoty'!$B$4,F300="5a"),I300-J300+L300-M300+O300-P300+R300-S300,"")</f>
        <v/>
      </c>
      <c r="AE300" s="40" t="str">
        <f>IF(AND(E300&lt;&gt;'Povolené hodnoty'!$B$4,F300="5b"),I300-J300+L300-M300+O300-P300+R300-S300,"")</f>
        <v/>
      </c>
      <c r="AF300" s="40" t="str">
        <f>IF(AND(E300&lt;&gt;'Povolené hodnoty'!$B$4,F300=6),I300+L300+O300+R300,"")</f>
        <v/>
      </c>
      <c r="AG300" s="41" t="str">
        <f>IF(AND(E300&lt;&gt;'Povolené hodnoty'!$B$4,F300=7),I300+L300+O300+R300,"")</f>
        <v/>
      </c>
      <c r="AH300" s="39" t="str">
        <f>IF(AND(E300&lt;&gt;'Povolené hodnoty'!$B$4,F300=10),J300+M300+P300+S300,"")</f>
        <v/>
      </c>
      <c r="AI300" s="40" t="str">
        <f>IF(AND(E300&lt;&gt;'Povolené hodnoty'!$B$4,F300=11),J300+M300+P300+S300,"")</f>
        <v/>
      </c>
      <c r="AJ300" s="40" t="str">
        <f>IF(AND(E300&lt;&gt;'Povolené hodnoty'!$B$4,F300=12),J300+M300+P300+S300,"")</f>
        <v/>
      </c>
      <c r="AK300" s="41" t="str">
        <f>IF(AND(E300&lt;&gt;'Povolené hodnoty'!$B$4,F300=13),J300+M300+P300+S300,"")</f>
        <v/>
      </c>
      <c r="AL300" s="39" t="str">
        <f>IF(AND($G300='Povolené hodnoty'!$B$13,$H300=AL$4),SUM($I300,$L300,$O300,$R300),"")</f>
        <v/>
      </c>
      <c r="AM300" s="458" t="str">
        <f>IF(AND($G300='Povolené hodnoty'!$B$13,$H300=AM$4),SUM($I300,$L300,$O300,$R300),"")</f>
        <v/>
      </c>
      <c r="AN300" s="458" t="str">
        <f>IF(AND($G300='Povolené hodnoty'!$B$13,$H300=AN$4),SUM($I300,$L300,$O300,$R300),"")</f>
        <v/>
      </c>
      <c r="AO300" s="458" t="str">
        <f>IF(AND($G300='Povolené hodnoty'!$B$13,$H300=AO$4),SUM($I300,$L300,$O300,$R300),"")</f>
        <v/>
      </c>
      <c r="AP300" s="458" t="str">
        <f>IF(AND($G300='Povolené hodnoty'!$B$13,$H300=AP$4),SUM($I300,$L300,$O300,$R300),"")</f>
        <v/>
      </c>
      <c r="AQ300" s="40" t="str">
        <f>IF(AND($G300='Povolené hodnoty'!$B$13,OR($H300=AQ$4,$H300='Povolené hodnoty'!$E$36)),SUM($I300,-$J300,$L300,-$M300,$O300,-$P300,$R300,-$S300),"")</f>
        <v/>
      </c>
      <c r="AR300" s="40" t="str">
        <f>IF(AND($G300='Povolené hodnoty'!$B$13,$H300=AR$4),SUM($I300,$L300,$O300,$R300),"")</f>
        <v/>
      </c>
      <c r="AS300" s="41" t="str">
        <f>IF(AND($G300='Povolené hodnoty'!$B$13,$H300=AS$4),SUM($I300,$L300,$O300,$R300),"")</f>
        <v/>
      </c>
      <c r="AT300" s="39" t="str">
        <f>IF(AND($G300='Povolené hodnoty'!$B$14,$H300=AT$4),SUM($I300,$L300,$O300,$R300),"")</f>
        <v/>
      </c>
      <c r="AU300" s="458" t="str">
        <f>IF(AND($G300='Povolené hodnoty'!$B$14,$H300=AU$4),SUM($I300,$L300,$O300,$R300),"")</f>
        <v/>
      </c>
      <c r="AV300" s="41" t="str">
        <f>IF(AND($G300='Povolené hodnoty'!$B$14,$H300=AV$4),SUM($I300,$L300,$O300,$R300),"")</f>
        <v/>
      </c>
      <c r="AW300" s="39" t="str">
        <f>IF(AND($G300='Povolené hodnoty'!$B$13,$H300=AW$4),SUM($J300,$M300,$P300,$S300),"")</f>
        <v/>
      </c>
      <c r="AX300" s="458" t="str">
        <f>IF(AND($G300='Povolené hodnoty'!$B$13,$H300=AX$4),SUM($J300,$M300,$P300,$S300),"")</f>
        <v/>
      </c>
      <c r="AY300" s="458" t="str">
        <f>IF(AND($G300='Povolené hodnoty'!$B$13,$H300=AY$4),SUM($J300,$M300,$P300,$S300),"")</f>
        <v/>
      </c>
      <c r="AZ300" s="458" t="str">
        <f>IF(AND($G300='Povolené hodnoty'!$B$13,$H300=AZ$4),SUM($J300,$M300,$P300,$S300),"")</f>
        <v/>
      </c>
      <c r="BA300" s="458" t="str">
        <f>IF(AND($G300='Povolené hodnoty'!$B$13,$H300=BA$4),SUM($J300,$M300,$P300,$S300),"")</f>
        <v/>
      </c>
      <c r="BB300" s="40" t="str">
        <f>IF(AND($G300='Povolené hodnoty'!$B$13,$H300=BB$4),SUM($J300,$M300,$P300,$S300),"")</f>
        <v/>
      </c>
      <c r="BC300" s="40" t="str">
        <f>IF(AND($G300='Povolené hodnoty'!$B$13,$H300=BC$4),SUM($J300,$M300,$P300,$S300),"")</f>
        <v/>
      </c>
      <c r="BD300" s="40" t="str">
        <f>IF(AND($G300='Povolené hodnoty'!$B$13,$H300=BD$4),SUM($J300,$M300,$P300,$S300),"")</f>
        <v/>
      </c>
      <c r="BE300" s="41" t="str">
        <f>IF(AND($G300='Povolené hodnoty'!$B$13,$H300=BE$4),SUM($J300,$M300,$P300,$S300),"")</f>
        <v/>
      </c>
      <c r="BF300" s="39" t="str">
        <f>IF(AND($G300='Povolené hodnoty'!$B$14,$H300=BF$4),SUM($J300,$M300,$P300,$S300),"")</f>
        <v/>
      </c>
      <c r="BG300" s="458" t="str">
        <f>IF(AND($G300='Povolené hodnoty'!$B$14,$H300=BG$4),SUM($J300,$M300,$P300,$S300),"")</f>
        <v/>
      </c>
      <c r="BH300" s="458" t="str">
        <f>IF(AND($G300='Povolené hodnoty'!$B$14,$H300=BH$4),SUM($J300,$M300,$P300,$S300),"")</f>
        <v/>
      </c>
      <c r="BI300" s="458" t="str">
        <f>IF(AND($G300='Povolené hodnoty'!$B$14,$H300=BI$4),SUM($J300,$M300,$P300,$S300),"")</f>
        <v/>
      </c>
      <c r="BJ300" s="458" t="str">
        <f>IF(AND($G300='Povolené hodnoty'!$B$14,$H300=BJ$4),SUM($J300,$M300,$P300,$S300),"")</f>
        <v/>
      </c>
      <c r="BK300" s="40" t="str">
        <f>IF(AND($G300='Povolené hodnoty'!$B$14,$H300=BK$4),SUM($J300,$M300,$P300,$S300),"")</f>
        <v/>
      </c>
      <c r="BL300" s="40" t="str">
        <f>IF(AND($G300='Povolené hodnoty'!$B$14,$H300=BL$4),SUM($J300,$M300,$P300,$S300),"")</f>
        <v/>
      </c>
      <c r="BM300" s="41" t="str">
        <f>IF(AND($G300='Povolené hodnoty'!$B$14,$H300=BM$4),SUM($J300,$M300,$P300,$S300),"")</f>
        <v/>
      </c>
      <c r="BO300" s="18" t="b">
        <f t="shared" si="176"/>
        <v>0</v>
      </c>
      <c r="BP300" s="18" t="b">
        <f t="shared" si="147"/>
        <v>0</v>
      </c>
      <c r="BQ300" s="18" t="b">
        <f>AND(E300&lt;&gt;'Povolené hodnoty'!$B$6,F300&lt;&gt;'Povolené hodnoty'!$D$7,F300&lt;&gt;'Povolené hodnoty'!$D$8,OR(SUM(I300,L300,O300,R300)&lt;&gt;SUM(W300:X300,AA300:AG300),SUM(J300,M300,P300,S300)&lt;&gt;SUM(Y300:Z300,AH300:AK300),COUNT(I300:J300,L300:M300,O300:P300,R300:S300)&lt;&gt;COUNT(W300:AK300)))</f>
        <v>0</v>
      </c>
      <c r="BR300" s="18" t="b">
        <f>OR(AND(E300='Povolené hodnoty'!$B$6,$BR$5),AND(E300='Povolené hodnoty'!$B$6,H300&lt;&gt;'Povolené hodnoty'!$E$26,H300&lt;&gt;'Povolené hodnoty'!$E$35),AND(E300&lt;&gt;'Povolené hodnoty'!$B$6,OR(H300='Povolené hodnoty'!$E$26,H300='Povolené hodnoty'!$E$35)))</f>
        <v>0</v>
      </c>
      <c r="BS300" s="18" t="b">
        <f>OR(AND(G300&lt;&gt;'Povolené hodnoty'!$B$13,OR(H300='Povolené hodnoty'!$E$21,H300='Povolené hodnoty'!$E$22,H300='Povolené hodnoty'!$E$23,H300='Povolené hodnoty'!$E$24,H300='Povolené hodnoty'!$E$26,H300='Povolené hodnoty'!$E$36)),COUNT(I300:J300,L300:M300,O300:P300,R300:S300)&lt;&gt;COUNT(AL300:BM300))</f>
        <v>0</v>
      </c>
      <c r="BT300" s="18" t="b">
        <f t="shared" si="148"/>
        <v>0</v>
      </c>
      <c r="BV300" s="39" t="str">
        <f t="shared" si="149"/>
        <v/>
      </c>
      <c r="BW300" s="458" t="str">
        <f t="shared" si="150"/>
        <v/>
      </c>
      <c r="BX300" s="458" t="str">
        <f t="shared" si="151"/>
        <v/>
      </c>
      <c r="BY300" s="458" t="str">
        <f t="shared" si="152"/>
        <v/>
      </c>
      <c r="BZ300" s="458" t="str">
        <f t="shared" si="153"/>
        <v/>
      </c>
      <c r="CA300" s="40" t="str">
        <f t="shared" si="154"/>
        <v/>
      </c>
      <c r="CB300" s="40" t="str">
        <f t="shared" si="155"/>
        <v/>
      </c>
      <c r="CC300" s="39" t="str">
        <f t="shared" si="156"/>
        <v/>
      </c>
      <c r="CD300" s="458" t="str">
        <f t="shared" si="157"/>
        <v/>
      </c>
      <c r="CE300" s="41" t="str">
        <f t="shared" si="158"/>
        <v/>
      </c>
      <c r="CF300" s="39" t="str">
        <f t="shared" si="159"/>
        <v/>
      </c>
      <c r="CG300" s="458" t="str">
        <f t="shared" si="160"/>
        <v/>
      </c>
      <c r="CH300" s="458" t="str">
        <f t="shared" si="161"/>
        <v/>
      </c>
      <c r="CI300" s="458" t="str">
        <f t="shared" si="162"/>
        <v/>
      </c>
      <c r="CJ300" s="458" t="str">
        <f t="shared" si="163"/>
        <v/>
      </c>
      <c r="CK300" s="40" t="str">
        <f t="shared" si="164"/>
        <v/>
      </c>
      <c r="CL300" s="40" t="str">
        <f t="shared" si="165"/>
        <v/>
      </c>
      <c r="CM300" s="40" t="str">
        <f t="shared" si="166"/>
        <v/>
      </c>
      <c r="CN300" s="39" t="str">
        <f t="shared" si="167"/>
        <v/>
      </c>
      <c r="CO300" s="458" t="str">
        <f t="shared" si="168"/>
        <v/>
      </c>
      <c r="CP300" s="458" t="str">
        <f t="shared" si="169"/>
        <v/>
      </c>
      <c r="CQ300" s="458" t="str">
        <f t="shared" si="170"/>
        <v/>
      </c>
      <c r="CR300" s="458" t="str">
        <f t="shared" si="171"/>
        <v/>
      </c>
      <c r="CS300" s="40" t="str">
        <f t="shared" si="172"/>
        <v/>
      </c>
      <c r="CT300" s="40" t="str">
        <f t="shared" si="173"/>
        <v/>
      </c>
      <c r="CU300" s="41" t="str">
        <f t="shared" si="174"/>
        <v/>
      </c>
    </row>
    <row r="301" spans="1:99" x14ac:dyDescent="0.2">
      <c r="A301" s="77">
        <f t="shared" si="175"/>
        <v>296</v>
      </c>
      <c r="B301" s="81"/>
      <c r="C301" s="82"/>
      <c r="D301" s="71"/>
      <c r="E301" s="72"/>
      <c r="F301" s="73"/>
      <c r="G301" s="443"/>
      <c r="H301" s="443"/>
      <c r="I301" s="74"/>
      <c r="J301" s="75"/>
      <c r="K301" s="41">
        <f t="shared" ref="K301:K364" si="179">K300+I301-J301</f>
        <v>3625</v>
      </c>
      <c r="L301" s="104"/>
      <c r="M301" s="105"/>
      <c r="N301" s="106">
        <f t="shared" ref="N301:N364" si="180">N300+L301-M301</f>
        <v>537.05999999999995</v>
      </c>
      <c r="O301" s="104"/>
      <c r="P301" s="105"/>
      <c r="Q301" s="106">
        <f t="shared" si="177"/>
        <v>10045.83</v>
      </c>
      <c r="R301" s="104"/>
      <c r="S301" s="105"/>
      <c r="T301" s="106">
        <f t="shared" si="178"/>
        <v>0</v>
      </c>
      <c r="U301" s="439"/>
      <c r="V301" s="42">
        <f t="shared" si="146"/>
        <v>296</v>
      </c>
      <c r="W301" s="39" t="str">
        <f>IF(AND(E301='Povolené hodnoty'!$B$4,F301=2),I301+L301+O301+R301,"")</f>
        <v/>
      </c>
      <c r="X301" s="41" t="str">
        <f>IF(AND(E301='Povolené hodnoty'!$B$4,F301=1),I301+L301+O301+R301,"")</f>
        <v/>
      </c>
      <c r="Y301" s="39" t="str">
        <f>IF(AND(E301='Povolené hodnoty'!$B$4,F301=10),J301+M301+P301+S301,"")</f>
        <v/>
      </c>
      <c r="Z301" s="41" t="str">
        <f>IF(AND(E301='Povolené hodnoty'!$B$4,F301=9),J301+M301+P301+S301,"")</f>
        <v/>
      </c>
      <c r="AA301" s="39" t="str">
        <f>IF(AND(E301&lt;&gt;'Povolené hodnoty'!$B$4,F301=2),I301+L301+O301+R301,"")</f>
        <v/>
      </c>
      <c r="AB301" s="40" t="str">
        <f>IF(AND(E301&lt;&gt;'Povolené hodnoty'!$B$4,F301=3),I301+L301+O301+R301,"")</f>
        <v/>
      </c>
      <c r="AC301" s="40" t="str">
        <f>IF(AND(E301&lt;&gt;'Povolené hodnoty'!$B$4,F301=4),I301+L301+O301+R301,"")</f>
        <v/>
      </c>
      <c r="AD301" s="40" t="str">
        <f>IF(AND(E301&lt;&gt;'Povolené hodnoty'!$B$4,F301="5a"),I301-J301+L301-M301+O301-P301+R301-S301,"")</f>
        <v/>
      </c>
      <c r="AE301" s="40" t="str">
        <f>IF(AND(E301&lt;&gt;'Povolené hodnoty'!$B$4,F301="5b"),I301-J301+L301-M301+O301-P301+R301-S301,"")</f>
        <v/>
      </c>
      <c r="AF301" s="40" t="str">
        <f>IF(AND(E301&lt;&gt;'Povolené hodnoty'!$B$4,F301=6),I301+L301+O301+R301,"")</f>
        <v/>
      </c>
      <c r="AG301" s="41" t="str">
        <f>IF(AND(E301&lt;&gt;'Povolené hodnoty'!$B$4,F301=7),I301+L301+O301+R301,"")</f>
        <v/>
      </c>
      <c r="AH301" s="39" t="str">
        <f>IF(AND(E301&lt;&gt;'Povolené hodnoty'!$B$4,F301=10),J301+M301+P301+S301,"")</f>
        <v/>
      </c>
      <c r="AI301" s="40" t="str">
        <f>IF(AND(E301&lt;&gt;'Povolené hodnoty'!$B$4,F301=11),J301+M301+P301+S301,"")</f>
        <v/>
      </c>
      <c r="AJ301" s="40" t="str">
        <f>IF(AND(E301&lt;&gt;'Povolené hodnoty'!$B$4,F301=12),J301+M301+P301+S301,"")</f>
        <v/>
      </c>
      <c r="AK301" s="41" t="str">
        <f>IF(AND(E301&lt;&gt;'Povolené hodnoty'!$B$4,F301=13),J301+M301+P301+S301,"")</f>
        <v/>
      </c>
      <c r="AL301" s="39" t="str">
        <f>IF(AND($G301='Povolené hodnoty'!$B$13,$H301=AL$4),SUM($I301,$L301,$O301,$R301),"")</f>
        <v/>
      </c>
      <c r="AM301" s="458" t="str">
        <f>IF(AND($G301='Povolené hodnoty'!$B$13,$H301=AM$4),SUM($I301,$L301,$O301,$R301),"")</f>
        <v/>
      </c>
      <c r="AN301" s="458" t="str">
        <f>IF(AND($G301='Povolené hodnoty'!$B$13,$H301=AN$4),SUM($I301,$L301,$O301,$R301),"")</f>
        <v/>
      </c>
      <c r="AO301" s="458" t="str">
        <f>IF(AND($G301='Povolené hodnoty'!$B$13,$H301=AO$4),SUM($I301,$L301,$O301,$R301),"")</f>
        <v/>
      </c>
      <c r="AP301" s="458" t="str">
        <f>IF(AND($G301='Povolené hodnoty'!$B$13,$H301=AP$4),SUM($I301,$L301,$O301,$R301),"")</f>
        <v/>
      </c>
      <c r="AQ301" s="40" t="str">
        <f>IF(AND($G301='Povolené hodnoty'!$B$13,OR($H301=AQ$4,$H301='Povolené hodnoty'!$E$36)),SUM($I301,-$J301,$L301,-$M301,$O301,-$P301,$R301,-$S301),"")</f>
        <v/>
      </c>
      <c r="AR301" s="40" t="str">
        <f>IF(AND($G301='Povolené hodnoty'!$B$13,$H301=AR$4),SUM($I301,$L301,$O301,$R301),"")</f>
        <v/>
      </c>
      <c r="AS301" s="41" t="str">
        <f>IF(AND($G301='Povolené hodnoty'!$B$13,$H301=AS$4),SUM($I301,$L301,$O301,$R301),"")</f>
        <v/>
      </c>
      <c r="AT301" s="39" t="str">
        <f>IF(AND($G301='Povolené hodnoty'!$B$14,$H301=AT$4),SUM($I301,$L301,$O301,$R301),"")</f>
        <v/>
      </c>
      <c r="AU301" s="458" t="str">
        <f>IF(AND($G301='Povolené hodnoty'!$B$14,$H301=AU$4),SUM($I301,$L301,$O301,$R301),"")</f>
        <v/>
      </c>
      <c r="AV301" s="41" t="str">
        <f>IF(AND($G301='Povolené hodnoty'!$B$14,$H301=AV$4),SUM($I301,$L301,$O301,$R301),"")</f>
        <v/>
      </c>
      <c r="AW301" s="39" t="str">
        <f>IF(AND($G301='Povolené hodnoty'!$B$13,$H301=AW$4),SUM($J301,$M301,$P301,$S301),"")</f>
        <v/>
      </c>
      <c r="AX301" s="458" t="str">
        <f>IF(AND($G301='Povolené hodnoty'!$B$13,$H301=AX$4),SUM($J301,$M301,$P301,$S301),"")</f>
        <v/>
      </c>
      <c r="AY301" s="458" t="str">
        <f>IF(AND($G301='Povolené hodnoty'!$B$13,$H301=AY$4),SUM($J301,$M301,$P301,$S301),"")</f>
        <v/>
      </c>
      <c r="AZ301" s="458" t="str">
        <f>IF(AND($G301='Povolené hodnoty'!$B$13,$H301=AZ$4),SUM($J301,$M301,$P301,$S301),"")</f>
        <v/>
      </c>
      <c r="BA301" s="458" t="str">
        <f>IF(AND($G301='Povolené hodnoty'!$B$13,$H301=BA$4),SUM($J301,$M301,$P301,$S301),"")</f>
        <v/>
      </c>
      <c r="BB301" s="40" t="str">
        <f>IF(AND($G301='Povolené hodnoty'!$B$13,$H301=BB$4),SUM($J301,$M301,$P301,$S301),"")</f>
        <v/>
      </c>
      <c r="BC301" s="40" t="str">
        <f>IF(AND($G301='Povolené hodnoty'!$B$13,$H301=BC$4),SUM($J301,$M301,$P301,$S301),"")</f>
        <v/>
      </c>
      <c r="BD301" s="40" t="str">
        <f>IF(AND($G301='Povolené hodnoty'!$B$13,$H301=BD$4),SUM($J301,$M301,$P301,$S301),"")</f>
        <v/>
      </c>
      <c r="BE301" s="41" t="str">
        <f>IF(AND($G301='Povolené hodnoty'!$B$13,$H301=BE$4),SUM($J301,$M301,$P301,$S301),"")</f>
        <v/>
      </c>
      <c r="BF301" s="39" t="str">
        <f>IF(AND($G301='Povolené hodnoty'!$B$14,$H301=BF$4),SUM($J301,$M301,$P301,$S301),"")</f>
        <v/>
      </c>
      <c r="BG301" s="458" t="str">
        <f>IF(AND($G301='Povolené hodnoty'!$B$14,$H301=BG$4),SUM($J301,$M301,$P301,$S301),"")</f>
        <v/>
      </c>
      <c r="BH301" s="458" t="str">
        <f>IF(AND($G301='Povolené hodnoty'!$B$14,$H301=BH$4),SUM($J301,$M301,$P301,$S301),"")</f>
        <v/>
      </c>
      <c r="BI301" s="458" t="str">
        <f>IF(AND($G301='Povolené hodnoty'!$B$14,$H301=BI$4),SUM($J301,$M301,$P301,$S301),"")</f>
        <v/>
      </c>
      <c r="BJ301" s="458" t="str">
        <f>IF(AND($G301='Povolené hodnoty'!$B$14,$H301=BJ$4),SUM($J301,$M301,$P301,$S301),"")</f>
        <v/>
      </c>
      <c r="BK301" s="40" t="str">
        <f>IF(AND($G301='Povolené hodnoty'!$B$14,$H301=BK$4),SUM($J301,$M301,$P301,$S301),"")</f>
        <v/>
      </c>
      <c r="BL301" s="40" t="str">
        <f>IF(AND($G301='Povolené hodnoty'!$B$14,$H301=BL$4),SUM($J301,$M301,$P301,$S301),"")</f>
        <v/>
      </c>
      <c r="BM301" s="41" t="str">
        <f>IF(AND($G301='Povolené hodnoty'!$B$14,$H301=BM$4),SUM($J301,$M301,$P301,$S301),"")</f>
        <v/>
      </c>
      <c r="BO301" s="18" t="b">
        <f t="shared" si="176"/>
        <v>0</v>
      </c>
      <c r="BP301" s="18" t="b">
        <f t="shared" si="147"/>
        <v>0</v>
      </c>
      <c r="BQ301" s="18" t="b">
        <f>AND(E301&lt;&gt;'Povolené hodnoty'!$B$6,F301&lt;&gt;'Povolené hodnoty'!$D$7,F301&lt;&gt;'Povolené hodnoty'!$D$8,OR(SUM(I301,L301,O301,R301)&lt;&gt;SUM(W301:X301,AA301:AG301),SUM(J301,M301,P301,S301)&lt;&gt;SUM(Y301:Z301,AH301:AK301),COUNT(I301:J301,L301:M301,O301:P301,R301:S301)&lt;&gt;COUNT(W301:AK301)))</f>
        <v>0</v>
      </c>
      <c r="BR301" s="18" t="b">
        <f>OR(AND(E301='Povolené hodnoty'!$B$6,$BR$5),AND(E301='Povolené hodnoty'!$B$6,H301&lt;&gt;'Povolené hodnoty'!$E$26,H301&lt;&gt;'Povolené hodnoty'!$E$35),AND(E301&lt;&gt;'Povolené hodnoty'!$B$6,OR(H301='Povolené hodnoty'!$E$26,H301='Povolené hodnoty'!$E$35)))</f>
        <v>0</v>
      </c>
      <c r="BS301" s="18" t="b">
        <f>OR(AND(G301&lt;&gt;'Povolené hodnoty'!$B$13,OR(H301='Povolené hodnoty'!$E$21,H301='Povolené hodnoty'!$E$22,H301='Povolené hodnoty'!$E$23,H301='Povolené hodnoty'!$E$24,H301='Povolené hodnoty'!$E$26,H301='Povolené hodnoty'!$E$36)),COUNT(I301:J301,L301:M301,O301:P301,R301:S301)&lt;&gt;COUNT(AL301:BM301))</f>
        <v>0</v>
      </c>
      <c r="BT301" s="18" t="b">
        <f t="shared" si="148"/>
        <v>0</v>
      </c>
      <c r="BV301" s="39" t="str">
        <f t="shared" si="149"/>
        <v/>
      </c>
      <c r="BW301" s="458" t="str">
        <f t="shared" si="150"/>
        <v/>
      </c>
      <c r="BX301" s="458" t="str">
        <f t="shared" si="151"/>
        <v/>
      </c>
      <c r="BY301" s="458" t="str">
        <f t="shared" si="152"/>
        <v/>
      </c>
      <c r="BZ301" s="458" t="str">
        <f t="shared" si="153"/>
        <v/>
      </c>
      <c r="CA301" s="40" t="str">
        <f t="shared" si="154"/>
        <v/>
      </c>
      <c r="CB301" s="40" t="str">
        <f t="shared" si="155"/>
        <v/>
      </c>
      <c r="CC301" s="39" t="str">
        <f t="shared" si="156"/>
        <v/>
      </c>
      <c r="CD301" s="458" t="str">
        <f t="shared" si="157"/>
        <v/>
      </c>
      <c r="CE301" s="41" t="str">
        <f t="shared" si="158"/>
        <v/>
      </c>
      <c r="CF301" s="39" t="str">
        <f t="shared" si="159"/>
        <v/>
      </c>
      <c r="CG301" s="458" t="str">
        <f t="shared" si="160"/>
        <v/>
      </c>
      <c r="CH301" s="458" t="str">
        <f t="shared" si="161"/>
        <v/>
      </c>
      <c r="CI301" s="458" t="str">
        <f t="shared" si="162"/>
        <v/>
      </c>
      <c r="CJ301" s="458" t="str">
        <f t="shared" si="163"/>
        <v/>
      </c>
      <c r="CK301" s="40" t="str">
        <f t="shared" si="164"/>
        <v/>
      </c>
      <c r="CL301" s="40" t="str">
        <f t="shared" si="165"/>
        <v/>
      </c>
      <c r="CM301" s="40" t="str">
        <f t="shared" si="166"/>
        <v/>
      </c>
      <c r="CN301" s="39" t="str">
        <f t="shared" si="167"/>
        <v/>
      </c>
      <c r="CO301" s="458" t="str">
        <f t="shared" si="168"/>
        <v/>
      </c>
      <c r="CP301" s="458" t="str">
        <f t="shared" si="169"/>
        <v/>
      </c>
      <c r="CQ301" s="458" t="str">
        <f t="shared" si="170"/>
        <v/>
      </c>
      <c r="CR301" s="458" t="str">
        <f t="shared" si="171"/>
        <v/>
      </c>
      <c r="CS301" s="40" t="str">
        <f t="shared" si="172"/>
        <v/>
      </c>
      <c r="CT301" s="40" t="str">
        <f t="shared" si="173"/>
        <v/>
      </c>
      <c r="CU301" s="41" t="str">
        <f t="shared" si="174"/>
        <v/>
      </c>
    </row>
    <row r="302" spans="1:99" x14ac:dyDescent="0.2">
      <c r="A302" s="77">
        <f t="shared" si="175"/>
        <v>297</v>
      </c>
      <c r="B302" s="81"/>
      <c r="C302" s="82"/>
      <c r="D302" s="71"/>
      <c r="E302" s="72"/>
      <c r="F302" s="73"/>
      <c r="G302" s="443"/>
      <c r="H302" s="443"/>
      <c r="I302" s="74"/>
      <c r="J302" s="75"/>
      <c r="K302" s="41">
        <f t="shared" si="179"/>
        <v>3625</v>
      </c>
      <c r="L302" s="104"/>
      <c r="M302" s="105"/>
      <c r="N302" s="106">
        <f t="shared" si="180"/>
        <v>537.05999999999995</v>
      </c>
      <c r="O302" s="104"/>
      <c r="P302" s="105"/>
      <c r="Q302" s="106">
        <f t="shared" si="177"/>
        <v>10045.83</v>
      </c>
      <c r="R302" s="104"/>
      <c r="S302" s="105"/>
      <c r="T302" s="106">
        <f t="shared" si="178"/>
        <v>0</v>
      </c>
      <c r="U302" s="439"/>
      <c r="V302" s="42">
        <f t="shared" si="146"/>
        <v>297</v>
      </c>
      <c r="W302" s="39" t="str">
        <f>IF(AND(E302='Povolené hodnoty'!$B$4,F302=2),I302+L302+O302+R302,"")</f>
        <v/>
      </c>
      <c r="X302" s="41" t="str">
        <f>IF(AND(E302='Povolené hodnoty'!$B$4,F302=1),I302+L302+O302+R302,"")</f>
        <v/>
      </c>
      <c r="Y302" s="39" t="str">
        <f>IF(AND(E302='Povolené hodnoty'!$B$4,F302=10),J302+M302+P302+S302,"")</f>
        <v/>
      </c>
      <c r="Z302" s="41" t="str">
        <f>IF(AND(E302='Povolené hodnoty'!$B$4,F302=9),J302+M302+P302+S302,"")</f>
        <v/>
      </c>
      <c r="AA302" s="39" t="str">
        <f>IF(AND(E302&lt;&gt;'Povolené hodnoty'!$B$4,F302=2),I302+L302+O302+R302,"")</f>
        <v/>
      </c>
      <c r="AB302" s="40" t="str">
        <f>IF(AND(E302&lt;&gt;'Povolené hodnoty'!$B$4,F302=3),I302+L302+O302+R302,"")</f>
        <v/>
      </c>
      <c r="AC302" s="40" t="str">
        <f>IF(AND(E302&lt;&gt;'Povolené hodnoty'!$B$4,F302=4),I302+L302+O302+R302,"")</f>
        <v/>
      </c>
      <c r="AD302" s="40" t="str">
        <f>IF(AND(E302&lt;&gt;'Povolené hodnoty'!$B$4,F302="5a"),I302-J302+L302-M302+O302-P302+R302-S302,"")</f>
        <v/>
      </c>
      <c r="AE302" s="40" t="str">
        <f>IF(AND(E302&lt;&gt;'Povolené hodnoty'!$B$4,F302="5b"),I302-J302+L302-M302+O302-P302+R302-S302,"")</f>
        <v/>
      </c>
      <c r="AF302" s="40" t="str">
        <f>IF(AND(E302&lt;&gt;'Povolené hodnoty'!$B$4,F302=6),I302+L302+O302+R302,"")</f>
        <v/>
      </c>
      <c r="AG302" s="41" t="str">
        <f>IF(AND(E302&lt;&gt;'Povolené hodnoty'!$B$4,F302=7),I302+L302+O302+R302,"")</f>
        <v/>
      </c>
      <c r="AH302" s="39" t="str">
        <f>IF(AND(E302&lt;&gt;'Povolené hodnoty'!$B$4,F302=10),J302+M302+P302+S302,"")</f>
        <v/>
      </c>
      <c r="AI302" s="40" t="str">
        <f>IF(AND(E302&lt;&gt;'Povolené hodnoty'!$B$4,F302=11),J302+M302+P302+S302,"")</f>
        <v/>
      </c>
      <c r="AJ302" s="40" t="str">
        <f>IF(AND(E302&lt;&gt;'Povolené hodnoty'!$B$4,F302=12),J302+M302+P302+S302,"")</f>
        <v/>
      </c>
      <c r="AK302" s="41" t="str">
        <f>IF(AND(E302&lt;&gt;'Povolené hodnoty'!$B$4,F302=13),J302+M302+P302+S302,"")</f>
        <v/>
      </c>
      <c r="AL302" s="39" t="str">
        <f>IF(AND($G302='Povolené hodnoty'!$B$13,$H302=AL$4),SUM($I302,$L302,$O302,$R302),"")</f>
        <v/>
      </c>
      <c r="AM302" s="458" t="str">
        <f>IF(AND($G302='Povolené hodnoty'!$B$13,$H302=AM$4),SUM($I302,$L302,$O302,$R302),"")</f>
        <v/>
      </c>
      <c r="AN302" s="458" t="str">
        <f>IF(AND($G302='Povolené hodnoty'!$B$13,$H302=AN$4),SUM($I302,$L302,$O302,$R302),"")</f>
        <v/>
      </c>
      <c r="AO302" s="458" t="str">
        <f>IF(AND($G302='Povolené hodnoty'!$B$13,$H302=AO$4),SUM($I302,$L302,$O302,$R302),"")</f>
        <v/>
      </c>
      <c r="AP302" s="458" t="str">
        <f>IF(AND($G302='Povolené hodnoty'!$B$13,$H302=AP$4),SUM($I302,$L302,$O302,$R302),"")</f>
        <v/>
      </c>
      <c r="AQ302" s="40" t="str">
        <f>IF(AND($G302='Povolené hodnoty'!$B$13,OR($H302=AQ$4,$H302='Povolené hodnoty'!$E$36)),SUM($I302,-$J302,$L302,-$M302,$O302,-$P302,$R302,-$S302),"")</f>
        <v/>
      </c>
      <c r="AR302" s="40" t="str">
        <f>IF(AND($G302='Povolené hodnoty'!$B$13,$H302=AR$4),SUM($I302,$L302,$O302,$R302),"")</f>
        <v/>
      </c>
      <c r="AS302" s="41" t="str">
        <f>IF(AND($G302='Povolené hodnoty'!$B$13,$H302=AS$4),SUM($I302,$L302,$O302,$R302),"")</f>
        <v/>
      </c>
      <c r="AT302" s="39" t="str">
        <f>IF(AND($G302='Povolené hodnoty'!$B$14,$H302=AT$4),SUM($I302,$L302,$O302,$R302),"")</f>
        <v/>
      </c>
      <c r="AU302" s="458" t="str">
        <f>IF(AND($G302='Povolené hodnoty'!$B$14,$H302=AU$4),SUM($I302,$L302,$O302,$R302),"")</f>
        <v/>
      </c>
      <c r="AV302" s="41" t="str">
        <f>IF(AND($G302='Povolené hodnoty'!$B$14,$H302=AV$4),SUM($I302,$L302,$O302,$R302),"")</f>
        <v/>
      </c>
      <c r="AW302" s="39" t="str">
        <f>IF(AND($G302='Povolené hodnoty'!$B$13,$H302=AW$4),SUM($J302,$M302,$P302,$S302),"")</f>
        <v/>
      </c>
      <c r="AX302" s="458" t="str">
        <f>IF(AND($G302='Povolené hodnoty'!$B$13,$H302=AX$4),SUM($J302,$M302,$P302,$S302),"")</f>
        <v/>
      </c>
      <c r="AY302" s="458" t="str">
        <f>IF(AND($G302='Povolené hodnoty'!$B$13,$H302=AY$4),SUM($J302,$M302,$P302,$S302),"")</f>
        <v/>
      </c>
      <c r="AZ302" s="458" t="str">
        <f>IF(AND($G302='Povolené hodnoty'!$B$13,$H302=AZ$4),SUM($J302,$M302,$P302,$S302),"")</f>
        <v/>
      </c>
      <c r="BA302" s="458" t="str">
        <f>IF(AND($G302='Povolené hodnoty'!$B$13,$H302=BA$4),SUM($J302,$M302,$P302,$S302),"")</f>
        <v/>
      </c>
      <c r="BB302" s="40" t="str">
        <f>IF(AND($G302='Povolené hodnoty'!$B$13,$H302=BB$4),SUM($J302,$M302,$P302,$S302),"")</f>
        <v/>
      </c>
      <c r="BC302" s="40" t="str">
        <f>IF(AND($G302='Povolené hodnoty'!$B$13,$H302=BC$4),SUM($J302,$M302,$P302,$S302),"")</f>
        <v/>
      </c>
      <c r="BD302" s="40" t="str">
        <f>IF(AND($G302='Povolené hodnoty'!$B$13,$H302=BD$4),SUM($J302,$M302,$P302,$S302),"")</f>
        <v/>
      </c>
      <c r="BE302" s="41" t="str">
        <f>IF(AND($G302='Povolené hodnoty'!$B$13,$H302=BE$4),SUM($J302,$M302,$P302,$S302),"")</f>
        <v/>
      </c>
      <c r="BF302" s="39" t="str">
        <f>IF(AND($G302='Povolené hodnoty'!$B$14,$H302=BF$4),SUM($J302,$M302,$P302,$S302),"")</f>
        <v/>
      </c>
      <c r="BG302" s="458" t="str">
        <f>IF(AND($G302='Povolené hodnoty'!$B$14,$H302=BG$4),SUM($J302,$M302,$P302,$S302),"")</f>
        <v/>
      </c>
      <c r="BH302" s="458" t="str">
        <f>IF(AND($G302='Povolené hodnoty'!$B$14,$H302=BH$4),SUM($J302,$M302,$P302,$S302),"")</f>
        <v/>
      </c>
      <c r="BI302" s="458" t="str">
        <f>IF(AND($G302='Povolené hodnoty'!$B$14,$H302=BI$4),SUM($J302,$M302,$P302,$S302),"")</f>
        <v/>
      </c>
      <c r="BJ302" s="458" t="str">
        <f>IF(AND($G302='Povolené hodnoty'!$B$14,$H302=BJ$4),SUM($J302,$M302,$P302,$S302),"")</f>
        <v/>
      </c>
      <c r="BK302" s="40" t="str">
        <f>IF(AND($G302='Povolené hodnoty'!$B$14,$H302=BK$4),SUM($J302,$M302,$P302,$S302),"")</f>
        <v/>
      </c>
      <c r="BL302" s="40" t="str">
        <f>IF(AND($G302='Povolené hodnoty'!$B$14,$H302=BL$4),SUM($J302,$M302,$P302,$S302),"")</f>
        <v/>
      </c>
      <c r="BM302" s="41" t="str">
        <f>IF(AND($G302='Povolené hodnoty'!$B$14,$H302=BM$4),SUM($J302,$M302,$P302,$S302),"")</f>
        <v/>
      </c>
      <c r="BO302" s="18" t="b">
        <f t="shared" si="176"/>
        <v>0</v>
      </c>
      <c r="BP302" s="18" t="b">
        <f t="shared" si="147"/>
        <v>0</v>
      </c>
      <c r="BQ302" s="18" t="b">
        <f>AND(E302&lt;&gt;'Povolené hodnoty'!$B$6,F302&lt;&gt;'Povolené hodnoty'!$D$7,F302&lt;&gt;'Povolené hodnoty'!$D$8,OR(SUM(I302,L302,O302,R302)&lt;&gt;SUM(W302:X302,AA302:AG302),SUM(J302,M302,P302,S302)&lt;&gt;SUM(Y302:Z302,AH302:AK302),COUNT(I302:J302,L302:M302,O302:P302,R302:S302)&lt;&gt;COUNT(W302:AK302)))</f>
        <v>0</v>
      </c>
      <c r="BR302" s="18" t="b">
        <f>OR(AND(E302='Povolené hodnoty'!$B$6,$BR$5),AND(E302='Povolené hodnoty'!$B$6,H302&lt;&gt;'Povolené hodnoty'!$E$26,H302&lt;&gt;'Povolené hodnoty'!$E$35),AND(E302&lt;&gt;'Povolené hodnoty'!$B$6,OR(H302='Povolené hodnoty'!$E$26,H302='Povolené hodnoty'!$E$35)))</f>
        <v>0</v>
      </c>
      <c r="BS302" s="18" t="b">
        <f>OR(AND(G302&lt;&gt;'Povolené hodnoty'!$B$13,OR(H302='Povolené hodnoty'!$E$21,H302='Povolené hodnoty'!$E$22,H302='Povolené hodnoty'!$E$23,H302='Povolené hodnoty'!$E$24,H302='Povolené hodnoty'!$E$26,H302='Povolené hodnoty'!$E$36)),COUNT(I302:J302,L302:M302,O302:P302,R302:S302)&lt;&gt;COUNT(AL302:BM302))</f>
        <v>0</v>
      </c>
      <c r="BT302" s="18" t="b">
        <f t="shared" si="148"/>
        <v>0</v>
      </c>
      <c r="BV302" s="39" t="str">
        <f t="shared" si="149"/>
        <v/>
      </c>
      <c r="BW302" s="458" t="str">
        <f t="shared" si="150"/>
        <v/>
      </c>
      <c r="BX302" s="458" t="str">
        <f t="shared" si="151"/>
        <v/>
      </c>
      <c r="BY302" s="458" t="str">
        <f t="shared" si="152"/>
        <v/>
      </c>
      <c r="BZ302" s="458" t="str">
        <f t="shared" si="153"/>
        <v/>
      </c>
      <c r="CA302" s="40" t="str">
        <f t="shared" si="154"/>
        <v/>
      </c>
      <c r="CB302" s="40" t="str">
        <f t="shared" si="155"/>
        <v/>
      </c>
      <c r="CC302" s="39" t="str">
        <f t="shared" si="156"/>
        <v/>
      </c>
      <c r="CD302" s="458" t="str">
        <f t="shared" si="157"/>
        <v/>
      </c>
      <c r="CE302" s="41" t="str">
        <f t="shared" si="158"/>
        <v/>
      </c>
      <c r="CF302" s="39" t="str">
        <f t="shared" si="159"/>
        <v/>
      </c>
      <c r="CG302" s="458" t="str">
        <f t="shared" si="160"/>
        <v/>
      </c>
      <c r="CH302" s="458" t="str">
        <f t="shared" si="161"/>
        <v/>
      </c>
      <c r="CI302" s="458" t="str">
        <f t="shared" si="162"/>
        <v/>
      </c>
      <c r="CJ302" s="458" t="str">
        <f t="shared" si="163"/>
        <v/>
      </c>
      <c r="CK302" s="40" t="str">
        <f t="shared" si="164"/>
        <v/>
      </c>
      <c r="CL302" s="40" t="str">
        <f t="shared" si="165"/>
        <v/>
      </c>
      <c r="CM302" s="40" t="str">
        <f t="shared" si="166"/>
        <v/>
      </c>
      <c r="CN302" s="39" t="str">
        <f t="shared" si="167"/>
        <v/>
      </c>
      <c r="CO302" s="458" t="str">
        <f t="shared" si="168"/>
        <v/>
      </c>
      <c r="CP302" s="458" t="str">
        <f t="shared" si="169"/>
        <v/>
      </c>
      <c r="CQ302" s="458" t="str">
        <f t="shared" si="170"/>
        <v/>
      </c>
      <c r="CR302" s="458" t="str">
        <f t="shared" si="171"/>
        <v/>
      </c>
      <c r="CS302" s="40" t="str">
        <f t="shared" si="172"/>
        <v/>
      </c>
      <c r="CT302" s="40" t="str">
        <f t="shared" si="173"/>
        <v/>
      </c>
      <c r="CU302" s="41" t="str">
        <f t="shared" si="174"/>
        <v/>
      </c>
    </row>
    <row r="303" spans="1:99" x14ac:dyDescent="0.2">
      <c r="A303" s="77">
        <f t="shared" si="175"/>
        <v>298</v>
      </c>
      <c r="B303" s="81"/>
      <c r="C303" s="82"/>
      <c r="D303" s="71"/>
      <c r="E303" s="72"/>
      <c r="F303" s="73"/>
      <c r="G303" s="443"/>
      <c r="H303" s="443"/>
      <c r="I303" s="74"/>
      <c r="J303" s="75"/>
      <c r="K303" s="41">
        <f t="shared" si="179"/>
        <v>3625</v>
      </c>
      <c r="L303" s="104"/>
      <c r="M303" s="105"/>
      <c r="N303" s="106">
        <f t="shared" si="180"/>
        <v>537.05999999999995</v>
      </c>
      <c r="O303" s="104"/>
      <c r="P303" s="105"/>
      <c r="Q303" s="106">
        <f t="shared" si="177"/>
        <v>10045.83</v>
      </c>
      <c r="R303" s="104"/>
      <c r="S303" s="105"/>
      <c r="T303" s="106">
        <f t="shared" si="178"/>
        <v>0</v>
      </c>
      <c r="U303" s="439"/>
      <c r="V303" s="42">
        <f t="shared" si="146"/>
        <v>298</v>
      </c>
      <c r="W303" s="39" t="str">
        <f>IF(AND(E303='Povolené hodnoty'!$B$4,F303=2),I303+L303+O303+R303,"")</f>
        <v/>
      </c>
      <c r="X303" s="41" t="str">
        <f>IF(AND(E303='Povolené hodnoty'!$B$4,F303=1),I303+L303+O303+R303,"")</f>
        <v/>
      </c>
      <c r="Y303" s="39" t="str">
        <f>IF(AND(E303='Povolené hodnoty'!$B$4,F303=10),J303+M303+P303+S303,"")</f>
        <v/>
      </c>
      <c r="Z303" s="41" t="str">
        <f>IF(AND(E303='Povolené hodnoty'!$B$4,F303=9),J303+M303+P303+S303,"")</f>
        <v/>
      </c>
      <c r="AA303" s="39" t="str">
        <f>IF(AND(E303&lt;&gt;'Povolené hodnoty'!$B$4,F303=2),I303+L303+O303+R303,"")</f>
        <v/>
      </c>
      <c r="AB303" s="40" t="str">
        <f>IF(AND(E303&lt;&gt;'Povolené hodnoty'!$B$4,F303=3),I303+L303+O303+R303,"")</f>
        <v/>
      </c>
      <c r="AC303" s="40" t="str">
        <f>IF(AND(E303&lt;&gt;'Povolené hodnoty'!$B$4,F303=4),I303+L303+O303+R303,"")</f>
        <v/>
      </c>
      <c r="AD303" s="40" t="str">
        <f>IF(AND(E303&lt;&gt;'Povolené hodnoty'!$B$4,F303="5a"),I303-J303+L303-M303+O303-P303+R303-S303,"")</f>
        <v/>
      </c>
      <c r="AE303" s="40" t="str">
        <f>IF(AND(E303&lt;&gt;'Povolené hodnoty'!$B$4,F303="5b"),I303-J303+L303-M303+O303-P303+R303-S303,"")</f>
        <v/>
      </c>
      <c r="AF303" s="40" t="str">
        <f>IF(AND(E303&lt;&gt;'Povolené hodnoty'!$B$4,F303=6),I303+L303+O303+R303,"")</f>
        <v/>
      </c>
      <c r="AG303" s="41" t="str">
        <f>IF(AND(E303&lt;&gt;'Povolené hodnoty'!$B$4,F303=7),I303+L303+O303+R303,"")</f>
        <v/>
      </c>
      <c r="AH303" s="39" t="str">
        <f>IF(AND(E303&lt;&gt;'Povolené hodnoty'!$B$4,F303=10),J303+M303+P303+S303,"")</f>
        <v/>
      </c>
      <c r="AI303" s="40" t="str">
        <f>IF(AND(E303&lt;&gt;'Povolené hodnoty'!$B$4,F303=11),J303+M303+P303+S303,"")</f>
        <v/>
      </c>
      <c r="AJ303" s="40" t="str">
        <f>IF(AND(E303&lt;&gt;'Povolené hodnoty'!$B$4,F303=12),J303+M303+P303+S303,"")</f>
        <v/>
      </c>
      <c r="AK303" s="41" t="str">
        <f>IF(AND(E303&lt;&gt;'Povolené hodnoty'!$B$4,F303=13),J303+M303+P303+S303,"")</f>
        <v/>
      </c>
      <c r="AL303" s="39" t="str">
        <f>IF(AND($G303='Povolené hodnoty'!$B$13,$H303=AL$4),SUM($I303,$L303,$O303,$R303),"")</f>
        <v/>
      </c>
      <c r="AM303" s="458" t="str">
        <f>IF(AND($G303='Povolené hodnoty'!$B$13,$H303=AM$4),SUM($I303,$L303,$O303,$R303),"")</f>
        <v/>
      </c>
      <c r="AN303" s="458" t="str">
        <f>IF(AND($G303='Povolené hodnoty'!$B$13,$H303=AN$4),SUM($I303,$L303,$O303,$R303),"")</f>
        <v/>
      </c>
      <c r="AO303" s="458" t="str">
        <f>IF(AND($G303='Povolené hodnoty'!$B$13,$H303=AO$4),SUM($I303,$L303,$O303,$R303),"")</f>
        <v/>
      </c>
      <c r="AP303" s="458" t="str">
        <f>IF(AND($G303='Povolené hodnoty'!$B$13,$H303=AP$4),SUM($I303,$L303,$O303,$R303),"")</f>
        <v/>
      </c>
      <c r="AQ303" s="40" t="str">
        <f>IF(AND($G303='Povolené hodnoty'!$B$13,OR($H303=AQ$4,$H303='Povolené hodnoty'!$E$36)),SUM($I303,-$J303,$L303,-$M303,$O303,-$P303,$R303,-$S303),"")</f>
        <v/>
      </c>
      <c r="AR303" s="40" t="str">
        <f>IF(AND($G303='Povolené hodnoty'!$B$13,$H303=AR$4),SUM($I303,$L303,$O303,$R303),"")</f>
        <v/>
      </c>
      <c r="AS303" s="41" t="str">
        <f>IF(AND($G303='Povolené hodnoty'!$B$13,$H303=AS$4),SUM($I303,$L303,$O303,$R303),"")</f>
        <v/>
      </c>
      <c r="AT303" s="39" t="str">
        <f>IF(AND($G303='Povolené hodnoty'!$B$14,$H303=AT$4),SUM($I303,$L303,$O303,$R303),"")</f>
        <v/>
      </c>
      <c r="AU303" s="458" t="str">
        <f>IF(AND($G303='Povolené hodnoty'!$B$14,$H303=AU$4),SUM($I303,$L303,$O303,$R303),"")</f>
        <v/>
      </c>
      <c r="AV303" s="41" t="str">
        <f>IF(AND($G303='Povolené hodnoty'!$B$14,$H303=AV$4),SUM($I303,$L303,$O303,$R303),"")</f>
        <v/>
      </c>
      <c r="AW303" s="39" t="str">
        <f>IF(AND($G303='Povolené hodnoty'!$B$13,$H303=AW$4),SUM($J303,$M303,$P303,$S303),"")</f>
        <v/>
      </c>
      <c r="AX303" s="458" t="str">
        <f>IF(AND($G303='Povolené hodnoty'!$B$13,$H303=AX$4),SUM($J303,$M303,$P303,$S303),"")</f>
        <v/>
      </c>
      <c r="AY303" s="458" t="str">
        <f>IF(AND($G303='Povolené hodnoty'!$B$13,$H303=AY$4),SUM($J303,$M303,$P303,$S303),"")</f>
        <v/>
      </c>
      <c r="AZ303" s="458" t="str">
        <f>IF(AND($G303='Povolené hodnoty'!$B$13,$H303=AZ$4),SUM($J303,$M303,$P303,$S303),"")</f>
        <v/>
      </c>
      <c r="BA303" s="458" t="str">
        <f>IF(AND($G303='Povolené hodnoty'!$B$13,$H303=BA$4),SUM($J303,$M303,$P303,$S303),"")</f>
        <v/>
      </c>
      <c r="BB303" s="40" t="str">
        <f>IF(AND($G303='Povolené hodnoty'!$B$13,$H303=BB$4),SUM($J303,$M303,$P303,$S303),"")</f>
        <v/>
      </c>
      <c r="BC303" s="40" t="str">
        <f>IF(AND($G303='Povolené hodnoty'!$B$13,$H303=BC$4),SUM($J303,$M303,$P303,$S303),"")</f>
        <v/>
      </c>
      <c r="BD303" s="40" t="str">
        <f>IF(AND($G303='Povolené hodnoty'!$B$13,$H303=BD$4),SUM($J303,$M303,$P303,$S303),"")</f>
        <v/>
      </c>
      <c r="BE303" s="41" t="str">
        <f>IF(AND($G303='Povolené hodnoty'!$B$13,$H303=BE$4),SUM($J303,$M303,$P303,$S303),"")</f>
        <v/>
      </c>
      <c r="BF303" s="39" t="str">
        <f>IF(AND($G303='Povolené hodnoty'!$B$14,$H303=BF$4),SUM($J303,$M303,$P303,$S303),"")</f>
        <v/>
      </c>
      <c r="BG303" s="458" t="str">
        <f>IF(AND($G303='Povolené hodnoty'!$B$14,$H303=BG$4),SUM($J303,$M303,$P303,$S303),"")</f>
        <v/>
      </c>
      <c r="BH303" s="458" t="str">
        <f>IF(AND($G303='Povolené hodnoty'!$B$14,$H303=BH$4),SUM($J303,$M303,$P303,$S303),"")</f>
        <v/>
      </c>
      <c r="BI303" s="458" t="str">
        <f>IF(AND($G303='Povolené hodnoty'!$B$14,$H303=BI$4),SUM($J303,$M303,$P303,$S303),"")</f>
        <v/>
      </c>
      <c r="BJ303" s="458" t="str">
        <f>IF(AND($G303='Povolené hodnoty'!$B$14,$H303=BJ$4),SUM($J303,$M303,$P303,$S303),"")</f>
        <v/>
      </c>
      <c r="BK303" s="40" t="str">
        <f>IF(AND($G303='Povolené hodnoty'!$B$14,$H303=BK$4),SUM($J303,$M303,$P303,$S303),"")</f>
        <v/>
      </c>
      <c r="BL303" s="40" t="str">
        <f>IF(AND($G303='Povolené hodnoty'!$B$14,$H303=BL$4),SUM($J303,$M303,$P303,$S303),"")</f>
        <v/>
      </c>
      <c r="BM303" s="41" t="str">
        <f>IF(AND($G303='Povolené hodnoty'!$B$14,$H303=BM$4),SUM($J303,$M303,$P303,$S303),"")</f>
        <v/>
      </c>
      <c r="BO303" s="18" t="b">
        <f t="shared" si="176"/>
        <v>0</v>
      </c>
      <c r="BP303" s="18" t="b">
        <f t="shared" si="147"/>
        <v>0</v>
      </c>
      <c r="BQ303" s="18" t="b">
        <f>AND(E303&lt;&gt;'Povolené hodnoty'!$B$6,F303&lt;&gt;'Povolené hodnoty'!$D$7,F303&lt;&gt;'Povolené hodnoty'!$D$8,OR(SUM(I303,L303,O303,R303)&lt;&gt;SUM(W303:X303,AA303:AG303),SUM(J303,M303,P303,S303)&lt;&gt;SUM(Y303:Z303,AH303:AK303),COUNT(I303:J303,L303:M303,O303:P303,R303:S303)&lt;&gt;COUNT(W303:AK303)))</f>
        <v>0</v>
      </c>
      <c r="BR303" s="18" t="b">
        <f>OR(AND(E303='Povolené hodnoty'!$B$6,$BR$5),AND(E303='Povolené hodnoty'!$B$6,H303&lt;&gt;'Povolené hodnoty'!$E$26,H303&lt;&gt;'Povolené hodnoty'!$E$35),AND(E303&lt;&gt;'Povolené hodnoty'!$B$6,OR(H303='Povolené hodnoty'!$E$26,H303='Povolené hodnoty'!$E$35)))</f>
        <v>0</v>
      </c>
      <c r="BS303" s="18" t="b">
        <f>OR(AND(G303&lt;&gt;'Povolené hodnoty'!$B$13,OR(H303='Povolené hodnoty'!$E$21,H303='Povolené hodnoty'!$E$22,H303='Povolené hodnoty'!$E$23,H303='Povolené hodnoty'!$E$24,H303='Povolené hodnoty'!$E$26,H303='Povolené hodnoty'!$E$36)),COUNT(I303:J303,L303:M303,O303:P303,R303:S303)&lt;&gt;COUNT(AL303:BM303))</f>
        <v>0</v>
      </c>
      <c r="BT303" s="18" t="b">
        <f t="shared" si="148"/>
        <v>0</v>
      </c>
      <c r="BV303" s="39" t="str">
        <f t="shared" si="149"/>
        <v/>
      </c>
      <c r="BW303" s="458" t="str">
        <f t="shared" si="150"/>
        <v/>
      </c>
      <c r="BX303" s="458" t="str">
        <f t="shared" si="151"/>
        <v/>
      </c>
      <c r="BY303" s="458" t="str">
        <f t="shared" si="152"/>
        <v/>
      </c>
      <c r="BZ303" s="458" t="str">
        <f t="shared" si="153"/>
        <v/>
      </c>
      <c r="CA303" s="40" t="str">
        <f t="shared" si="154"/>
        <v/>
      </c>
      <c r="CB303" s="40" t="str">
        <f t="shared" si="155"/>
        <v/>
      </c>
      <c r="CC303" s="39" t="str">
        <f t="shared" si="156"/>
        <v/>
      </c>
      <c r="CD303" s="458" t="str">
        <f t="shared" si="157"/>
        <v/>
      </c>
      <c r="CE303" s="41" t="str">
        <f t="shared" si="158"/>
        <v/>
      </c>
      <c r="CF303" s="39" t="str">
        <f t="shared" si="159"/>
        <v/>
      </c>
      <c r="CG303" s="458" t="str">
        <f t="shared" si="160"/>
        <v/>
      </c>
      <c r="CH303" s="458" t="str">
        <f t="shared" si="161"/>
        <v/>
      </c>
      <c r="CI303" s="458" t="str">
        <f t="shared" si="162"/>
        <v/>
      </c>
      <c r="CJ303" s="458" t="str">
        <f t="shared" si="163"/>
        <v/>
      </c>
      <c r="CK303" s="40" t="str">
        <f t="shared" si="164"/>
        <v/>
      </c>
      <c r="CL303" s="40" t="str">
        <f t="shared" si="165"/>
        <v/>
      </c>
      <c r="CM303" s="40" t="str">
        <f t="shared" si="166"/>
        <v/>
      </c>
      <c r="CN303" s="39" t="str">
        <f t="shared" si="167"/>
        <v/>
      </c>
      <c r="CO303" s="458" t="str">
        <f t="shared" si="168"/>
        <v/>
      </c>
      <c r="CP303" s="458" t="str">
        <f t="shared" si="169"/>
        <v/>
      </c>
      <c r="CQ303" s="458" t="str">
        <f t="shared" si="170"/>
        <v/>
      </c>
      <c r="CR303" s="458" t="str">
        <f t="shared" si="171"/>
        <v/>
      </c>
      <c r="CS303" s="40" t="str">
        <f t="shared" si="172"/>
        <v/>
      </c>
      <c r="CT303" s="40" t="str">
        <f t="shared" si="173"/>
        <v/>
      </c>
      <c r="CU303" s="41" t="str">
        <f t="shared" si="174"/>
        <v/>
      </c>
    </row>
    <row r="304" spans="1:99" x14ac:dyDescent="0.2">
      <c r="A304" s="77">
        <f t="shared" si="175"/>
        <v>299</v>
      </c>
      <c r="B304" s="81"/>
      <c r="C304" s="82"/>
      <c r="D304" s="71"/>
      <c r="E304" s="72"/>
      <c r="F304" s="73"/>
      <c r="G304" s="443"/>
      <c r="H304" s="443"/>
      <c r="I304" s="74"/>
      <c r="J304" s="75"/>
      <c r="K304" s="41">
        <f t="shared" si="179"/>
        <v>3625</v>
      </c>
      <c r="L304" s="104"/>
      <c r="M304" s="105"/>
      <c r="N304" s="106">
        <f t="shared" si="180"/>
        <v>537.05999999999995</v>
      </c>
      <c r="O304" s="104"/>
      <c r="P304" s="105"/>
      <c r="Q304" s="106">
        <f t="shared" si="177"/>
        <v>10045.83</v>
      </c>
      <c r="R304" s="104"/>
      <c r="S304" s="105"/>
      <c r="T304" s="106">
        <f t="shared" si="178"/>
        <v>0</v>
      </c>
      <c r="U304" s="439"/>
      <c r="V304" s="42">
        <f t="shared" si="146"/>
        <v>299</v>
      </c>
      <c r="W304" s="39" t="str">
        <f>IF(AND(E304='Povolené hodnoty'!$B$4,F304=2),I304+L304+O304+R304,"")</f>
        <v/>
      </c>
      <c r="X304" s="41" t="str">
        <f>IF(AND(E304='Povolené hodnoty'!$B$4,F304=1),I304+L304+O304+R304,"")</f>
        <v/>
      </c>
      <c r="Y304" s="39" t="str">
        <f>IF(AND(E304='Povolené hodnoty'!$B$4,F304=10),J304+M304+P304+S304,"")</f>
        <v/>
      </c>
      <c r="Z304" s="41" t="str">
        <f>IF(AND(E304='Povolené hodnoty'!$B$4,F304=9),J304+M304+P304+S304,"")</f>
        <v/>
      </c>
      <c r="AA304" s="39" t="str">
        <f>IF(AND(E304&lt;&gt;'Povolené hodnoty'!$B$4,F304=2),I304+L304+O304+R304,"")</f>
        <v/>
      </c>
      <c r="AB304" s="40" t="str">
        <f>IF(AND(E304&lt;&gt;'Povolené hodnoty'!$B$4,F304=3),I304+L304+O304+R304,"")</f>
        <v/>
      </c>
      <c r="AC304" s="40" t="str">
        <f>IF(AND(E304&lt;&gt;'Povolené hodnoty'!$B$4,F304=4),I304+L304+O304+R304,"")</f>
        <v/>
      </c>
      <c r="AD304" s="40" t="str">
        <f>IF(AND(E304&lt;&gt;'Povolené hodnoty'!$B$4,F304="5a"),I304-J304+L304-M304+O304-P304+R304-S304,"")</f>
        <v/>
      </c>
      <c r="AE304" s="40" t="str">
        <f>IF(AND(E304&lt;&gt;'Povolené hodnoty'!$B$4,F304="5b"),I304-J304+L304-M304+O304-P304+R304-S304,"")</f>
        <v/>
      </c>
      <c r="AF304" s="40" t="str">
        <f>IF(AND(E304&lt;&gt;'Povolené hodnoty'!$B$4,F304=6),I304+L304+O304+R304,"")</f>
        <v/>
      </c>
      <c r="AG304" s="41" t="str">
        <f>IF(AND(E304&lt;&gt;'Povolené hodnoty'!$B$4,F304=7),I304+L304+O304+R304,"")</f>
        <v/>
      </c>
      <c r="AH304" s="39" t="str">
        <f>IF(AND(E304&lt;&gt;'Povolené hodnoty'!$B$4,F304=10),J304+M304+P304+S304,"")</f>
        <v/>
      </c>
      <c r="AI304" s="40" t="str">
        <f>IF(AND(E304&lt;&gt;'Povolené hodnoty'!$B$4,F304=11),J304+M304+P304+S304,"")</f>
        <v/>
      </c>
      <c r="AJ304" s="40" t="str">
        <f>IF(AND(E304&lt;&gt;'Povolené hodnoty'!$B$4,F304=12),J304+M304+P304+S304,"")</f>
        <v/>
      </c>
      <c r="AK304" s="41" t="str">
        <f>IF(AND(E304&lt;&gt;'Povolené hodnoty'!$B$4,F304=13),J304+M304+P304+S304,"")</f>
        <v/>
      </c>
      <c r="AL304" s="39" t="str">
        <f>IF(AND($G304='Povolené hodnoty'!$B$13,$H304=AL$4),SUM($I304,$L304,$O304,$R304),"")</f>
        <v/>
      </c>
      <c r="AM304" s="458" t="str">
        <f>IF(AND($G304='Povolené hodnoty'!$B$13,$H304=AM$4),SUM($I304,$L304,$O304,$R304),"")</f>
        <v/>
      </c>
      <c r="AN304" s="458" t="str">
        <f>IF(AND($G304='Povolené hodnoty'!$B$13,$H304=AN$4),SUM($I304,$L304,$O304,$R304),"")</f>
        <v/>
      </c>
      <c r="AO304" s="458" t="str">
        <f>IF(AND($G304='Povolené hodnoty'!$B$13,$H304=AO$4),SUM($I304,$L304,$O304,$R304),"")</f>
        <v/>
      </c>
      <c r="AP304" s="458" t="str">
        <f>IF(AND($G304='Povolené hodnoty'!$B$13,$H304=AP$4),SUM($I304,$L304,$O304,$R304),"")</f>
        <v/>
      </c>
      <c r="AQ304" s="40" t="str">
        <f>IF(AND($G304='Povolené hodnoty'!$B$13,OR($H304=AQ$4,$H304='Povolené hodnoty'!$E$36)),SUM($I304,-$J304,$L304,-$M304,$O304,-$P304,$R304,-$S304),"")</f>
        <v/>
      </c>
      <c r="AR304" s="40" t="str">
        <f>IF(AND($G304='Povolené hodnoty'!$B$13,$H304=AR$4),SUM($I304,$L304,$O304,$R304),"")</f>
        <v/>
      </c>
      <c r="AS304" s="41" t="str">
        <f>IF(AND($G304='Povolené hodnoty'!$B$13,$H304=AS$4),SUM($I304,$L304,$O304,$R304),"")</f>
        <v/>
      </c>
      <c r="AT304" s="39" t="str">
        <f>IF(AND($G304='Povolené hodnoty'!$B$14,$H304=AT$4),SUM($I304,$L304,$O304,$R304),"")</f>
        <v/>
      </c>
      <c r="AU304" s="458" t="str">
        <f>IF(AND($G304='Povolené hodnoty'!$B$14,$H304=AU$4),SUM($I304,$L304,$O304,$R304),"")</f>
        <v/>
      </c>
      <c r="AV304" s="41" t="str">
        <f>IF(AND($G304='Povolené hodnoty'!$B$14,$H304=AV$4),SUM($I304,$L304,$O304,$R304),"")</f>
        <v/>
      </c>
      <c r="AW304" s="39" t="str">
        <f>IF(AND($G304='Povolené hodnoty'!$B$13,$H304=AW$4),SUM($J304,$M304,$P304,$S304),"")</f>
        <v/>
      </c>
      <c r="AX304" s="458" t="str">
        <f>IF(AND($G304='Povolené hodnoty'!$B$13,$H304=AX$4),SUM($J304,$M304,$P304,$S304),"")</f>
        <v/>
      </c>
      <c r="AY304" s="458" t="str">
        <f>IF(AND($G304='Povolené hodnoty'!$B$13,$H304=AY$4),SUM($J304,$M304,$P304,$S304),"")</f>
        <v/>
      </c>
      <c r="AZ304" s="458" t="str">
        <f>IF(AND($G304='Povolené hodnoty'!$B$13,$H304=AZ$4),SUM($J304,$M304,$P304,$S304),"")</f>
        <v/>
      </c>
      <c r="BA304" s="458" t="str">
        <f>IF(AND($G304='Povolené hodnoty'!$B$13,$H304=BA$4),SUM($J304,$M304,$P304,$S304),"")</f>
        <v/>
      </c>
      <c r="BB304" s="40" t="str">
        <f>IF(AND($G304='Povolené hodnoty'!$B$13,$H304=BB$4),SUM($J304,$M304,$P304,$S304),"")</f>
        <v/>
      </c>
      <c r="BC304" s="40" t="str">
        <f>IF(AND($G304='Povolené hodnoty'!$B$13,$H304=BC$4),SUM($J304,$M304,$P304,$S304),"")</f>
        <v/>
      </c>
      <c r="BD304" s="40" t="str">
        <f>IF(AND($G304='Povolené hodnoty'!$B$13,$H304=BD$4),SUM($J304,$M304,$P304,$S304),"")</f>
        <v/>
      </c>
      <c r="BE304" s="41" t="str">
        <f>IF(AND($G304='Povolené hodnoty'!$B$13,$H304=BE$4),SUM($J304,$M304,$P304,$S304),"")</f>
        <v/>
      </c>
      <c r="BF304" s="39" t="str">
        <f>IF(AND($G304='Povolené hodnoty'!$B$14,$H304=BF$4),SUM($J304,$M304,$P304,$S304),"")</f>
        <v/>
      </c>
      <c r="BG304" s="458" t="str">
        <f>IF(AND($G304='Povolené hodnoty'!$B$14,$H304=BG$4),SUM($J304,$M304,$P304,$S304),"")</f>
        <v/>
      </c>
      <c r="BH304" s="458" t="str">
        <f>IF(AND($G304='Povolené hodnoty'!$B$14,$H304=BH$4),SUM($J304,$M304,$P304,$S304),"")</f>
        <v/>
      </c>
      <c r="BI304" s="458" t="str">
        <f>IF(AND($G304='Povolené hodnoty'!$B$14,$H304=BI$4),SUM($J304,$M304,$P304,$S304),"")</f>
        <v/>
      </c>
      <c r="BJ304" s="458" t="str">
        <f>IF(AND($G304='Povolené hodnoty'!$B$14,$H304=BJ$4),SUM($J304,$M304,$P304,$S304),"")</f>
        <v/>
      </c>
      <c r="BK304" s="40" t="str">
        <f>IF(AND($G304='Povolené hodnoty'!$B$14,$H304=BK$4),SUM($J304,$M304,$P304,$S304),"")</f>
        <v/>
      </c>
      <c r="BL304" s="40" t="str">
        <f>IF(AND($G304='Povolené hodnoty'!$B$14,$H304=BL$4),SUM($J304,$M304,$P304,$S304),"")</f>
        <v/>
      </c>
      <c r="BM304" s="41" t="str">
        <f>IF(AND($G304='Povolené hodnoty'!$B$14,$H304=BM$4),SUM($J304,$M304,$P304,$S304),"")</f>
        <v/>
      </c>
      <c r="BO304" s="18" t="b">
        <f t="shared" si="176"/>
        <v>0</v>
      </c>
      <c r="BP304" s="18" t="b">
        <f t="shared" si="147"/>
        <v>0</v>
      </c>
      <c r="BQ304" s="18" t="b">
        <f>AND(E304&lt;&gt;'Povolené hodnoty'!$B$6,F304&lt;&gt;'Povolené hodnoty'!$D$7,F304&lt;&gt;'Povolené hodnoty'!$D$8,OR(SUM(I304,L304,O304,R304)&lt;&gt;SUM(W304:X304,AA304:AG304),SUM(J304,M304,P304,S304)&lt;&gt;SUM(Y304:Z304,AH304:AK304),COUNT(I304:J304,L304:M304,O304:P304,R304:S304)&lt;&gt;COUNT(W304:AK304)))</f>
        <v>0</v>
      </c>
      <c r="BR304" s="18" t="b">
        <f>OR(AND(E304='Povolené hodnoty'!$B$6,$BR$5),AND(E304='Povolené hodnoty'!$B$6,H304&lt;&gt;'Povolené hodnoty'!$E$26,H304&lt;&gt;'Povolené hodnoty'!$E$35),AND(E304&lt;&gt;'Povolené hodnoty'!$B$6,OR(H304='Povolené hodnoty'!$E$26,H304='Povolené hodnoty'!$E$35)))</f>
        <v>0</v>
      </c>
      <c r="BS304" s="18" t="b">
        <f>OR(AND(G304&lt;&gt;'Povolené hodnoty'!$B$13,OR(H304='Povolené hodnoty'!$E$21,H304='Povolené hodnoty'!$E$22,H304='Povolené hodnoty'!$E$23,H304='Povolené hodnoty'!$E$24,H304='Povolené hodnoty'!$E$26,H304='Povolené hodnoty'!$E$36)),COUNT(I304:J304,L304:M304,O304:P304,R304:S304)&lt;&gt;COUNT(AL304:BM304))</f>
        <v>0</v>
      </c>
      <c r="BT304" s="18" t="b">
        <f t="shared" si="148"/>
        <v>0</v>
      </c>
      <c r="BV304" s="39" t="str">
        <f t="shared" si="149"/>
        <v/>
      </c>
      <c r="BW304" s="458" t="str">
        <f t="shared" si="150"/>
        <v/>
      </c>
      <c r="BX304" s="458" t="str">
        <f t="shared" si="151"/>
        <v/>
      </c>
      <c r="BY304" s="458" t="str">
        <f t="shared" si="152"/>
        <v/>
      </c>
      <c r="BZ304" s="458" t="str">
        <f t="shared" si="153"/>
        <v/>
      </c>
      <c r="CA304" s="40" t="str">
        <f t="shared" si="154"/>
        <v/>
      </c>
      <c r="CB304" s="40" t="str">
        <f t="shared" si="155"/>
        <v/>
      </c>
      <c r="CC304" s="39" t="str">
        <f t="shared" si="156"/>
        <v/>
      </c>
      <c r="CD304" s="458" t="str">
        <f t="shared" si="157"/>
        <v/>
      </c>
      <c r="CE304" s="41" t="str">
        <f t="shared" si="158"/>
        <v/>
      </c>
      <c r="CF304" s="39" t="str">
        <f t="shared" si="159"/>
        <v/>
      </c>
      <c r="CG304" s="458" t="str">
        <f t="shared" si="160"/>
        <v/>
      </c>
      <c r="CH304" s="458" t="str">
        <f t="shared" si="161"/>
        <v/>
      </c>
      <c r="CI304" s="458" t="str">
        <f t="shared" si="162"/>
        <v/>
      </c>
      <c r="CJ304" s="458" t="str">
        <f t="shared" si="163"/>
        <v/>
      </c>
      <c r="CK304" s="40" t="str">
        <f t="shared" si="164"/>
        <v/>
      </c>
      <c r="CL304" s="40" t="str">
        <f t="shared" si="165"/>
        <v/>
      </c>
      <c r="CM304" s="40" t="str">
        <f t="shared" si="166"/>
        <v/>
      </c>
      <c r="CN304" s="39" t="str">
        <f t="shared" si="167"/>
        <v/>
      </c>
      <c r="CO304" s="458" t="str">
        <f t="shared" si="168"/>
        <v/>
      </c>
      <c r="CP304" s="458" t="str">
        <f t="shared" si="169"/>
        <v/>
      </c>
      <c r="CQ304" s="458" t="str">
        <f t="shared" si="170"/>
        <v/>
      </c>
      <c r="CR304" s="458" t="str">
        <f t="shared" si="171"/>
        <v/>
      </c>
      <c r="CS304" s="40" t="str">
        <f t="shared" si="172"/>
        <v/>
      </c>
      <c r="CT304" s="40" t="str">
        <f t="shared" si="173"/>
        <v/>
      </c>
      <c r="CU304" s="41" t="str">
        <f t="shared" si="174"/>
        <v/>
      </c>
    </row>
    <row r="305" spans="1:99" x14ac:dyDescent="0.2">
      <c r="A305" s="77">
        <f t="shared" si="175"/>
        <v>300</v>
      </c>
      <c r="B305" s="81"/>
      <c r="C305" s="82"/>
      <c r="D305" s="71"/>
      <c r="E305" s="72"/>
      <c r="F305" s="73"/>
      <c r="G305" s="443"/>
      <c r="H305" s="443"/>
      <c r="I305" s="74"/>
      <c r="J305" s="75"/>
      <c r="K305" s="41">
        <f t="shared" si="179"/>
        <v>3625</v>
      </c>
      <c r="L305" s="104"/>
      <c r="M305" s="105"/>
      <c r="N305" s="106">
        <f t="shared" si="180"/>
        <v>537.05999999999995</v>
      </c>
      <c r="O305" s="104"/>
      <c r="P305" s="105"/>
      <c r="Q305" s="106">
        <f t="shared" si="177"/>
        <v>10045.83</v>
      </c>
      <c r="R305" s="104"/>
      <c r="S305" s="105"/>
      <c r="T305" s="106">
        <f t="shared" si="178"/>
        <v>0</v>
      </c>
      <c r="U305" s="439"/>
      <c r="V305" s="42">
        <f t="shared" si="146"/>
        <v>300</v>
      </c>
      <c r="W305" s="39" t="str">
        <f>IF(AND(E305='Povolené hodnoty'!$B$4,F305=2),I305+L305+O305+R305,"")</f>
        <v/>
      </c>
      <c r="X305" s="41" t="str">
        <f>IF(AND(E305='Povolené hodnoty'!$B$4,F305=1),I305+L305+O305+R305,"")</f>
        <v/>
      </c>
      <c r="Y305" s="39" t="str">
        <f>IF(AND(E305='Povolené hodnoty'!$B$4,F305=10),J305+M305+P305+S305,"")</f>
        <v/>
      </c>
      <c r="Z305" s="41" t="str">
        <f>IF(AND(E305='Povolené hodnoty'!$B$4,F305=9),J305+M305+P305+S305,"")</f>
        <v/>
      </c>
      <c r="AA305" s="39" t="str">
        <f>IF(AND(E305&lt;&gt;'Povolené hodnoty'!$B$4,F305=2),I305+L305+O305+R305,"")</f>
        <v/>
      </c>
      <c r="AB305" s="40" t="str">
        <f>IF(AND(E305&lt;&gt;'Povolené hodnoty'!$B$4,F305=3),I305+L305+O305+R305,"")</f>
        <v/>
      </c>
      <c r="AC305" s="40" t="str">
        <f>IF(AND(E305&lt;&gt;'Povolené hodnoty'!$B$4,F305=4),I305+L305+O305+R305,"")</f>
        <v/>
      </c>
      <c r="AD305" s="40" t="str">
        <f>IF(AND(E305&lt;&gt;'Povolené hodnoty'!$B$4,F305="5a"),I305-J305+L305-M305+O305-P305+R305-S305,"")</f>
        <v/>
      </c>
      <c r="AE305" s="40" t="str">
        <f>IF(AND(E305&lt;&gt;'Povolené hodnoty'!$B$4,F305="5b"),I305-J305+L305-M305+O305-P305+R305-S305,"")</f>
        <v/>
      </c>
      <c r="AF305" s="40" t="str">
        <f>IF(AND(E305&lt;&gt;'Povolené hodnoty'!$B$4,F305=6),I305+L305+O305+R305,"")</f>
        <v/>
      </c>
      <c r="AG305" s="41" t="str">
        <f>IF(AND(E305&lt;&gt;'Povolené hodnoty'!$B$4,F305=7),I305+L305+O305+R305,"")</f>
        <v/>
      </c>
      <c r="AH305" s="39" t="str">
        <f>IF(AND(E305&lt;&gt;'Povolené hodnoty'!$B$4,F305=10),J305+M305+P305+S305,"")</f>
        <v/>
      </c>
      <c r="AI305" s="40" t="str">
        <f>IF(AND(E305&lt;&gt;'Povolené hodnoty'!$B$4,F305=11),J305+M305+P305+S305,"")</f>
        <v/>
      </c>
      <c r="AJ305" s="40" t="str">
        <f>IF(AND(E305&lt;&gt;'Povolené hodnoty'!$B$4,F305=12),J305+M305+P305+S305,"")</f>
        <v/>
      </c>
      <c r="AK305" s="41" t="str">
        <f>IF(AND(E305&lt;&gt;'Povolené hodnoty'!$B$4,F305=13),J305+M305+P305+S305,"")</f>
        <v/>
      </c>
      <c r="AL305" s="39" t="str">
        <f>IF(AND($G305='Povolené hodnoty'!$B$13,$H305=AL$4),SUM($I305,$L305,$O305,$R305),"")</f>
        <v/>
      </c>
      <c r="AM305" s="458" t="str">
        <f>IF(AND($G305='Povolené hodnoty'!$B$13,$H305=AM$4),SUM($I305,$L305,$O305,$R305),"")</f>
        <v/>
      </c>
      <c r="AN305" s="458" t="str">
        <f>IF(AND($G305='Povolené hodnoty'!$B$13,$H305=AN$4),SUM($I305,$L305,$O305,$R305),"")</f>
        <v/>
      </c>
      <c r="AO305" s="458" t="str">
        <f>IF(AND($G305='Povolené hodnoty'!$B$13,$H305=AO$4),SUM($I305,$L305,$O305,$R305),"")</f>
        <v/>
      </c>
      <c r="AP305" s="458" t="str">
        <f>IF(AND($G305='Povolené hodnoty'!$B$13,$H305=AP$4),SUM($I305,$L305,$O305,$R305),"")</f>
        <v/>
      </c>
      <c r="AQ305" s="40" t="str">
        <f>IF(AND($G305='Povolené hodnoty'!$B$13,OR($H305=AQ$4,$H305='Povolené hodnoty'!$E$36)),SUM($I305,-$J305,$L305,-$M305,$O305,-$P305,$R305,-$S305),"")</f>
        <v/>
      </c>
      <c r="AR305" s="40" t="str">
        <f>IF(AND($G305='Povolené hodnoty'!$B$13,$H305=AR$4),SUM($I305,$L305,$O305,$R305),"")</f>
        <v/>
      </c>
      <c r="AS305" s="41" t="str">
        <f>IF(AND($G305='Povolené hodnoty'!$B$13,$H305=AS$4),SUM($I305,$L305,$O305,$R305),"")</f>
        <v/>
      </c>
      <c r="AT305" s="39" t="str">
        <f>IF(AND($G305='Povolené hodnoty'!$B$14,$H305=AT$4),SUM($I305,$L305,$O305,$R305),"")</f>
        <v/>
      </c>
      <c r="AU305" s="458" t="str">
        <f>IF(AND($G305='Povolené hodnoty'!$B$14,$H305=AU$4),SUM($I305,$L305,$O305,$R305),"")</f>
        <v/>
      </c>
      <c r="AV305" s="41" t="str">
        <f>IF(AND($G305='Povolené hodnoty'!$B$14,$H305=AV$4),SUM($I305,$L305,$O305,$R305),"")</f>
        <v/>
      </c>
      <c r="AW305" s="39" t="str">
        <f>IF(AND($G305='Povolené hodnoty'!$B$13,$H305=AW$4),SUM($J305,$M305,$P305,$S305),"")</f>
        <v/>
      </c>
      <c r="AX305" s="458" t="str">
        <f>IF(AND($G305='Povolené hodnoty'!$B$13,$H305=AX$4),SUM($J305,$M305,$P305,$S305),"")</f>
        <v/>
      </c>
      <c r="AY305" s="458" t="str">
        <f>IF(AND($G305='Povolené hodnoty'!$B$13,$H305=AY$4),SUM($J305,$M305,$P305,$S305),"")</f>
        <v/>
      </c>
      <c r="AZ305" s="458" t="str">
        <f>IF(AND($G305='Povolené hodnoty'!$B$13,$H305=AZ$4),SUM($J305,$M305,$P305,$S305),"")</f>
        <v/>
      </c>
      <c r="BA305" s="458" t="str">
        <f>IF(AND($G305='Povolené hodnoty'!$B$13,$H305=BA$4),SUM($J305,$M305,$P305,$S305),"")</f>
        <v/>
      </c>
      <c r="BB305" s="40" t="str">
        <f>IF(AND($G305='Povolené hodnoty'!$B$13,$H305=BB$4),SUM($J305,$M305,$P305,$S305),"")</f>
        <v/>
      </c>
      <c r="BC305" s="40" t="str">
        <f>IF(AND($G305='Povolené hodnoty'!$B$13,$H305=BC$4),SUM($J305,$M305,$P305,$S305),"")</f>
        <v/>
      </c>
      <c r="BD305" s="40" t="str">
        <f>IF(AND($G305='Povolené hodnoty'!$B$13,$H305=BD$4),SUM($J305,$M305,$P305,$S305),"")</f>
        <v/>
      </c>
      <c r="BE305" s="41" t="str">
        <f>IF(AND($G305='Povolené hodnoty'!$B$13,$H305=BE$4),SUM($J305,$M305,$P305,$S305),"")</f>
        <v/>
      </c>
      <c r="BF305" s="39" t="str">
        <f>IF(AND($G305='Povolené hodnoty'!$B$14,$H305=BF$4),SUM($J305,$M305,$P305,$S305),"")</f>
        <v/>
      </c>
      <c r="BG305" s="458" t="str">
        <f>IF(AND($G305='Povolené hodnoty'!$B$14,$H305=BG$4),SUM($J305,$M305,$P305,$S305),"")</f>
        <v/>
      </c>
      <c r="BH305" s="458" t="str">
        <f>IF(AND($G305='Povolené hodnoty'!$B$14,$H305=BH$4),SUM($J305,$M305,$P305,$S305),"")</f>
        <v/>
      </c>
      <c r="BI305" s="458" t="str">
        <f>IF(AND($G305='Povolené hodnoty'!$B$14,$H305=BI$4),SUM($J305,$M305,$P305,$S305),"")</f>
        <v/>
      </c>
      <c r="BJ305" s="458" t="str">
        <f>IF(AND($G305='Povolené hodnoty'!$B$14,$H305=BJ$4),SUM($J305,$M305,$P305,$S305),"")</f>
        <v/>
      </c>
      <c r="BK305" s="40" t="str">
        <f>IF(AND($G305='Povolené hodnoty'!$B$14,$H305=BK$4),SUM($J305,$M305,$P305,$S305),"")</f>
        <v/>
      </c>
      <c r="BL305" s="40" t="str">
        <f>IF(AND($G305='Povolené hodnoty'!$B$14,$H305=BL$4),SUM($J305,$M305,$P305,$S305),"")</f>
        <v/>
      </c>
      <c r="BM305" s="41" t="str">
        <f>IF(AND($G305='Povolené hodnoty'!$B$14,$H305=BM$4),SUM($J305,$M305,$P305,$S305),"")</f>
        <v/>
      </c>
      <c r="BO305" s="18" t="b">
        <f t="shared" si="176"/>
        <v>0</v>
      </c>
      <c r="BP305" s="18" t="b">
        <f t="shared" si="147"/>
        <v>0</v>
      </c>
      <c r="BQ305" s="18" t="b">
        <f>AND(E305&lt;&gt;'Povolené hodnoty'!$B$6,F305&lt;&gt;'Povolené hodnoty'!$D$7,F305&lt;&gt;'Povolené hodnoty'!$D$8,OR(SUM(I305,L305,O305,R305)&lt;&gt;SUM(W305:X305,AA305:AG305),SUM(J305,M305,P305,S305)&lt;&gt;SUM(Y305:Z305,AH305:AK305),COUNT(I305:J305,L305:M305,O305:P305,R305:S305)&lt;&gt;COUNT(W305:AK305)))</f>
        <v>0</v>
      </c>
      <c r="BR305" s="18" t="b">
        <f>OR(AND(E305='Povolené hodnoty'!$B$6,$BR$5),AND(E305='Povolené hodnoty'!$B$6,H305&lt;&gt;'Povolené hodnoty'!$E$26,H305&lt;&gt;'Povolené hodnoty'!$E$35),AND(E305&lt;&gt;'Povolené hodnoty'!$B$6,OR(H305='Povolené hodnoty'!$E$26,H305='Povolené hodnoty'!$E$35)))</f>
        <v>0</v>
      </c>
      <c r="BS305" s="18" t="b">
        <f>OR(AND(G305&lt;&gt;'Povolené hodnoty'!$B$13,OR(H305='Povolené hodnoty'!$E$21,H305='Povolené hodnoty'!$E$22,H305='Povolené hodnoty'!$E$23,H305='Povolené hodnoty'!$E$24,H305='Povolené hodnoty'!$E$26,H305='Povolené hodnoty'!$E$36)),COUNT(I305:J305,L305:M305,O305:P305,R305:S305)&lt;&gt;COUNT(AL305:BM305))</f>
        <v>0</v>
      </c>
      <c r="BT305" s="18" t="b">
        <f t="shared" si="148"/>
        <v>0</v>
      </c>
      <c r="BV305" s="39" t="str">
        <f t="shared" si="149"/>
        <v/>
      </c>
      <c r="BW305" s="458" t="str">
        <f t="shared" si="150"/>
        <v/>
      </c>
      <c r="BX305" s="458" t="str">
        <f t="shared" si="151"/>
        <v/>
      </c>
      <c r="BY305" s="458" t="str">
        <f t="shared" si="152"/>
        <v/>
      </c>
      <c r="BZ305" s="458" t="str">
        <f t="shared" si="153"/>
        <v/>
      </c>
      <c r="CA305" s="40" t="str">
        <f t="shared" si="154"/>
        <v/>
      </c>
      <c r="CB305" s="40" t="str">
        <f t="shared" si="155"/>
        <v/>
      </c>
      <c r="CC305" s="39" t="str">
        <f t="shared" si="156"/>
        <v/>
      </c>
      <c r="CD305" s="458" t="str">
        <f t="shared" si="157"/>
        <v/>
      </c>
      <c r="CE305" s="41" t="str">
        <f t="shared" si="158"/>
        <v/>
      </c>
      <c r="CF305" s="39" t="str">
        <f t="shared" si="159"/>
        <v/>
      </c>
      <c r="CG305" s="458" t="str">
        <f t="shared" si="160"/>
        <v/>
      </c>
      <c r="CH305" s="458" t="str">
        <f t="shared" si="161"/>
        <v/>
      </c>
      <c r="CI305" s="458" t="str">
        <f t="shared" si="162"/>
        <v/>
      </c>
      <c r="CJ305" s="458" t="str">
        <f t="shared" si="163"/>
        <v/>
      </c>
      <c r="CK305" s="40" t="str">
        <f t="shared" si="164"/>
        <v/>
      </c>
      <c r="CL305" s="40" t="str">
        <f t="shared" si="165"/>
        <v/>
      </c>
      <c r="CM305" s="40" t="str">
        <f t="shared" si="166"/>
        <v/>
      </c>
      <c r="CN305" s="39" t="str">
        <f t="shared" si="167"/>
        <v/>
      </c>
      <c r="CO305" s="458" t="str">
        <f t="shared" si="168"/>
        <v/>
      </c>
      <c r="CP305" s="458" t="str">
        <f t="shared" si="169"/>
        <v/>
      </c>
      <c r="CQ305" s="458" t="str">
        <f t="shared" si="170"/>
        <v/>
      </c>
      <c r="CR305" s="458" t="str">
        <f t="shared" si="171"/>
        <v/>
      </c>
      <c r="CS305" s="40" t="str">
        <f t="shared" si="172"/>
        <v/>
      </c>
      <c r="CT305" s="40" t="str">
        <f t="shared" si="173"/>
        <v/>
      </c>
      <c r="CU305" s="41" t="str">
        <f t="shared" si="174"/>
        <v/>
      </c>
    </row>
    <row r="306" spans="1:99" x14ac:dyDescent="0.2">
      <c r="A306" s="77">
        <f t="shared" si="175"/>
        <v>301</v>
      </c>
      <c r="B306" s="81"/>
      <c r="C306" s="82"/>
      <c r="D306" s="71"/>
      <c r="E306" s="72"/>
      <c r="F306" s="73"/>
      <c r="G306" s="443"/>
      <c r="H306" s="443"/>
      <c r="I306" s="74"/>
      <c r="J306" s="75"/>
      <c r="K306" s="41">
        <f t="shared" si="179"/>
        <v>3625</v>
      </c>
      <c r="L306" s="104"/>
      <c r="M306" s="105"/>
      <c r="N306" s="106">
        <f t="shared" si="180"/>
        <v>537.05999999999995</v>
      </c>
      <c r="O306" s="104"/>
      <c r="P306" s="105"/>
      <c r="Q306" s="106">
        <f t="shared" si="177"/>
        <v>10045.83</v>
      </c>
      <c r="R306" s="104"/>
      <c r="S306" s="105"/>
      <c r="T306" s="106">
        <f t="shared" si="178"/>
        <v>0</v>
      </c>
      <c r="U306" s="439"/>
      <c r="V306" s="42">
        <f t="shared" si="146"/>
        <v>301</v>
      </c>
      <c r="W306" s="39" t="str">
        <f>IF(AND(E306='Povolené hodnoty'!$B$4,F306=2),I306+L306+O306+R306,"")</f>
        <v/>
      </c>
      <c r="X306" s="41" t="str">
        <f>IF(AND(E306='Povolené hodnoty'!$B$4,F306=1),I306+L306+O306+R306,"")</f>
        <v/>
      </c>
      <c r="Y306" s="39" t="str">
        <f>IF(AND(E306='Povolené hodnoty'!$B$4,F306=10),J306+M306+P306+S306,"")</f>
        <v/>
      </c>
      <c r="Z306" s="41" t="str">
        <f>IF(AND(E306='Povolené hodnoty'!$B$4,F306=9),J306+M306+P306+S306,"")</f>
        <v/>
      </c>
      <c r="AA306" s="39" t="str">
        <f>IF(AND(E306&lt;&gt;'Povolené hodnoty'!$B$4,F306=2),I306+L306+O306+R306,"")</f>
        <v/>
      </c>
      <c r="AB306" s="40" t="str">
        <f>IF(AND(E306&lt;&gt;'Povolené hodnoty'!$B$4,F306=3),I306+L306+O306+R306,"")</f>
        <v/>
      </c>
      <c r="AC306" s="40" t="str">
        <f>IF(AND(E306&lt;&gt;'Povolené hodnoty'!$B$4,F306=4),I306+L306+O306+R306,"")</f>
        <v/>
      </c>
      <c r="AD306" s="40" t="str">
        <f>IF(AND(E306&lt;&gt;'Povolené hodnoty'!$B$4,F306="5a"),I306-J306+L306-M306+O306-P306+R306-S306,"")</f>
        <v/>
      </c>
      <c r="AE306" s="40" t="str">
        <f>IF(AND(E306&lt;&gt;'Povolené hodnoty'!$B$4,F306="5b"),I306-J306+L306-M306+O306-P306+R306-S306,"")</f>
        <v/>
      </c>
      <c r="AF306" s="40" t="str">
        <f>IF(AND(E306&lt;&gt;'Povolené hodnoty'!$B$4,F306=6),I306+L306+O306+R306,"")</f>
        <v/>
      </c>
      <c r="AG306" s="41" t="str">
        <f>IF(AND(E306&lt;&gt;'Povolené hodnoty'!$B$4,F306=7),I306+L306+O306+R306,"")</f>
        <v/>
      </c>
      <c r="AH306" s="39" t="str">
        <f>IF(AND(E306&lt;&gt;'Povolené hodnoty'!$B$4,F306=10),J306+M306+P306+S306,"")</f>
        <v/>
      </c>
      <c r="AI306" s="40" t="str">
        <f>IF(AND(E306&lt;&gt;'Povolené hodnoty'!$B$4,F306=11),J306+M306+P306+S306,"")</f>
        <v/>
      </c>
      <c r="AJ306" s="40" t="str">
        <f>IF(AND(E306&lt;&gt;'Povolené hodnoty'!$B$4,F306=12),J306+M306+P306+S306,"")</f>
        <v/>
      </c>
      <c r="AK306" s="41" t="str">
        <f>IF(AND(E306&lt;&gt;'Povolené hodnoty'!$B$4,F306=13),J306+M306+P306+S306,"")</f>
        <v/>
      </c>
      <c r="AL306" s="39" t="str">
        <f>IF(AND($G306='Povolené hodnoty'!$B$13,$H306=AL$4),SUM($I306,$L306,$O306,$R306),"")</f>
        <v/>
      </c>
      <c r="AM306" s="458" t="str">
        <f>IF(AND($G306='Povolené hodnoty'!$B$13,$H306=AM$4),SUM($I306,$L306,$O306,$R306),"")</f>
        <v/>
      </c>
      <c r="AN306" s="458" t="str">
        <f>IF(AND($G306='Povolené hodnoty'!$B$13,$H306=AN$4),SUM($I306,$L306,$O306,$R306),"")</f>
        <v/>
      </c>
      <c r="AO306" s="458" t="str">
        <f>IF(AND($G306='Povolené hodnoty'!$B$13,$H306=AO$4),SUM($I306,$L306,$O306,$R306),"")</f>
        <v/>
      </c>
      <c r="AP306" s="458" t="str">
        <f>IF(AND($G306='Povolené hodnoty'!$B$13,$H306=AP$4),SUM($I306,$L306,$O306,$R306),"")</f>
        <v/>
      </c>
      <c r="AQ306" s="40" t="str">
        <f>IF(AND($G306='Povolené hodnoty'!$B$13,OR($H306=AQ$4,$H306='Povolené hodnoty'!$E$36)),SUM($I306,-$J306,$L306,-$M306,$O306,-$P306,$R306,-$S306),"")</f>
        <v/>
      </c>
      <c r="AR306" s="40" t="str">
        <f>IF(AND($G306='Povolené hodnoty'!$B$13,$H306=AR$4),SUM($I306,$L306,$O306,$R306),"")</f>
        <v/>
      </c>
      <c r="AS306" s="41" t="str">
        <f>IF(AND($G306='Povolené hodnoty'!$B$13,$H306=AS$4),SUM($I306,$L306,$O306,$R306),"")</f>
        <v/>
      </c>
      <c r="AT306" s="39" t="str">
        <f>IF(AND($G306='Povolené hodnoty'!$B$14,$H306=AT$4),SUM($I306,$L306,$O306,$R306),"")</f>
        <v/>
      </c>
      <c r="AU306" s="458" t="str">
        <f>IF(AND($G306='Povolené hodnoty'!$B$14,$H306=AU$4),SUM($I306,$L306,$O306,$R306),"")</f>
        <v/>
      </c>
      <c r="AV306" s="41" t="str">
        <f>IF(AND($G306='Povolené hodnoty'!$B$14,$H306=AV$4),SUM($I306,$L306,$O306,$R306),"")</f>
        <v/>
      </c>
      <c r="AW306" s="39" t="str">
        <f>IF(AND($G306='Povolené hodnoty'!$B$13,$H306=AW$4),SUM($J306,$M306,$P306,$S306),"")</f>
        <v/>
      </c>
      <c r="AX306" s="458" t="str">
        <f>IF(AND($G306='Povolené hodnoty'!$B$13,$H306=AX$4),SUM($J306,$M306,$P306,$S306),"")</f>
        <v/>
      </c>
      <c r="AY306" s="458" t="str">
        <f>IF(AND($G306='Povolené hodnoty'!$B$13,$H306=AY$4),SUM($J306,$M306,$P306,$S306),"")</f>
        <v/>
      </c>
      <c r="AZ306" s="458" t="str">
        <f>IF(AND($G306='Povolené hodnoty'!$B$13,$H306=AZ$4),SUM($J306,$M306,$P306,$S306),"")</f>
        <v/>
      </c>
      <c r="BA306" s="458" t="str">
        <f>IF(AND($G306='Povolené hodnoty'!$B$13,$H306=BA$4),SUM($J306,$M306,$P306,$S306),"")</f>
        <v/>
      </c>
      <c r="BB306" s="40" t="str">
        <f>IF(AND($G306='Povolené hodnoty'!$B$13,$H306=BB$4),SUM($J306,$M306,$P306,$S306),"")</f>
        <v/>
      </c>
      <c r="BC306" s="40" t="str">
        <f>IF(AND($G306='Povolené hodnoty'!$B$13,$H306=BC$4),SUM($J306,$M306,$P306,$S306),"")</f>
        <v/>
      </c>
      <c r="BD306" s="40" t="str">
        <f>IF(AND($G306='Povolené hodnoty'!$B$13,$H306=BD$4),SUM($J306,$M306,$P306,$S306),"")</f>
        <v/>
      </c>
      <c r="BE306" s="41" t="str">
        <f>IF(AND($G306='Povolené hodnoty'!$B$13,$H306=BE$4),SUM($J306,$M306,$P306,$S306),"")</f>
        <v/>
      </c>
      <c r="BF306" s="39" t="str">
        <f>IF(AND($G306='Povolené hodnoty'!$B$14,$H306=BF$4),SUM($J306,$M306,$P306,$S306),"")</f>
        <v/>
      </c>
      <c r="BG306" s="458" t="str">
        <f>IF(AND($G306='Povolené hodnoty'!$B$14,$H306=BG$4),SUM($J306,$M306,$P306,$S306),"")</f>
        <v/>
      </c>
      <c r="BH306" s="458" t="str">
        <f>IF(AND($G306='Povolené hodnoty'!$B$14,$H306=BH$4),SUM($J306,$M306,$P306,$S306),"")</f>
        <v/>
      </c>
      <c r="BI306" s="458" t="str">
        <f>IF(AND($G306='Povolené hodnoty'!$B$14,$H306=BI$4),SUM($J306,$M306,$P306,$S306),"")</f>
        <v/>
      </c>
      <c r="BJ306" s="458" t="str">
        <f>IF(AND($G306='Povolené hodnoty'!$B$14,$H306=BJ$4),SUM($J306,$M306,$P306,$S306),"")</f>
        <v/>
      </c>
      <c r="BK306" s="40" t="str">
        <f>IF(AND($G306='Povolené hodnoty'!$B$14,$H306=BK$4),SUM($J306,$M306,$P306,$S306),"")</f>
        <v/>
      </c>
      <c r="BL306" s="40" t="str">
        <f>IF(AND($G306='Povolené hodnoty'!$B$14,$H306=BL$4),SUM($J306,$M306,$P306,$S306),"")</f>
        <v/>
      </c>
      <c r="BM306" s="41" t="str">
        <f>IF(AND($G306='Povolené hodnoty'!$B$14,$H306=BM$4),SUM($J306,$M306,$P306,$S306),"")</f>
        <v/>
      </c>
      <c r="BO306" s="18" t="b">
        <f t="shared" si="176"/>
        <v>0</v>
      </c>
      <c r="BP306" s="18" t="b">
        <f t="shared" si="147"/>
        <v>0</v>
      </c>
      <c r="BQ306" s="18" t="b">
        <f>AND(E306&lt;&gt;'Povolené hodnoty'!$B$6,F306&lt;&gt;'Povolené hodnoty'!$D$7,F306&lt;&gt;'Povolené hodnoty'!$D$8,OR(SUM(I306,L306,O306,R306)&lt;&gt;SUM(W306:X306,AA306:AG306),SUM(J306,M306,P306,S306)&lt;&gt;SUM(Y306:Z306,AH306:AK306),COUNT(I306:J306,L306:M306,O306:P306,R306:S306)&lt;&gt;COUNT(W306:AK306)))</f>
        <v>0</v>
      </c>
      <c r="BR306" s="18" t="b">
        <f>OR(AND(E306='Povolené hodnoty'!$B$6,$BR$5),AND(E306='Povolené hodnoty'!$B$6,H306&lt;&gt;'Povolené hodnoty'!$E$26,H306&lt;&gt;'Povolené hodnoty'!$E$35),AND(E306&lt;&gt;'Povolené hodnoty'!$B$6,OR(H306='Povolené hodnoty'!$E$26,H306='Povolené hodnoty'!$E$35)))</f>
        <v>0</v>
      </c>
      <c r="BS306" s="18" t="b">
        <f>OR(AND(G306&lt;&gt;'Povolené hodnoty'!$B$13,OR(H306='Povolené hodnoty'!$E$21,H306='Povolené hodnoty'!$E$22,H306='Povolené hodnoty'!$E$23,H306='Povolené hodnoty'!$E$24,H306='Povolené hodnoty'!$E$26,H306='Povolené hodnoty'!$E$36)),COUNT(I306:J306,L306:M306,O306:P306,R306:S306)&lt;&gt;COUNT(AL306:BM306))</f>
        <v>0</v>
      </c>
      <c r="BT306" s="18" t="b">
        <f t="shared" si="148"/>
        <v>0</v>
      </c>
      <c r="BV306" s="39" t="str">
        <f t="shared" si="149"/>
        <v/>
      </c>
      <c r="BW306" s="458" t="str">
        <f t="shared" si="150"/>
        <v/>
      </c>
      <c r="BX306" s="458" t="str">
        <f t="shared" si="151"/>
        <v/>
      </c>
      <c r="BY306" s="458" t="str">
        <f t="shared" si="152"/>
        <v/>
      </c>
      <c r="BZ306" s="458" t="str">
        <f t="shared" si="153"/>
        <v/>
      </c>
      <c r="CA306" s="40" t="str">
        <f t="shared" si="154"/>
        <v/>
      </c>
      <c r="CB306" s="40" t="str">
        <f t="shared" si="155"/>
        <v/>
      </c>
      <c r="CC306" s="39" t="str">
        <f t="shared" si="156"/>
        <v/>
      </c>
      <c r="CD306" s="458" t="str">
        <f t="shared" si="157"/>
        <v/>
      </c>
      <c r="CE306" s="41" t="str">
        <f t="shared" si="158"/>
        <v/>
      </c>
      <c r="CF306" s="39" t="str">
        <f t="shared" si="159"/>
        <v/>
      </c>
      <c r="CG306" s="458" t="str">
        <f t="shared" si="160"/>
        <v/>
      </c>
      <c r="CH306" s="458" t="str">
        <f t="shared" si="161"/>
        <v/>
      </c>
      <c r="CI306" s="458" t="str">
        <f t="shared" si="162"/>
        <v/>
      </c>
      <c r="CJ306" s="458" t="str">
        <f t="shared" si="163"/>
        <v/>
      </c>
      <c r="CK306" s="40" t="str">
        <f t="shared" si="164"/>
        <v/>
      </c>
      <c r="CL306" s="40" t="str">
        <f t="shared" si="165"/>
        <v/>
      </c>
      <c r="CM306" s="40" t="str">
        <f t="shared" si="166"/>
        <v/>
      </c>
      <c r="CN306" s="39" t="str">
        <f t="shared" si="167"/>
        <v/>
      </c>
      <c r="CO306" s="458" t="str">
        <f t="shared" si="168"/>
        <v/>
      </c>
      <c r="CP306" s="458" t="str">
        <f t="shared" si="169"/>
        <v/>
      </c>
      <c r="CQ306" s="458" t="str">
        <f t="shared" si="170"/>
        <v/>
      </c>
      <c r="CR306" s="458" t="str">
        <f t="shared" si="171"/>
        <v/>
      </c>
      <c r="CS306" s="40" t="str">
        <f t="shared" si="172"/>
        <v/>
      </c>
      <c r="CT306" s="40" t="str">
        <f t="shared" si="173"/>
        <v/>
      </c>
      <c r="CU306" s="41" t="str">
        <f t="shared" si="174"/>
        <v/>
      </c>
    </row>
    <row r="307" spans="1:99" x14ac:dyDescent="0.2">
      <c r="A307" s="77">
        <f t="shared" si="175"/>
        <v>302</v>
      </c>
      <c r="B307" s="81"/>
      <c r="C307" s="82"/>
      <c r="D307" s="71"/>
      <c r="E307" s="72"/>
      <c r="F307" s="73"/>
      <c r="G307" s="443"/>
      <c r="H307" s="443"/>
      <c r="I307" s="74"/>
      <c r="J307" s="75"/>
      <c r="K307" s="41">
        <f t="shared" si="179"/>
        <v>3625</v>
      </c>
      <c r="L307" s="104"/>
      <c r="M307" s="105"/>
      <c r="N307" s="106">
        <f t="shared" si="180"/>
        <v>537.05999999999995</v>
      </c>
      <c r="O307" s="104"/>
      <c r="P307" s="105"/>
      <c r="Q307" s="106">
        <f t="shared" si="177"/>
        <v>10045.83</v>
      </c>
      <c r="R307" s="104"/>
      <c r="S307" s="105"/>
      <c r="T307" s="106">
        <f t="shared" si="178"/>
        <v>0</v>
      </c>
      <c r="U307" s="439"/>
      <c r="V307" s="42">
        <f t="shared" si="146"/>
        <v>302</v>
      </c>
      <c r="W307" s="39" t="str">
        <f>IF(AND(E307='Povolené hodnoty'!$B$4,F307=2),I307+L307+O307+R307,"")</f>
        <v/>
      </c>
      <c r="X307" s="41" t="str">
        <f>IF(AND(E307='Povolené hodnoty'!$B$4,F307=1),I307+L307+O307+R307,"")</f>
        <v/>
      </c>
      <c r="Y307" s="39" t="str">
        <f>IF(AND(E307='Povolené hodnoty'!$B$4,F307=10),J307+M307+P307+S307,"")</f>
        <v/>
      </c>
      <c r="Z307" s="41" t="str">
        <f>IF(AND(E307='Povolené hodnoty'!$B$4,F307=9),J307+M307+P307+S307,"")</f>
        <v/>
      </c>
      <c r="AA307" s="39" t="str">
        <f>IF(AND(E307&lt;&gt;'Povolené hodnoty'!$B$4,F307=2),I307+L307+O307+R307,"")</f>
        <v/>
      </c>
      <c r="AB307" s="40" t="str">
        <f>IF(AND(E307&lt;&gt;'Povolené hodnoty'!$B$4,F307=3),I307+L307+O307+R307,"")</f>
        <v/>
      </c>
      <c r="AC307" s="40" t="str">
        <f>IF(AND(E307&lt;&gt;'Povolené hodnoty'!$B$4,F307=4),I307+L307+O307+R307,"")</f>
        <v/>
      </c>
      <c r="AD307" s="40" t="str">
        <f>IF(AND(E307&lt;&gt;'Povolené hodnoty'!$B$4,F307="5a"),I307-J307+L307-M307+O307-P307+R307-S307,"")</f>
        <v/>
      </c>
      <c r="AE307" s="40" t="str">
        <f>IF(AND(E307&lt;&gt;'Povolené hodnoty'!$B$4,F307="5b"),I307-J307+L307-M307+O307-P307+R307-S307,"")</f>
        <v/>
      </c>
      <c r="AF307" s="40" t="str">
        <f>IF(AND(E307&lt;&gt;'Povolené hodnoty'!$B$4,F307=6),I307+L307+O307+R307,"")</f>
        <v/>
      </c>
      <c r="AG307" s="41" t="str">
        <f>IF(AND(E307&lt;&gt;'Povolené hodnoty'!$B$4,F307=7),I307+L307+O307+R307,"")</f>
        <v/>
      </c>
      <c r="AH307" s="39" t="str">
        <f>IF(AND(E307&lt;&gt;'Povolené hodnoty'!$B$4,F307=10),J307+M307+P307+S307,"")</f>
        <v/>
      </c>
      <c r="AI307" s="40" t="str">
        <f>IF(AND(E307&lt;&gt;'Povolené hodnoty'!$B$4,F307=11),J307+M307+P307+S307,"")</f>
        <v/>
      </c>
      <c r="AJ307" s="40" t="str">
        <f>IF(AND(E307&lt;&gt;'Povolené hodnoty'!$B$4,F307=12),J307+M307+P307+S307,"")</f>
        <v/>
      </c>
      <c r="AK307" s="41" t="str">
        <f>IF(AND(E307&lt;&gt;'Povolené hodnoty'!$B$4,F307=13),J307+M307+P307+S307,"")</f>
        <v/>
      </c>
      <c r="AL307" s="39" t="str">
        <f>IF(AND($G307='Povolené hodnoty'!$B$13,$H307=AL$4),SUM($I307,$L307,$O307,$R307),"")</f>
        <v/>
      </c>
      <c r="AM307" s="458" t="str">
        <f>IF(AND($G307='Povolené hodnoty'!$B$13,$H307=AM$4),SUM($I307,$L307,$O307,$R307),"")</f>
        <v/>
      </c>
      <c r="AN307" s="458" t="str">
        <f>IF(AND($G307='Povolené hodnoty'!$B$13,$H307=AN$4),SUM($I307,$L307,$O307,$R307),"")</f>
        <v/>
      </c>
      <c r="AO307" s="458" t="str">
        <f>IF(AND($G307='Povolené hodnoty'!$B$13,$H307=AO$4),SUM($I307,$L307,$O307,$R307),"")</f>
        <v/>
      </c>
      <c r="AP307" s="458" t="str">
        <f>IF(AND($G307='Povolené hodnoty'!$B$13,$H307=AP$4),SUM($I307,$L307,$O307,$R307),"")</f>
        <v/>
      </c>
      <c r="AQ307" s="40" t="str">
        <f>IF(AND($G307='Povolené hodnoty'!$B$13,OR($H307=AQ$4,$H307='Povolené hodnoty'!$E$36)),SUM($I307,-$J307,$L307,-$M307,$O307,-$P307,$R307,-$S307),"")</f>
        <v/>
      </c>
      <c r="AR307" s="40" t="str">
        <f>IF(AND($G307='Povolené hodnoty'!$B$13,$H307=AR$4),SUM($I307,$L307,$O307,$R307),"")</f>
        <v/>
      </c>
      <c r="AS307" s="41" t="str">
        <f>IF(AND($G307='Povolené hodnoty'!$B$13,$H307=AS$4),SUM($I307,$L307,$O307,$R307),"")</f>
        <v/>
      </c>
      <c r="AT307" s="39" t="str">
        <f>IF(AND($G307='Povolené hodnoty'!$B$14,$H307=AT$4),SUM($I307,$L307,$O307,$R307),"")</f>
        <v/>
      </c>
      <c r="AU307" s="458" t="str">
        <f>IF(AND($G307='Povolené hodnoty'!$B$14,$H307=AU$4),SUM($I307,$L307,$O307,$R307),"")</f>
        <v/>
      </c>
      <c r="AV307" s="41" t="str">
        <f>IF(AND($G307='Povolené hodnoty'!$B$14,$H307=AV$4),SUM($I307,$L307,$O307,$R307),"")</f>
        <v/>
      </c>
      <c r="AW307" s="39" t="str">
        <f>IF(AND($G307='Povolené hodnoty'!$B$13,$H307=AW$4),SUM($J307,$M307,$P307,$S307),"")</f>
        <v/>
      </c>
      <c r="AX307" s="458" t="str">
        <f>IF(AND($G307='Povolené hodnoty'!$B$13,$H307=AX$4),SUM($J307,$M307,$P307,$S307),"")</f>
        <v/>
      </c>
      <c r="AY307" s="458" t="str">
        <f>IF(AND($G307='Povolené hodnoty'!$B$13,$H307=AY$4),SUM($J307,$M307,$P307,$S307),"")</f>
        <v/>
      </c>
      <c r="AZ307" s="458" t="str">
        <f>IF(AND($G307='Povolené hodnoty'!$B$13,$H307=AZ$4),SUM($J307,$M307,$P307,$S307),"")</f>
        <v/>
      </c>
      <c r="BA307" s="458" t="str">
        <f>IF(AND($G307='Povolené hodnoty'!$B$13,$H307=BA$4),SUM($J307,$M307,$P307,$S307),"")</f>
        <v/>
      </c>
      <c r="BB307" s="40" t="str">
        <f>IF(AND($G307='Povolené hodnoty'!$B$13,$H307=BB$4),SUM($J307,$M307,$P307,$S307),"")</f>
        <v/>
      </c>
      <c r="BC307" s="40" t="str">
        <f>IF(AND($G307='Povolené hodnoty'!$B$13,$H307=BC$4),SUM($J307,$M307,$P307,$S307),"")</f>
        <v/>
      </c>
      <c r="BD307" s="40" t="str">
        <f>IF(AND($G307='Povolené hodnoty'!$B$13,$H307=BD$4),SUM($J307,$M307,$P307,$S307),"")</f>
        <v/>
      </c>
      <c r="BE307" s="41" t="str">
        <f>IF(AND($G307='Povolené hodnoty'!$B$13,$H307=BE$4),SUM($J307,$M307,$P307,$S307),"")</f>
        <v/>
      </c>
      <c r="BF307" s="39" t="str">
        <f>IF(AND($G307='Povolené hodnoty'!$B$14,$H307=BF$4),SUM($J307,$M307,$P307,$S307),"")</f>
        <v/>
      </c>
      <c r="BG307" s="458" t="str">
        <f>IF(AND($G307='Povolené hodnoty'!$B$14,$H307=BG$4),SUM($J307,$M307,$P307,$S307),"")</f>
        <v/>
      </c>
      <c r="BH307" s="458" t="str">
        <f>IF(AND($G307='Povolené hodnoty'!$B$14,$H307=BH$4),SUM($J307,$M307,$P307,$S307),"")</f>
        <v/>
      </c>
      <c r="BI307" s="458" t="str">
        <f>IF(AND($G307='Povolené hodnoty'!$B$14,$H307=BI$4),SUM($J307,$M307,$P307,$S307),"")</f>
        <v/>
      </c>
      <c r="BJ307" s="458" t="str">
        <f>IF(AND($G307='Povolené hodnoty'!$B$14,$H307=BJ$4),SUM($J307,$M307,$P307,$S307),"")</f>
        <v/>
      </c>
      <c r="BK307" s="40" t="str">
        <f>IF(AND($G307='Povolené hodnoty'!$B$14,$H307=BK$4),SUM($J307,$M307,$P307,$S307),"")</f>
        <v/>
      </c>
      <c r="BL307" s="40" t="str">
        <f>IF(AND($G307='Povolené hodnoty'!$B$14,$H307=BL$4),SUM($J307,$M307,$P307,$S307),"")</f>
        <v/>
      </c>
      <c r="BM307" s="41" t="str">
        <f>IF(AND($G307='Povolené hodnoty'!$B$14,$H307=BM$4),SUM($J307,$M307,$P307,$S307),"")</f>
        <v/>
      </c>
      <c r="BO307" s="18" t="b">
        <f t="shared" si="176"/>
        <v>0</v>
      </c>
      <c r="BP307" s="18" t="b">
        <f t="shared" si="147"/>
        <v>0</v>
      </c>
      <c r="BQ307" s="18" t="b">
        <f>AND(E307&lt;&gt;'Povolené hodnoty'!$B$6,F307&lt;&gt;'Povolené hodnoty'!$D$7,F307&lt;&gt;'Povolené hodnoty'!$D$8,OR(SUM(I307,L307,O307,R307)&lt;&gt;SUM(W307:X307,AA307:AG307),SUM(J307,M307,P307,S307)&lt;&gt;SUM(Y307:Z307,AH307:AK307),COUNT(I307:J307,L307:M307,O307:P307,R307:S307)&lt;&gt;COUNT(W307:AK307)))</f>
        <v>0</v>
      </c>
      <c r="BR307" s="18" t="b">
        <f>OR(AND(E307='Povolené hodnoty'!$B$6,$BR$5),AND(E307='Povolené hodnoty'!$B$6,H307&lt;&gt;'Povolené hodnoty'!$E$26,H307&lt;&gt;'Povolené hodnoty'!$E$35),AND(E307&lt;&gt;'Povolené hodnoty'!$B$6,OR(H307='Povolené hodnoty'!$E$26,H307='Povolené hodnoty'!$E$35)))</f>
        <v>0</v>
      </c>
      <c r="BS307" s="18" t="b">
        <f>OR(AND(G307&lt;&gt;'Povolené hodnoty'!$B$13,OR(H307='Povolené hodnoty'!$E$21,H307='Povolené hodnoty'!$E$22,H307='Povolené hodnoty'!$E$23,H307='Povolené hodnoty'!$E$24,H307='Povolené hodnoty'!$E$26,H307='Povolené hodnoty'!$E$36)),COUNT(I307:J307,L307:M307,O307:P307,R307:S307)&lt;&gt;COUNT(AL307:BM307))</f>
        <v>0</v>
      </c>
      <c r="BT307" s="18" t="b">
        <f t="shared" si="148"/>
        <v>0</v>
      </c>
      <c r="BV307" s="39" t="str">
        <f t="shared" si="149"/>
        <v/>
      </c>
      <c r="BW307" s="458" t="str">
        <f t="shared" si="150"/>
        <v/>
      </c>
      <c r="BX307" s="458" t="str">
        <f t="shared" si="151"/>
        <v/>
      </c>
      <c r="BY307" s="458" t="str">
        <f t="shared" si="152"/>
        <v/>
      </c>
      <c r="BZ307" s="458" t="str">
        <f t="shared" si="153"/>
        <v/>
      </c>
      <c r="CA307" s="40" t="str">
        <f t="shared" si="154"/>
        <v/>
      </c>
      <c r="CB307" s="40" t="str">
        <f t="shared" si="155"/>
        <v/>
      </c>
      <c r="CC307" s="39" t="str">
        <f t="shared" si="156"/>
        <v/>
      </c>
      <c r="CD307" s="458" t="str">
        <f t="shared" si="157"/>
        <v/>
      </c>
      <c r="CE307" s="41" t="str">
        <f t="shared" si="158"/>
        <v/>
      </c>
      <c r="CF307" s="39" t="str">
        <f t="shared" si="159"/>
        <v/>
      </c>
      <c r="CG307" s="458" t="str">
        <f t="shared" si="160"/>
        <v/>
      </c>
      <c r="CH307" s="458" t="str">
        <f t="shared" si="161"/>
        <v/>
      </c>
      <c r="CI307" s="458" t="str">
        <f t="shared" si="162"/>
        <v/>
      </c>
      <c r="CJ307" s="458" t="str">
        <f t="shared" si="163"/>
        <v/>
      </c>
      <c r="CK307" s="40" t="str">
        <f t="shared" si="164"/>
        <v/>
      </c>
      <c r="CL307" s="40" t="str">
        <f t="shared" si="165"/>
        <v/>
      </c>
      <c r="CM307" s="40" t="str">
        <f t="shared" si="166"/>
        <v/>
      </c>
      <c r="CN307" s="39" t="str">
        <f t="shared" si="167"/>
        <v/>
      </c>
      <c r="CO307" s="458" t="str">
        <f t="shared" si="168"/>
        <v/>
      </c>
      <c r="CP307" s="458" t="str">
        <f t="shared" si="169"/>
        <v/>
      </c>
      <c r="CQ307" s="458" t="str">
        <f t="shared" si="170"/>
        <v/>
      </c>
      <c r="CR307" s="458" t="str">
        <f t="shared" si="171"/>
        <v/>
      </c>
      <c r="CS307" s="40" t="str">
        <f t="shared" si="172"/>
        <v/>
      </c>
      <c r="CT307" s="40" t="str">
        <f t="shared" si="173"/>
        <v/>
      </c>
      <c r="CU307" s="41" t="str">
        <f t="shared" si="174"/>
        <v/>
      </c>
    </row>
    <row r="308" spans="1:99" x14ac:dyDescent="0.2">
      <c r="A308" s="77">
        <f t="shared" si="175"/>
        <v>303</v>
      </c>
      <c r="B308" s="81"/>
      <c r="C308" s="82"/>
      <c r="D308" s="71"/>
      <c r="E308" s="72"/>
      <c r="F308" s="73"/>
      <c r="G308" s="443"/>
      <c r="H308" s="443"/>
      <c r="I308" s="74"/>
      <c r="J308" s="75"/>
      <c r="K308" s="41">
        <f t="shared" si="179"/>
        <v>3625</v>
      </c>
      <c r="L308" s="104"/>
      <c r="M308" s="105"/>
      <c r="N308" s="106">
        <f t="shared" si="180"/>
        <v>537.05999999999995</v>
      </c>
      <c r="O308" s="104"/>
      <c r="P308" s="105"/>
      <c r="Q308" s="106">
        <f t="shared" si="177"/>
        <v>10045.83</v>
      </c>
      <c r="R308" s="104"/>
      <c r="S308" s="105"/>
      <c r="T308" s="106">
        <f t="shared" si="178"/>
        <v>0</v>
      </c>
      <c r="U308" s="439"/>
      <c r="V308" s="42">
        <f t="shared" si="146"/>
        <v>303</v>
      </c>
      <c r="W308" s="39" t="str">
        <f>IF(AND(E308='Povolené hodnoty'!$B$4,F308=2),I308+L308+O308+R308,"")</f>
        <v/>
      </c>
      <c r="X308" s="41" t="str">
        <f>IF(AND(E308='Povolené hodnoty'!$B$4,F308=1),I308+L308+O308+R308,"")</f>
        <v/>
      </c>
      <c r="Y308" s="39" t="str">
        <f>IF(AND(E308='Povolené hodnoty'!$B$4,F308=10),J308+M308+P308+S308,"")</f>
        <v/>
      </c>
      <c r="Z308" s="41" t="str">
        <f>IF(AND(E308='Povolené hodnoty'!$B$4,F308=9),J308+M308+P308+S308,"")</f>
        <v/>
      </c>
      <c r="AA308" s="39" t="str">
        <f>IF(AND(E308&lt;&gt;'Povolené hodnoty'!$B$4,F308=2),I308+L308+O308+R308,"")</f>
        <v/>
      </c>
      <c r="AB308" s="40" t="str">
        <f>IF(AND(E308&lt;&gt;'Povolené hodnoty'!$B$4,F308=3),I308+L308+O308+R308,"")</f>
        <v/>
      </c>
      <c r="AC308" s="40" t="str">
        <f>IF(AND(E308&lt;&gt;'Povolené hodnoty'!$B$4,F308=4),I308+L308+O308+R308,"")</f>
        <v/>
      </c>
      <c r="AD308" s="40" t="str">
        <f>IF(AND(E308&lt;&gt;'Povolené hodnoty'!$B$4,F308="5a"),I308-J308+L308-M308+O308-P308+R308-S308,"")</f>
        <v/>
      </c>
      <c r="AE308" s="40" t="str">
        <f>IF(AND(E308&lt;&gt;'Povolené hodnoty'!$B$4,F308="5b"),I308-J308+L308-M308+O308-P308+R308-S308,"")</f>
        <v/>
      </c>
      <c r="AF308" s="40" t="str">
        <f>IF(AND(E308&lt;&gt;'Povolené hodnoty'!$B$4,F308=6),I308+L308+O308+R308,"")</f>
        <v/>
      </c>
      <c r="AG308" s="41" t="str">
        <f>IF(AND(E308&lt;&gt;'Povolené hodnoty'!$B$4,F308=7),I308+L308+O308+R308,"")</f>
        <v/>
      </c>
      <c r="AH308" s="39" t="str">
        <f>IF(AND(E308&lt;&gt;'Povolené hodnoty'!$B$4,F308=10),J308+M308+P308+S308,"")</f>
        <v/>
      </c>
      <c r="AI308" s="40" t="str">
        <f>IF(AND(E308&lt;&gt;'Povolené hodnoty'!$B$4,F308=11),J308+M308+P308+S308,"")</f>
        <v/>
      </c>
      <c r="AJ308" s="40" t="str">
        <f>IF(AND(E308&lt;&gt;'Povolené hodnoty'!$B$4,F308=12),J308+M308+P308+S308,"")</f>
        <v/>
      </c>
      <c r="AK308" s="41" t="str">
        <f>IF(AND(E308&lt;&gt;'Povolené hodnoty'!$B$4,F308=13),J308+M308+P308+S308,"")</f>
        <v/>
      </c>
      <c r="AL308" s="39" t="str">
        <f>IF(AND($G308='Povolené hodnoty'!$B$13,$H308=AL$4),SUM($I308,$L308,$O308,$R308),"")</f>
        <v/>
      </c>
      <c r="AM308" s="458" t="str">
        <f>IF(AND($G308='Povolené hodnoty'!$B$13,$H308=AM$4),SUM($I308,$L308,$O308,$R308),"")</f>
        <v/>
      </c>
      <c r="AN308" s="458" t="str">
        <f>IF(AND($G308='Povolené hodnoty'!$B$13,$H308=AN$4),SUM($I308,$L308,$O308,$R308),"")</f>
        <v/>
      </c>
      <c r="AO308" s="458" t="str">
        <f>IF(AND($G308='Povolené hodnoty'!$B$13,$H308=AO$4),SUM($I308,$L308,$O308,$R308),"")</f>
        <v/>
      </c>
      <c r="AP308" s="458" t="str">
        <f>IF(AND($G308='Povolené hodnoty'!$B$13,$H308=AP$4),SUM($I308,$L308,$O308,$R308),"")</f>
        <v/>
      </c>
      <c r="AQ308" s="40" t="str">
        <f>IF(AND($G308='Povolené hodnoty'!$B$13,OR($H308=AQ$4,$H308='Povolené hodnoty'!$E$36)),SUM($I308,-$J308,$L308,-$M308,$O308,-$P308,$R308,-$S308),"")</f>
        <v/>
      </c>
      <c r="AR308" s="40" t="str">
        <f>IF(AND($G308='Povolené hodnoty'!$B$13,$H308=AR$4),SUM($I308,$L308,$O308,$R308),"")</f>
        <v/>
      </c>
      <c r="AS308" s="41" t="str">
        <f>IF(AND($G308='Povolené hodnoty'!$B$13,$H308=AS$4),SUM($I308,$L308,$O308,$R308),"")</f>
        <v/>
      </c>
      <c r="AT308" s="39" t="str">
        <f>IF(AND($G308='Povolené hodnoty'!$B$14,$H308=AT$4),SUM($I308,$L308,$O308,$R308),"")</f>
        <v/>
      </c>
      <c r="AU308" s="458" t="str">
        <f>IF(AND($G308='Povolené hodnoty'!$B$14,$H308=AU$4),SUM($I308,$L308,$O308,$R308),"")</f>
        <v/>
      </c>
      <c r="AV308" s="41" t="str">
        <f>IF(AND($G308='Povolené hodnoty'!$B$14,$H308=AV$4),SUM($I308,$L308,$O308,$R308),"")</f>
        <v/>
      </c>
      <c r="AW308" s="39" t="str">
        <f>IF(AND($G308='Povolené hodnoty'!$B$13,$H308=AW$4),SUM($J308,$M308,$P308,$S308),"")</f>
        <v/>
      </c>
      <c r="AX308" s="458" t="str">
        <f>IF(AND($G308='Povolené hodnoty'!$B$13,$H308=AX$4),SUM($J308,$M308,$P308,$S308),"")</f>
        <v/>
      </c>
      <c r="AY308" s="458" t="str">
        <f>IF(AND($G308='Povolené hodnoty'!$B$13,$H308=AY$4),SUM($J308,$M308,$P308,$S308),"")</f>
        <v/>
      </c>
      <c r="AZ308" s="458" t="str">
        <f>IF(AND($G308='Povolené hodnoty'!$B$13,$H308=AZ$4),SUM($J308,$M308,$P308,$S308),"")</f>
        <v/>
      </c>
      <c r="BA308" s="458" t="str">
        <f>IF(AND($G308='Povolené hodnoty'!$B$13,$H308=BA$4),SUM($J308,$M308,$P308,$S308),"")</f>
        <v/>
      </c>
      <c r="BB308" s="40" t="str">
        <f>IF(AND($G308='Povolené hodnoty'!$B$13,$H308=BB$4),SUM($J308,$M308,$P308,$S308),"")</f>
        <v/>
      </c>
      <c r="BC308" s="40" t="str">
        <f>IF(AND($G308='Povolené hodnoty'!$B$13,$H308=BC$4),SUM($J308,$M308,$P308,$S308),"")</f>
        <v/>
      </c>
      <c r="BD308" s="40" t="str">
        <f>IF(AND($G308='Povolené hodnoty'!$B$13,$H308=BD$4),SUM($J308,$M308,$P308,$S308),"")</f>
        <v/>
      </c>
      <c r="BE308" s="41" t="str">
        <f>IF(AND($G308='Povolené hodnoty'!$B$13,$H308=BE$4),SUM($J308,$M308,$P308,$S308),"")</f>
        <v/>
      </c>
      <c r="BF308" s="39" t="str">
        <f>IF(AND($G308='Povolené hodnoty'!$B$14,$H308=BF$4),SUM($J308,$M308,$P308,$S308),"")</f>
        <v/>
      </c>
      <c r="BG308" s="458" t="str">
        <f>IF(AND($G308='Povolené hodnoty'!$B$14,$H308=BG$4),SUM($J308,$M308,$P308,$S308),"")</f>
        <v/>
      </c>
      <c r="BH308" s="458" t="str">
        <f>IF(AND($G308='Povolené hodnoty'!$B$14,$H308=BH$4),SUM($J308,$M308,$P308,$S308),"")</f>
        <v/>
      </c>
      <c r="BI308" s="458" t="str">
        <f>IF(AND($G308='Povolené hodnoty'!$B$14,$H308=BI$4),SUM($J308,$M308,$P308,$S308),"")</f>
        <v/>
      </c>
      <c r="BJ308" s="458" t="str">
        <f>IF(AND($G308='Povolené hodnoty'!$B$14,$H308=BJ$4),SUM($J308,$M308,$P308,$S308),"")</f>
        <v/>
      </c>
      <c r="BK308" s="40" t="str">
        <f>IF(AND($G308='Povolené hodnoty'!$B$14,$H308=BK$4),SUM($J308,$M308,$P308,$S308),"")</f>
        <v/>
      </c>
      <c r="BL308" s="40" t="str">
        <f>IF(AND($G308='Povolené hodnoty'!$B$14,$H308=BL$4),SUM($J308,$M308,$P308,$S308),"")</f>
        <v/>
      </c>
      <c r="BM308" s="41" t="str">
        <f>IF(AND($G308='Povolené hodnoty'!$B$14,$H308=BM$4),SUM($J308,$M308,$P308,$S308),"")</f>
        <v/>
      </c>
      <c r="BO308" s="18" t="b">
        <f t="shared" si="176"/>
        <v>0</v>
      </c>
      <c r="BP308" s="18" t="b">
        <f t="shared" si="147"/>
        <v>0</v>
      </c>
      <c r="BQ308" s="18" t="b">
        <f>AND(E308&lt;&gt;'Povolené hodnoty'!$B$6,F308&lt;&gt;'Povolené hodnoty'!$D$7,F308&lt;&gt;'Povolené hodnoty'!$D$8,OR(SUM(I308,L308,O308,R308)&lt;&gt;SUM(W308:X308,AA308:AG308),SUM(J308,M308,P308,S308)&lt;&gt;SUM(Y308:Z308,AH308:AK308),COUNT(I308:J308,L308:M308,O308:P308,R308:S308)&lt;&gt;COUNT(W308:AK308)))</f>
        <v>0</v>
      </c>
      <c r="BR308" s="18" t="b">
        <f>OR(AND(E308='Povolené hodnoty'!$B$6,$BR$5),AND(E308='Povolené hodnoty'!$B$6,H308&lt;&gt;'Povolené hodnoty'!$E$26,H308&lt;&gt;'Povolené hodnoty'!$E$35),AND(E308&lt;&gt;'Povolené hodnoty'!$B$6,OR(H308='Povolené hodnoty'!$E$26,H308='Povolené hodnoty'!$E$35)))</f>
        <v>0</v>
      </c>
      <c r="BS308" s="18" t="b">
        <f>OR(AND(G308&lt;&gt;'Povolené hodnoty'!$B$13,OR(H308='Povolené hodnoty'!$E$21,H308='Povolené hodnoty'!$E$22,H308='Povolené hodnoty'!$E$23,H308='Povolené hodnoty'!$E$24,H308='Povolené hodnoty'!$E$26,H308='Povolené hodnoty'!$E$36)),COUNT(I308:J308,L308:M308,O308:P308,R308:S308)&lt;&gt;COUNT(AL308:BM308))</f>
        <v>0</v>
      </c>
      <c r="BT308" s="18" t="b">
        <f t="shared" si="148"/>
        <v>0</v>
      </c>
      <c r="BV308" s="39" t="str">
        <f t="shared" si="149"/>
        <v/>
      </c>
      <c r="BW308" s="458" t="str">
        <f t="shared" si="150"/>
        <v/>
      </c>
      <c r="BX308" s="458" t="str">
        <f t="shared" si="151"/>
        <v/>
      </c>
      <c r="BY308" s="458" t="str">
        <f t="shared" si="152"/>
        <v/>
      </c>
      <c r="BZ308" s="458" t="str">
        <f t="shared" si="153"/>
        <v/>
      </c>
      <c r="CA308" s="40" t="str">
        <f t="shared" si="154"/>
        <v/>
      </c>
      <c r="CB308" s="40" t="str">
        <f t="shared" si="155"/>
        <v/>
      </c>
      <c r="CC308" s="39" t="str">
        <f t="shared" si="156"/>
        <v/>
      </c>
      <c r="CD308" s="458" t="str">
        <f t="shared" si="157"/>
        <v/>
      </c>
      <c r="CE308" s="41" t="str">
        <f t="shared" si="158"/>
        <v/>
      </c>
      <c r="CF308" s="39" t="str">
        <f t="shared" si="159"/>
        <v/>
      </c>
      <c r="CG308" s="458" t="str">
        <f t="shared" si="160"/>
        <v/>
      </c>
      <c r="CH308" s="458" t="str">
        <f t="shared" si="161"/>
        <v/>
      </c>
      <c r="CI308" s="458" t="str">
        <f t="shared" si="162"/>
        <v/>
      </c>
      <c r="CJ308" s="458" t="str">
        <f t="shared" si="163"/>
        <v/>
      </c>
      <c r="CK308" s="40" t="str">
        <f t="shared" si="164"/>
        <v/>
      </c>
      <c r="CL308" s="40" t="str">
        <f t="shared" si="165"/>
        <v/>
      </c>
      <c r="CM308" s="40" t="str">
        <f t="shared" si="166"/>
        <v/>
      </c>
      <c r="CN308" s="39" t="str">
        <f t="shared" si="167"/>
        <v/>
      </c>
      <c r="CO308" s="458" t="str">
        <f t="shared" si="168"/>
        <v/>
      </c>
      <c r="CP308" s="458" t="str">
        <f t="shared" si="169"/>
        <v/>
      </c>
      <c r="CQ308" s="458" t="str">
        <f t="shared" si="170"/>
        <v/>
      </c>
      <c r="CR308" s="458" t="str">
        <f t="shared" si="171"/>
        <v/>
      </c>
      <c r="CS308" s="40" t="str">
        <f t="shared" si="172"/>
        <v/>
      </c>
      <c r="CT308" s="40" t="str">
        <f t="shared" si="173"/>
        <v/>
      </c>
      <c r="CU308" s="41" t="str">
        <f t="shared" si="174"/>
        <v/>
      </c>
    </row>
    <row r="309" spans="1:99" x14ac:dyDescent="0.2">
      <c r="A309" s="77">
        <f t="shared" si="175"/>
        <v>304</v>
      </c>
      <c r="B309" s="81"/>
      <c r="C309" s="82"/>
      <c r="D309" s="71"/>
      <c r="E309" s="72"/>
      <c r="F309" s="73"/>
      <c r="G309" s="443"/>
      <c r="H309" s="443"/>
      <c r="I309" s="74"/>
      <c r="J309" s="75"/>
      <c r="K309" s="41">
        <f t="shared" si="179"/>
        <v>3625</v>
      </c>
      <c r="L309" s="104"/>
      <c r="M309" s="105"/>
      <c r="N309" s="106">
        <f t="shared" si="180"/>
        <v>537.05999999999995</v>
      </c>
      <c r="O309" s="104"/>
      <c r="P309" s="105"/>
      <c r="Q309" s="106">
        <f t="shared" si="177"/>
        <v>10045.83</v>
      </c>
      <c r="R309" s="104"/>
      <c r="S309" s="105"/>
      <c r="T309" s="106">
        <f t="shared" si="178"/>
        <v>0</v>
      </c>
      <c r="U309" s="439"/>
      <c r="V309" s="42">
        <f t="shared" si="146"/>
        <v>304</v>
      </c>
      <c r="W309" s="39" t="str">
        <f>IF(AND(E309='Povolené hodnoty'!$B$4,F309=2),I309+L309+O309+R309,"")</f>
        <v/>
      </c>
      <c r="X309" s="41" t="str">
        <f>IF(AND(E309='Povolené hodnoty'!$B$4,F309=1),I309+L309+O309+R309,"")</f>
        <v/>
      </c>
      <c r="Y309" s="39" t="str">
        <f>IF(AND(E309='Povolené hodnoty'!$B$4,F309=10),J309+M309+P309+S309,"")</f>
        <v/>
      </c>
      <c r="Z309" s="41" t="str">
        <f>IF(AND(E309='Povolené hodnoty'!$B$4,F309=9),J309+M309+P309+S309,"")</f>
        <v/>
      </c>
      <c r="AA309" s="39" t="str">
        <f>IF(AND(E309&lt;&gt;'Povolené hodnoty'!$B$4,F309=2),I309+L309+O309+R309,"")</f>
        <v/>
      </c>
      <c r="AB309" s="40" t="str">
        <f>IF(AND(E309&lt;&gt;'Povolené hodnoty'!$B$4,F309=3),I309+L309+O309+R309,"")</f>
        <v/>
      </c>
      <c r="AC309" s="40" t="str">
        <f>IF(AND(E309&lt;&gt;'Povolené hodnoty'!$B$4,F309=4),I309+L309+O309+R309,"")</f>
        <v/>
      </c>
      <c r="AD309" s="40" t="str">
        <f>IF(AND(E309&lt;&gt;'Povolené hodnoty'!$B$4,F309="5a"),I309-J309+L309-M309+O309-P309+R309-S309,"")</f>
        <v/>
      </c>
      <c r="AE309" s="40" t="str">
        <f>IF(AND(E309&lt;&gt;'Povolené hodnoty'!$B$4,F309="5b"),I309-J309+L309-M309+O309-P309+R309-S309,"")</f>
        <v/>
      </c>
      <c r="AF309" s="40" t="str">
        <f>IF(AND(E309&lt;&gt;'Povolené hodnoty'!$B$4,F309=6),I309+L309+O309+R309,"")</f>
        <v/>
      </c>
      <c r="AG309" s="41" t="str">
        <f>IF(AND(E309&lt;&gt;'Povolené hodnoty'!$B$4,F309=7),I309+L309+O309+R309,"")</f>
        <v/>
      </c>
      <c r="AH309" s="39" t="str">
        <f>IF(AND(E309&lt;&gt;'Povolené hodnoty'!$B$4,F309=10),J309+M309+P309+S309,"")</f>
        <v/>
      </c>
      <c r="AI309" s="40" t="str">
        <f>IF(AND(E309&lt;&gt;'Povolené hodnoty'!$B$4,F309=11),J309+M309+P309+S309,"")</f>
        <v/>
      </c>
      <c r="AJ309" s="40" t="str">
        <f>IF(AND(E309&lt;&gt;'Povolené hodnoty'!$B$4,F309=12),J309+M309+P309+S309,"")</f>
        <v/>
      </c>
      <c r="AK309" s="41" t="str">
        <f>IF(AND(E309&lt;&gt;'Povolené hodnoty'!$B$4,F309=13),J309+M309+P309+S309,"")</f>
        <v/>
      </c>
      <c r="AL309" s="39" t="str">
        <f>IF(AND($G309='Povolené hodnoty'!$B$13,$H309=AL$4),SUM($I309,$L309,$O309,$R309),"")</f>
        <v/>
      </c>
      <c r="AM309" s="458" t="str">
        <f>IF(AND($G309='Povolené hodnoty'!$B$13,$H309=AM$4),SUM($I309,$L309,$O309,$R309),"")</f>
        <v/>
      </c>
      <c r="AN309" s="458" t="str">
        <f>IF(AND($G309='Povolené hodnoty'!$B$13,$H309=AN$4),SUM($I309,$L309,$O309,$R309),"")</f>
        <v/>
      </c>
      <c r="AO309" s="458" t="str">
        <f>IF(AND($G309='Povolené hodnoty'!$B$13,$H309=AO$4),SUM($I309,$L309,$O309,$R309),"")</f>
        <v/>
      </c>
      <c r="AP309" s="458" t="str">
        <f>IF(AND($G309='Povolené hodnoty'!$B$13,$H309=AP$4),SUM($I309,$L309,$O309,$R309),"")</f>
        <v/>
      </c>
      <c r="AQ309" s="40" t="str">
        <f>IF(AND($G309='Povolené hodnoty'!$B$13,OR($H309=AQ$4,$H309='Povolené hodnoty'!$E$36)),SUM($I309,-$J309,$L309,-$M309,$O309,-$P309,$R309,-$S309),"")</f>
        <v/>
      </c>
      <c r="AR309" s="40" t="str">
        <f>IF(AND($G309='Povolené hodnoty'!$B$13,$H309=AR$4),SUM($I309,$L309,$O309,$R309),"")</f>
        <v/>
      </c>
      <c r="AS309" s="41" t="str">
        <f>IF(AND($G309='Povolené hodnoty'!$B$13,$H309=AS$4),SUM($I309,$L309,$O309,$R309),"")</f>
        <v/>
      </c>
      <c r="AT309" s="39" t="str">
        <f>IF(AND($G309='Povolené hodnoty'!$B$14,$H309=AT$4),SUM($I309,$L309,$O309,$R309),"")</f>
        <v/>
      </c>
      <c r="AU309" s="458" t="str">
        <f>IF(AND($G309='Povolené hodnoty'!$B$14,$H309=AU$4),SUM($I309,$L309,$O309,$R309),"")</f>
        <v/>
      </c>
      <c r="AV309" s="41" t="str">
        <f>IF(AND($G309='Povolené hodnoty'!$B$14,$H309=AV$4),SUM($I309,$L309,$O309,$R309),"")</f>
        <v/>
      </c>
      <c r="AW309" s="39" t="str">
        <f>IF(AND($G309='Povolené hodnoty'!$B$13,$H309=AW$4),SUM($J309,$M309,$P309,$S309),"")</f>
        <v/>
      </c>
      <c r="AX309" s="458" t="str">
        <f>IF(AND($G309='Povolené hodnoty'!$B$13,$H309=AX$4),SUM($J309,$M309,$P309,$S309),"")</f>
        <v/>
      </c>
      <c r="AY309" s="458" t="str">
        <f>IF(AND($G309='Povolené hodnoty'!$B$13,$H309=AY$4),SUM($J309,$M309,$P309,$S309),"")</f>
        <v/>
      </c>
      <c r="AZ309" s="458" t="str">
        <f>IF(AND($G309='Povolené hodnoty'!$B$13,$H309=AZ$4),SUM($J309,$M309,$P309,$S309),"")</f>
        <v/>
      </c>
      <c r="BA309" s="458" t="str">
        <f>IF(AND($G309='Povolené hodnoty'!$B$13,$H309=BA$4),SUM($J309,$M309,$P309,$S309),"")</f>
        <v/>
      </c>
      <c r="BB309" s="40" t="str">
        <f>IF(AND($G309='Povolené hodnoty'!$B$13,$H309=BB$4),SUM($J309,$M309,$P309,$S309),"")</f>
        <v/>
      </c>
      <c r="BC309" s="40" t="str">
        <f>IF(AND($G309='Povolené hodnoty'!$B$13,$H309=BC$4),SUM($J309,$M309,$P309,$S309),"")</f>
        <v/>
      </c>
      <c r="BD309" s="40" t="str">
        <f>IF(AND($G309='Povolené hodnoty'!$B$13,$H309=BD$4),SUM($J309,$M309,$P309,$S309),"")</f>
        <v/>
      </c>
      <c r="BE309" s="41" t="str">
        <f>IF(AND($G309='Povolené hodnoty'!$B$13,$H309=BE$4),SUM($J309,$M309,$P309,$S309),"")</f>
        <v/>
      </c>
      <c r="BF309" s="39" t="str">
        <f>IF(AND($G309='Povolené hodnoty'!$B$14,$H309=BF$4),SUM($J309,$M309,$P309,$S309),"")</f>
        <v/>
      </c>
      <c r="BG309" s="458" t="str">
        <f>IF(AND($G309='Povolené hodnoty'!$B$14,$H309=BG$4),SUM($J309,$M309,$P309,$S309),"")</f>
        <v/>
      </c>
      <c r="BH309" s="458" t="str">
        <f>IF(AND($G309='Povolené hodnoty'!$B$14,$H309=BH$4),SUM($J309,$M309,$P309,$S309),"")</f>
        <v/>
      </c>
      <c r="BI309" s="458" t="str">
        <f>IF(AND($G309='Povolené hodnoty'!$B$14,$H309=BI$4),SUM($J309,$M309,$P309,$S309),"")</f>
        <v/>
      </c>
      <c r="BJ309" s="458" t="str">
        <f>IF(AND($G309='Povolené hodnoty'!$B$14,$H309=BJ$4),SUM($J309,$M309,$P309,$S309),"")</f>
        <v/>
      </c>
      <c r="BK309" s="40" t="str">
        <f>IF(AND($G309='Povolené hodnoty'!$B$14,$H309=BK$4),SUM($J309,$M309,$P309,$S309),"")</f>
        <v/>
      </c>
      <c r="BL309" s="40" t="str">
        <f>IF(AND($G309='Povolené hodnoty'!$B$14,$H309=BL$4),SUM($J309,$M309,$P309,$S309),"")</f>
        <v/>
      </c>
      <c r="BM309" s="41" t="str">
        <f>IF(AND($G309='Povolené hodnoty'!$B$14,$H309=BM$4),SUM($J309,$M309,$P309,$S309),"")</f>
        <v/>
      </c>
      <c r="BO309" s="18" t="b">
        <f t="shared" si="176"/>
        <v>0</v>
      </c>
      <c r="BP309" s="18" t="b">
        <f t="shared" si="147"/>
        <v>0</v>
      </c>
      <c r="BQ309" s="18" t="b">
        <f>AND(E309&lt;&gt;'Povolené hodnoty'!$B$6,F309&lt;&gt;'Povolené hodnoty'!$D$7,F309&lt;&gt;'Povolené hodnoty'!$D$8,OR(SUM(I309,L309,O309,R309)&lt;&gt;SUM(W309:X309,AA309:AG309),SUM(J309,M309,P309,S309)&lt;&gt;SUM(Y309:Z309,AH309:AK309),COUNT(I309:J309,L309:M309,O309:P309,R309:S309)&lt;&gt;COUNT(W309:AK309)))</f>
        <v>0</v>
      </c>
      <c r="BR309" s="18" t="b">
        <f>OR(AND(E309='Povolené hodnoty'!$B$6,$BR$5),AND(E309='Povolené hodnoty'!$B$6,H309&lt;&gt;'Povolené hodnoty'!$E$26,H309&lt;&gt;'Povolené hodnoty'!$E$35),AND(E309&lt;&gt;'Povolené hodnoty'!$B$6,OR(H309='Povolené hodnoty'!$E$26,H309='Povolené hodnoty'!$E$35)))</f>
        <v>0</v>
      </c>
      <c r="BS309" s="18" t="b">
        <f>OR(AND(G309&lt;&gt;'Povolené hodnoty'!$B$13,OR(H309='Povolené hodnoty'!$E$21,H309='Povolené hodnoty'!$E$22,H309='Povolené hodnoty'!$E$23,H309='Povolené hodnoty'!$E$24,H309='Povolené hodnoty'!$E$26,H309='Povolené hodnoty'!$E$36)),COUNT(I309:J309,L309:M309,O309:P309,R309:S309)&lt;&gt;COUNT(AL309:BM309))</f>
        <v>0</v>
      </c>
      <c r="BT309" s="18" t="b">
        <f t="shared" si="148"/>
        <v>0</v>
      </c>
      <c r="BV309" s="39" t="str">
        <f t="shared" si="149"/>
        <v/>
      </c>
      <c r="BW309" s="458" t="str">
        <f t="shared" si="150"/>
        <v/>
      </c>
      <c r="BX309" s="458" t="str">
        <f t="shared" si="151"/>
        <v/>
      </c>
      <c r="BY309" s="458" t="str">
        <f t="shared" si="152"/>
        <v/>
      </c>
      <c r="BZ309" s="458" t="str">
        <f t="shared" si="153"/>
        <v/>
      </c>
      <c r="CA309" s="40" t="str">
        <f t="shared" si="154"/>
        <v/>
      </c>
      <c r="CB309" s="40" t="str">
        <f t="shared" si="155"/>
        <v/>
      </c>
      <c r="CC309" s="39" t="str">
        <f t="shared" si="156"/>
        <v/>
      </c>
      <c r="CD309" s="458" t="str">
        <f t="shared" si="157"/>
        <v/>
      </c>
      <c r="CE309" s="41" t="str">
        <f t="shared" si="158"/>
        <v/>
      </c>
      <c r="CF309" s="39" t="str">
        <f t="shared" si="159"/>
        <v/>
      </c>
      <c r="CG309" s="458" t="str">
        <f t="shared" si="160"/>
        <v/>
      </c>
      <c r="CH309" s="458" t="str">
        <f t="shared" si="161"/>
        <v/>
      </c>
      <c r="CI309" s="458" t="str">
        <f t="shared" si="162"/>
        <v/>
      </c>
      <c r="CJ309" s="458" t="str">
        <f t="shared" si="163"/>
        <v/>
      </c>
      <c r="CK309" s="40" t="str">
        <f t="shared" si="164"/>
        <v/>
      </c>
      <c r="CL309" s="40" t="str">
        <f t="shared" si="165"/>
        <v/>
      </c>
      <c r="CM309" s="40" t="str">
        <f t="shared" si="166"/>
        <v/>
      </c>
      <c r="CN309" s="39" t="str">
        <f t="shared" si="167"/>
        <v/>
      </c>
      <c r="CO309" s="458" t="str">
        <f t="shared" si="168"/>
        <v/>
      </c>
      <c r="CP309" s="458" t="str">
        <f t="shared" si="169"/>
        <v/>
      </c>
      <c r="CQ309" s="458" t="str">
        <f t="shared" si="170"/>
        <v/>
      </c>
      <c r="CR309" s="458" t="str">
        <f t="shared" si="171"/>
        <v/>
      </c>
      <c r="CS309" s="40" t="str">
        <f t="shared" si="172"/>
        <v/>
      </c>
      <c r="CT309" s="40" t="str">
        <f t="shared" si="173"/>
        <v/>
      </c>
      <c r="CU309" s="41" t="str">
        <f t="shared" si="174"/>
        <v/>
      </c>
    </row>
    <row r="310" spans="1:99" x14ac:dyDescent="0.2">
      <c r="A310" s="77">
        <f t="shared" si="175"/>
        <v>305</v>
      </c>
      <c r="B310" s="81"/>
      <c r="C310" s="82"/>
      <c r="D310" s="71"/>
      <c r="E310" s="72"/>
      <c r="F310" s="73"/>
      <c r="G310" s="443"/>
      <c r="H310" s="443"/>
      <c r="I310" s="74"/>
      <c r="J310" s="75"/>
      <c r="K310" s="41">
        <f t="shared" si="179"/>
        <v>3625</v>
      </c>
      <c r="L310" s="104"/>
      <c r="M310" s="105"/>
      <c r="N310" s="106">
        <f t="shared" si="180"/>
        <v>537.05999999999995</v>
      </c>
      <c r="O310" s="104"/>
      <c r="P310" s="105"/>
      <c r="Q310" s="106">
        <f t="shared" si="177"/>
        <v>10045.83</v>
      </c>
      <c r="R310" s="104"/>
      <c r="S310" s="105"/>
      <c r="T310" s="106">
        <f t="shared" si="178"/>
        <v>0</v>
      </c>
      <c r="U310" s="439"/>
      <c r="V310" s="42">
        <f t="shared" si="146"/>
        <v>305</v>
      </c>
      <c r="W310" s="39" t="str">
        <f>IF(AND(E310='Povolené hodnoty'!$B$4,F310=2),I310+L310+O310+R310,"")</f>
        <v/>
      </c>
      <c r="X310" s="41" t="str">
        <f>IF(AND(E310='Povolené hodnoty'!$B$4,F310=1),I310+L310+O310+R310,"")</f>
        <v/>
      </c>
      <c r="Y310" s="39" t="str">
        <f>IF(AND(E310='Povolené hodnoty'!$B$4,F310=10),J310+M310+P310+S310,"")</f>
        <v/>
      </c>
      <c r="Z310" s="41" t="str">
        <f>IF(AND(E310='Povolené hodnoty'!$B$4,F310=9),J310+M310+P310+S310,"")</f>
        <v/>
      </c>
      <c r="AA310" s="39" t="str">
        <f>IF(AND(E310&lt;&gt;'Povolené hodnoty'!$B$4,F310=2),I310+L310+O310+R310,"")</f>
        <v/>
      </c>
      <c r="AB310" s="40" t="str">
        <f>IF(AND(E310&lt;&gt;'Povolené hodnoty'!$B$4,F310=3),I310+L310+O310+R310,"")</f>
        <v/>
      </c>
      <c r="AC310" s="40" t="str">
        <f>IF(AND(E310&lt;&gt;'Povolené hodnoty'!$B$4,F310=4),I310+L310+O310+R310,"")</f>
        <v/>
      </c>
      <c r="AD310" s="40" t="str">
        <f>IF(AND(E310&lt;&gt;'Povolené hodnoty'!$B$4,F310="5a"),I310-J310+L310-M310+O310-P310+R310-S310,"")</f>
        <v/>
      </c>
      <c r="AE310" s="40" t="str">
        <f>IF(AND(E310&lt;&gt;'Povolené hodnoty'!$B$4,F310="5b"),I310-J310+L310-M310+O310-P310+R310-S310,"")</f>
        <v/>
      </c>
      <c r="AF310" s="40" t="str">
        <f>IF(AND(E310&lt;&gt;'Povolené hodnoty'!$B$4,F310=6),I310+L310+O310+R310,"")</f>
        <v/>
      </c>
      <c r="AG310" s="41" t="str">
        <f>IF(AND(E310&lt;&gt;'Povolené hodnoty'!$B$4,F310=7),I310+L310+O310+R310,"")</f>
        <v/>
      </c>
      <c r="AH310" s="39" t="str">
        <f>IF(AND(E310&lt;&gt;'Povolené hodnoty'!$B$4,F310=10),J310+M310+P310+S310,"")</f>
        <v/>
      </c>
      <c r="AI310" s="40" t="str">
        <f>IF(AND(E310&lt;&gt;'Povolené hodnoty'!$B$4,F310=11),J310+M310+P310+S310,"")</f>
        <v/>
      </c>
      <c r="AJ310" s="40" t="str">
        <f>IF(AND(E310&lt;&gt;'Povolené hodnoty'!$B$4,F310=12),J310+M310+P310+S310,"")</f>
        <v/>
      </c>
      <c r="AK310" s="41" t="str">
        <f>IF(AND(E310&lt;&gt;'Povolené hodnoty'!$B$4,F310=13),J310+M310+P310+S310,"")</f>
        <v/>
      </c>
      <c r="AL310" s="39" t="str">
        <f>IF(AND($G310='Povolené hodnoty'!$B$13,$H310=AL$4),SUM($I310,$L310,$O310,$R310),"")</f>
        <v/>
      </c>
      <c r="AM310" s="458" t="str">
        <f>IF(AND($G310='Povolené hodnoty'!$B$13,$H310=AM$4),SUM($I310,$L310,$O310,$R310),"")</f>
        <v/>
      </c>
      <c r="AN310" s="458" t="str">
        <f>IF(AND($G310='Povolené hodnoty'!$B$13,$H310=AN$4),SUM($I310,$L310,$O310,$R310),"")</f>
        <v/>
      </c>
      <c r="AO310" s="458" t="str">
        <f>IF(AND($G310='Povolené hodnoty'!$B$13,$H310=AO$4),SUM($I310,$L310,$O310,$R310),"")</f>
        <v/>
      </c>
      <c r="AP310" s="458" t="str">
        <f>IF(AND($G310='Povolené hodnoty'!$B$13,$H310=AP$4),SUM($I310,$L310,$O310,$R310),"")</f>
        <v/>
      </c>
      <c r="AQ310" s="40" t="str">
        <f>IF(AND($G310='Povolené hodnoty'!$B$13,OR($H310=AQ$4,$H310='Povolené hodnoty'!$E$36)),SUM($I310,-$J310,$L310,-$M310,$O310,-$P310,$R310,-$S310),"")</f>
        <v/>
      </c>
      <c r="AR310" s="40" t="str">
        <f>IF(AND($G310='Povolené hodnoty'!$B$13,$H310=AR$4),SUM($I310,$L310,$O310,$R310),"")</f>
        <v/>
      </c>
      <c r="AS310" s="41" t="str">
        <f>IF(AND($G310='Povolené hodnoty'!$B$13,$H310=AS$4),SUM($I310,$L310,$O310,$R310),"")</f>
        <v/>
      </c>
      <c r="AT310" s="39" t="str">
        <f>IF(AND($G310='Povolené hodnoty'!$B$14,$H310=AT$4),SUM($I310,$L310,$O310,$R310),"")</f>
        <v/>
      </c>
      <c r="AU310" s="458" t="str">
        <f>IF(AND($G310='Povolené hodnoty'!$B$14,$H310=AU$4),SUM($I310,$L310,$O310,$R310),"")</f>
        <v/>
      </c>
      <c r="AV310" s="41" t="str">
        <f>IF(AND($G310='Povolené hodnoty'!$B$14,$H310=AV$4),SUM($I310,$L310,$O310,$R310),"")</f>
        <v/>
      </c>
      <c r="AW310" s="39" t="str">
        <f>IF(AND($G310='Povolené hodnoty'!$B$13,$H310=AW$4),SUM($J310,$M310,$P310,$S310),"")</f>
        <v/>
      </c>
      <c r="AX310" s="458" t="str">
        <f>IF(AND($G310='Povolené hodnoty'!$B$13,$H310=AX$4),SUM($J310,$M310,$P310,$S310),"")</f>
        <v/>
      </c>
      <c r="AY310" s="458" t="str">
        <f>IF(AND($G310='Povolené hodnoty'!$B$13,$H310=AY$4),SUM($J310,$M310,$P310,$S310),"")</f>
        <v/>
      </c>
      <c r="AZ310" s="458" t="str">
        <f>IF(AND($G310='Povolené hodnoty'!$B$13,$H310=AZ$4),SUM($J310,$M310,$P310,$S310),"")</f>
        <v/>
      </c>
      <c r="BA310" s="458" t="str">
        <f>IF(AND($G310='Povolené hodnoty'!$B$13,$H310=BA$4),SUM($J310,$M310,$P310,$S310),"")</f>
        <v/>
      </c>
      <c r="BB310" s="40" t="str">
        <f>IF(AND($G310='Povolené hodnoty'!$B$13,$H310=BB$4),SUM($J310,$M310,$P310,$S310),"")</f>
        <v/>
      </c>
      <c r="BC310" s="40" t="str">
        <f>IF(AND($G310='Povolené hodnoty'!$B$13,$H310=BC$4),SUM($J310,$M310,$P310,$S310),"")</f>
        <v/>
      </c>
      <c r="BD310" s="40" t="str">
        <f>IF(AND($G310='Povolené hodnoty'!$B$13,$H310=BD$4),SUM($J310,$M310,$P310,$S310),"")</f>
        <v/>
      </c>
      <c r="BE310" s="41" t="str">
        <f>IF(AND($G310='Povolené hodnoty'!$B$13,$H310=BE$4),SUM($J310,$M310,$P310,$S310),"")</f>
        <v/>
      </c>
      <c r="BF310" s="39" t="str">
        <f>IF(AND($G310='Povolené hodnoty'!$B$14,$H310=BF$4),SUM($J310,$M310,$P310,$S310),"")</f>
        <v/>
      </c>
      <c r="BG310" s="458" t="str">
        <f>IF(AND($G310='Povolené hodnoty'!$B$14,$H310=BG$4),SUM($J310,$M310,$P310,$S310),"")</f>
        <v/>
      </c>
      <c r="BH310" s="458" t="str">
        <f>IF(AND($G310='Povolené hodnoty'!$B$14,$H310=BH$4),SUM($J310,$M310,$P310,$S310),"")</f>
        <v/>
      </c>
      <c r="BI310" s="458" t="str">
        <f>IF(AND($G310='Povolené hodnoty'!$B$14,$H310=BI$4),SUM($J310,$M310,$P310,$S310),"")</f>
        <v/>
      </c>
      <c r="BJ310" s="458" t="str">
        <f>IF(AND($G310='Povolené hodnoty'!$B$14,$H310=BJ$4),SUM($J310,$M310,$P310,$S310),"")</f>
        <v/>
      </c>
      <c r="BK310" s="40" t="str">
        <f>IF(AND($G310='Povolené hodnoty'!$B$14,$H310=BK$4),SUM($J310,$M310,$P310,$S310),"")</f>
        <v/>
      </c>
      <c r="BL310" s="40" t="str">
        <f>IF(AND($G310='Povolené hodnoty'!$B$14,$H310=BL$4),SUM($J310,$M310,$P310,$S310),"")</f>
        <v/>
      </c>
      <c r="BM310" s="41" t="str">
        <f>IF(AND($G310='Povolené hodnoty'!$B$14,$H310=BM$4),SUM($J310,$M310,$P310,$S310),"")</f>
        <v/>
      </c>
      <c r="BO310" s="18" t="b">
        <f t="shared" si="176"/>
        <v>0</v>
      </c>
      <c r="BP310" s="18" t="b">
        <f t="shared" si="147"/>
        <v>0</v>
      </c>
      <c r="BQ310" s="18" t="b">
        <f>AND(E310&lt;&gt;'Povolené hodnoty'!$B$6,F310&lt;&gt;'Povolené hodnoty'!$D$7,F310&lt;&gt;'Povolené hodnoty'!$D$8,OR(SUM(I310,L310,O310,R310)&lt;&gt;SUM(W310:X310,AA310:AG310),SUM(J310,M310,P310,S310)&lt;&gt;SUM(Y310:Z310,AH310:AK310),COUNT(I310:J310,L310:M310,O310:P310,R310:S310)&lt;&gt;COUNT(W310:AK310)))</f>
        <v>0</v>
      </c>
      <c r="BR310" s="18" t="b">
        <f>OR(AND(E310='Povolené hodnoty'!$B$6,$BR$5),AND(E310='Povolené hodnoty'!$B$6,H310&lt;&gt;'Povolené hodnoty'!$E$26,H310&lt;&gt;'Povolené hodnoty'!$E$35),AND(E310&lt;&gt;'Povolené hodnoty'!$B$6,OR(H310='Povolené hodnoty'!$E$26,H310='Povolené hodnoty'!$E$35)))</f>
        <v>0</v>
      </c>
      <c r="BS310" s="18" t="b">
        <f>OR(AND(G310&lt;&gt;'Povolené hodnoty'!$B$13,OR(H310='Povolené hodnoty'!$E$21,H310='Povolené hodnoty'!$E$22,H310='Povolené hodnoty'!$E$23,H310='Povolené hodnoty'!$E$24,H310='Povolené hodnoty'!$E$26,H310='Povolené hodnoty'!$E$36)),COUNT(I310:J310,L310:M310,O310:P310,R310:S310)&lt;&gt;COUNT(AL310:BM310))</f>
        <v>0</v>
      </c>
      <c r="BT310" s="18" t="b">
        <f t="shared" si="148"/>
        <v>0</v>
      </c>
      <c r="BV310" s="39" t="str">
        <f t="shared" si="149"/>
        <v/>
      </c>
      <c r="BW310" s="458" t="str">
        <f t="shared" si="150"/>
        <v/>
      </c>
      <c r="BX310" s="458" t="str">
        <f t="shared" si="151"/>
        <v/>
      </c>
      <c r="BY310" s="458" t="str">
        <f t="shared" si="152"/>
        <v/>
      </c>
      <c r="BZ310" s="458" t="str">
        <f t="shared" si="153"/>
        <v/>
      </c>
      <c r="CA310" s="40" t="str">
        <f t="shared" si="154"/>
        <v/>
      </c>
      <c r="CB310" s="40" t="str">
        <f t="shared" si="155"/>
        <v/>
      </c>
      <c r="CC310" s="39" t="str">
        <f t="shared" si="156"/>
        <v/>
      </c>
      <c r="CD310" s="458" t="str">
        <f t="shared" si="157"/>
        <v/>
      </c>
      <c r="CE310" s="41" t="str">
        <f t="shared" si="158"/>
        <v/>
      </c>
      <c r="CF310" s="39" t="str">
        <f t="shared" si="159"/>
        <v/>
      </c>
      <c r="CG310" s="458" t="str">
        <f t="shared" si="160"/>
        <v/>
      </c>
      <c r="CH310" s="458" t="str">
        <f t="shared" si="161"/>
        <v/>
      </c>
      <c r="CI310" s="458" t="str">
        <f t="shared" si="162"/>
        <v/>
      </c>
      <c r="CJ310" s="458" t="str">
        <f t="shared" si="163"/>
        <v/>
      </c>
      <c r="CK310" s="40" t="str">
        <f t="shared" si="164"/>
        <v/>
      </c>
      <c r="CL310" s="40" t="str">
        <f t="shared" si="165"/>
        <v/>
      </c>
      <c r="CM310" s="40" t="str">
        <f t="shared" si="166"/>
        <v/>
      </c>
      <c r="CN310" s="39" t="str">
        <f t="shared" si="167"/>
        <v/>
      </c>
      <c r="CO310" s="458" t="str">
        <f t="shared" si="168"/>
        <v/>
      </c>
      <c r="CP310" s="458" t="str">
        <f t="shared" si="169"/>
        <v/>
      </c>
      <c r="CQ310" s="458" t="str">
        <f t="shared" si="170"/>
        <v/>
      </c>
      <c r="CR310" s="458" t="str">
        <f t="shared" si="171"/>
        <v/>
      </c>
      <c r="CS310" s="40" t="str">
        <f t="shared" si="172"/>
        <v/>
      </c>
      <c r="CT310" s="40" t="str">
        <f t="shared" si="173"/>
        <v/>
      </c>
      <c r="CU310" s="41" t="str">
        <f t="shared" si="174"/>
        <v/>
      </c>
    </row>
    <row r="311" spans="1:99" x14ac:dyDescent="0.2">
      <c r="A311" s="77">
        <f t="shared" si="175"/>
        <v>306</v>
      </c>
      <c r="B311" s="81"/>
      <c r="C311" s="82"/>
      <c r="D311" s="71"/>
      <c r="E311" s="72"/>
      <c r="F311" s="73"/>
      <c r="G311" s="443"/>
      <c r="H311" s="443"/>
      <c r="I311" s="74"/>
      <c r="J311" s="75"/>
      <c r="K311" s="41">
        <f t="shared" si="179"/>
        <v>3625</v>
      </c>
      <c r="L311" s="104"/>
      <c r="M311" s="105"/>
      <c r="N311" s="106">
        <f t="shared" si="180"/>
        <v>537.05999999999995</v>
      </c>
      <c r="O311" s="104"/>
      <c r="P311" s="105"/>
      <c r="Q311" s="106">
        <f t="shared" si="177"/>
        <v>10045.83</v>
      </c>
      <c r="R311" s="104"/>
      <c r="S311" s="105"/>
      <c r="T311" s="106">
        <f t="shared" si="178"/>
        <v>0</v>
      </c>
      <c r="U311" s="439"/>
      <c r="V311" s="42">
        <f t="shared" si="146"/>
        <v>306</v>
      </c>
      <c r="W311" s="39" t="str">
        <f>IF(AND(E311='Povolené hodnoty'!$B$4,F311=2),I311+L311+O311+R311,"")</f>
        <v/>
      </c>
      <c r="X311" s="41" t="str">
        <f>IF(AND(E311='Povolené hodnoty'!$B$4,F311=1),I311+L311+O311+R311,"")</f>
        <v/>
      </c>
      <c r="Y311" s="39" t="str">
        <f>IF(AND(E311='Povolené hodnoty'!$B$4,F311=10),J311+M311+P311+S311,"")</f>
        <v/>
      </c>
      <c r="Z311" s="41" t="str">
        <f>IF(AND(E311='Povolené hodnoty'!$B$4,F311=9),J311+M311+P311+S311,"")</f>
        <v/>
      </c>
      <c r="AA311" s="39" t="str">
        <f>IF(AND(E311&lt;&gt;'Povolené hodnoty'!$B$4,F311=2),I311+L311+O311+R311,"")</f>
        <v/>
      </c>
      <c r="AB311" s="40" t="str">
        <f>IF(AND(E311&lt;&gt;'Povolené hodnoty'!$B$4,F311=3),I311+L311+O311+R311,"")</f>
        <v/>
      </c>
      <c r="AC311" s="40" t="str">
        <f>IF(AND(E311&lt;&gt;'Povolené hodnoty'!$B$4,F311=4),I311+L311+O311+R311,"")</f>
        <v/>
      </c>
      <c r="AD311" s="40" t="str">
        <f>IF(AND(E311&lt;&gt;'Povolené hodnoty'!$B$4,F311="5a"),I311-J311+L311-M311+O311-P311+R311-S311,"")</f>
        <v/>
      </c>
      <c r="AE311" s="40" t="str">
        <f>IF(AND(E311&lt;&gt;'Povolené hodnoty'!$B$4,F311="5b"),I311-J311+L311-M311+O311-P311+R311-S311,"")</f>
        <v/>
      </c>
      <c r="AF311" s="40" t="str">
        <f>IF(AND(E311&lt;&gt;'Povolené hodnoty'!$B$4,F311=6),I311+L311+O311+R311,"")</f>
        <v/>
      </c>
      <c r="AG311" s="41" t="str">
        <f>IF(AND(E311&lt;&gt;'Povolené hodnoty'!$B$4,F311=7),I311+L311+O311+R311,"")</f>
        <v/>
      </c>
      <c r="AH311" s="39" t="str">
        <f>IF(AND(E311&lt;&gt;'Povolené hodnoty'!$B$4,F311=10),J311+M311+P311+S311,"")</f>
        <v/>
      </c>
      <c r="AI311" s="40" t="str">
        <f>IF(AND(E311&lt;&gt;'Povolené hodnoty'!$B$4,F311=11),J311+M311+P311+S311,"")</f>
        <v/>
      </c>
      <c r="AJ311" s="40" t="str">
        <f>IF(AND(E311&lt;&gt;'Povolené hodnoty'!$B$4,F311=12),J311+M311+P311+S311,"")</f>
        <v/>
      </c>
      <c r="AK311" s="41" t="str">
        <f>IF(AND(E311&lt;&gt;'Povolené hodnoty'!$B$4,F311=13),J311+M311+P311+S311,"")</f>
        <v/>
      </c>
      <c r="AL311" s="39" t="str">
        <f>IF(AND($G311='Povolené hodnoty'!$B$13,$H311=AL$4),SUM($I311,$L311,$O311,$R311),"")</f>
        <v/>
      </c>
      <c r="AM311" s="458" t="str">
        <f>IF(AND($G311='Povolené hodnoty'!$B$13,$H311=AM$4),SUM($I311,$L311,$O311,$R311),"")</f>
        <v/>
      </c>
      <c r="AN311" s="458" t="str">
        <f>IF(AND($G311='Povolené hodnoty'!$B$13,$H311=AN$4),SUM($I311,$L311,$O311,$R311),"")</f>
        <v/>
      </c>
      <c r="AO311" s="458" t="str">
        <f>IF(AND($G311='Povolené hodnoty'!$B$13,$H311=AO$4),SUM($I311,$L311,$O311,$R311),"")</f>
        <v/>
      </c>
      <c r="AP311" s="458" t="str">
        <f>IF(AND($G311='Povolené hodnoty'!$B$13,$H311=AP$4),SUM($I311,$L311,$O311,$R311),"")</f>
        <v/>
      </c>
      <c r="AQ311" s="40" t="str">
        <f>IF(AND($G311='Povolené hodnoty'!$B$13,OR($H311=AQ$4,$H311='Povolené hodnoty'!$E$36)),SUM($I311,-$J311,$L311,-$M311,$O311,-$P311,$R311,-$S311),"")</f>
        <v/>
      </c>
      <c r="AR311" s="40" t="str">
        <f>IF(AND($G311='Povolené hodnoty'!$B$13,$H311=AR$4),SUM($I311,$L311,$O311,$R311),"")</f>
        <v/>
      </c>
      <c r="AS311" s="41" t="str">
        <f>IF(AND($G311='Povolené hodnoty'!$B$13,$H311=AS$4),SUM($I311,$L311,$O311,$R311),"")</f>
        <v/>
      </c>
      <c r="AT311" s="39" t="str">
        <f>IF(AND($G311='Povolené hodnoty'!$B$14,$H311=AT$4),SUM($I311,$L311,$O311,$R311),"")</f>
        <v/>
      </c>
      <c r="AU311" s="458" t="str">
        <f>IF(AND($G311='Povolené hodnoty'!$B$14,$H311=AU$4),SUM($I311,$L311,$O311,$R311),"")</f>
        <v/>
      </c>
      <c r="AV311" s="41" t="str">
        <f>IF(AND($G311='Povolené hodnoty'!$B$14,$H311=AV$4),SUM($I311,$L311,$O311,$R311),"")</f>
        <v/>
      </c>
      <c r="AW311" s="39" t="str">
        <f>IF(AND($G311='Povolené hodnoty'!$B$13,$H311=AW$4),SUM($J311,$M311,$P311,$S311),"")</f>
        <v/>
      </c>
      <c r="AX311" s="458" t="str">
        <f>IF(AND($G311='Povolené hodnoty'!$B$13,$H311=AX$4),SUM($J311,$M311,$P311,$S311),"")</f>
        <v/>
      </c>
      <c r="AY311" s="458" t="str">
        <f>IF(AND($G311='Povolené hodnoty'!$B$13,$H311=AY$4),SUM($J311,$M311,$P311,$S311),"")</f>
        <v/>
      </c>
      <c r="AZ311" s="458" t="str">
        <f>IF(AND($G311='Povolené hodnoty'!$B$13,$H311=AZ$4),SUM($J311,$M311,$P311,$S311),"")</f>
        <v/>
      </c>
      <c r="BA311" s="458" t="str">
        <f>IF(AND($G311='Povolené hodnoty'!$B$13,$H311=BA$4),SUM($J311,$M311,$P311,$S311),"")</f>
        <v/>
      </c>
      <c r="BB311" s="40" t="str">
        <f>IF(AND($G311='Povolené hodnoty'!$B$13,$H311=BB$4),SUM($J311,$M311,$P311,$S311),"")</f>
        <v/>
      </c>
      <c r="BC311" s="40" t="str">
        <f>IF(AND($G311='Povolené hodnoty'!$B$13,$H311=BC$4),SUM($J311,$M311,$P311,$S311),"")</f>
        <v/>
      </c>
      <c r="BD311" s="40" t="str">
        <f>IF(AND($G311='Povolené hodnoty'!$B$13,$H311=BD$4),SUM($J311,$M311,$P311,$S311),"")</f>
        <v/>
      </c>
      <c r="BE311" s="41" t="str">
        <f>IF(AND($G311='Povolené hodnoty'!$B$13,$H311=BE$4),SUM($J311,$M311,$P311,$S311),"")</f>
        <v/>
      </c>
      <c r="BF311" s="39" t="str">
        <f>IF(AND($G311='Povolené hodnoty'!$B$14,$H311=BF$4),SUM($J311,$M311,$P311,$S311),"")</f>
        <v/>
      </c>
      <c r="BG311" s="458" t="str">
        <f>IF(AND($G311='Povolené hodnoty'!$B$14,$H311=BG$4),SUM($J311,$M311,$P311,$S311),"")</f>
        <v/>
      </c>
      <c r="BH311" s="458" t="str">
        <f>IF(AND($G311='Povolené hodnoty'!$B$14,$H311=BH$4),SUM($J311,$M311,$P311,$S311),"")</f>
        <v/>
      </c>
      <c r="BI311" s="458" t="str">
        <f>IF(AND($G311='Povolené hodnoty'!$B$14,$H311=BI$4),SUM($J311,$M311,$P311,$S311),"")</f>
        <v/>
      </c>
      <c r="BJ311" s="458" t="str">
        <f>IF(AND($G311='Povolené hodnoty'!$B$14,$H311=BJ$4),SUM($J311,$M311,$P311,$S311),"")</f>
        <v/>
      </c>
      <c r="BK311" s="40" t="str">
        <f>IF(AND($G311='Povolené hodnoty'!$B$14,$H311=BK$4),SUM($J311,$M311,$P311,$S311),"")</f>
        <v/>
      </c>
      <c r="BL311" s="40" t="str">
        <f>IF(AND($G311='Povolené hodnoty'!$B$14,$H311=BL$4),SUM($J311,$M311,$P311,$S311),"")</f>
        <v/>
      </c>
      <c r="BM311" s="41" t="str">
        <f>IF(AND($G311='Povolené hodnoty'!$B$14,$H311=BM$4),SUM($J311,$M311,$P311,$S311),"")</f>
        <v/>
      </c>
      <c r="BO311" s="18" t="b">
        <f t="shared" si="176"/>
        <v>0</v>
      </c>
      <c r="BP311" s="18" t="b">
        <f t="shared" si="147"/>
        <v>0</v>
      </c>
      <c r="BQ311" s="18" t="b">
        <f>AND(E311&lt;&gt;'Povolené hodnoty'!$B$6,F311&lt;&gt;'Povolené hodnoty'!$D$7,F311&lt;&gt;'Povolené hodnoty'!$D$8,OR(SUM(I311,L311,O311,R311)&lt;&gt;SUM(W311:X311,AA311:AG311),SUM(J311,M311,P311,S311)&lt;&gt;SUM(Y311:Z311,AH311:AK311),COUNT(I311:J311,L311:M311,O311:P311,R311:S311)&lt;&gt;COUNT(W311:AK311)))</f>
        <v>0</v>
      </c>
      <c r="BR311" s="18" t="b">
        <f>OR(AND(E311='Povolené hodnoty'!$B$6,$BR$5),AND(E311='Povolené hodnoty'!$B$6,H311&lt;&gt;'Povolené hodnoty'!$E$26,H311&lt;&gt;'Povolené hodnoty'!$E$35),AND(E311&lt;&gt;'Povolené hodnoty'!$B$6,OR(H311='Povolené hodnoty'!$E$26,H311='Povolené hodnoty'!$E$35)))</f>
        <v>0</v>
      </c>
      <c r="BS311" s="18" t="b">
        <f>OR(AND(G311&lt;&gt;'Povolené hodnoty'!$B$13,OR(H311='Povolené hodnoty'!$E$21,H311='Povolené hodnoty'!$E$22,H311='Povolené hodnoty'!$E$23,H311='Povolené hodnoty'!$E$24,H311='Povolené hodnoty'!$E$26,H311='Povolené hodnoty'!$E$36)),COUNT(I311:J311,L311:M311,O311:P311,R311:S311)&lt;&gt;COUNT(AL311:BM311))</f>
        <v>0</v>
      </c>
      <c r="BT311" s="18" t="b">
        <f t="shared" si="148"/>
        <v>0</v>
      </c>
      <c r="BV311" s="39" t="str">
        <f t="shared" si="149"/>
        <v/>
      </c>
      <c r="BW311" s="458" t="str">
        <f t="shared" si="150"/>
        <v/>
      </c>
      <c r="BX311" s="458" t="str">
        <f t="shared" si="151"/>
        <v/>
      </c>
      <c r="BY311" s="458" t="str">
        <f t="shared" si="152"/>
        <v/>
      </c>
      <c r="BZ311" s="458" t="str">
        <f t="shared" si="153"/>
        <v/>
      </c>
      <c r="CA311" s="40" t="str">
        <f t="shared" si="154"/>
        <v/>
      </c>
      <c r="CB311" s="40" t="str">
        <f t="shared" si="155"/>
        <v/>
      </c>
      <c r="CC311" s="39" t="str">
        <f t="shared" si="156"/>
        <v/>
      </c>
      <c r="CD311" s="458" t="str">
        <f t="shared" si="157"/>
        <v/>
      </c>
      <c r="CE311" s="41" t="str">
        <f t="shared" si="158"/>
        <v/>
      </c>
      <c r="CF311" s="39" t="str">
        <f t="shared" si="159"/>
        <v/>
      </c>
      <c r="CG311" s="458" t="str">
        <f t="shared" si="160"/>
        <v/>
      </c>
      <c r="CH311" s="458" t="str">
        <f t="shared" si="161"/>
        <v/>
      </c>
      <c r="CI311" s="458" t="str">
        <f t="shared" si="162"/>
        <v/>
      </c>
      <c r="CJ311" s="458" t="str">
        <f t="shared" si="163"/>
        <v/>
      </c>
      <c r="CK311" s="40" t="str">
        <f t="shared" si="164"/>
        <v/>
      </c>
      <c r="CL311" s="40" t="str">
        <f t="shared" si="165"/>
        <v/>
      </c>
      <c r="CM311" s="40" t="str">
        <f t="shared" si="166"/>
        <v/>
      </c>
      <c r="CN311" s="39" t="str">
        <f t="shared" si="167"/>
        <v/>
      </c>
      <c r="CO311" s="458" t="str">
        <f t="shared" si="168"/>
        <v/>
      </c>
      <c r="CP311" s="458" t="str">
        <f t="shared" si="169"/>
        <v/>
      </c>
      <c r="CQ311" s="458" t="str">
        <f t="shared" si="170"/>
        <v/>
      </c>
      <c r="CR311" s="458" t="str">
        <f t="shared" si="171"/>
        <v/>
      </c>
      <c r="CS311" s="40" t="str">
        <f t="shared" si="172"/>
        <v/>
      </c>
      <c r="CT311" s="40" t="str">
        <f t="shared" si="173"/>
        <v/>
      </c>
      <c r="CU311" s="41" t="str">
        <f t="shared" si="174"/>
        <v/>
      </c>
    </row>
    <row r="312" spans="1:99" x14ac:dyDescent="0.2">
      <c r="A312" s="77">
        <f t="shared" si="175"/>
        <v>307</v>
      </c>
      <c r="B312" s="81"/>
      <c r="C312" s="82"/>
      <c r="D312" s="71"/>
      <c r="E312" s="72"/>
      <c r="F312" s="73"/>
      <c r="G312" s="443"/>
      <c r="H312" s="443"/>
      <c r="I312" s="74"/>
      <c r="J312" s="75"/>
      <c r="K312" s="41">
        <f t="shared" si="179"/>
        <v>3625</v>
      </c>
      <c r="L312" s="104"/>
      <c r="M312" s="105"/>
      <c r="N312" s="106">
        <f t="shared" si="180"/>
        <v>537.05999999999995</v>
      </c>
      <c r="O312" s="104"/>
      <c r="P312" s="105"/>
      <c r="Q312" s="106">
        <f t="shared" si="177"/>
        <v>10045.83</v>
      </c>
      <c r="R312" s="104"/>
      <c r="S312" s="105"/>
      <c r="T312" s="106">
        <f t="shared" si="178"/>
        <v>0</v>
      </c>
      <c r="U312" s="439"/>
      <c r="V312" s="42">
        <f t="shared" si="146"/>
        <v>307</v>
      </c>
      <c r="W312" s="39" t="str">
        <f>IF(AND(E312='Povolené hodnoty'!$B$4,F312=2),I312+L312+O312+R312,"")</f>
        <v/>
      </c>
      <c r="X312" s="41" t="str">
        <f>IF(AND(E312='Povolené hodnoty'!$B$4,F312=1),I312+L312+O312+R312,"")</f>
        <v/>
      </c>
      <c r="Y312" s="39" t="str">
        <f>IF(AND(E312='Povolené hodnoty'!$B$4,F312=10),J312+M312+P312+S312,"")</f>
        <v/>
      </c>
      <c r="Z312" s="41" t="str">
        <f>IF(AND(E312='Povolené hodnoty'!$B$4,F312=9),J312+M312+P312+S312,"")</f>
        <v/>
      </c>
      <c r="AA312" s="39" t="str">
        <f>IF(AND(E312&lt;&gt;'Povolené hodnoty'!$B$4,F312=2),I312+L312+O312+R312,"")</f>
        <v/>
      </c>
      <c r="AB312" s="40" t="str">
        <f>IF(AND(E312&lt;&gt;'Povolené hodnoty'!$B$4,F312=3),I312+L312+O312+R312,"")</f>
        <v/>
      </c>
      <c r="AC312" s="40" t="str">
        <f>IF(AND(E312&lt;&gt;'Povolené hodnoty'!$B$4,F312=4),I312+L312+O312+R312,"")</f>
        <v/>
      </c>
      <c r="AD312" s="40" t="str">
        <f>IF(AND(E312&lt;&gt;'Povolené hodnoty'!$B$4,F312="5a"),I312-J312+L312-M312+O312-P312+R312-S312,"")</f>
        <v/>
      </c>
      <c r="AE312" s="40" t="str">
        <f>IF(AND(E312&lt;&gt;'Povolené hodnoty'!$B$4,F312="5b"),I312-J312+L312-M312+O312-P312+R312-S312,"")</f>
        <v/>
      </c>
      <c r="AF312" s="40" t="str">
        <f>IF(AND(E312&lt;&gt;'Povolené hodnoty'!$B$4,F312=6),I312+L312+O312+R312,"")</f>
        <v/>
      </c>
      <c r="AG312" s="41" t="str">
        <f>IF(AND(E312&lt;&gt;'Povolené hodnoty'!$B$4,F312=7),I312+L312+O312+R312,"")</f>
        <v/>
      </c>
      <c r="AH312" s="39" t="str">
        <f>IF(AND(E312&lt;&gt;'Povolené hodnoty'!$B$4,F312=10),J312+M312+P312+S312,"")</f>
        <v/>
      </c>
      <c r="AI312" s="40" t="str">
        <f>IF(AND(E312&lt;&gt;'Povolené hodnoty'!$B$4,F312=11),J312+M312+P312+S312,"")</f>
        <v/>
      </c>
      <c r="AJ312" s="40" t="str">
        <f>IF(AND(E312&lt;&gt;'Povolené hodnoty'!$B$4,F312=12),J312+M312+P312+S312,"")</f>
        <v/>
      </c>
      <c r="AK312" s="41" t="str">
        <f>IF(AND(E312&lt;&gt;'Povolené hodnoty'!$B$4,F312=13),J312+M312+P312+S312,"")</f>
        <v/>
      </c>
      <c r="AL312" s="39" t="str">
        <f>IF(AND($G312='Povolené hodnoty'!$B$13,$H312=AL$4),SUM($I312,$L312,$O312,$R312),"")</f>
        <v/>
      </c>
      <c r="AM312" s="458" t="str">
        <f>IF(AND($G312='Povolené hodnoty'!$B$13,$H312=AM$4),SUM($I312,$L312,$O312,$R312),"")</f>
        <v/>
      </c>
      <c r="AN312" s="458" t="str">
        <f>IF(AND($G312='Povolené hodnoty'!$B$13,$H312=AN$4),SUM($I312,$L312,$O312,$R312),"")</f>
        <v/>
      </c>
      <c r="AO312" s="458" t="str">
        <f>IF(AND($G312='Povolené hodnoty'!$B$13,$H312=AO$4),SUM($I312,$L312,$O312,$R312),"")</f>
        <v/>
      </c>
      <c r="AP312" s="458" t="str">
        <f>IF(AND($G312='Povolené hodnoty'!$B$13,$H312=AP$4),SUM($I312,$L312,$O312,$R312),"")</f>
        <v/>
      </c>
      <c r="AQ312" s="40" t="str">
        <f>IF(AND($G312='Povolené hodnoty'!$B$13,OR($H312=AQ$4,$H312='Povolené hodnoty'!$E$36)),SUM($I312,-$J312,$L312,-$M312,$O312,-$P312,$R312,-$S312),"")</f>
        <v/>
      </c>
      <c r="AR312" s="40" t="str">
        <f>IF(AND($G312='Povolené hodnoty'!$B$13,$H312=AR$4),SUM($I312,$L312,$O312,$R312),"")</f>
        <v/>
      </c>
      <c r="AS312" s="41" t="str">
        <f>IF(AND($G312='Povolené hodnoty'!$B$13,$H312=AS$4),SUM($I312,$L312,$O312,$R312),"")</f>
        <v/>
      </c>
      <c r="AT312" s="39" t="str">
        <f>IF(AND($G312='Povolené hodnoty'!$B$14,$H312=AT$4),SUM($I312,$L312,$O312,$R312),"")</f>
        <v/>
      </c>
      <c r="AU312" s="458" t="str">
        <f>IF(AND($G312='Povolené hodnoty'!$B$14,$H312=AU$4),SUM($I312,$L312,$O312,$R312),"")</f>
        <v/>
      </c>
      <c r="AV312" s="41" t="str">
        <f>IF(AND($G312='Povolené hodnoty'!$B$14,$H312=AV$4),SUM($I312,$L312,$O312,$R312),"")</f>
        <v/>
      </c>
      <c r="AW312" s="39" t="str">
        <f>IF(AND($G312='Povolené hodnoty'!$B$13,$H312=AW$4),SUM($J312,$M312,$P312,$S312),"")</f>
        <v/>
      </c>
      <c r="AX312" s="458" t="str">
        <f>IF(AND($G312='Povolené hodnoty'!$B$13,$H312=AX$4),SUM($J312,$M312,$P312,$S312),"")</f>
        <v/>
      </c>
      <c r="AY312" s="458" t="str">
        <f>IF(AND($G312='Povolené hodnoty'!$B$13,$H312=AY$4),SUM($J312,$M312,$P312,$S312),"")</f>
        <v/>
      </c>
      <c r="AZ312" s="458" t="str">
        <f>IF(AND($G312='Povolené hodnoty'!$B$13,$H312=AZ$4),SUM($J312,$M312,$P312,$S312),"")</f>
        <v/>
      </c>
      <c r="BA312" s="458" t="str">
        <f>IF(AND($G312='Povolené hodnoty'!$B$13,$H312=BA$4),SUM($J312,$M312,$P312,$S312),"")</f>
        <v/>
      </c>
      <c r="BB312" s="40" t="str">
        <f>IF(AND($G312='Povolené hodnoty'!$B$13,$H312=BB$4),SUM($J312,$M312,$P312,$S312),"")</f>
        <v/>
      </c>
      <c r="BC312" s="40" t="str">
        <f>IF(AND($G312='Povolené hodnoty'!$B$13,$H312=BC$4),SUM($J312,$M312,$P312,$S312),"")</f>
        <v/>
      </c>
      <c r="BD312" s="40" t="str">
        <f>IF(AND($G312='Povolené hodnoty'!$B$13,$H312=BD$4),SUM($J312,$M312,$P312,$S312),"")</f>
        <v/>
      </c>
      <c r="BE312" s="41" t="str">
        <f>IF(AND($G312='Povolené hodnoty'!$B$13,$H312=BE$4),SUM($J312,$M312,$P312,$S312),"")</f>
        <v/>
      </c>
      <c r="BF312" s="39" t="str">
        <f>IF(AND($G312='Povolené hodnoty'!$B$14,$H312=BF$4),SUM($J312,$M312,$P312,$S312),"")</f>
        <v/>
      </c>
      <c r="BG312" s="458" t="str">
        <f>IF(AND($G312='Povolené hodnoty'!$B$14,$H312=BG$4),SUM($J312,$M312,$P312,$S312),"")</f>
        <v/>
      </c>
      <c r="BH312" s="458" t="str">
        <f>IF(AND($G312='Povolené hodnoty'!$B$14,$H312=BH$4),SUM($J312,$M312,$P312,$S312),"")</f>
        <v/>
      </c>
      <c r="BI312" s="458" t="str">
        <f>IF(AND($G312='Povolené hodnoty'!$B$14,$H312=BI$4),SUM($J312,$M312,$P312,$S312),"")</f>
        <v/>
      </c>
      <c r="BJ312" s="458" t="str">
        <f>IF(AND($G312='Povolené hodnoty'!$B$14,$H312=BJ$4),SUM($J312,$M312,$P312,$S312),"")</f>
        <v/>
      </c>
      <c r="BK312" s="40" t="str">
        <f>IF(AND($G312='Povolené hodnoty'!$B$14,$H312=BK$4),SUM($J312,$M312,$P312,$S312),"")</f>
        <v/>
      </c>
      <c r="BL312" s="40" t="str">
        <f>IF(AND($G312='Povolené hodnoty'!$B$14,$H312=BL$4),SUM($J312,$M312,$P312,$S312),"")</f>
        <v/>
      </c>
      <c r="BM312" s="41" t="str">
        <f>IF(AND($G312='Povolené hodnoty'!$B$14,$H312=BM$4),SUM($J312,$M312,$P312,$S312),"")</f>
        <v/>
      </c>
      <c r="BO312" s="18" t="b">
        <f t="shared" si="176"/>
        <v>0</v>
      </c>
      <c r="BP312" s="18" t="b">
        <f t="shared" si="147"/>
        <v>0</v>
      </c>
      <c r="BQ312" s="18" t="b">
        <f>AND(E312&lt;&gt;'Povolené hodnoty'!$B$6,F312&lt;&gt;'Povolené hodnoty'!$D$7,F312&lt;&gt;'Povolené hodnoty'!$D$8,OR(SUM(I312,L312,O312,R312)&lt;&gt;SUM(W312:X312,AA312:AG312),SUM(J312,M312,P312,S312)&lt;&gt;SUM(Y312:Z312,AH312:AK312),COUNT(I312:J312,L312:M312,O312:P312,R312:S312)&lt;&gt;COUNT(W312:AK312)))</f>
        <v>0</v>
      </c>
      <c r="BR312" s="18" t="b">
        <f>OR(AND(E312='Povolené hodnoty'!$B$6,$BR$5),AND(E312='Povolené hodnoty'!$B$6,H312&lt;&gt;'Povolené hodnoty'!$E$26,H312&lt;&gt;'Povolené hodnoty'!$E$35),AND(E312&lt;&gt;'Povolené hodnoty'!$B$6,OR(H312='Povolené hodnoty'!$E$26,H312='Povolené hodnoty'!$E$35)))</f>
        <v>0</v>
      </c>
      <c r="BS312" s="18" t="b">
        <f>OR(AND(G312&lt;&gt;'Povolené hodnoty'!$B$13,OR(H312='Povolené hodnoty'!$E$21,H312='Povolené hodnoty'!$E$22,H312='Povolené hodnoty'!$E$23,H312='Povolené hodnoty'!$E$24,H312='Povolené hodnoty'!$E$26,H312='Povolené hodnoty'!$E$36)),COUNT(I312:J312,L312:M312,O312:P312,R312:S312)&lt;&gt;COUNT(AL312:BM312))</f>
        <v>0</v>
      </c>
      <c r="BT312" s="18" t="b">
        <f t="shared" si="148"/>
        <v>0</v>
      </c>
      <c r="BV312" s="39" t="str">
        <f t="shared" si="149"/>
        <v/>
      </c>
      <c r="BW312" s="458" t="str">
        <f t="shared" si="150"/>
        <v/>
      </c>
      <c r="BX312" s="458" t="str">
        <f t="shared" si="151"/>
        <v/>
      </c>
      <c r="BY312" s="458" t="str">
        <f t="shared" si="152"/>
        <v/>
      </c>
      <c r="BZ312" s="458" t="str">
        <f t="shared" si="153"/>
        <v/>
      </c>
      <c r="CA312" s="40" t="str">
        <f t="shared" si="154"/>
        <v/>
      </c>
      <c r="CB312" s="40" t="str">
        <f t="shared" si="155"/>
        <v/>
      </c>
      <c r="CC312" s="39" t="str">
        <f t="shared" si="156"/>
        <v/>
      </c>
      <c r="CD312" s="458" t="str">
        <f t="shared" si="157"/>
        <v/>
      </c>
      <c r="CE312" s="41" t="str">
        <f t="shared" si="158"/>
        <v/>
      </c>
      <c r="CF312" s="39" t="str">
        <f t="shared" si="159"/>
        <v/>
      </c>
      <c r="CG312" s="458" t="str">
        <f t="shared" si="160"/>
        <v/>
      </c>
      <c r="CH312" s="458" t="str">
        <f t="shared" si="161"/>
        <v/>
      </c>
      <c r="CI312" s="458" t="str">
        <f t="shared" si="162"/>
        <v/>
      </c>
      <c r="CJ312" s="458" t="str">
        <f t="shared" si="163"/>
        <v/>
      </c>
      <c r="CK312" s="40" t="str">
        <f t="shared" si="164"/>
        <v/>
      </c>
      <c r="CL312" s="40" t="str">
        <f t="shared" si="165"/>
        <v/>
      </c>
      <c r="CM312" s="40" t="str">
        <f t="shared" si="166"/>
        <v/>
      </c>
      <c r="CN312" s="39" t="str">
        <f t="shared" si="167"/>
        <v/>
      </c>
      <c r="CO312" s="458" t="str">
        <f t="shared" si="168"/>
        <v/>
      </c>
      <c r="CP312" s="458" t="str">
        <f t="shared" si="169"/>
        <v/>
      </c>
      <c r="CQ312" s="458" t="str">
        <f t="shared" si="170"/>
        <v/>
      </c>
      <c r="CR312" s="458" t="str">
        <f t="shared" si="171"/>
        <v/>
      </c>
      <c r="CS312" s="40" t="str">
        <f t="shared" si="172"/>
        <v/>
      </c>
      <c r="CT312" s="40" t="str">
        <f t="shared" si="173"/>
        <v/>
      </c>
      <c r="CU312" s="41" t="str">
        <f t="shared" si="174"/>
        <v/>
      </c>
    </row>
    <row r="313" spans="1:99" x14ac:dyDescent="0.2">
      <c r="A313" s="77">
        <f t="shared" si="175"/>
        <v>308</v>
      </c>
      <c r="B313" s="81"/>
      <c r="C313" s="82"/>
      <c r="D313" s="71"/>
      <c r="E313" s="72"/>
      <c r="F313" s="73"/>
      <c r="G313" s="443"/>
      <c r="H313" s="443"/>
      <c r="I313" s="74"/>
      <c r="J313" s="75"/>
      <c r="K313" s="41">
        <f t="shared" si="179"/>
        <v>3625</v>
      </c>
      <c r="L313" s="104"/>
      <c r="M313" s="105"/>
      <c r="N313" s="106">
        <f t="shared" si="180"/>
        <v>537.05999999999995</v>
      </c>
      <c r="O313" s="104"/>
      <c r="P313" s="105"/>
      <c r="Q313" s="106">
        <f t="shared" si="177"/>
        <v>10045.83</v>
      </c>
      <c r="R313" s="104"/>
      <c r="S313" s="105"/>
      <c r="T313" s="106">
        <f t="shared" si="178"/>
        <v>0</v>
      </c>
      <c r="U313" s="439"/>
      <c r="V313" s="42">
        <f t="shared" si="146"/>
        <v>308</v>
      </c>
      <c r="W313" s="39" t="str">
        <f>IF(AND(E313='Povolené hodnoty'!$B$4,F313=2),I313+L313+O313+R313,"")</f>
        <v/>
      </c>
      <c r="X313" s="41" t="str">
        <f>IF(AND(E313='Povolené hodnoty'!$B$4,F313=1),I313+L313+O313+R313,"")</f>
        <v/>
      </c>
      <c r="Y313" s="39" t="str">
        <f>IF(AND(E313='Povolené hodnoty'!$B$4,F313=10),J313+M313+P313+S313,"")</f>
        <v/>
      </c>
      <c r="Z313" s="41" t="str">
        <f>IF(AND(E313='Povolené hodnoty'!$B$4,F313=9),J313+M313+P313+S313,"")</f>
        <v/>
      </c>
      <c r="AA313" s="39" t="str">
        <f>IF(AND(E313&lt;&gt;'Povolené hodnoty'!$B$4,F313=2),I313+L313+O313+R313,"")</f>
        <v/>
      </c>
      <c r="AB313" s="40" t="str">
        <f>IF(AND(E313&lt;&gt;'Povolené hodnoty'!$B$4,F313=3),I313+L313+O313+R313,"")</f>
        <v/>
      </c>
      <c r="AC313" s="40" t="str">
        <f>IF(AND(E313&lt;&gt;'Povolené hodnoty'!$B$4,F313=4),I313+L313+O313+R313,"")</f>
        <v/>
      </c>
      <c r="AD313" s="40" t="str">
        <f>IF(AND(E313&lt;&gt;'Povolené hodnoty'!$B$4,F313="5a"),I313-J313+L313-M313+O313-P313+R313-S313,"")</f>
        <v/>
      </c>
      <c r="AE313" s="40" t="str">
        <f>IF(AND(E313&lt;&gt;'Povolené hodnoty'!$B$4,F313="5b"),I313-J313+L313-M313+O313-P313+R313-S313,"")</f>
        <v/>
      </c>
      <c r="AF313" s="40" t="str">
        <f>IF(AND(E313&lt;&gt;'Povolené hodnoty'!$B$4,F313=6),I313+L313+O313+R313,"")</f>
        <v/>
      </c>
      <c r="AG313" s="41" t="str">
        <f>IF(AND(E313&lt;&gt;'Povolené hodnoty'!$B$4,F313=7),I313+L313+O313+R313,"")</f>
        <v/>
      </c>
      <c r="AH313" s="39" t="str">
        <f>IF(AND(E313&lt;&gt;'Povolené hodnoty'!$B$4,F313=10),J313+M313+P313+S313,"")</f>
        <v/>
      </c>
      <c r="AI313" s="40" t="str">
        <f>IF(AND(E313&lt;&gt;'Povolené hodnoty'!$B$4,F313=11),J313+M313+P313+S313,"")</f>
        <v/>
      </c>
      <c r="AJ313" s="40" t="str">
        <f>IF(AND(E313&lt;&gt;'Povolené hodnoty'!$B$4,F313=12),J313+M313+P313+S313,"")</f>
        <v/>
      </c>
      <c r="AK313" s="41" t="str">
        <f>IF(AND(E313&lt;&gt;'Povolené hodnoty'!$B$4,F313=13),J313+M313+P313+S313,"")</f>
        <v/>
      </c>
      <c r="AL313" s="39" t="str">
        <f>IF(AND($G313='Povolené hodnoty'!$B$13,$H313=AL$4),SUM($I313,$L313,$O313,$R313),"")</f>
        <v/>
      </c>
      <c r="AM313" s="458" t="str">
        <f>IF(AND($G313='Povolené hodnoty'!$B$13,$H313=AM$4),SUM($I313,$L313,$O313,$R313),"")</f>
        <v/>
      </c>
      <c r="AN313" s="458" t="str">
        <f>IF(AND($G313='Povolené hodnoty'!$B$13,$H313=AN$4),SUM($I313,$L313,$O313,$R313),"")</f>
        <v/>
      </c>
      <c r="AO313" s="458" t="str">
        <f>IF(AND($G313='Povolené hodnoty'!$B$13,$H313=AO$4),SUM($I313,$L313,$O313,$R313),"")</f>
        <v/>
      </c>
      <c r="AP313" s="458" t="str">
        <f>IF(AND($G313='Povolené hodnoty'!$B$13,$H313=AP$4),SUM($I313,$L313,$O313,$R313),"")</f>
        <v/>
      </c>
      <c r="AQ313" s="40" t="str">
        <f>IF(AND($G313='Povolené hodnoty'!$B$13,OR($H313=AQ$4,$H313='Povolené hodnoty'!$E$36)),SUM($I313,-$J313,$L313,-$M313,$O313,-$P313,$R313,-$S313),"")</f>
        <v/>
      </c>
      <c r="AR313" s="40" t="str">
        <f>IF(AND($G313='Povolené hodnoty'!$B$13,$H313=AR$4),SUM($I313,$L313,$O313,$R313),"")</f>
        <v/>
      </c>
      <c r="AS313" s="41" t="str">
        <f>IF(AND($G313='Povolené hodnoty'!$B$13,$H313=AS$4),SUM($I313,$L313,$O313,$R313),"")</f>
        <v/>
      </c>
      <c r="AT313" s="39" t="str">
        <f>IF(AND($G313='Povolené hodnoty'!$B$14,$H313=AT$4),SUM($I313,$L313,$O313,$R313),"")</f>
        <v/>
      </c>
      <c r="AU313" s="458" t="str">
        <f>IF(AND($G313='Povolené hodnoty'!$B$14,$H313=AU$4),SUM($I313,$L313,$O313,$R313),"")</f>
        <v/>
      </c>
      <c r="AV313" s="41" t="str">
        <f>IF(AND($G313='Povolené hodnoty'!$B$14,$H313=AV$4),SUM($I313,$L313,$O313,$R313),"")</f>
        <v/>
      </c>
      <c r="AW313" s="39" t="str">
        <f>IF(AND($G313='Povolené hodnoty'!$B$13,$H313=AW$4),SUM($J313,$M313,$P313,$S313),"")</f>
        <v/>
      </c>
      <c r="AX313" s="458" t="str">
        <f>IF(AND($G313='Povolené hodnoty'!$B$13,$H313=AX$4),SUM($J313,$M313,$P313,$S313),"")</f>
        <v/>
      </c>
      <c r="AY313" s="458" t="str">
        <f>IF(AND($G313='Povolené hodnoty'!$B$13,$H313=AY$4),SUM($J313,$M313,$P313,$S313),"")</f>
        <v/>
      </c>
      <c r="AZ313" s="458" t="str">
        <f>IF(AND($G313='Povolené hodnoty'!$B$13,$H313=AZ$4),SUM($J313,$M313,$P313,$S313),"")</f>
        <v/>
      </c>
      <c r="BA313" s="458" t="str">
        <f>IF(AND($G313='Povolené hodnoty'!$B$13,$H313=BA$4),SUM($J313,$M313,$P313,$S313),"")</f>
        <v/>
      </c>
      <c r="BB313" s="40" t="str">
        <f>IF(AND($G313='Povolené hodnoty'!$B$13,$H313=BB$4),SUM($J313,$M313,$P313,$S313),"")</f>
        <v/>
      </c>
      <c r="BC313" s="40" t="str">
        <f>IF(AND($G313='Povolené hodnoty'!$B$13,$H313=BC$4),SUM($J313,$M313,$P313,$S313),"")</f>
        <v/>
      </c>
      <c r="BD313" s="40" t="str">
        <f>IF(AND($G313='Povolené hodnoty'!$B$13,$H313=BD$4),SUM($J313,$M313,$P313,$S313),"")</f>
        <v/>
      </c>
      <c r="BE313" s="41" t="str">
        <f>IF(AND($G313='Povolené hodnoty'!$B$13,$H313=BE$4),SUM($J313,$M313,$P313,$S313),"")</f>
        <v/>
      </c>
      <c r="BF313" s="39" t="str">
        <f>IF(AND($G313='Povolené hodnoty'!$B$14,$H313=BF$4),SUM($J313,$M313,$P313,$S313),"")</f>
        <v/>
      </c>
      <c r="BG313" s="458" t="str">
        <f>IF(AND($G313='Povolené hodnoty'!$B$14,$H313=BG$4),SUM($J313,$M313,$P313,$S313),"")</f>
        <v/>
      </c>
      <c r="BH313" s="458" t="str">
        <f>IF(AND($G313='Povolené hodnoty'!$B$14,$H313=BH$4),SUM($J313,$M313,$P313,$S313),"")</f>
        <v/>
      </c>
      <c r="BI313" s="458" t="str">
        <f>IF(AND($G313='Povolené hodnoty'!$B$14,$H313=BI$4),SUM($J313,$M313,$P313,$S313),"")</f>
        <v/>
      </c>
      <c r="BJ313" s="458" t="str">
        <f>IF(AND($G313='Povolené hodnoty'!$B$14,$H313=BJ$4),SUM($J313,$M313,$P313,$S313),"")</f>
        <v/>
      </c>
      <c r="BK313" s="40" t="str">
        <f>IF(AND($G313='Povolené hodnoty'!$B$14,$H313=BK$4),SUM($J313,$M313,$P313,$S313),"")</f>
        <v/>
      </c>
      <c r="BL313" s="40" t="str">
        <f>IF(AND($G313='Povolené hodnoty'!$B$14,$H313=BL$4),SUM($J313,$M313,$P313,$S313),"")</f>
        <v/>
      </c>
      <c r="BM313" s="41" t="str">
        <f>IF(AND($G313='Povolené hodnoty'!$B$14,$H313=BM$4),SUM($J313,$M313,$P313,$S313),"")</f>
        <v/>
      </c>
      <c r="BO313" s="18" t="b">
        <f t="shared" si="176"/>
        <v>0</v>
      </c>
      <c r="BP313" s="18" t="b">
        <f t="shared" si="147"/>
        <v>0</v>
      </c>
      <c r="BQ313" s="18" t="b">
        <f>AND(E313&lt;&gt;'Povolené hodnoty'!$B$6,F313&lt;&gt;'Povolené hodnoty'!$D$7,F313&lt;&gt;'Povolené hodnoty'!$D$8,OR(SUM(I313,L313,O313,R313)&lt;&gt;SUM(W313:X313,AA313:AG313),SUM(J313,M313,P313,S313)&lt;&gt;SUM(Y313:Z313,AH313:AK313),COUNT(I313:J313,L313:M313,O313:P313,R313:S313)&lt;&gt;COUNT(W313:AK313)))</f>
        <v>0</v>
      </c>
      <c r="BR313" s="18" t="b">
        <f>OR(AND(E313='Povolené hodnoty'!$B$6,$BR$5),AND(E313='Povolené hodnoty'!$B$6,H313&lt;&gt;'Povolené hodnoty'!$E$26,H313&lt;&gt;'Povolené hodnoty'!$E$35),AND(E313&lt;&gt;'Povolené hodnoty'!$B$6,OR(H313='Povolené hodnoty'!$E$26,H313='Povolené hodnoty'!$E$35)))</f>
        <v>0</v>
      </c>
      <c r="BS313" s="18" t="b">
        <f>OR(AND(G313&lt;&gt;'Povolené hodnoty'!$B$13,OR(H313='Povolené hodnoty'!$E$21,H313='Povolené hodnoty'!$E$22,H313='Povolené hodnoty'!$E$23,H313='Povolené hodnoty'!$E$24,H313='Povolené hodnoty'!$E$26,H313='Povolené hodnoty'!$E$36)),COUNT(I313:J313,L313:M313,O313:P313,R313:S313)&lt;&gt;COUNT(AL313:BM313))</f>
        <v>0</v>
      </c>
      <c r="BT313" s="18" t="b">
        <f t="shared" si="148"/>
        <v>0</v>
      </c>
      <c r="BV313" s="39" t="str">
        <f t="shared" si="149"/>
        <v/>
      </c>
      <c r="BW313" s="458" t="str">
        <f t="shared" si="150"/>
        <v/>
      </c>
      <c r="BX313" s="458" t="str">
        <f t="shared" si="151"/>
        <v/>
      </c>
      <c r="BY313" s="458" t="str">
        <f t="shared" si="152"/>
        <v/>
      </c>
      <c r="BZ313" s="458" t="str">
        <f t="shared" si="153"/>
        <v/>
      </c>
      <c r="CA313" s="40" t="str">
        <f t="shared" si="154"/>
        <v/>
      </c>
      <c r="CB313" s="40" t="str">
        <f t="shared" si="155"/>
        <v/>
      </c>
      <c r="CC313" s="39" t="str">
        <f t="shared" si="156"/>
        <v/>
      </c>
      <c r="CD313" s="458" t="str">
        <f t="shared" si="157"/>
        <v/>
      </c>
      <c r="CE313" s="41" t="str">
        <f t="shared" si="158"/>
        <v/>
      </c>
      <c r="CF313" s="39" t="str">
        <f t="shared" si="159"/>
        <v/>
      </c>
      <c r="CG313" s="458" t="str">
        <f t="shared" si="160"/>
        <v/>
      </c>
      <c r="CH313" s="458" t="str">
        <f t="shared" si="161"/>
        <v/>
      </c>
      <c r="CI313" s="458" t="str">
        <f t="shared" si="162"/>
        <v/>
      </c>
      <c r="CJ313" s="458" t="str">
        <f t="shared" si="163"/>
        <v/>
      </c>
      <c r="CK313" s="40" t="str">
        <f t="shared" si="164"/>
        <v/>
      </c>
      <c r="CL313" s="40" t="str">
        <f t="shared" si="165"/>
        <v/>
      </c>
      <c r="CM313" s="40" t="str">
        <f t="shared" si="166"/>
        <v/>
      </c>
      <c r="CN313" s="39" t="str">
        <f t="shared" si="167"/>
        <v/>
      </c>
      <c r="CO313" s="458" t="str">
        <f t="shared" si="168"/>
        <v/>
      </c>
      <c r="CP313" s="458" t="str">
        <f t="shared" si="169"/>
        <v/>
      </c>
      <c r="CQ313" s="458" t="str">
        <f t="shared" si="170"/>
        <v/>
      </c>
      <c r="CR313" s="458" t="str">
        <f t="shared" si="171"/>
        <v/>
      </c>
      <c r="CS313" s="40" t="str">
        <f t="shared" si="172"/>
        <v/>
      </c>
      <c r="CT313" s="40" t="str">
        <f t="shared" si="173"/>
        <v/>
      </c>
      <c r="CU313" s="41" t="str">
        <f t="shared" si="174"/>
        <v/>
      </c>
    </row>
    <row r="314" spans="1:99" x14ac:dyDescent="0.2">
      <c r="A314" s="77">
        <f t="shared" si="175"/>
        <v>309</v>
      </c>
      <c r="B314" s="81"/>
      <c r="C314" s="82"/>
      <c r="D314" s="71"/>
      <c r="E314" s="72"/>
      <c r="F314" s="73"/>
      <c r="G314" s="443"/>
      <c r="H314" s="443"/>
      <c r="I314" s="74"/>
      <c r="J314" s="75"/>
      <c r="K314" s="41">
        <f t="shared" si="179"/>
        <v>3625</v>
      </c>
      <c r="L314" s="104"/>
      <c r="M314" s="105"/>
      <c r="N314" s="106">
        <f t="shared" si="180"/>
        <v>537.05999999999995</v>
      </c>
      <c r="O314" s="104"/>
      <c r="P314" s="105"/>
      <c r="Q314" s="106">
        <f t="shared" si="177"/>
        <v>10045.83</v>
      </c>
      <c r="R314" s="104"/>
      <c r="S314" s="105"/>
      <c r="T314" s="106">
        <f t="shared" si="178"/>
        <v>0</v>
      </c>
      <c r="U314" s="439"/>
      <c r="V314" s="42">
        <f t="shared" si="146"/>
        <v>309</v>
      </c>
      <c r="W314" s="39" t="str">
        <f>IF(AND(E314='Povolené hodnoty'!$B$4,F314=2),I314+L314+O314+R314,"")</f>
        <v/>
      </c>
      <c r="X314" s="41" t="str">
        <f>IF(AND(E314='Povolené hodnoty'!$B$4,F314=1),I314+L314+O314+R314,"")</f>
        <v/>
      </c>
      <c r="Y314" s="39" t="str">
        <f>IF(AND(E314='Povolené hodnoty'!$B$4,F314=10),J314+M314+P314+S314,"")</f>
        <v/>
      </c>
      <c r="Z314" s="41" t="str">
        <f>IF(AND(E314='Povolené hodnoty'!$B$4,F314=9),J314+M314+P314+S314,"")</f>
        <v/>
      </c>
      <c r="AA314" s="39" t="str">
        <f>IF(AND(E314&lt;&gt;'Povolené hodnoty'!$B$4,F314=2),I314+L314+O314+R314,"")</f>
        <v/>
      </c>
      <c r="AB314" s="40" t="str">
        <f>IF(AND(E314&lt;&gt;'Povolené hodnoty'!$B$4,F314=3),I314+L314+O314+R314,"")</f>
        <v/>
      </c>
      <c r="AC314" s="40" t="str">
        <f>IF(AND(E314&lt;&gt;'Povolené hodnoty'!$B$4,F314=4),I314+L314+O314+R314,"")</f>
        <v/>
      </c>
      <c r="AD314" s="40" t="str">
        <f>IF(AND(E314&lt;&gt;'Povolené hodnoty'!$B$4,F314="5a"),I314-J314+L314-M314+O314-P314+R314-S314,"")</f>
        <v/>
      </c>
      <c r="AE314" s="40" t="str">
        <f>IF(AND(E314&lt;&gt;'Povolené hodnoty'!$B$4,F314="5b"),I314-J314+L314-M314+O314-P314+R314-S314,"")</f>
        <v/>
      </c>
      <c r="AF314" s="40" t="str">
        <f>IF(AND(E314&lt;&gt;'Povolené hodnoty'!$B$4,F314=6),I314+L314+O314+R314,"")</f>
        <v/>
      </c>
      <c r="AG314" s="41" t="str">
        <f>IF(AND(E314&lt;&gt;'Povolené hodnoty'!$B$4,F314=7),I314+L314+O314+R314,"")</f>
        <v/>
      </c>
      <c r="AH314" s="39" t="str">
        <f>IF(AND(E314&lt;&gt;'Povolené hodnoty'!$B$4,F314=10),J314+M314+P314+S314,"")</f>
        <v/>
      </c>
      <c r="AI314" s="40" t="str">
        <f>IF(AND(E314&lt;&gt;'Povolené hodnoty'!$B$4,F314=11),J314+M314+P314+S314,"")</f>
        <v/>
      </c>
      <c r="AJ314" s="40" t="str">
        <f>IF(AND(E314&lt;&gt;'Povolené hodnoty'!$B$4,F314=12),J314+M314+P314+S314,"")</f>
        <v/>
      </c>
      <c r="AK314" s="41" t="str">
        <f>IF(AND(E314&lt;&gt;'Povolené hodnoty'!$B$4,F314=13),J314+M314+P314+S314,"")</f>
        <v/>
      </c>
      <c r="AL314" s="39" t="str">
        <f>IF(AND($G314='Povolené hodnoty'!$B$13,$H314=AL$4),SUM($I314,$L314,$O314,$R314),"")</f>
        <v/>
      </c>
      <c r="AM314" s="458" t="str">
        <f>IF(AND($G314='Povolené hodnoty'!$B$13,$H314=AM$4),SUM($I314,$L314,$O314,$R314),"")</f>
        <v/>
      </c>
      <c r="AN314" s="458" t="str">
        <f>IF(AND($G314='Povolené hodnoty'!$B$13,$H314=AN$4),SUM($I314,$L314,$O314,$R314),"")</f>
        <v/>
      </c>
      <c r="AO314" s="458" t="str">
        <f>IF(AND($G314='Povolené hodnoty'!$B$13,$H314=AO$4),SUM($I314,$L314,$O314,$R314),"")</f>
        <v/>
      </c>
      <c r="AP314" s="458" t="str">
        <f>IF(AND($G314='Povolené hodnoty'!$B$13,$H314=AP$4),SUM($I314,$L314,$O314,$R314),"")</f>
        <v/>
      </c>
      <c r="AQ314" s="40" t="str">
        <f>IF(AND($G314='Povolené hodnoty'!$B$13,OR($H314=AQ$4,$H314='Povolené hodnoty'!$E$36)),SUM($I314,-$J314,$L314,-$M314,$O314,-$P314,$R314,-$S314),"")</f>
        <v/>
      </c>
      <c r="AR314" s="40" t="str">
        <f>IF(AND($G314='Povolené hodnoty'!$B$13,$H314=AR$4),SUM($I314,$L314,$O314,$R314),"")</f>
        <v/>
      </c>
      <c r="AS314" s="41" t="str">
        <f>IF(AND($G314='Povolené hodnoty'!$B$13,$H314=AS$4),SUM($I314,$L314,$O314,$R314),"")</f>
        <v/>
      </c>
      <c r="AT314" s="39" t="str">
        <f>IF(AND($G314='Povolené hodnoty'!$B$14,$H314=AT$4),SUM($I314,$L314,$O314,$R314),"")</f>
        <v/>
      </c>
      <c r="AU314" s="458" t="str">
        <f>IF(AND($G314='Povolené hodnoty'!$B$14,$H314=AU$4),SUM($I314,$L314,$O314,$R314),"")</f>
        <v/>
      </c>
      <c r="AV314" s="41" t="str">
        <f>IF(AND($G314='Povolené hodnoty'!$B$14,$H314=AV$4),SUM($I314,$L314,$O314,$R314),"")</f>
        <v/>
      </c>
      <c r="AW314" s="39" t="str">
        <f>IF(AND($G314='Povolené hodnoty'!$B$13,$H314=AW$4),SUM($J314,$M314,$P314,$S314),"")</f>
        <v/>
      </c>
      <c r="AX314" s="458" t="str">
        <f>IF(AND($G314='Povolené hodnoty'!$B$13,$H314=AX$4),SUM($J314,$M314,$P314,$S314),"")</f>
        <v/>
      </c>
      <c r="AY314" s="458" t="str">
        <f>IF(AND($G314='Povolené hodnoty'!$B$13,$H314=AY$4),SUM($J314,$M314,$P314,$S314),"")</f>
        <v/>
      </c>
      <c r="AZ314" s="458" t="str">
        <f>IF(AND($G314='Povolené hodnoty'!$B$13,$H314=AZ$4),SUM($J314,$M314,$P314,$S314),"")</f>
        <v/>
      </c>
      <c r="BA314" s="458" t="str">
        <f>IF(AND($G314='Povolené hodnoty'!$B$13,$H314=BA$4),SUM($J314,$M314,$P314,$S314),"")</f>
        <v/>
      </c>
      <c r="BB314" s="40" t="str">
        <f>IF(AND($G314='Povolené hodnoty'!$B$13,$H314=BB$4),SUM($J314,$M314,$P314,$S314),"")</f>
        <v/>
      </c>
      <c r="BC314" s="40" t="str">
        <f>IF(AND($G314='Povolené hodnoty'!$B$13,$H314=BC$4),SUM($J314,$M314,$P314,$S314),"")</f>
        <v/>
      </c>
      <c r="BD314" s="40" t="str">
        <f>IF(AND($G314='Povolené hodnoty'!$B$13,$H314=BD$4),SUM($J314,$M314,$P314,$S314),"")</f>
        <v/>
      </c>
      <c r="BE314" s="41" t="str">
        <f>IF(AND($G314='Povolené hodnoty'!$B$13,$H314=BE$4),SUM($J314,$M314,$P314,$S314),"")</f>
        <v/>
      </c>
      <c r="BF314" s="39" t="str">
        <f>IF(AND($G314='Povolené hodnoty'!$B$14,$H314=BF$4),SUM($J314,$M314,$P314,$S314),"")</f>
        <v/>
      </c>
      <c r="BG314" s="458" t="str">
        <f>IF(AND($G314='Povolené hodnoty'!$B$14,$H314=BG$4),SUM($J314,$M314,$P314,$S314),"")</f>
        <v/>
      </c>
      <c r="BH314" s="458" t="str">
        <f>IF(AND($G314='Povolené hodnoty'!$B$14,$H314=BH$4),SUM($J314,$M314,$P314,$S314),"")</f>
        <v/>
      </c>
      <c r="BI314" s="458" t="str">
        <f>IF(AND($G314='Povolené hodnoty'!$B$14,$H314=BI$4),SUM($J314,$M314,$P314,$S314),"")</f>
        <v/>
      </c>
      <c r="BJ314" s="458" t="str">
        <f>IF(AND($G314='Povolené hodnoty'!$B$14,$H314=BJ$4),SUM($J314,$M314,$P314,$S314),"")</f>
        <v/>
      </c>
      <c r="BK314" s="40" t="str">
        <f>IF(AND($G314='Povolené hodnoty'!$B$14,$H314=BK$4),SUM($J314,$M314,$P314,$S314),"")</f>
        <v/>
      </c>
      <c r="BL314" s="40" t="str">
        <f>IF(AND($G314='Povolené hodnoty'!$B$14,$H314=BL$4),SUM($J314,$M314,$P314,$S314),"")</f>
        <v/>
      </c>
      <c r="BM314" s="41" t="str">
        <f>IF(AND($G314='Povolené hodnoty'!$B$14,$H314=BM$4),SUM($J314,$M314,$P314,$S314),"")</f>
        <v/>
      </c>
      <c r="BO314" s="18" t="b">
        <f t="shared" si="176"/>
        <v>0</v>
      </c>
      <c r="BP314" s="18" t="b">
        <f t="shared" si="147"/>
        <v>0</v>
      </c>
      <c r="BQ314" s="18" t="b">
        <f>AND(E314&lt;&gt;'Povolené hodnoty'!$B$6,F314&lt;&gt;'Povolené hodnoty'!$D$7,F314&lt;&gt;'Povolené hodnoty'!$D$8,OR(SUM(I314,L314,O314,R314)&lt;&gt;SUM(W314:X314,AA314:AG314),SUM(J314,M314,P314,S314)&lt;&gt;SUM(Y314:Z314,AH314:AK314),COUNT(I314:J314,L314:M314,O314:P314,R314:S314)&lt;&gt;COUNT(W314:AK314)))</f>
        <v>0</v>
      </c>
      <c r="BR314" s="18" t="b">
        <f>OR(AND(E314='Povolené hodnoty'!$B$6,$BR$5),AND(E314='Povolené hodnoty'!$B$6,H314&lt;&gt;'Povolené hodnoty'!$E$26,H314&lt;&gt;'Povolené hodnoty'!$E$35),AND(E314&lt;&gt;'Povolené hodnoty'!$B$6,OR(H314='Povolené hodnoty'!$E$26,H314='Povolené hodnoty'!$E$35)))</f>
        <v>0</v>
      </c>
      <c r="BS314" s="18" t="b">
        <f>OR(AND(G314&lt;&gt;'Povolené hodnoty'!$B$13,OR(H314='Povolené hodnoty'!$E$21,H314='Povolené hodnoty'!$E$22,H314='Povolené hodnoty'!$E$23,H314='Povolené hodnoty'!$E$24,H314='Povolené hodnoty'!$E$26,H314='Povolené hodnoty'!$E$36)),COUNT(I314:J314,L314:M314,O314:P314,R314:S314)&lt;&gt;COUNT(AL314:BM314))</f>
        <v>0</v>
      </c>
      <c r="BT314" s="18" t="b">
        <f t="shared" si="148"/>
        <v>0</v>
      </c>
      <c r="BV314" s="39" t="str">
        <f t="shared" si="149"/>
        <v/>
      </c>
      <c r="BW314" s="458" t="str">
        <f t="shared" si="150"/>
        <v/>
      </c>
      <c r="BX314" s="458" t="str">
        <f t="shared" si="151"/>
        <v/>
      </c>
      <c r="BY314" s="458" t="str">
        <f t="shared" si="152"/>
        <v/>
      </c>
      <c r="BZ314" s="458" t="str">
        <f t="shared" si="153"/>
        <v/>
      </c>
      <c r="CA314" s="40" t="str">
        <f t="shared" si="154"/>
        <v/>
      </c>
      <c r="CB314" s="40" t="str">
        <f t="shared" si="155"/>
        <v/>
      </c>
      <c r="CC314" s="39" t="str">
        <f t="shared" si="156"/>
        <v/>
      </c>
      <c r="CD314" s="458" t="str">
        <f t="shared" si="157"/>
        <v/>
      </c>
      <c r="CE314" s="41" t="str">
        <f t="shared" si="158"/>
        <v/>
      </c>
      <c r="CF314" s="39" t="str">
        <f t="shared" si="159"/>
        <v/>
      </c>
      <c r="CG314" s="458" t="str">
        <f t="shared" si="160"/>
        <v/>
      </c>
      <c r="CH314" s="458" t="str">
        <f t="shared" si="161"/>
        <v/>
      </c>
      <c r="CI314" s="458" t="str">
        <f t="shared" si="162"/>
        <v/>
      </c>
      <c r="CJ314" s="458" t="str">
        <f t="shared" si="163"/>
        <v/>
      </c>
      <c r="CK314" s="40" t="str">
        <f t="shared" si="164"/>
        <v/>
      </c>
      <c r="CL314" s="40" t="str">
        <f t="shared" si="165"/>
        <v/>
      </c>
      <c r="CM314" s="40" t="str">
        <f t="shared" si="166"/>
        <v/>
      </c>
      <c r="CN314" s="39" t="str">
        <f t="shared" si="167"/>
        <v/>
      </c>
      <c r="CO314" s="458" t="str">
        <f t="shared" si="168"/>
        <v/>
      </c>
      <c r="CP314" s="458" t="str">
        <f t="shared" si="169"/>
        <v/>
      </c>
      <c r="CQ314" s="458" t="str">
        <f t="shared" si="170"/>
        <v/>
      </c>
      <c r="CR314" s="458" t="str">
        <f t="shared" si="171"/>
        <v/>
      </c>
      <c r="CS314" s="40" t="str">
        <f t="shared" si="172"/>
        <v/>
      </c>
      <c r="CT314" s="40" t="str">
        <f t="shared" si="173"/>
        <v/>
      </c>
      <c r="CU314" s="41" t="str">
        <f t="shared" si="174"/>
        <v/>
      </c>
    </row>
    <row r="315" spans="1:99" x14ac:dyDescent="0.2">
      <c r="A315" s="77">
        <f t="shared" si="175"/>
        <v>310</v>
      </c>
      <c r="B315" s="81"/>
      <c r="C315" s="82"/>
      <c r="D315" s="71"/>
      <c r="E315" s="72"/>
      <c r="F315" s="73"/>
      <c r="G315" s="443"/>
      <c r="H315" s="443"/>
      <c r="I315" s="74"/>
      <c r="J315" s="75"/>
      <c r="K315" s="41">
        <f t="shared" si="179"/>
        <v>3625</v>
      </c>
      <c r="L315" s="104"/>
      <c r="M315" s="105"/>
      <c r="N315" s="106">
        <f t="shared" si="180"/>
        <v>537.05999999999995</v>
      </c>
      <c r="O315" s="104"/>
      <c r="P315" s="105"/>
      <c r="Q315" s="106">
        <f t="shared" si="177"/>
        <v>10045.83</v>
      </c>
      <c r="R315" s="104"/>
      <c r="S315" s="105"/>
      <c r="T315" s="106">
        <f t="shared" si="178"/>
        <v>0</v>
      </c>
      <c r="U315" s="439"/>
      <c r="V315" s="42">
        <f t="shared" si="146"/>
        <v>310</v>
      </c>
      <c r="W315" s="39" t="str">
        <f>IF(AND(E315='Povolené hodnoty'!$B$4,F315=2),I315+L315+O315+R315,"")</f>
        <v/>
      </c>
      <c r="X315" s="41" t="str">
        <f>IF(AND(E315='Povolené hodnoty'!$B$4,F315=1),I315+L315+O315+R315,"")</f>
        <v/>
      </c>
      <c r="Y315" s="39" t="str">
        <f>IF(AND(E315='Povolené hodnoty'!$B$4,F315=10),J315+M315+P315+S315,"")</f>
        <v/>
      </c>
      <c r="Z315" s="41" t="str">
        <f>IF(AND(E315='Povolené hodnoty'!$B$4,F315=9),J315+M315+P315+S315,"")</f>
        <v/>
      </c>
      <c r="AA315" s="39" t="str">
        <f>IF(AND(E315&lt;&gt;'Povolené hodnoty'!$B$4,F315=2),I315+L315+O315+R315,"")</f>
        <v/>
      </c>
      <c r="AB315" s="40" t="str">
        <f>IF(AND(E315&lt;&gt;'Povolené hodnoty'!$B$4,F315=3),I315+L315+O315+R315,"")</f>
        <v/>
      </c>
      <c r="AC315" s="40" t="str">
        <f>IF(AND(E315&lt;&gt;'Povolené hodnoty'!$B$4,F315=4),I315+L315+O315+R315,"")</f>
        <v/>
      </c>
      <c r="AD315" s="40" t="str">
        <f>IF(AND(E315&lt;&gt;'Povolené hodnoty'!$B$4,F315="5a"),I315-J315+L315-M315+O315-P315+R315-S315,"")</f>
        <v/>
      </c>
      <c r="AE315" s="40" t="str">
        <f>IF(AND(E315&lt;&gt;'Povolené hodnoty'!$B$4,F315="5b"),I315-J315+L315-M315+O315-P315+R315-S315,"")</f>
        <v/>
      </c>
      <c r="AF315" s="40" t="str">
        <f>IF(AND(E315&lt;&gt;'Povolené hodnoty'!$B$4,F315=6),I315+L315+O315+R315,"")</f>
        <v/>
      </c>
      <c r="AG315" s="41" t="str">
        <f>IF(AND(E315&lt;&gt;'Povolené hodnoty'!$B$4,F315=7),I315+L315+O315+R315,"")</f>
        <v/>
      </c>
      <c r="AH315" s="39" t="str">
        <f>IF(AND(E315&lt;&gt;'Povolené hodnoty'!$B$4,F315=10),J315+M315+P315+S315,"")</f>
        <v/>
      </c>
      <c r="AI315" s="40" t="str">
        <f>IF(AND(E315&lt;&gt;'Povolené hodnoty'!$B$4,F315=11),J315+M315+P315+S315,"")</f>
        <v/>
      </c>
      <c r="AJ315" s="40" t="str">
        <f>IF(AND(E315&lt;&gt;'Povolené hodnoty'!$B$4,F315=12),J315+M315+P315+S315,"")</f>
        <v/>
      </c>
      <c r="AK315" s="41" t="str">
        <f>IF(AND(E315&lt;&gt;'Povolené hodnoty'!$B$4,F315=13),J315+M315+P315+S315,"")</f>
        <v/>
      </c>
      <c r="AL315" s="39" t="str">
        <f>IF(AND($G315='Povolené hodnoty'!$B$13,$H315=AL$4),SUM($I315,$L315,$O315,$R315),"")</f>
        <v/>
      </c>
      <c r="AM315" s="458" t="str">
        <f>IF(AND($G315='Povolené hodnoty'!$B$13,$H315=AM$4),SUM($I315,$L315,$O315,$R315),"")</f>
        <v/>
      </c>
      <c r="AN315" s="458" t="str">
        <f>IF(AND($G315='Povolené hodnoty'!$B$13,$H315=AN$4),SUM($I315,$L315,$O315,$R315),"")</f>
        <v/>
      </c>
      <c r="AO315" s="458" t="str">
        <f>IF(AND($G315='Povolené hodnoty'!$B$13,$H315=AO$4),SUM($I315,$L315,$O315,$R315),"")</f>
        <v/>
      </c>
      <c r="AP315" s="458" t="str">
        <f>IF(AND($G315='Povolené hodnoty'!$B$13,$H315=AP$4),SUM($I315,$L315,$O315,$R315),"")</f>
        <v/>
      </c>
      <c r="AQ315" s="40" t="str">
        <f>IF(AND($G315='Povolené hodnoty'!$B$13,OR($H315=AQ$4,$H315='Povolené hodnoty'!$E$36)),SUM($I315,-$J315,$L315,-$M315,$O315,-$P315,$R315,-$S315),"")</f>
        <v/>
      </c>
      <c r="AR315" s="40" t="str">
        <f>IF(AND($G315='Povolené hodnoty'!$B$13,$H315=AR$4),SUM($I315,$L315,$O315,$R315),"")</f>
        <v/>
      </c>
      <c r="AS315" s="41" t="str">
        <f>IF(AND($G315='Povolené hodnoty'!$B$13,$H315=AS$4),SUM($I315,$L315,$O315,$R315),"")</f>
        <v/>
      </c>
      <c r="AT315" s="39" t="str">
        <f>IF(AND($G315='Povolené hodnoty'!$B$14,$H315=AT$4),SUM($I315,$L315,$O315,$R315),"")</f>
        <v/>
      </c>
      <c r="AU315" s="458" t="str">
        <f>IF(AND($G315='Povolené hodnoty'!$B$14,$H315=AU$4),SUM($I315,$L315,$O315,$R315),"")</f>
        <v/>
      </c>
      <c r="AV315" s="41" t="str">
        <f>IF(AND($G315='Povolené hodnoty'!$B$14,$H315=AV$4),SUM($I315,$L315,$O315,$R315),"")</f>
        <v/>
      </c>
      <c r="AW315" s="39" t="str">
        <f>IF(AND($G315='Povolené hodnoty'!$B$13,$H315=AW$4),SUM($J315,$M315,$P315,$S315),"")</f>
        <v/>
      </c>
      <c r="AX315" s="458" t="str">
        <f>IF(AND($G315='Povolené hodnoty'!$B$13,$H315=AX$4),SUM($J315,$M315,$P315,$S315),"")</f>
        <v/>
      </c>
      <c r="AY315" s="458" t="str">
        <f>IF(AND($G315='Povolené hodnoty'!$B$13,$H315=AY$4),SUM($J315,$M315,$P315,$S315),"")</f>
        <v/>
      </c>
      <c r="AZ315" s="458" t="str">
        <f>IF(AND($G315='Povolené hodnoty'!$B$13,$H315=AZ$4),SUM($J315,$M315,$P315,$S315),"")</f>
        <v/>
      </c>
      <c r="BA315" s="458" t="str">
        <f>IF(AND($G315='Povolené hodnoty'!$B$13,$H315=BA$4),SUM($J315,$M315,$P315,$S315),"")</f>
        <v/>
      </c>
      <c r="BB315" s="40" t="str">
        <f>IF(AND($G315='Povolené hodnoty'!$B$13,$H315=BB$4),SUM($J315,$M315,$P315,$S315),"")</f>
        <v/>
      </c>
      <c r="BC315" s="40" t="str">
        <f>IF(AND($G315='Povolené hodnoty'!$B$13,$H315=BC$4),SUM($J315,$M315,$P315,$S315),"")</f>
        <v/>
      </c>
      <c r="BD315" s="40" t="str">
        <f>IF(AND($G315='Povolené hodnoty'!$B$13,$H315=BD$4),SUM($J315,$M315,$P315,$S315),"")</f>
        <v/>
      </c>
      <c r="BE315" s="41" t="str">
        <f>IF(AND($G315='Povolené hodnoty'!$B$13,$H315=BE$4),SUM($J315,$M315,$P315,$S315),"")</f>
        <v/>
      </c>
      <c r="BF315" s="39" t="str">
        <f>IF(AND($G315='Povolené hodnoty'!$B$14,$H315=BF$4),SUM($J315,$M315,$P315,$S315),"")</f>
        <v/>
      </c>
      <c r="BG315" s="458" t="str">
        <f>IF(AND($G315='Povolené hodnoty'!$B$14,$H315=BG$4),SUM($J315,$M315,$P315,$S315),"")</f>
        <v/>
      </c>
      <c r="BH315" s="458" t="str">
        <f>IF(AND($G315='Povolené hodnoty'!$B$14,$H315=BH$4),SUM($J315,$M315,$P315,$S315),"")</f>
        <v/>
      </c>
      <c r="BI315" s="458" t="str">
        <f>IF(AND($G315='Povolené hodnoty'!$B$14,$H315=BI$4),SUM($J315,$M315,$P315,$S315),"")</f>
        <v/>
      </c>
      <c r="BJ315" s="458" t="str">
        <f>IF(AND($G315='Povolené hodnoty'!$B$14,$H315=BJ$4),SUM($J315,$M315,$P315,$S315),"")</f>
        <v/>
      </c>
      <c r="BK315" s="40" t="str">
        <f>IF(AND($G315='Povolené hodnoty'!$B$14,$H315=BK$4),SUM($J315,$M315,$P315,$S315),"")</f>
        <v/>
      </c>
      <c r="BL315" s="40" t="str">
        <f>IF(AND($G315='Povolené hodnoty'!$B$14,$H315=BL$4),SUM($J315,$M315,$P315,$S315),"")</f>
        <v/>
      </c>
      <c r="BM315" s="41" t="str">
        <f>IF(AND($G315='Povolené hodnoty'!$B$14,$H315=BM$4),SUM($J315,$M315,$P315,$S315),"")</f>
        <v/>
      </c>
      <c r="BO315" s="18" t="b">
        <f t="shared" si="176"/>
        <v>0</v>
      </c>
      <c r="BP315" s="18" t="b">
        <f t="shared" si="147"/>
        <v>0</v>
      </c>
      <c r="BQ315" s="18" t="b">
        <f>AND(E315&lt;&gt;'Povolené hodnoty'!$B$6,F315&lt;&gt;'Povolené hodnoty'!$D$7,F315&lt;&gt;'Povolené hodnoty'!$D$8,OR(SUM(I315,L315,O315,R315)&lt;&gt;SUM(W315:X315,AA315:AG315),SUM(J315,M315,P315,S315)&lt;&gt;SUM(Y315:Z315,AH315:AK315),COUNT(I315:J315,L315:M315,O315:P315,R315:S315)&lt;&gt;COUNT(W315:AK315)))</f>
        <v>0</v>
      </c>
      <c r="BR315" s="18" t="b">
        <f>OR(AND(E315='Povolené hodnoty'!$B$6,$BR$5),AND(E315='Povolené hodnoty'!$B$6,H315&lt;&gt;'Povolené hodnoty'!$E$26,H315&lt;&gt;'Povolené hodnoty'!$E$35),AND(E315&lt;&gt;'Povolené hodnoty'!$B$6,OR(H315='Povolené hodnoty'!$E$26,H315='Povolené hodnoty'!$E$35)))</f>
        <v>0</v>
      </c>
      <c r="BS315" s="18" t="b">
        <f>OR(AND(G315&lt;&gt;'Povolené hodnoty'!$B$13,OR(H315='Povolené hodnoty'!$E$21,H315='Povolené hodnoty'!$E$22,H315='Povolené hodnoty'!$E$23,H315='Povolené hodnoty'!$E$24,H315='Povolené hodnoty'!$E$26,H315='Povolené hodnoty'!$E$36)),COUNT(I315:J315,L315:M315,O315:P315,R315:S315)&lt;&gt;COUNT(AL315:BM315))</f>
        <v>0</v>
      </c>
      <c r="BT315" s="18" t="b">
        <f t="shared" si="148"/>
        <v>0</v>
      </c>
      <c r="BV315" s="39" t="str">
        <f t="shared" si="149"/>
        <v/>
      </c>
      <c r="BW315" s="458" t="str">
        <f t="shared" si="150"/>
        <v/>
      </c>
      <c r="BX315" s="458" t="str">
        <f t="shared" si="151"/>
        <v/>
      </c>
      <c r="BY315" s="458" t="str">
        <f t="shared" si="152"/>
        <v/>
      </c>
      <c r="BZ315" s="458" t="str">
        <f t="shared" si="153"/>
        <v/>
      </c>
      <c r="CA315" s="40" t="str">
        <f t="shared" si="154"/>
        <v/>
      </c>
      <c r="CB315" s="40" t="str">
        <f t="shared" si="155"/>
        <v/>
      </c>
      <c r="CC315" s="39" t="str">
        <f t="shared" si="156"/>
        <v/>
      </c>
      <c r="CD315" s="458" t="str">
        <f t="shared" si="157"/>
        <v/>
      </c>
      <c r="CE315" s="41" t="str">
        <f t="shared" si="158"/>
        <v/>
      </c>
      <c r="CF315" s="39" t="str">
        <f t="shared" si="159"/>
        <v/>
      </c>
      <c r="CG315" s="458" t="str">
        <f t="shared" si="160"/>
        <v/>
      </c>
      <c r="CH315" s="458" t="str">
        <f t="shared" si="161"/>
        <v/>
      </c>
      <c r="CI315" s="458" t="str">
        <f t="shared" si="162"/>
        <v/>
      </c>
      <c r="CJ315" s="458" t="str">
        <f t="shared" si="163"/>
        <v/>
      </c>
      <c r="CK315" s="40" t="str">
        <f t="shared" si="164"/>
        <v/>
      </c>
      <c r="CL315" s="40" t="str">
        <f t="shared" si="165"/>
        <v/>
      </c>
      <c r="CM315" s="40" t="str">
        <f t="shared" si="166"/>
        <v/>
      </c>
      <c r="CN315" s="39" t="str">
        <f t="shared" si="167"/>
        <v/>
      </c>
      <c r="CO315" s="458" t="str">
        <f t="shared" si="168"/>
        <v/>
      </c>
      <c r="CP315" s="458" t="str">
        <f t="shared" si="169"/>
        <v/>
      </c>
      <c r="CQ315" s="458" t="str">
        <f t="shared" si="170"/>
        <v/>
      </c>
      <c r="CR315" s="458" t="str">
        <f t="shared" si="171"/>
        <v/>
      </c>
      <c r="CS315" s="40" t="str">
        <f t="shared" si="172"/>
        <v/>
      </c>
      <c r="CT315" s="40" t="str">
        <f t="shared" si="173"/>
        <v/>
      </c>
      <c r="CU315" s="41" t="str">
        <f t="shared" si="174"/>
        <v/>
      </c>
    </row>
    <row r="316" spans="1:99" x14ac:dyDescent="0.2">
      <c r="A316" s="77">
        <f t="shared" si="175"/>
        <v>311</v>
      </c>
      <c r="B316" s="81"/>
      <c r="C316" s="82"/>
      <c r="D316" s="71"/>
      <c r="E316" s="72"/>
      <c r="F316" s="73"/>
      <c r="G316" s="443"/>
      <c r="H316" s="443"/>
      <c r="I316" s="74"/>
      <c r="J316" s="75"/>
      <c r="K316" s="41">
        <f t="shared" si="179"/>
        <v>3625</v>
      </c>
      <c r="L316" s="104"/>
      <c r="M316" s="105"/>
      <c r="N316" s="106">
        <f t="shared" si="180"/>
        <v>537.05999999999995</v>
      </c>
      <c r="O316" s="104"/>
      <c r="P316" s="105"/>
      <c r="Q316" s="106">
        <f t="shared" si="177"/>
        <v>10045.83</v>
      </c>
      <c r="R316" s="104"/>
      <c r="S316" s="105"/>
      <c r="T316" s="106">
        <f t="shared" si="178"/>
        <v>0</v>
      </c>
      <c r="U316" s="439"/>
      <c r="V316" s="42">
        <f t="shared" si="146"/>
        <v>311</v>
      </c>
      <c r="W316" s="39" t="str">
        <f>IF(AND(E316='Povolené hodnoty'!$B$4,F316=2),I316+L316+O316+R316,"")</f>
        <v/>
      </c>
      <c r="X316" s="41" t="str">
        <f>IF(AND(E316='Povolené hodnoty'!$B$4,F316=1),I316+L316+O316+R316,"")</f>
        <v/>
      </c>
      <c r="Y316" s="39" t="str">
        <f>IF(AND(E316='Povolené hodnoty'!$B$4,F316=10),J316+M316+P316+S316,"")</f>
        <v/>
      </c>
      <c r="Z316" s="41" t="str">
        <f>IF(AND(E316='Povolené hodnoty'!$B$4,F316=9),J316+M316+P316+S316,"")</f>
        <v/>
      </c>
      <c r="AA316" s="39" t="str">
        <f>IF(AND(E316&lt;&gt;'Povolené hodnoty'!$B$4,F316=2),I316+L316+O316+R316,"")</f>
        <v/>
      </c>
      <c r="AB316" s="40" t="str">
        <f>IF(AND(E316&lt;&gt;'Povolené hodnoty'!$B$4,F316=3),I316+L316+O316+R316,"")</f>
        <v/>
      </c>
      <c r="AC316" s="40" t="str">
        <f>IF(AND(E316&lt;&gt;'Povolené hodnoty'!$B$4,F316=4),I316+L316+O316+R316,"")</f>
        <v/>
      </c>
      <c r="AD316" s="40" t="str">
        <f>IF(AND(E316&lt;&gt;'Povolené hodnoty'!$B$4,F316="5a"),I316-J316+L316-M316+O316-P316+R316-S316,"")</f>
        <v/>
      </c>
      <c r="AE316" s="40" t="str">
        <f>IF(AND(E316&lt;&gt;'Povolené hodnoty'!$B$4,F316="5b"),I316-J316+L316-M316+O316-P316+R316-S316,"")</f>
        <v/>
      </c>
      <c r="AF316" s="40" t="str">
        <f>IF(AND(E316&lt;&gt;'Povolené hodnoty'!$B$4,F316=6),I316+L316+O316+R316,"")</f>
        <v/>
      </c>
      <c r="AG316" s="41" t="str">
        <f>IF(AND(E316&lt;&gt;'Povolené hodnoty'!$B$4,F316=7),I316+L316+O316+R316,"")</f>
        <v/>
      </c>
      <c r="AH316" s="39" t="str">
        <f>IF(AND(E316&lt;&gt;'Povolené hodnoty'!$B$4,F316=10),J316+M316+P316+S316,"")</f>
        <v/>
      </c>
      <c r="AI316" s="40" t="str">
        <f>IF(AND(E316&lt;&gt;'Povolené hodnoty'!$B$4,F316=11),J316+M316+P316+S316,"")</f>
        <v/>
      </c>
      <c r="AJ316" s="40" t="str">
        <f>IF(AND(E316&lt;&gt;'Povolené hodnoty'!$B$4,F316=12),J316+M316+P316+S316,"")</f>
        <v/>
      </c>
      <c r="AK316" s="41" t="str">
        <f>IF(AND(E316&lt;&gt;'Povolené hodnoty'!$B$4,F316=13),J316+M316+P316+S316,"")</f>
        <v/>
      </c>
      <c r="AL316" s="39" t="str">
        <f>IF(AND($G316='Povolené hodnoty'!$B$13,$H316=AL$4),SUM($I316,$L316,$O316,$R316),"")</f>
        <v/>
      </c>
      <c r="AM316" s="458" t="str">
        <f>IF(AND($G316='Povolené hodnoty'!$B$13,$H316=AM$4),SUM($I316,$L316,$O316,$R316),"")</f>
        <v/>
      </c>
      <c r="AN316" s="458" t="str">
        <f>IF(AND($G316='Povolené hodnoty'!$B$13,$H316=AN$4),SUM($I316,$L316,$O316,$R316),"")</f>
        <v/>
      </c>
      <c r="AO316" s="458" t="str">
        <f>IF(AND($G316='Povolené hodnoty'!$B$13,$H316=AO$4),SUM($I316,$L316,$O316,$R316),"")</f>
        <v/>
      </c>
      <c r="AP316" s="458" t="str">
        <f>IF(AND($G316='Povolené hodnoty'!$B$13,$H316=AP$4),SUM($I316,$L316,$O316,$R316),"")</f>
        <v/>
      </c>
      <c r="AQ316" s="40" t="str">
        <f>IF(AND($G316='Povolené hodnoty'!$B$13,OR($H316=AQ$4,$H316='Povolené hodnoty'!$E$36)),SUM($I316,-$J316,$L316,-$M316,$O316,-$P316,$R316,-$S316),"")</f>
        <v/>
      </c>
      <c r="AR316" s="40" t="str">
        <f>IF(AND($G316='Povolené hodnoty'!$B$13,$H316=AR$4),SUM($I316,$L316,$O316,$R316),"")</f>
        <v/>
      </c>
      <c r="AS316" s="41" t="str">
        <f>IF(AND($G316='Povolené hodnoty'!$B$13,$H316=AS$4),SUM($I316,$L316,$O316,$R316),"")</f>
        <v/>
      </c>
      <c r="AT316" s="39" t="str">
        <f>IF(AND($G316='Povolené hodnoty'!$B$14,$H316=AT$4),SUM($I316,$L316,$O316,$R316),"")</f>
        <v/>
      </c>
      <c r="AU316" s="458" t="str">
        <f>IF(AND($G316='Povolené hodnoty'!$B$14,$H316=AU$4),SUM($I316,$L316,$O316,$R316),"")</f>
        <v/>
      </c>
      <c r="AV316" s="41" t="str">
        <f>IF(AND($G316='Povolené hodnoty'!$B$14,$H316=AV$4),SUM($I316,$L316,$O316,$R316),"")</f>
        <v/>
      </c>
      <c r="AW316" s="39" t="str">
        <f>IF(AND($G316='Povolené hodnoty'!$B$13,$H316=AW$4),SUM($J316,$M316,$P316,$S316),"")</f>
        <v/>
      </c>
      <c r="AX316" s="458" t="str">
        <f>IF(AND($G316='Povolené hodnoty'!$B$13,$H316=AX$4),SUM($J316,$M316,$P316,$S316),"")</f>
        <v/>
      </c>
      <c r="AY316" s="458" t="str">
        <f>IF(AND($G316='Povolené hodnoty'!$B$13,$H316=AY$4),SUM($J316,$M316,$P316,$S316),"")</f>
        <v/>
      </c>
      <c r="AZ316" s="458" t="str">
        <f>IF(AND($G316='Povolené hodnoty'!$B$13,$H316=AZ$4),SUM($J316,$M316,$P316,$S316),"")</f>
        <v/>
      </c>
      <c r="BA316" s="458" t="str">
        <f>IF(AND($G316='Povolené hodnoty'!$B$13,$H316=BA$4),SUM($J316,$M316,$P316,$S316),"")</f>
        <v/>
      </c>
      <c r="BB316" s="40" t="str">
        <f>IF(AND($G316='Povolené hodnoty'!$B$13,$H316=BB$4),SUM($J316,$M316,$P316,$S316),"")</f>
        <v/>
      </c>
      <c r="BC316" s="40" t="str">
        <f>IF(AND($G316='Povolené hodnoty'!$B$13,$H316=BC$4),SUM($J316,$M316,$P316,$S316),"")</f>
        <v/>
      </c>
      <c r="BD316" s="40" t="str">
        <f>IF(AND($G316='Povolené hodnoty'!$B$13,$H316=BD$4),SUM($J316,$M316,$P316,$S316),"")</f>
        <v/>
      </c>
      <c r="BE316" s="41" t="str">
        <f>IF(AND($G316='Povolené hodnoty'!$B$13,$H316=BE$4),SUM($J316,$M316,$P316,$S316),"")</f>
        <v/>
      </c>
      <c r="BF316" s="39" t="str">
        <f>IF(AND($G316='Povolené hodnoty'!$B$14,$H316=BF$4),SUM($J316,$M316,$P316,$S316),"")</f>
        <v/>
      </c>
      <c r="BG316" s="458" t="str">
        <f>IF(AND($G316='Povolené hodnoty'!$B$14,$H316=BG$4),SUM($J316,$M316,$P316,$S316),"")</f>
        <v/>
      </c>
      <c r="BH316" s="458" t="str">
        <f>IF(AND($G316='Povolené hodnoty'!$B$14,$H316=BH$4),SUM($J316,$M316,$P316,$S316),"")</f>
        <v/>
      </c>
      <c r="BI316" s="458" t="str">
        <f>IF(AND($G316='Povolené hodnoty'!$B$14,$H316=BI$4),SUM($J316,$M316,$P316,$S316),"")</f>
        <v/>
      </c>
      <c r="BJ316" s="458" t="str">
        <f>IF(AND($G316='Povolené hodnoty'!$B$14,$H316=BJ$4),SUM($J316,$M316,$P316,$S316),"")</f>
        <v/>
      </c>
      <c r="BK316" s="40" t="str">
        <f>IF(AND($G316='Povolené hodnoty'!$B$14,$H316=BK$4),SUM($J316,$M316,$P316,$S316),"")</f>
        <v/>
      </c>
      <c r="BL316" s="40" t="str">
        <f>IF(AND($G316='Povolené hodnoty'!$B$14,$H316=BL$4),SUM($J316,$M316,$P316,$S316),"")</f>
        <v/>
      </c>
      <c r="BM316" s="41" t="str">
        <f>IF(AND($G316='Povolené hodnoty'!$B$14,$H316=BM$4),SUM($J316,$M316,$P316,$S316),"")</f>
        <v/>
      </c>
      <c r="BO316" s="18" t="b">
        <f t="shared" si="176"/>
        <v>0</v>
      </c>
      <c r="BP316" s="18" t="b">
        <f t="shared" si="147"/>
        <v>0</v>
      </c>
      <c r="BQ316" s="18" t="b">
        <f>AND(E316&lt;&gt;'Povolené hodnoty'!$B$6,F316&lt;&gt;'Povolené hodnoty'!$D$7,F316&lt;&gt;'Povolené hodnoty'!$D$8,OR(SUM(I316,L316,O316,R316)&lt;&gt;SUM(W316:X316,AA316:AG316),SUM(J316,M316,P316,S316)&lt;&gt;SUM(Y316:Z316,AH316:AK316),COUNT(I316:J316,L316:M316,O316:P316,R316:S316)&lt;&gt;COUNT(W316:AK316)))</f>
        <v>0</v>
      </c>
      <c r="BR316" s="18" t="b">
        <f>OR(AND(E316='Povolené hodnoty'!$B$6,$BR$5),AND(E316='Povolené hodnoty'!$B$6,H316&lt;&gt;'Povolené hodnoty'!$E$26,H316&lt;&gt;'Povolené hodnoty'!$E$35),AND(E316&lt;&gt;'Povolené hodnoty'!$B$6,OR(H316='Povolené hodnoty'!$E$26,H316='Povolené hodnoty'!$E$35)))</f>
        <v>0</v>
      </c>
      <c r="BS316" s="18" t="b">
        <f>OR(AND(G316&lt;&gt;'Povolené hodnoty'!$B$13,OR(H316='Povolené hodnoty'!$E$21,H316='Povolené hodnoty'!$E$22,H316='Povolené hodnoty'!$E$23,H316='Povolené hodnoty'!$E$24,H316='Povolené hodnoty'!$E$26,H316='Povolené hodnoty'!$E$36)),COUNT(I316:J316,L316:M316,O316:P316,R316:S316)&lt;&gt;COUNT(AL316:BM316))</f>
        <v>0</v>
      </c>
      <c r="BT316" s="18" t="b">
        <f t="shared" si="148"/>
        <v>0</v>
      </c>
      <c r="BV316" s="39" t="str">
        <f t="shared" si="149"/>
        <v/>
      </c>
      <c r="BW316" s="458" t="str">
        <f t="shared" si="150"/>
        <v/>
      </c>
      <c r="BX316" s="458" t="str">
        <f t="shared" si="151"/>
        <v/>
      </c>
      <c r="BY316" s="458" t="str">
        <f t="shared" si="152"/>
        <v/>
      </c>
      <c r="BZ316" s="458" t="str">
        <f t="shared" si="153"/>
        <v/>
      </c>
      <c r="CA316" s="40" t="str">
        <f t="shared" si="154"/>
        <v/>
      </c>
      <c r="CB316" s="40" t="str">
        <f t="shared" si="155"/>
        <v/>
      </c>
      <c r="CC316" s="39" t="str">
        <f t="shared" si="156"/>
        <v/>
      </c>
      <c r="CD316" s="458" t="str">
        <f t="shared" si="157"/>
        <v/>
      </c>
      <c r="CE316" s="41" t="str">
        <f t="shared" si="158"/>
        <v/>
      </c>
      <c r="CF316" s="39" t="str">
        <f t="shared" si="159"/>
        <v/>
      </c>
      <c r="CG316" s="458" t="str">
        <f t="shared" si="160"/>
        <v/>
      </c>
      <c r="CH316" s="458" t="str">
        <f t="shared" si="161"/>
        <v/>
      </c>
      <c r="CI316" s="458" t="str">
        <f t="shared" si="162"/>
        <v/>
      </c>
      <c r="CJ316" s="458" t="str">
        <f t="shared" si="163"/>
        <v/>
      </c>
      <c r="CK316" s="40" t="str">
        <f t="shared" si="164"/>
        <v/>
      </c>
      <c r="CL316" s="40" t="str">
        <f t="shared" si="165"/>
        <v/>
      </c>
      <c r="CM316" s="40" t="str">
        <f t="shared" si="166"/>
        <v/>
      </c>
      <c r="CN316" s="39" t="str">
        <f t="shared" si="167"/>
        <v/>
      </c>
      <c r="CO316" s="458" t="str">
        <f t="shared" si="168"/>
        <v/>
      </c>
      <c r="CP316" s="458" t="str">
        <f t="shared" si="169"/>
        <v/>
      </c>
      <c r="CQ316" s="458" t="str">
        <f t="shared" si="170"/>
        <v/>
      </c>
      <c r="CR316" s="458" t="str">
        <f t="shared" si="171"/>
        <v/>
      </c>
      <c r="CS316" s="40" t="str">
        <f t="shared" si="172"/>
        <v/>
      </c>
      <c r="CT316" s="40" t="str">
        <f t="shared" si="173"/>
        <v/>
      </c>
      <c r="CU316" s="41" t="str">
        <f t="shared" si="174"/>
        <v/>
      </c>
    </row>
    <row r="317" spans="1:99" x14ac:dyDescent="0.2">
      <c r="A317" s="77">
        <f t="shared" si="175"/>
        <v>312</v>
      </c>
      <c r="B317" s="81"/>
      <c r="C317" s="82"/>
      <c r="D317" s="71"/>
      <c r="E317" s="72"/>
      <c r="F317" s="73"/>
      <c r="G317" s="443"/>
      <c r="H317" s="443"/>
      <c r="I317" s="74"/>
      <c r="J317" s="75"/>
      <c r="K317" s="41">
        <f t="shared" si="179"/>
        <v>3625</v>
      </c>
      <c r="L317" s="104"/>
      <c r="M317" s="105"/>
      <c r="N317" s="106">
        <f t="shared" si="180"/>
        <v>537.05999999999995</v>
      </c>
      <c r="O317" s="104"/>
      <c r="P317" s="105"/>
      <c r="Q317" s="106">
        <f t="shared" si="177"/>
        <v>10045.83</v>
      </c>
      <c r="R317" s="104"/>
      <c r="S317" s="105"/>
      <c r="T317" s="106">
        <f t="shared" si="178"/>
        <v>0</v>
      </c>
      <c r="U317" s="439"/>
      <c r="V317" s="42">
        <f t="shared" si="146"/>
        <v>312</v>
      </c>
      <c r="W317" s="39" t="str">
        <f>IF(AND(E317='Povolené hodnoty'!$B$4,F317=2),I317+L317+O317+R317,"")</f>
        <v/>
      </c>
      <c r="X317" s="41" t="str">
        <f>IF(AND(E317='Povolené hodnoty'!$B$4,F317=1),I317+L317+O317+R317,"")</f>
        <v/>
      </c>
      <c r="Y317" s="39" t="str">
        <f>IF(AND(E317='Povolené hodnoty'!$B$4,F317=10),J317+M317+P317+S317,"")</f>
        <v/>
      </c>
      <c r="Z317" s="41" t="str">
        <f>IF(AND(E317='Povolené hodnoty'!$B$4,F317=9),J317+M317+P317+S317,"")</f>
        <v/>
      </c>
      <c r="AA317" s="39" t="str">
        <f>IF(AND(E317&lt;&gt;'Povolené hodnoty'!$B$4,F317=2),I317+L317+O317+R317,"")</f>
        <v/>
      </c>
      <c r="AB317" s="40" t="str">
        <f>IF(AND(E317&lt;&gt;'Povolené hodnoty'!$B$4,F317=3),I317+L317+O317+R317,"")</f>
        <v/>
      </c>
      <c r="AC317" s="40" t="str">
        <f>IF(AND(E317&lt;&gt;'Povolené hodnoty'!$B$4,F317=4),I317+L317+O317+R317,"")</f>
        <v/>
      </c>
      <c r="AD317" s="40" t="str">
        <f>IF(AND(E317&lt;&gt;'Povolené hodnoty'!$B$4,F317="5a"),I317-J317+L317-M317+O317-P317+R317-S317,"")</f>
        <v/>
      </c>
      <c r="AE317" s="40" t="str">
        <f>IF(AND(E317&lt;&gt;'Povolené hodnoty'!$B$4,F317="5b"),I317-J317+L317-M317+O317-P317+R317-S317,"")</f>
        <v/>
      </c>
      <c r="AF317" s="40" t="str">
        <f>IF(AND(E317&lt;&gt;'Povolené hodnoty'!$B$4,F317=6),I317+L317+O317+R317,"")</f>
        <v/>
      </c>
      <c r="AG317" s="41" t="str">
        <f>IF(AND(E317&lt;&gt;'Povolené hodnoty'!$B$4,F317=7),I317+L317+O317+R317,"")</f>
        <v/>
      </c>
      <c r="AH317" s="39" t="str">
        <f>IF(AND(E317&lt;&gt;'Povolené hodnoty'!$B$4,F317=10),J317+M317+P317+S317,"")</f>
        <v/>
      </c>
      <c r="AI317" s="40" t="str">
        <f>IF(AND(E317&lt;&gt;'Povolené hodnoty'!$B$4,F317=11),J317+M317+P317+S317,"")</f>
        <v/>
      </c>
      <c r="AJ317" s="40" t="str">
        <f>IF(AND(E317&lt;&gt;'Povolené hodnoty'!$B$4,F317=12),J317+M317+P317+S317,"")</f>
        <v/>
      </c>
      <c r="AK317" s="41" t="str">
        <f>IF(AND(E317&lt;&gt;'Povolené hodnoty'!$B$4,F317=13),J317+M317+P317+S317,"")</f>
        <v/>
      </c>
      <c r="AL317" s="39" t="str">
        <f>IF(AND($G317='Povolené hodnoty'!$B$13,$H317=AL$4),SUM($I317,$L317,$O317,$R317),"")</f>
        <v/>
      </c>
      <c r="AM317" s="458" t="str">
        <f>IF(AND($G317='Povolené hodnoty'!$B$13,$H317=AM$4),SUM($I317,$L317,$O317,$R317),"")</f>
        <v/>
      </c>
      <c r="AN317" s="458" t="str">
        <f>IF(AND($G317='Povolené hodnoty'!$B$13,$H317=AN$4),SUM($I317,$L317,$O317,$R317),"")</f>
        <v/>
      </c>
      <c r="AO317" s="458" t="str">
        <f>IF(AND($G317='Povolené hodnoty'!$B$13,$H317=AO$4),SUM($I317,$L317,$O317,$R317),"")</f>
        <v/>
      </c>
      <c r="AP317" s="458" t="str">
        <f>IF(AND($G317='Povolené hodnoty'!$B$13,$H317=AP$4),SUM($I317,$L317,$O317,$R317),"")</f>
        <v/>
      </c>
      <c r="AQ317" s="40" t="str">
        <f>IF(AND($G317='Povolené hodnoty'!$B$13,OR($H317=AQ$4,$H317='Povolené hodnoty'!$E$36)),SUM($I317,-$J317,$L317,-$M317,$O317,-$P317,$R317,-$S317),"")</f>
        <v/>
      </c>
      <c r="AR317" s="40" t="str">
        <f>IF(AND($G317='Povolené hodnoty'!$B$13,$H317=AR$4),SUM($I317,$L317,$O317,$R317),"")</f>
        <v/>
      </c>
      <c r="AS317" s="41" t="str">
        <f>IF(AND($G317='Povolené hodnoty'!$B$13,$H317=AS$4),SUM($I317,$L317,$O317,$R317),"")</f>
        <v/>
      </c>
      <c r="AT317" s="39" t="str">
        <f>IF(AND($G317='Povolené hodnoty'!$B$14,$H317=AT$4),SUM($I317,$L317,$O317,$R317),"")</f>
        <v/>
      </c>
      <c r="AU317" s="458" t="str">
        <f>IF(AND($G317='Povolené hodnoty'!$B$14,$H317=AU$4),SUM($I317,$L317,$O317,$R317),"")</f>
        <v/>
      </c>
      <c r="AV317" s="41" t="str">
        <f>IF(AND($G317='Povolené hodnoty'!$B$14,$H317=AV$4),SUM($I317,$L317,$O317,$R317),"")</f>
        <v/>
      </c>
      <c r="AW317" s="39" t="str">
        <f>IF(AND($G317='Povolené hodnoty'!$B$13,$H317=AW$4),SUM($J317,$M317,$P317,$S317),"")</f>
        <v/>
      </c>
      <c r="AX317" s="458" t="str">
        <f>IF(AND($G317='Povolené hodnoty'!$B$13,$H317=AX$4),SUM($J317,$M317,$P317,$S317),"")</f>
        <v/>
      </c>
      <c r="AY317" s="458" t="str">
        <f>IF(AND($G317='Povolené hodnoty'!$B$13,$H317=AY$4),SUM($J317,$M317,$P317,$S317),"")</f>
        <v/>
      </c>
      <c r="AZ317" s="458" t="str">
        <f>IF(AND($G317='Povolené hodnoty'!$B$13,$H317=AZ$4),SUM($J317,$M317,$P317,$S317),"")</f>
        <v/>
      </c>
      <c r="BA317" s="458" t="str">
        <f>IF(AND($G317='Povolené hodnoty'!$B$13,$H317=BA$4),SUM($J317,$M317,$P317,$S317),"")</f>
        <v/>
      </c>
      <c r="BB317" s="40" t="str">
        <f>IF(AND($G317='Povolené hodnoty'!$B$13,$H317=BB$4),SUM($J317,$M317,$P317,$S317),"")</f>
        <v/>
      </c>
      <c r="BC317" s="40" t="str">
        <f>IF(AND($G317='Povolené hodnoty'!$B$13,$H317=BC$4),SUM($J317,$M317,$P317,$S317),"")</f>
        <v/>
      </c>
      <c r="BD317" s="40" t="str">
        <f>IF(AND($G317='Povolené hodnoty'!$B$13,$H317=BD$4),SUM($J317,$M317,$P317,$S317),"")</f>
        <v/>
      </c>
      <c r="BE317" s="41" t="str">
        <f>IF(AND($G317='Povolené hodnoty'!$B$13,$H317=BE$4),SUM($J317,$M317,$P317,$S317),"")</f>
        <v/>
      </c>
      <c r="BF317" s="39" t="str">
        <f>IF(AND($G317='Povolené hodnoty'!$B$14,$H317=BF$4),SUM($J317,$M317,$P317,$S317),"")</f>
        <v/>
      </c>
      <c r="BG317" s="458" t="str">
        <f>IF(AND($G317='Povolené hodnoty'!$B$14,$H317=BG$4),SUM($J317,$M317,$P317,$S317),"")</f>
        <v/>
      </c>
      <c r="BH317" s="458" t="str">
        <f>IF(AND($G317='Povolené hodnoty'!$B$14,$H317=BH$4),SUM($J317,$M317,$P317,$S317),"")</f>
        <v/>
      </c>
      <c r="BI317" s="458" t="str">
        <f>IF(AND($G317='Povolené hodnoty'!$B$14,$H317=BI$4),SUM($J317,$M317,$P317,$S317),"")</f>
        <v/>
      </c>
      <c r="BJ317" s="458" t="str">
        <f>IF(AND($G317='Povolené hodnoty'!$B$14,$H317=BJ$4),SUM($J317,$M317,$P317,$S317),"")</f>
        <v/>
      </c>
      <c r="BK317" s="40" t="str">
        <f>IF(AND($G317='Povolené hodnoty'!$B$14,$H317=BK$4),SUM($J317,$M317,$P317,$S317),"")</f>
        <v/>
      </c>
      <c r="BL317" s="40" t="str">
        <f>IF(AND($G317='Povolené hodnoty'!$B$14,$H317=BL$4),SUM($J317,$M317,$P317,$S317),"")</f>
        <v/>
      </c>
      <c r="BM317" s="41" t="str">
        <f>IF(AND($G317='Povolené hodnoty'!$B$14,$H317=BM$4),SUM($J317,$M317,$P317,$S317),"")</f>
        <v/>
      </c>
      <c r="BO317" s="18" t="b">
        <f t="shared" si="176"/>
        <v>0</v>
      </c>
      <c r="BP317" s="18" t="b">
        <f t="shared" si="147"/>
        <v>0</v>
      </c>
      <c r="BQ317" s="18" t="b">
        <f>AND(E317&lt;&gt;'Povolené hodnoty'!$B$6,F317&lt;&gt;'Povolené hodnoty'!$D$7,F317&lt;&gt;'Povolené hodnoty'!$D$8,OR(SUM(I317,L317,O317,R317)&lt;&gt;SUM(W317:X317,AA317:AG317),SUM(J317,M317,P317,S317)&lt;&gt;SUM(Y317:Z317,AH317:AK317),COUNT(I317:J317,L317:M317,O317:P317,R317:S317)&lt;&gt;COUNT(W317:AK317)))</f>
        <v>0</v>
      </c>
      <c r="BR317" s="18" t="b">
        <f>OR(AND(E317='Povolené hodnoty'!$B$6,$BR$5),AND(E317='Povolené hodnoty'!$B$6,H317&lt;&gt;'Povolené hodnoty'!$E$26,H317&lt;&gt;'Povolené hodnoty'!$E$35),AND(E317&lt;&gt;'Povolené hodnoty'!$B$6,OR(H317='Povolené hodnoty'!$E$26,H317='Povolené hodnoty'!$E$35)))</f>
        <v>0</v>
      </c>
      <c r="BS317" s="18" t="b">
        <f>OR(AND(G317&lt;&gt;'Povolené hodnoty'!$B$13,OR(H317='Povolené hodnoty'!$E$21,H317='Povolené hodnoty'!$E$22,H317='Povolené hodnoty'!$E$23,H317='Povolené hodnoty'!$E$24,H317='Povolené hodnoty'!$E$26,H317='Povolené hodnoty'!$E$36)),COUNT(I317:J317,L317:M317,O317:P317,R317:S317)&lt;&gt;COUNT(AL317:BM317))</f>
        <v>0</v>
      </c>
      <c r="BT317" s="18" t="b">
        <f t="shared" si="148"/>
        <v>0</v>
      </c>
      <c r="BV317" s="39" t="str">
        <f t="shared" si="149"/>
        <v/>
      </c>
      <c r="BW317" s="458" t="str">
        <f t="shared" si="150"/>
        <v/>
      </c>
      <c r="BX317" s="458" t="str">
        <f t="shared" si="151"/>
        <v/>
      </c>
      <c r="BY317" s="458" t="str">
        <f t="shared" si="152"/>
        <v/>
      </c>
      <c r="BZ317" s="458" t="str">
        <f t="shared" si="153"/>
        <v/>
      </c>
      <c r="CA317" s="40" t="str">
        <f t="shared" si="154"/>
        <v/>
      </c>
      <c r="CB317" s="40" t="str">
        <f t="shared" si="155"/>
        <v/>
      </c>
      <c r="CC317" s="39" t="str">
        <f t="shared" si="156"/>
        <v/>
      </c>
      <c r="CD317" s="458" t="str">
        <f t="shared" si="157"/>
        <v/>
      </c>
      <c r="CE317" s="41" t="str">
        <f t="shared" si="158"/>
        <v/>
      </c>
      <c r="CF317" s="39" t="str">
        <f t="shared" si="159"/>
        <v/>
      </c>
      <c r="CG317" s="458" t="str">
        <f t="shared" si="160"/>
        <v/>
      </c>
      <c r="CH317" s="458" t="str">
        <f t="shared" si="161"/>
        <v/>
      </c>
      <c r="CI317" s="458" t="str">
        <f t="shared" si="162"/>
        <v/>
      </c>
      <c r="CJ317" s="458" t="str">
        <f t="shared" si="163"/>
        <v/>
      </c>
      <c r="CK317" s="40" t="str">
        <f t="shared" si="164"/>
        <v/>
      </c>
      <c r="CL317" s="40" t="str">
        <f t="shared" si="165"/>
        <v/>
      </c>
      <c r="CM317" s="40" t="str">
        <f t="shared" si="166"/>
        <v/>
      </c>
      <c r="CN317" s="39" t="str">
        <f t="shared" si="167"/>
        <v/>
      </c>
      <c r="CO317" s="458" t="str">
        <f t="shared" si="168"/>
        <v/>
      </c>
      <c r="CP317" s="458" t="str">
        <f t="shared" si="169"/>
        <v/>
      </c>
      <c r="CQ317" s="458" t="str">
        <f t="shared" si="170"/>
        <v/>
      </c>
      <c r="CR317" s="458" t="str">
        <f t="shared" si="171"/>
        <v/>
      </c>
      <c r="CS317" s="40" t="str">
        <f t="shared" si="172"/>
        <v/>
      </c>
      <c r="CT317" s="40" t="str">
        <f t="shared" si="173"/>
        <v/>
      </c>
      <c r="CU317" s="41" t="str">
        <f t="shared" si="174"/>
        <v/>
      </c>
    </row>
    <row r="318" spans="1:99" x14ac:dyDescent="0.2">
      <c r="A318" s="77">
        <f t="shared" si="175"/>
        <v>313</v>
      </c>
      <c r="B318" s="81"/>
      <c r="C318" s="82"/>
      <c r="D318" s="71"/>
      <c r="E318" s="72"/>
      <c r="F318" s="73"/>
      <c r="G318" s="443"/>
      <c r="H318" s="443"/>
      <c r="I318" s="74"/>
      <c r="J318" s="75"/>
      <c r="K318" s="41">
        <f t="shared" si="179"/>
        <v>3625</v>
      </c>
      <c r="L318" s="104"/>
      <c r="M318" s="105"/>
      <c r="N318" s="106">
        <f t="shared" si="180"/>
        <v>537.05999999999995</v>
      </c>
      <c r="O318" s="104"/>
      <c r="P318" s="105"/>
      <c r="Q318" s="106">
        <f t="shared" si="177"/>
        <v>10045.83</v>
      </c>
      <c r="R318" s="104"/>
      <c r="S318" s="105"/>
      <c r="T318" s="106">
        <f t="shared" si="178"/>
        <v>0</v>
      </c>
      <c r="U318" s="439"/>
      <c r="V318" s="42">
        <f t="shared" si="146"/>
        <v>313</v>
      </c>
      <c r="W318" s="39" t="str">
        <f>IF(AND(E318='Povolené hodnoty'!$B$4,F318=2),I318+L318+O318+R318,"")</f>
        <v/>
      </c>
      <c r="X318" s="41" t="str">
        <f>IF(AND(E318='Povolené hodnoty'!$B$4,F318=1),I318+L318+O318+R318,"")</f>
        <v/>
      </c>
      <c r="Y318" s="39" t="str">
        <f>IF(AND(E318='Povolené hodnoty'!$B$4,F318=10),J318+M318+P318+S318,"")</f>
        <v/>
      </c>
      <c r="Z318" s="41" t="str">
        <f>IF(AND(E318='Povolené hodnoty'!$B$4,F318=9),J318+M318+P318+S318,"")</f>
        <v/>
      </c>
      <c r="AA318" s="39" t="str">
        <f>IF(AND(E318&lt;&gt;'Povolené hodnoty'!$B$4,F318=2),I318+L318+O318+R318,"")</f>
        <v/>
      </c>
      <c r="AB318" s="40" t="str">
        <f>IF(AND(E318&lt;&gt;'Povolené hodnoty'!$B$4,F318=3),I318+L318+O318+R318,"")</f>
        <v/>
      </c>
      <c r="AC318" s="40" t="str">
        <f>IF(AND(E318&lt;&gt;'Povolené hodnoty'!$B$4,F318=4),I318+L318+O318+R318,"")</f>
        <v/>
      </c>
      <c r="AD318" s="40" t="str">
        <f>IF(AND(E318&lt;&gt;'Povolené hodnoty'!$B$4,F318="5a"),I318-J318+L318-M318+O318-P318+R318-S318,"")</f>
        <v/>
      </c>
      <c r="AE318" s="40" t="str">
        <f>IF(AND(E318&lt;&gt;'Povolené hodnoty'!$B$4,F318="5b"),I318-J318+L318-M318+O318-P318+R318-S318,"")</f>
        <v/>
      </c>
      <c r="AF318" s="40" t="str">
        <f>IF(AND(E318&lt;&gt;'Povolené hodnoty'!$B$4,F318=6),I318+L318+O318+R318,"")</f>
        <v/>
      </c>
      <c r="AG318" s="41" t="str">
        <f>IF(AND(E318&lt;&gt;'Povolené hodnoty'!$B$4,F318=7),I318+L318+O318+R318,"")</f>
        <v/>
      </c>
      <c r="AH318" s="39" t="str">
        <f>IF(AND(E318&lt;&gt;'Povolené hodnoty'!$B$4,F318=10),J318+M318+P318+S318,"")</f>
        <v/>
      </c>
      <c r="AI318" s="40" t="str">
        <f>IF(AND(E318&lt;&gt;'Povolené hodnoty'!$B$4,F318=11),J318+M318+P318+S318,"")</f>
        <v/>
      </c>
      <c r="AJ318" s="40" t="str">
        <f>IF(AND(E318&lt;&gt;'Povolené hodnoty'!$B$4,F318=12),J318+M318+P318+S318,"")</f>
        <v/>
      </c>
      <c r="AK318" s="41" t="str">
        <f>IF(AND(E318&lt;&gt;'Povolené hodnoty'!$B$4,F318=13),J318+M318+P318+S318,"")</f>
        <v/>
      </c>
      <c r="AL318" s="39" t="str">
        <f>IF(AND($G318='Povolené hodnoty'!$B$13,$H318=AL$4),SUM($I318,$L318,$O318,$R318),"")</f>
        <v/>
      </c>
      <c r="AM318" s="458" t="str">
        <f>IF(AND($G318='Povolené hodnoty'!$B$13,$H318=AM$4),SUM($I318,$L318,$O318,$R318),"")</f>
        <v/>
      </c>
      <c r="AN318" s="458" t="str">
        <f>IF(AND($G318='Povolené hodnoty'!$B$13,$H318=AN$4),SUM($I318,$L318,$O318,$R318),"")</f>
        <v/>
      </c>
      <c r="AO318" s="458" t="str">
        <f>IF(AND($G318='Povolené hodnoty'!$B$13,$H318=AO$4),SUM($I318,$L318,$O318,$R318),"")</f>
        <v/>
      </c>
      <c r="AP318" s="458" t="str">
        <f>IF(AND($G318='Povolené hodnoty'!$B$13,$H318=AP$4),SUM($I318,$L318,$O318,$R318),"")</f>
        <v/>
      </c>
      <c r="AQ318" s="40" t="str">
        <f>IF(AND($G318='Povolené hodnoty'!$B$13,OR($H318=AQ$4,$H318='Povolené hodnoty'!$E$36)),SUM($I318,-$J318,$L318,-$M318,$O318,-$P318,$R318,-$S318),"")</f>
        <v/>
      </c>
      <c r="AR318" s="40" t="str">
        <f>IF(AND($G318='Povolené hodnoty'!$B$13,$H318=AR$4),SUM($I318,$L318,$O318,$R318),"")</f>
        <v/>
      </c>
      <c r="AS318" s="41" t="str">
        <f>IF(AND($G318='Povolené hodnoty'!$B$13,$H318=AS$4),SUM($I318,$L318,$O318,$R318),"")</f>
        <v/>
      </c>
      <c r="AT318" s="39" t="str">
        <f>IF(AND($G318='Povolené hodnoty'!$B$14,$H318=AT$4),SUM($I318,$L318,$O318,$R318),"")</f>
        <v/>
      </c>
      <c r="AU318" s="458" t="str">
        <f>IF(AND($G318='Povolené hodnoty'!$B$14,$H318=AU$4),SUM($I318,$L318,$O318,$R318),"")</f>
        <v/>
      </c>
      <c r="AV318" s="41" t="str">
        <f>IF(AND($G318='Povolené hodnoty'!$B$14,$H318=AV$4),SUM($I318,$L318,$O318,$R318),"")</f>
        <v/>
      </c>
      <c r="AW318" s="39" t="str">
        <f>IF(AND($G318='Povolené hodnoty'!$B$13,$H318=AW$4),SUM($J318,$M318,$P318,$S318),"")</f>
        <v/>
      </c>
      <c r="AX318" s="458" t="str">
        <f>IF(AND($G318='Povolené hodnoty'!$B$13,$H318=AX$4),SUM($J318,$M318,$P318,$S318),"")</f>
        <v/>
      </c>
      <c r="AY318" s="458" t="str">
        <f>IF(AND($G318='Povolené hodnoty'!$B$13,$H318=AY$4),SUM($J318,$M318,$P318,$S318),"")</f>
        <v/>
      </c>
      <c r="AZ318" s="458" t="str">
        <f>IF(AND($G318='Povolené hodnoty'!$B$13,$H318=AZ$4),SUM($J318,$M318,$P318,$S318),"")</f>
        <v/>
      </c>
      <c r="BA318" s="458" t="str">
        <f>IF(AND($G318='Povolené hodnoty'!$B$13,$H318=BA$4),SUM($J318,$M318,$P318,$S318),"")</f>
        <v/>
      </c>
      <c r="BB318" s="40" t="str">
        <f>IF(AND($G318='Povolené hodnoty'!$B$13,$H318=BB$4),SUM($J318,$M318,$P318,$S318),"")</f>
        <v/>
      </c>
      <c r="BC318" s="40" t="str">
        <f>IF(AND($G318='Povolené hodnoty'!$B$13,$H318=BC$4),SUM($J318,$M318,$P318,$S318),"")</f>
        <v/>
      </c>
      <c r="BD318" s="40" t="str">
        <f>IF(AND($G318='Povolené hodnoty'!$B$13,$H318=BD$4),SUM($J318,$M318,$P318,$S318),"")</f>
        <v/>
      </c>
      <c r="BE318" s="41" t="str">
        <f>IF(AND($G318='Povolené hodnoty'!$B$13,$H318=BE$4),SUM($J318,$M318,$P318,$S318),"")</f>
        <v/>
      </c>
      <c r="BF318" s="39" t="str">
        <f>IF(AND($G318='Povolené hodnoty'!$B$14,$H318=BF$4),SUM($J318,$M318,$P318,$S318),"")</f>
        <v/>
      </c>
      <c r="BG318" s="458" t="str">
        <f>IF(AND($G318='Povolené hodnoty'!$B$14,$H318=BG$4),SUM($J318,$M318,$P318,$S318),"")</f>
        <v/>
      </c>
      <c r="BH318" s="458" t="str">
        <f>IF(AND($G318='Povolené hodnoty'!$B$14,$H318=BH$4),SUM($J318,$M318,$P318,$S318),"")</f>
        <v/>
      </c>
      <c r="BI318" s="458" t="str">
        <f>IF(AND($G318='Povolené hodnoty'!$B$14,$H318=BI$4),SUM($J318,$M318,$P318,$S318),"")</f>
        <v/>
      </c>
      <c r="BJ318" s="458" t="str">
        <f>IF(AND($G318='Povolené hodnoty'!$B$14,$H318=BJ$4),SUM($J318,$M318,$P318,$S318),"")</f>
        <v/>
      </c>
      <c r="BK318" s="40" t="str">
        <f>IF(AND($G318='Povolené hodnoty'!$B$14,$H318=BK$4),SUM($J318,$M318,$P318,$S318),"")</f>
        <v/>
      </c>
      <c r="BL318" s="40" t="str">
        <f>IF(AND($G318='Povolené hodnoty'!$B$14,$H318=BL$4),SUM($J318,$M318,$P318,$S318),"")</f>
        <v/>
      </c>
      <c r="BM318" s="41" t="str">
        <f>IF(AND($G318='Povolené hodnoty'!$B$14,$H318=BM$4),SUM($J318,$M318,$P318,$S318),"")</f>
        <v/>
      </c>
      <c r="BO318" s="18" t="b">
        <f t="shared" si="176"/>
        <v>0</v>
      </c>
      <c r="BP318" s="18" t="b">
        <f t="shared" si="147"/>
        <v>0</v>
      </c>
      <c r="BQ318" s="18" t="b">
        <f>AND(E318&lt;&gt;'Povolené hodnoty'!$B$6,F318&lt;&gt;'Povolené hodnoty'!$D$7,F318&lt;&gt;'Povolené hodnoty'!$D$8,OR(SUM(I318,L318,O318,R318)&lt;&gt;SUM(W318:X318,AA318:AG318),SUM(J318,M318,P318,S318)&lt;&gt;SUM(Y318:Z318,AH318:AK318),COUNT(I318:J318,L318:M318,O318:P318,R318:S318)&lt;&gt;COUNT(W318:AK318)))</f>
        <v>0</v>
      </c>
      <c r="BR318" s="18" t="b">
        <f>OR(AND(E318='Povolené hodnoty'!$B$6,$BR$5),AND(E318='Povolené hodnoty'!$B$6,H318&lt;&gt;'Povolené hodnoty'!$E$26,H318&lt;&gt;'Povolené hodnoty'!$E$35),AND(E318&lt;&gt;'Povolené hodnoty'!$B$6,OR(H318='Povolené hodnoty'!$E$26,H318='Povolené hodnoty'!$E$35)))</f>
        <v>0</v>
      </c>
      <c r="BS318" s="18" t="b">
        <f>OR(AND(G318&lt;&gt;'Povolené hodnoty'!$B$13,OR(H318='Povolené hodnoty'!$E$21,H318='Povolené hodnoty'!$E$22,H318='Povolené hodnoty'!$E$23,H318='Povolené hodnoty'!$E$24,H318='Povolené hodnoty'!$E$26,H318='Povolené hodnoty'!$E$36)),COUNT(I318:J318,L318:M318,O318:P318,R318:S318)&lt;&gt;COUNT(AL318:BM318))</f>
        <v>0</v>
      </c>
      <c r="BT318" s="18" t="b">
        <f t="shared" si="148"/>
        <v>0</v>
      </c>
      <c r="BV318" s="39" t="str">
        <f t="shared" si="149"/>
        <v/>
      </c>
      <c r="BW318" s="458" t="str">
        <f t="shared" si="150"/>
        <v/>
      </c>
      <c r="BX318" s="458" t="str">
        <f t="shared" si="151"/>
        <v/>
      </c>
      <c r="BY318" s="458" t="str">
        <f t="shared" si="152"/>
        <v/>
      </c>
      <c r="BZ318" s="458" t="str">
        <f t="shared" si="153"/>
        <v/>
      </c>
      <c r="CA318" s="40" t="str">
        <f t="shared" si="154"/>
        <v/>
      </c>
      <c r="CB318" s="40" t="str">
        <f t="shared" si="155"/>
        <v/>
      </c>
      <c r="CC318" s="39" t="str">
        <f t="shared" si="156"/>
        <v/>
      </c>
      <c r="CD318" s="458" t="str">
        <f t="shared" si="157"/>
        <v/>
      </c>
      <c r="CE318" s="41" t="str">
        <f t="shared" si="158"/>
        <v/>
      </c>
      <c r="CF318" s="39" t="str">
        <f t="shared" si="159"/>
        <v/>
      </c>
      <c r="CG318" s="458" t="str">
        <f t="shared" si="160"/>
        <v/>
      </c>
      <c r="CH318" s="458" t="str">
        <f t="shared" si="161"/>
        <v/>
      </c>
      <c r="CI318" s="458" t="str">
        <f t="shared" si="162"/>
        <v/>
      </c>
      <c r="CJ318" s="458" t="str">
        <f t="shared" si="163"/>
        <v/>
      </c>
      <c r="CK318" s="40" t="str">
        <f t="shared" si="164"/>
        <v/>
      </c>
      <c r="CL318" s="40" t="str">
        <f t="shared" si="165"/>
        <v/>
      </c>
      <c r="CM318" s="40" t="str">
        <f t="shared" si="166"/>
        <v/>
      </c>
      <c r="CN318" s="39" t="str">
        <f t="shared" si="167"/>
        <v/>
      </c>
      <c r="CO318" s="458" t="str">
        <f t="shared" si="168"/>
        <v/>
      </c>
      <c r="CP318" s="458" t="str">
        <f t="shared" si="169"/>
        <v/>
      </c>
      <c r="CQ318" s="458" t="str">
        <f t="shared" si="170"/>
        <v/>
      </c>
      <c r="CR318" s="458" t="str">
        <f t="shared" si="171"/>
        <v/>
      </c>
      <c r="CS318" s="40" t="str">
        <f t="shared" si="172"/>
        <v/>
      </c>
      <c r="CT318" s="40" t="str">
        <f t="shared" si="173"/>
        <v/>
      </c>
      <c r="CU318" s="41" t="str">
        <f t="shared" si="174"/>
        <v/>
      </c>
    </row>
    <row r="319" spans="1:99" x14ac:dyDescent="0.2">
      <c r="A319" s="77">
        <f t="shared" si="175"/>
        <v>314</v>
      </c>
      <c r="B319" s="81"/>
      <c r="C319" s="82"/>
      <c r="D319" s="71"/>
      <c r="E319" s="72"/>
      <c r="F319" s="73"/>
      <c r="G319" s="443"/>
      <c r="H319" s="443"/>
      <c r="I319" s="74"/>
      <c r="J319" s="75"/>
      <c r="K319" s="41">
        <f t="shared" si="179"/>
        <v>3625</v>
      </c>
      <c r="L319" s="104"/>
      <c r="M319" s="105"/>
      <c r="N319" s="106">
        <f t="shared" si="180"/>
        <v>537.05999999999995</v>
      </c>
      <c r="O319" s="104"/>
      <c r="P319" s="105"/>
      <c r="Q319" s="106">
        <f t="shared" si="177"/>
        <v>10045.83</v>
      </c>
      <c r="R319" s="104"/>
      <c r="S319" s="105"/>
      <c r="T319" s="106">
        <f t="shared" si="178"/>
        <v>0</v>
      </c>
      <c r="U319" s="439"/>
      <c r="V319" s="42">
        <f t="shared" si="146"/>
        <v>314</v>
      </c>
      <c r="W319" s="39" t="str">
        <f>IF(AND(E319='Povolené hodnoty'!$B$4,F319=2),I319+L319+O319+R319,"")</f>
        <v/>
      </c>
      <c r="X319" s="41" t="str">
        <f>IF(AND(E319='Povolené hodnoty'!$B$4,F319=1),I319+L319+O319+R319,"")</f>
        <v/>
      </c>
      <c r="Y319" s="39" t="str">
        <f>IF(AND(E319='Povolené hodnoty'!$B$4,F319=10),J319+M319+P319+S319,"")</f>
        <v/>
      </c>
      <c r="Z319" s="41" t="str">
        <f>IF(AND(E319='Povolené hodnoty'!$B$4,F319=9),J319+M319+P319+S319,"")</f>
        <v/>
      </c>
      <c r="AA319" s="39" t="str">
        <f>IF(AND(E319&lt;&gt;'Povolené hodnoty'!$B$4,F319=2),I319+L319+O319+R319,"")</f>
        <v/>
      </c>
      <c r="AB319" s="40" t="str">
        <f>IF(AND(E319&lt;&gt;'Povolené hodnoty'!$B$4,F319=3),I319+L319+O319+R319,"")</f>
        <v/>
      </c>
      <c r="AC319" s="40" t="str">
        <f>IF(AND(E319&lt;&gt;'Povolené hodnoty'!$B$4,F319=4),I319+L319+O319+R319,"")</f>
        <v/>
      </c>
      <c r="AD319" s="40" t="str">
        <f>IF(AND(E319&lt;&gt;'Povolené hodnoty'!$B$4,F319="5a"),I319-J319+L319-M319+O319-P319+R319-S319,"")</f>
        <v/>
      </c>
      <c r="AE319" s="40" t="str">
        <f>IF(AND(E319&lt;&gt;'Povolené hodnoty'!$B$4,F319="5b"),I319-J319+L319-M319+O319-P319+R319-S319,"")</f>
        <v/>
      </c>
      <c r="AF319" s="40" t="str">
        <f>IF(AND(E319&lt;&gt;'Povolené hodnoty'!$B$4,F319=6),I319+L319+O319+R319,"")</f>
        <v/>
      </c>
      <c r="AG319" s="41" t="str">
        <f>IF(AND(E319&lt;&gt;'Povolené hodnoty'!$B$4,F319=7),I319+L319+O319+R319,"")</f>
        <v/>
      </c>
      <c r="AH319" s="39" t="str">
        <f>IF(AND(E319&lt;&gt;'Povolené hodnoty'!$B$4,F319=10),J319+M319+P319+S319,"")</f>
        <v/>
      </c>
      <c r="AI319" s="40" t="str">
        <f>IF(AND(E319&lt;&gt;'Povolené hodnoty'!$B$4,F319=11),J319+M319+P319+S319,"")</f>
        <v/>
      </c>
      <c r="AJ319" s="40" t="str">
        <f>IF(AND(E319&lt;&gt;'Povolené hodnoty'!$B$4,F319=12),J319+M319+P319+S319,"")</f>
        <v/>
      </c>
      <c r="AK319" s="41" t="str">
        <f>IF(AND(E319&lt;&gt;'Povolené hodnoty'!$B$4,F319=13),J319+M319+P319+S319,"")</f>
        <v/>
      </c>
      <c r="AL319" s="39" t="str">
        <f>IF(AND($G319='Povolené hodnoty'!$B$13,$H319=AL$4),SUM($I319,$L319,$O319,$R319),"")</f>
        <v/>
      </c>
      <c r="AM319" s="458" t="str">
        <f>IF(AND($G319='Povolené hodnoty'!$B$13,$H319=AM$4),SUM($I319,$L319,$O319,$R319),"")</f>
        <v/>
      </c>
      <c r="AN319" s="458" t="str">
        <f>IF(AND($G319='Povolené hodnoty'!$B$13,$H319=AN$4),SUM($I319,$L319,$O319,$R319),"")</f>
        <v/>
      </c>
      <c r="AO319" s="458" t="str">
        <f>IF(AND($G319='Povolené hodnoty'!$B$13,$H319=AO$4),SUM($I319,$L319,$O319,$R319),"")</f>
        <v/>
      </c>
      <c r="AP319" s="458" t="str">
        <f>IF(AND($G319='Povolené hodnoty'!$B$13,$H319=AP$4),SUM($I319,$L319,$O319,$R319),"")</f>
        <v/>
      </c>
      <c r="AQ319" s="40" t="str">
        <f>IF(AND($G319='Povolené hodnoty'!$B$13,OR($H319=AQ$4,$H319='Povolené hodnoty'!$E$36)),SUM($I319,-$J319,$L319,-$M319,$O319,-$P319,$R319,-$S319),"")</f>
        <v/>
      </c>
      <c r="AR319" s="40" t="str">
        <f>IF(AND($G319='Povolené hodnoty'!$B$13,$H319=AR$4),SUM($I319,$L319,$O319,$R319),"")</f>
        <v/>
      </c>
      <c r="AS319" s="41" t="str">
        <f>IF(AND($G319='Povolené hodnoty'!$B$13,$H319=AS$4),SUM($I319,$L319,$O319,$R319),"")</f>
        <v/>
      </c>
      <c r="AT319" s="39" t="str">
        <f>IF(AND($G319='Povolené hodnoty'!$B$14,$H319=AT$4),SUM($I319,$L319,$O319,$R319),"")</f>
        <v/>
      </c>
      <c r="AU319" s="458" t="str">
        <f>IF(AND($G319='Povolené hodnoty'!$B$14,$H319=AU$4),SUM($I319,$L319,$O319,$R319),"")</f>
        <v/>
      </c>
      <c r="AV319" s="41" t="str">
        <f>IF(AND($G319='Povolené hodnoty'!$B$14,$H319=AV$4),SUM($I319,$L319,$O319,$R319),"")</f>
        <v/>
      </c>
      <c r="AW319" s="39" t="str">
        <f>IF(AND($G319='Povolené hodnoty'!$B$13,$H319=AW$4),SUM($J319,$M319,$P319,$S319),"")</f>
        <v/>
      </c>
      <c r="AX319" s="458" t="str">
        <f>IF(AND($G319='Povolené hodnoty'!$B$13,$H319=AX$4),SUM($J319,$M319,$P319,$S319),"")</f>
        <v/>
      </c>
      <c r="AY319" s="458" t="str">
        <f>IF(AND($G319='Povolené hodnoty'!$B$13,$H319=AY$4),SUM($J319,$M319,$P319,$S319),"")</f>
        <v/>
      </c>
      <c r="AZ319" s="458" t="str">
        <f>IF(AND($G319='Povolené hodnoty'!$B$13,$H319=AZ$4),SUM($J319,$M319,$P319,$S319),"")</f>
        <v/>
      </c>
      <c r="BA319" s="458" t="str">
        <f>IF(AND($G319='Povolené hodnoty'!$B$13,$H319=BA$4),SUM($J319,$M319,$P319,$S319),"")</f>
        <v/>
      </c>
      <c r="BB319" s="40" t="str">
        <f>IF(AND($G319='Povolené hodnoty'!$B$13,$H319=BB$4),SUM($J319,$M319,$P319,$S319),"")</f>
        <v/>
      </c>
      <c r="BC319" s="40" t="str">
        <f>IF(AND($G319='Povolené hodnoty'!$B$13,$H319=BC$4),SUM($J319,$M319,$P319,$S319),"")</f>
        <v/>
      </c>
      <c r="BD319" s="40" t="str">
        <f>IF(AND($G319='Povolené hodnoty'!$B$13,$H319=BD$4),SUM($J319,$M319,$P319,$S319),"")</f>
        <v/>
      </c>
      <c r="BE319" s="41" t="str">
        <f>IF(AND($G319='Povolené hodnoty'!$B$13,$H319=BE$4),SUM($J319,$M319,$P319,$S319),"")</f>
        <v/>
      </c>
      <c r="BF319" s="39" t="str">
        <f>IF(AND($G319='Povolené hodnoty'!$B$14,$H319=BF$4),SUM($J319,$M319,$P319,$S319),"")</f>
        <v/>
      </c>
      <c r="BG319" s="458" t="str">
        <f>IF(AND($G319='Povolené hodnoty'!$B$14,$H319=BG$4),SUM($J319,$M319,$P319,$S319),"")</f>
        <v/>
      </c>
      <c r="BH319" s="458" t="str">
        <f>IF(AND($G319='Povolené hodnoty'!$B$14,$H319=BH$4),SUM($J319,$M319,$P319,$S319),"")</f>
        <v/>
      </c>
      <c r="BI319" s="458" t="str">
        <f>IF(AND($G319='Povolené hodnoty'!$B$14,$H319=BI$4),SUM($J319,$M319,$P319,$S319),"")</f>
        <v/>
      </c>
      <c r="BJ319" s="458" t="str">
        <f>IF(AND($G319='Povolené hodnoty'!$B$14,$H319=BJ$4),SUM($J319,$M319,$P319,$S319),"")</f>
        <v/>
      </c>
      <c r="BK319" s="40" t="str">
        <f>IF(AND($G319='Povolené hodnoty'!$B$14,$H319=BK$4),SUM($J319,$M319,$P319,$S319),"")</f>
        <v/>
      </c>
      <c r="BL319" s="40" t="str">
        <f>IF(AND($G319='Povolené hodnoty'!$B$14,$H319=BL$4),SUM($J319,$M319,$P319,$S319),"")</f>
        <v/>
      </c>
      <c r="BM319" s="41" t="str">
        <f>IF(AND($G319='Povolené hodnoty'!$B$14,$H319=BM$4),SUM($J319,$M319,$P319,$S319),"")</f>
        <v/>
      </c>
      <c r="BO319" s="18" t="b">
        <f t="shared" si="176"/>
        <v>0</v>
      </c>
      <c r="BP319" s="18" t="b">
        <f t="shared" si="147"/>
        <v>0</v>
      </c>
      <c r="BQ319" s="18" t="b">
        <f>AND(E319&lt;&gt;'Povolené hodnoty'!$B$6,F319&lt;&gt;'Povolené hodnoty'!$D$7,F319&lt;&gt;'Povolené hodnoty'!$D$8,OR(SUM(I319,L319,O319,R319)&lt;&gt;SUM(W319:X319,AA319:AG319),SUM(J319,M319,P319,S319)&lt;&gt;SUM(Y319:Z319,AH319:AK319),COUNT(I319:J319,L319:M319,O319:P319,R319:S319)&lt;&gt;COUNT(W319:AK319)))</f>
        <v>0</v>
      </c>
      <c r="BR319" s="18" t="b">
        <f>OR(AND(E319='Povolené hodnoty'!$B$6,$BR$5),AND(E319='Povolené hodnoty'!$B$6,H319&lt;&gt;'Povolené hodnoty'!$E$26,H319&lt;&gt;'Povolené hodnoty'!$E$35),AND(E319&lt;&gt;'Povolené hodnoty'!$B$6,OR(H319='Povolené hodnoty'!$E$26,H319='Povolené hodnoty'!$E$35)))</f>
        <v>0</v>
      </c>
      <c r="BS319" s="18" t="b">
        <f>OR(AND(G319&lt;&gt;'Povolené hodnoty'!$B$13,OR(H319='Povolené hodnoty'!$E$21,H319='Povolené hodnoty'!$E$22,H319='Povolené hodnoty'!$E$23,H319='Povolené hodnoty'!$E$24,H319='Povolené hodnoty'!$E$26,H319='Povolené hodnoty'!$E$36)),COUNT(I319:J319,L319:M319,O319:P319,R319:S319)&lt;&gt;COUNT(AL319:BM319))</f>
        <v>0</v>
      </c>
      <c r="BT319" s="18" t="b">
        <f t="shared" si="148"/>
        <v>0</v>
      </c>
      <c r="BV319" s="39" t="str">
        <f t="shared" si="149"/>
        <v/>
      </c>
      <c r="BW319" s="458" t="str">
        <f t="shared" si="150"/>
        <v/>
      </c>
      <c r="BX319" s="458" t="str">
        <f t="shared" si="151"/>
        <v/>
      </c>
      <c r="BY319" s="458" t="str">
        <f t="shared" si="152"/>
        <v/>
      </c>
      <c r="BZ319" s="458" t="str">
        <f t="shared" si="153"/>
        <v/>
      </c>
      <c r="CA319" s="40" t="str">
        <f t="shared" si="154"/>
        <v/>
      </c>
      <c r="CB319" s="40" t="str">
        <f t="shared" si="155"/>
        <v/>
      </c>
      <c r="CC319" s="39" t="str">
        <f t="shared" si="156"/>
        <v/>
      </c>
      <c r="CD319" s="458" t="str">
        <f t="shared" si="157"/>
        <v/>
      </c>
      <c r="CE319" s="41" t="str">
        <f t="shared" si="158"/>
        <v/>
      </c>
      <c r="CF319" s="39" t="str">
        <f t="shared" si="159"/>
        <v/>
      </c>
      <c r="CG319" s="458" t="str">
        <f t="shared" si="160"/>
        <v/>
      </c>
      <c r="CH319" s="458" t="str">
        <f t="shared" si="161"/>
        <v/>
      </c>
      <c r="CI319" s="458" t="str">
        <f t="shared" si="162"/>
        <v/>
      </c>
      <c r="CJ319" s="458" t="str">
        <f t="shared" si="163"/>
        <v/>
      </c>
      <c r="CK319" s="40" t="str">
        <f t="shared" si="164"/>
        <v/>
      </c>
      <c r="CL319" s="40" t="str">
        <f t="shared" si="165"/>
        <v/>
      </c>
      <c r="CM319" s="40" t="str">
        <f t="shared" si="166"/>
        <v/>
      </c>
      <c r="CN319" s="39" t="str">
        <f t="shared" si="167"/>
        <v/>
      </c>
      <c r="CO319" s="458" t="str">
        <f t="shared" si="168"/>
        <v/>
      </c>
      <c r="CP319" s="458" t="str">
        <f t="shared" si="169"/>
        <v/>
      </c>
      <c r="CQ319" s="458" t="str">
        <f t="shared" si="170"/>
        <v/>
      </c>
      <c r="CR319" s="458" t="str">
        <f t="shared" si="171"/>
        <v/>
      </c>
      <c r="CS319" s="40" t="str">
        <f t="shared" si="172"/>
        <v/>
      </c>
      <c r="CT319" s="40" t="str">
        <f t="shared" si="173"/>
        <v/>
      </c>
      <c r="CU319" s="41" t="str">
        <f t="shared" si="174"/>
        <v/>
      </c>
    </row>
    <row r="320" spans="1:99" x14ac:dyDescent="0.2">
      <c r="A320" s="77">
        <f t="shared" si="175"/>
        <v>315</v>
      </c>
      <c r="B320" s="81"/>
      <c r="C320" s="82"/>
      <c r="D320" s="71"/>
      <c r="E320" s="72"/>
      <c r="F320" s="73"/>
      <c r="G320" s="443"/>
      <c r="H320" s="443"/>
      <c r="I320" s="74"/>
      <c r="J320" s="75"/>
      <c r="K320" s="41">
        <f t="shared" si="179"/>
        <v>3625</v>
      </c>
      <c r="L320" s="104"/>
      <c r="M320" s="105"/>
      <c r="N320" s="106">
        <f t="shared" si="180"/>
        <v>537.05999999999995</v>
      </c>
      <c r="O320" s="104"/>
      <c r="P320" s="105"/>
      <c r="Q320" s="106">
        <f t="shared" si="177"/>
        <v>10045.83</v>
      </c>
      <c r="R320" s="104"/>
      <c r="S320" s="105"/>
      <c r="T320" s="106">
        <f t="shared" si="178"/>
        <v>0</v>
      </c>
      <c r="U320" s="439"/>
      <c r="V320" s="42">
        <f t="shared" si="146"/>
        <v>315</v>
      </c>
      <c r="W320" s="39" t="str">
        <f>IF(AND(E320='Povolené hodnoty'!$B$4,F320=2),I320+L320+O320+R320,"")</f>
        <v/>
      </c>
      <c r="X320" s="41" t="str">
        <f>IF(AND(E320='Povolené hodnoty'!$B$4,F320=1),I320+L320+O320+R320,"")</f>
        <v/>
      </c>
      <c r="Y320" s="39" t="str">
        <f>IF(AND(E320='Povolené hodnoty'!$B$4,F320=10),J320+M320+P320+S320,"")</f>
        <v/>
      </c>
      <c r="Z320" s="41" t="str">
        <f>IF(AND(E320='Povolené hodnoty'!$B$4,F320=9),J320+M320+P320+S320,"")</f>
        <v/>
      </c>
      <c r="AA320" s="39" t="str">
        <f>IF(AND(E320&lt;&gt;'Povolené hodnoty'!$B$4,F320=2),I320+L320+O320+R320,"")</f>
        <v/>
      </c>
      <c r="AB320" s="40" t="str">
        <f>IF(AND(E320&lt;&gt;'Povolené hodnoty'!$B$4,F320=3),I320+L320+O320+R320,"")</f>
        <v/>
      </c>
      <c r="AC320" s="40" t="str">
        <f>IF(AND(E320&lt;&gt;'Povolené hodnoty'!$B$4,F320=4),I320+L320+O320+R320,"")</f>
        <v/>
      </c>
      <c r="AD320" s="40" t="str">
        <f>IF(AND(E320&lt;&gt;'Povolené hodnoty'!$B$4,F320="5a"),I320-J320+L320-M320+O320-P320+R320-S320,"")</f>
        <v/>
      </c>
      <c r="AE320" s="40" t="str">
        <f>IF(AND(E320&lt;&gt;'Povolené hodnoty'!$B$4,F320="5b"),I320-J320+L320-M320+O320-P320+R320-S320,"")</f>
        <v/>
      </c>
      <c r="AF320" s="40" t="str">
        <f>IF(AND(E320&lt;&gt;'Povolené hodnoty'!$B$4,F320=6),I320+L320+O320+R320,"")</f>
        <v/>
      </c>
      <c r="AG320" s="41" t="str">
        <f>IF(AND(E320&lt;&gt;'Povolené hodnoty'!$B$4,F320=7),I320+L320+O320+R320,"")</f>
        <v/>
      </c>
      <c r="AH320" s="39" t="str">
        <f>IF(AND(E320&lt;&gt;'Povolené hodnoty'!$B$4,F320=10),J320+M320+P320+S320,"")</f>
        <v/>
      </c>
      <c r="AI320" s="40" t="str">
        <f>IF(AND(E320&lt;&gt;'Povolené hodnoty'!$B$4,F320=11),J320+M320+P320+S320,"")</f>
        <v/>
      </c>
      <c r="AJ320" s="40" t="str">
        <f>IF(AND(E320&lt;&gt;'Povolené hodnoty'!$B$4,F320=12),J320+M320+P320+S320,"")</f>
        <v/>
      </c>
      <c r="AK320" s="41" t="str">
        <f>IF(AND(E320&lt;&gt;'Povolené hodnoty'!$B$4,F320=13),J320+M320+P320+S320,"")</f>
        <v/>
      </c>
      <c r="AL320" s="39" t="str">
        <f>IF(AND($G320='Povolené hodnoty'!$B$13,$H320=AL$4),SUM($I320,$L320,$O320,$R320),"")</f>
        <v/>
      </c>
      <c r="AM320" s="458" t="str">
        <f>IF(AND($G320='Povolené hodnoty'!$B$13,$H320=AM$4),SUM($I320,$L320,$O320,$R320),"")</f>
        <v/>
      </c>
      <c r="AN320" s="458" t="str">
        <f>IF(AND($G320='Povolené hodnoty'!$B$13,$H320=AN$4),SUM($I320,$L320,$O320,$R320),"")</f>
        <v/>
      </c>
      <c r="AO320" s="458" t="str">
        <f>IF(AND($G320='Povolené hodnoty'!$B$13,$H320=AO$4),SUM($I320,$L320,$O320,$R320),"")</f>
        <v/>
      </c>
      <c r="AP320" s="458" t="str">
        <f>IF(AND($G320='Povolené hodnoty'!$B$13,$H320=AP$4),SUM($I320,$L320,$O320,$R320),"")</f>
        <v/>
      </c>
      <c r="AQ320" s="40" t="str">
        <f>IF(AND($G320='Povolené hodnoty'!$B$13,OR($H320=AQ$4,$H320='Povolené hodnoty'!$E$36)),SUM($I320,-$J320,$L320,-$M320,$O320,-$P320,$R320,-$S320),"")</f>
        <v/>
      </c>
      <c r="AR320" s="40" t="str">
        <f>IF(AND($G320='Povolené hodnoty'!$B$13,$H320=AR$4),SUM($I320,$L320,$O320,$R320),"")</f>
        <v/>
      </c>
      <c r="AS320" s="41" t="str">
        <f>IF(AND($G320='Povolené hodnoty'!$B$13,$H320=AS$4),SUM($I320,$L320,$O320,$R320),"")</f>
        <v/>
      </c>
      <c r="AT320" s="39" t="str">
        <f>IF(AND($G320='Povolené hodnoty'!$B$14,$H320=AT$4),SUM($I320,$L320,$O320,$R320),"")</f>
        <v/>
      </c>
      <c r="AU320" s="458" t="str">
        <f>IF(AND($G320='Povolené hodnoty'!$B$14,$H320=AU$4),SUM($I320,$L320,$O320,$R320),"")</f>
        <v/>
      </c>
      <c r="AV320" s="41" t="str">
        <f>IF(AND($G320='Povolené hodnoty'!$B$14,$H320=AV$4),SUM($I320,$L320,$O320,$R320),"")</f>
        <v/>
      </c>
      <c r="AW320" s="39" t="str">
        <f>IF(AND($G320='Povolené hodnoty'!$B$13,$H320=AW$4),SUM($J320,$M320,$P320,$S320),"")</f>
        <v/>
      </c>
      <c r="AX320" s="458" t="str">
        <f>IF(AND($G320='Povolené hodnoty'!$B$13,$H320=AX$4),SUM($J320,$M320,$P320,$S320),"")</f>
        <v/>
      </c>
      <c r="AY320" s="458" t="str">
        <f>IF(AND($G320='Povolené hodnoty'!$B$13,$H320=AY$4),SUM($J320,$M320,$P320,$S320),"")</f>
        <v/>
      </c>
      <c r="AZ320" s="458" t="str">
        <f>IF(AND($G320='Povolené hodnoty'!$B$13,$H320=AZ$4),SUM($J320,$M320,$P320,$S320),"")</f>
        <v/>
      </c>
      <c r="BA320" s="458" t="str">
        <f>IF(AND($G320='Povolené hodnoty'!$B$13,$H320=BA$4),SUM($J320,$M320,$P320,$S320),"")</f>
        <v/>
      </c>
      <c r="BB320" s="40" t="str">
        <f>IF(AND($G320='Povolené hodnoty'!$B$13,$H320=BB$4),SUM($J320,$M320,$P320,$S320),"")</f>
        <v/>
      </c>
      <c r="BC320" s="40" t="str">
        <f>IF(AND($G320='Povolené hodnoty'!$B$13,$H320=BC$4),SUM($J320,$M320,$P320,$S320),"")</f>
        <v/>
      </c>
      <c r="BD320" s="40" t="str">
        <f>IF(AND($G320='Povolené hodnoty'!$B$13,$H320=BD$4),SUM($J320,$M320,$P320,$S320),"")</f>
        <v/>
      </c>
      <c r="BE320" s="41" t="str">
        <f>IF(AND($G320='Povolené hodnoty'!$B$13,$H320=BE$4),SUM($J320,$M320,$P320,$S320),"")</f>
        <v/>
      </c>
      <c r="BF320" s="39" t="str">
        <f>IF(AND($G320='Povolené hodnoty'!$B$14,$H320=BF$4),SUM($J320,$M320,$P320,$S320),"")</f>
        <v/>
      </c>
      <c r="BG320" s="458" t="str">
        <f>IF(AND($G320='Povolené hodnoty'!$B$14,$H320=BG$4),SUM($J320,$M320,$P320,$S320),"")</f>
        <v/>
      </c>
      <c r="BH320" s="458" t="str">
        <f>IF(AND($G320='Povolené hodnoty'!$B$14,$H320=BH$4),SUM($J320,$M320,$P320,$S320),"")</f>
        <v/>
      </c>
      <c r="BI320" s="458" t="str">
        <f>IF(AND($G320='Povolené hodnoty'!$B$14,$H320=BI$4),SUM($J320,$M320,$P320,$S320),"")</f>
        <v/>
      </c>
      <c r="BJ320" s="458" t="str">
        <f>IF(AND($G320='Povolené hodnoty'!$B$14,$H320=BJ$4),SUM($J320,$M320,$P320,$S320),"")</f>
        <v/>
      </c>
      <c r="BK320" s="40" t="str">
        <f>IF(AND($G320='Povolené hodnoty'!$B$14,$H320=BK$4),SUM($J320,$M320,$P320,$S320),"")</f>
        <v/>
      </c>
      <c r="BL320" s="40" t="str">
        <f>IF(AND($G320='Povolené hodnoty'!$B$14,$H320=BL$4),SUM($J320,$M320,$P320,$S320),"")</f>
        <v/>
      </c>
      <c r="BM320" s="41" t="str">
        <f>IF(AND($G320='Povolené hodnoty'!$B$14,$H320=BM$4),SUM($J320,$M320,$P320,$S320),"")</f>
        <v/>
      </c>
      <c r="BO320" s="18" t="b">
        <f t="shared" si="176"/>
        <v>0</v>
      </c>
      <c r="BP320" s="18" t="b">
        <f t="shared" si="147"/>
        <v>0</v>
      </c>
      <c r="BQ320" s="18" t="b">
        <f>AND(E320&lt;&gt;'Povolené hodnoty'!$B$6,F320&lt;&gt;'Povolené hodnoty'!$D$7,F320&lt;&gt;'Povolené hodnoty'!$D$8,OR(SUM(I320,L320,O320,R320)&lt;&gt;SUM(W320:X320,AA320:AG320),SUM(J320,M320,P320,S320)&lt;&gt;SUM(Y320:Z320,AH320:AK320),COUNT(I320:J320,L320:M320,O320:P320,R320:S320)&lt;&gt;COUNT(W320:AK320)))</f>
        <v>0</v>
      </c>
      <c r="BR320" s="18" t="b">
        <f>OR(AND(E320='Povolené hodnoty'!$B$6,$BR$5),AND(E320='Povolené hodnoty'!$B$6,H320&lt;&gt;'Povolené hodnoty'!$E$26,H320&lt;&gt;'Povolené hodnoty'!$E$35),AND(E320&lt;&gt;'Povolené hodnoty'!$B$6,OR(H320='Povolené hodnoty'!$E$26,H320='Povolené hodnoty'!$E$35)))</f>
        <v>0</v>
      </c>
      <c r="BS320" s="18" t="b">
        <f>OR(AND(G320&lt;&gt;'Povolené hodnoty'!$B$13,OR(H320='Povolené hodnoty'!$E$21,H320='Povolené hodnoty'!$E$22,H320='Povolené hodnoty'!$E$23,H320='Povolené hodnoty'!$E$24,H320='Povolené hodnoty'!$E$26,H320='Povolené hodnoty'!$E$36)),COUNT(I320:J320,L320:M320,O320:P320,R320:S320)&lt;&gt;COUNT(AL320:BM320))</f>
        <v>0</v>
      </c>
      <c r="BT320" s="18" t="b">
        <f t="shared" si="148"/>
        <v>0</v>
      </c>
      <c r="BV320" s="39" t="str">
        <f t="shared" si="149"/>
        <v/>
      </c>
      <c r="BW320" s="458" t="str">
        <f t="shared" si="150"/>
        <v/>
      </c>
      <c r="BX320" s="458" t="str">
        <f t="shared" si="151"/>
        <v/>
      </c>
      <c r="BY320" s="458" t="str">
        <f t="shared" si="152"/>
        <v/>
      </c>
      <c r="BZ320" s="458" t="str">
        <f t="shared" si="153"/>
        <v/>
      </c>
      <c r="CA320" s="40" t="str">
        <f t="shared" si="154"/>
        <v/>
      </c>
      <c r="CB320" s="40" t="str">
        <f t="shared" si="155"/>
        <v/>
      </c>
      <c r="CC320" s="39" t="str">
        <f t="shared" si="156"/>
        <v/>
      </c>
      <c r="CD320" s="458" t="str">
        <f t="shared" si="157"/>
        <v/>
      </c>
      <c r="CE320" s="41" t="str">
        <f t="shared" si="158"/>
        <v/>
      </c>
      <c r="CF320" s="39" t="str">
        <f t="shared" si="159"/>
        <v/>
      </c>
      <c r="CG320" s="458" t="str">
        <f t="shared" si="160"/>
        <v/>
      </c>
      <c r="CH320" s="458" t="str">
        <f t="shared" si="161"/>
        <v/>
      </c>
      <c r="CI320" s="458" t="str">
        <f t="shared" si="162"/>
        <v/>
      </c>
      <c r="CJ320" s="458" t="str">
        <f t="shared" si="163"/>
        <v/>
      </c>
      <c r="CK320" s="40" t="str">
        <f t="shared" si="164"/>
        <v/>
      </c>
      <c r="CL320" s="40" t="str">
        <f t="shared" si="165"/>
        <v/>
      </c>
      <c r="CM320" s="40" t="str">
        <f t="shared" si="166"/>
        <v/>
      </c>
      <c r="CN320" s="39" t="str">
        <f t="shared" si="167"/>
        <v/>
      </c>
      <c r="CO320" s="458" t="str">
        <f t="shared" si="168"/>
        <v/>
      </c>
      <c r="CP320" s="458" t="str">
        <f t="shared" si="169"/>
        <v/>
      </c>
      <c r="CQ320" s="458" t="str">
        <f t="shared" si="170"/>
        <v/>
      </c>
      <c r="CR320" s="458" t="str">
        <f t="shared" si="171"/>
        <v/>
      </c>
      <c r="CS320" s="40" t="str">
        <f t="shared" si="172"/>
        <v/>
      </c>
      <c r="CT320" s="40" t="str">
        <f t="shared" si="173"/>
        <v/>
      </c>
      <c r="CU320" s="41" t="str">
        <f t="shared" si="174"/>
        <v/>
      </c>
    </row>
    <row r="321" spans="1:99" x14ac:dyDescent="0.2">
      <c r="A321" s="77">
        <f t="shared" si="175"/>
        <v>316</v>
      </c>
      <c r="B321" s="81"/>
      <c r="C321" s="82"/>
      <c r="D321" s="71"/>
      <c r="E321" s="72"/>
      <c r="F321" s="73"/>
      <c r="G321" s="443"/>
      <c r="H321" s="443"/>
      <c r="I321" s="74"/>
      <c r="J321" s="75"/>
      <c r="K321" s="41">
        <f t="shared" si="179"/>
        <v>3625</v>
      </c>
      <c r="L321" s="104"/>
      <c r="M321" s="105"/>
      <c r="N321" s="106">
        <f t="shared" si="180"/>
        <v>537.05999999999995</v>
      </c>
      <c r="O321" s="104"/>
      <c r="P321" s="105"/>
      <c r="Q321" s="106">
        <f t="shared" si="177"/>
        <v>10045.83</v>
      </c>
      <c r="R321" s="104"/>
      <c r="S321" s="105"/>
      <c r="T321" s="106">
        <f t="shared" si="178"/>
        <v>0</v>
      </c>
      <c r="U321" s="439"/>
      <c r="V321" s="42">
        <f t="shared" si="146"/>
        <v>316</v>
      </c>
      <c r="W321" s="39" t="str">
        <f>IF(AND(E321='Povolené hodnoty'!$B$4,F321=2),I321+L321+O321+R321,"")</f>
        <v/>
      </c>
      <c r="X321" s="41" t="str">
        <f>IF(AND(E321='Povolené hodnoty'!$B$4,F321=1),I321+L321+O321+R321,"")</f>
        <v/>
      </c>
      <c r="Y321" s="39" t="str">
        <f>IF(AND(E321='Povolené hodnoty'!$B$4,F321=10),J321+M321+P321+S321,"")</f>
        <v/>
      </c>
      <c r="Z321" s="41" t="str">
        <f>IF(AND(E321='Povolené hodnoty'!$B$4,F321=9),J321+M321+P321+S321,"")</f>
        <v/>
      </c>
      <c r="AA321" s="39" t="str">
        <f>IF(AND(E321&lt;&gt;'Povolené hodnoty'!$B$4,F321=2),I321+L321+O321+R321,"")</f>
        <v/>
      </c>
      <c r="AB321" s="40" t="str">
        <f>IF(AND(E321&lt;&gt;'Povolené hodnoty'!$B$4,F321=3),I321+L321+O321+R321,"")</f>
        <v/>
      </c>
      <c r="AC321" s="40" t="str">
        <f>IF(AND(E321&lt;&gt;'Povolené hodnoty'!$B$4,F321=4),I321+L321+O321+R321,"")</f>
        <v/>
      </c>
      <c r="AD321" s="40" t="str">
        <f>IF(AND(E321&lt;&gt;'Povolené hodnoty'!$B$4,F321="5a"),I321-J321+L321-M321+O321-P321+R321-S321,"")</f>
        <v/>
      </c>
      <c r="AE321" s="40" t="str">
        <f>IF(AND(E321&lt;&gt;'Povolené hodnoty'!$B$4,F321="5b"),I321-J321+L321-M321+O321-P321+R321-S321,"")</f>
        <v/>
      </c>
      <c r="AF321" s="40" t="str">
        <f>IF(AND(E321&lt;&gt;'Povolené hodnoty'!$B$4,F321=6),I321+L321+O321+R321,"")</f>
        <v/>
      </c>
      <c r="AG321" s="41" t="str">
        <f>IF(AND(E321&lt;&gt;'Povolené hodnoty'!$B$4,F321=7),I321+L321+O321+R321,"")</f>
        <v/>
      </c>
      <c r="AH321" s="39" t="str">
        <f>IF(AND(E321&lt;&gt;'Povolené hodnoty'!$B$4,F321=10),J321+M321+P321+S321,"")</f>
        <v/>
      </c>
      <c r="AI321" s="40" t="str">
        <f>IF(AND(E321&lt;&gt;'Povolené hodnoty'!$B$4,F321=11),J321+M321+P321+S321,"")</f>
        <v/>
      </c>
      <c r="AJ321" s="40" t="str">
        <f>IF(AND(E321&lt;&gt;'Povolené hodnoty'!$B$4,F321=12),J321+M321+P321+S321,"")</f>
        <v/>
      </c>
      <c r="AK321" s="41" t="str">
        <f>IF(AND(E321&lt;&gt;'Povolené hodnoty'!$B$4,F321=13),J321+M321+P321+S321,"")</f>
        <v/>
      </c>
      <c r="AL321" s="39" t="str">
        <f>IF(AND($G321='Povolené hodnoty'!$B$13,$H321=AL$4),SUM($I321,$L321,$O321,$R321),"")</f>
        <v/>
      </c>
      <c r="AM321" s="458" t="str">
        <f>IF(AND($G321='Povolené hodnoty'!$B$13,$H321=AM$4),SUM($I321,$L321,$O321,$R321),"")</f>
        <v/>
      </c>
      <c r="AN321" s="458" t="str">
        <f>IF(AND($G321='Povolené hodnoty'!$B$13,$H321=AN$4),SUM($I321,$L321,$O321,$R321),"")</f>
        <v/>
      </c>
      <c r="AO321" s="458" t="str">
        <f>IF(AND($G321='Povolené hodnoty'!$B$13,$H321=AO$4),SUM($I321,$L321,$O321,$R321),"")</f>
        <v/>
      </c>
      <c r="AP321" s="458" t="str">
        <f>IF(AND($G321='Povolené hodnoty'!$B$13,$H321=AP$4),SUM($I321,$L321,$O321,$R321),"")</f>
        <v/>
      </c>
      <c r="AQ321" s="40" t="str">
        <f>IF(AND($G321='Povolené hodnoty'!$B$13,OR($H321=AQ$4,$H321='Povolené hodnoty'!$E$36)),SUM($I321,-$J321,$L321,-$M321,$O321,-$P321,$R321,-$S321),"")</f>
        <v/>
      </c>
      <c r="AR321" s="40" t="str">
        <f>IF(AND($G321='Povolené hodnoty'!$B$13,$H321=AR$4),SUM($I321,$L321,$O321,$R321),"")</f>
        <v/>
      </c>
      <c r="AS321" s="41" t="str">
        <f>IF(AND($G321='Povolené hodnoty'!$B$13,$H321=AS$4),SUM($I321,$L321,$O321,$R321),"")</f>
        <v/>
      </c>
      <c r="AT321" s="39" t="str">
        <f>IF(AND($G321='Povolené hodnoty'!$B$14,$H321=AT$4),SUM($I321,$L321,$O321,$R321),"")</f>
        <v/>
      </c>
      <c r="AU321" s="458" t="str">
        <f>IF(AND($G321='Povolené hodnoty'!$B$14,$H321=AU$4),SUM($I321,$L321,$O321,$R321),"")</f>
        <v/>
      </c>
      <c r="AV321" s="41" t="str">
        <f>IF(AND($G321='Povolené hodnoty'!$B$14,$H321=AV$4),SUM($I321,$L321,$O321,$R321),"")</f>
        <v/>
      </c>
      <c r="AW321" s="39" t="str">
        <f>IF(AND($G321='Povolené hodnoty'!$B$13,$H321=AW$4),SUM($J321,$M321,$P321,$S321),"")</f>
        <v/>
      </c>
      <c r="AX321" s="458" t="str">
        <f>IF(AND($G321='Povolené hodnoty'!$B$13,$H321=AX$4),SUM($J321,$M321,$P321,$S321),"")</f>
        <v/>
      </c>
      <c r="AY321" s="458" t="str">
        <f>IF(AND($G321='Povolené hodnoty'!$B$13,$H321=AY$4),SUM($J321,$M321,$P321,$S321),"")</f>
        <v/>
      </c>
      <c r="AZ321" s="458" t="str">
        <f>IF(AND($G321='Povolené hodnoty'!$B$13,$H321=AZ$4),SUM($J321,$M321,$P321,$S321),"")</f>
        <v/>
      </c>
      <c r="BA321" s="458" t="str">
        <f>IF(AND($G321='Povolené hodnoty'!$B$13,$H321=BA$4),SUM($J321,$M321,$P321,$S321),"")</f>
        <v/>
      </c>
      <c r="BB321" s="40" t="str">
        <f>IF(AND($G321='Povolené hodnoty'!$B$13,$H321=BB$4),SUM($J321,$M321,$P321,$S321),"")</f>
        <v/>
      </c>
      <c r="BC321" s="40" t="str">
        <f>IF(AND($G321='Povolené hodnoty'!$B$13,$H321=BC$4),SUM($J321,$M321,$P321,$S321),"")</f>
        <v/>
      </c>
      <c r="BD321" s="40" t="str">
        <f>IF(AND($G321='Povolené hodnoty'!$B$13,$H321=BD$4),SUM($J321,$M321,$P321,$S321),"")</f>
        <v/>
      </c>
      <c r="BE321" s="41" t="str">
        <f>IF(AND($G321='Povolené hodnoty'!$B$13,$H321=BE$4),SUM($J321,$M321,$P321,$S321),"")</f>
        <v/>
      </c>
      <c r="BF321" s="39" t="str">
        <f>IF(AND($G321='Povolené hodnoty'!$B$14,$H321=BF$4),SUM($J321,$M321,$P321,$S321),"")</f>
        <v/>
      </c>
      <c r="BG321" s="458" t="str">
        <f>IF(AND($G321='Povolené hodnoty'!$B$14,$H321=BG$4),SUM($J321,$M321,$P321,$S321),"")</f>
        <v/>
      </c>
      <c r="BH321" s="458" t="str">
        <f>IF(AND($G321='Povolené hodnoty'!$B$14,$H321=BH$4),SUM($J321,$M321,$P321,$S321),"")</f>
        <v/>
      </c>
      <c r="BI321" s="458" t="str">
        <f>IF(AND($G321='Povolené hodnoty'!$B$14,$H321=BI$4),SUM($J321,$M321,$P321,$S321),"")</f>
        <v/>
      </c>
      <c r="BJ321" s="458" t="str">
        <f>IF(AND($G321='Povolené hodnoty'!$B$14,$H321=BJ$4),SUM($J321,$M321,$P321,$S321),"")</f>
        <v/>
      </c>
      <c r="BK321" s="40" t="str">
        <f>IF(AND($G321='Povolené hodnoty'!$B$14,$H321=BK$4),SUM($J321,$M321,$P321,$S321),"")</f>
        <v/>
      </c>
      <c r="BL321" s="40" t="str">
        <f>IF(AND($G321='Povolené hodnoty'!$B$14,$H321=BL$4),SUM($J321,$M321,$P321,$S321),"")</f>
        <v/>
      </c>
      <c r="BM321" s="41" t="str">
        <f>IF(AND($G321='Povolené hodnoty'!$B$14,$H321=BM$4),SUM($J321,$M321,$P321,$S321),"")</f>
        <v/>
      </c>
      <c r="BO321" s="18" t="b">
        <f t="shared" si="176"/>
        <v>0</v>
      </c>
      <c r="BP321" s="18" t="b">
        <f t="shared" si="147"/>
        <v>0</v>
      </c>
      <c r="BQ321" s="18" t="b">
        <f>AND(E321&lt;&gt;'Povolené hodnoty'!$B$6,F321&lt;&gt;'Povolené hodnoty'!$D$7,F321&lt;&gt;'Povolené hodnoty'!$D$8,OR(SUM(I321,L321,O321,R321)&lt;&gt;SUM(W321:X321,AA321:AG321),SUM(J321,M321,P321,S321)&lt;&gt;SUM(Y321:Z321,AH321:AK321),COUNT(I321:J321,L321:M321,O321:P321,R321:S321)&lt;&gt;COUNT(W321:AK321)))</f>
        <v>0</v>
      </c>
      <c r="BR321" s="18" t="b">
        <f>OR(AND(E321='Povolené hodnoty'!$B$6,$BR$5),AND(E321='Povolené hodnoty'!$B$6,H321&lt;&gt;'Povolené hodnoty'!$E$26,H321&lt;&gt;'Povolené hodnoty'!$E$35),AND(E321&lt;&gt;'Povolené hodnoty'!$B$6,OR(H321='Povolené hodnoty'!$E$26,H321='Povolené hodnoty'!$E$35)))</f>
        <v>0</v>
      </c>
      <c r="BS321" s="18" t="b">
        <f>OR(AND(G321&lt;&gt;'Povolené hodnoty'!$B$13,OR(H321='Povolené hodnoty'!$E$21,H321='Povolené hodnoty'!$E$22,H321='Povolené hodnoty'!$E$23,H321='Povolené hodnoty'!$E$24,H321='Povolené hodnoty'!$E$26,H321='Povolené hodnoty'!$E$36)),COUNT(I321:J321,L321:M321,O321:P321,R321:S321)&lt;&gt;COUNT(AL321:BM321))</f>
        <v>0</v>
      </c>
      <c r="BT321" s="18" t="b">
        <f t="shared" si="148"/>
        <v>0</v>
      </c>
      <c r="BV321" s="39" t="str">
        <f t="shared" si="149"/>
        <v/>
      </c>
      <c r="BW321" s="458" t="str">
        <f t="shared" si="150"/>
        <v/>
      </c>
      <c r="BX321" s="458" t="str">
        <f t="shared" si="151"/>
        <v/>
      </c>
      <c r="BY321" s="458" t="str">
        <f t="shared" si="152"/>
        <v/>
      </c>
      <c r="BZ321" s="458" t="str">
        <f t="shared" si="153"/>
        <v/>
      </c>
      <c r="CA321" s="40" t="str">
        <f t="shared" si="154"/>
        <v/>
      </c>
      <c r="CB321" s="40" t="str">
        <f t="shared" si="155"/>
        <v/>
      </c>
      <c r="CC321" s="39" t="str">
        <f t="shared" si="156"/>
        <v/>
      </c>
      <c r="CD321" s="458" t="str">
        <f t="shared" si="157"/>
        <v/>
      </c>
      <c r="CE321" s="41" t="str">
        <f t="shared" si="158"/>
        <v/>
      </c>
      <c r="CF321" s="39" t="str">
        <f t="shared" si="159"/>
        <v/>
      </c>
      <c r="CG321" s="458" t="str">
        <f t="shared" si="160"/>
        <v/>
      </c>
      <c r="CH321" s="458" t="str">
        <f t="shared" si="161"/>
        <v/>
      </c>
      <c r="CI321" s="458" t="str">
        <f t="shared" si="162"/>
        <v/>
      </c>
      <c r="CJ321" s="458" t="str">
        <f t="shared" si="163"/>
        <v/>
      </c>
      <c r="CK321" s="40" t="str">
        <f t="shared" si="164"/>
        <v/>
      </c>
      <c r="CL321" s="40" t="str">
        <f t="shared" si="165"/>
        <v/>
      </c>
      <c r="CM321" s="40" t="str">
        <f t="shared" si="166"/>
        <v/>
      </c>
      <c r="CN321" s="39" t="str">
        <f t="shared" si="167"/>
        <v/>
      </c>
      <c r="CO321" s="458" t="str">
        <f t="shared" si="168"/>
        <v/>
      </c>
      <c r="CP321" s="458" t="str">
        <f t="shared" si="169"/>
        <v/>
      </c>
      <c r="CQ321" s="458" t="str">
        <f t="shared" si="170"/>
        <v/>
      </c>
      <c r="CR321" s="458" t="str">
        <f t="shared" si="171"/>
        <v/>
      </c>
      <c r="CS321" s="40" t="str">
        <f t="shared" si="172"/>
        <v/>
      </c>
      <c r="CT321" s="40" t="str">
        <f t="shared" si="173"/>
        <v/>
      </c>
      <c r="CU321" s="41" t="str">
        <f t="shared" si="174"/>
        <v/>
      </c>
    </row>
    <row r="322" spans="1:99" x14ac:dyDescent="0.2">
      <c r="A322" s="77">
        <f t="shared" si="175"/>
        <v>317</v>
      </c>
      <c r="B322" s="81"/>
      <c r="C322" s="82"/>
      <c r="D322" s="71"/>
      <c r="E322" s="72"/>
      <c r="F322" s="73"/>
      <c r="G322" s="443"/>
      <c r="H322" s="443"/>
      <c r="I322" s="74"/>
      <c r="J322" s="75"/>
      <c r="K322" s="41">
        <f t="shared" si="179"/>
        <v>3625</v>
      </c>
      <c r="L322" s="104"/>
      <c r="M322" s="105"/>
      <c r="N322" s="106">
        <f t="shared" si="180"/>
        <v>537.05999999999995</v>
      </c>
      <c r="O322" s="104"/>
      <c r="P322" s="105"/>
      <c r="Q322" s="106">
        <f t="shared" si="177"/>
        <v>10045.83</v>
      </c>
      <c r="R322" s="104"/>
      <c r="S322" s="105"/>
      <c r="T322" s="106">
        <f t="shared" si="178"/>
        <v>0</v>
      </c>
      <c r="U322" s="439"/>
      <c r="V322" s="42">
        <f t="shared" si="146"/>
        <v>317</v>
      </c>
      <c r="W322" s="39" t="str">
        <f>IF(AND(E322='Povolené hodnoty'!$B$4,F322=2),I322+L322+O322+R322,"")</f>
        <v/>
      </c>
      <c r="X322" s="41" t="str">
        <f>IF(AND(E322='Povolené hodnoty'!$B$4,F322=1),I322+L322+O322+R322,"")</f>
        <v/>
      </c>
      <c r="Y322" s="39" t="str">
        <f>IF(AND(E322='Povolené hodnoty'!$B$4,F322=10),J322+M322+P322+S322,"")</f>
        <v/>
      </c>
      <c r="Z322" s="41" t="str">
        <f>IF(AND(E322='Povolené hodnoty'!$B$4,F322=9),J322+M322+P322+S322,"")</f>
        <v/>
      </c>
      <c r="AA322" s="39" t="str">
        <f>IF(AND(E322&lt;&gt;'Povolené hodnoty'!$B$4,F322=2),I322+L322+O322+R322,"")</f>
        <v/>
      </c>
      <c r="AB322" s="40" t="str">
        <f>IF(AND(E322&lt;&gt;'Povolené hodnoty'!$B$4,F322=3),I322+L322+O322+R322,"")</f>
        <v/>
      </c>
      <c r="AC322" s="40" t="str">
        <f>IF(AND(E322&lt;&gt;'Povolené hodnoty'!$B$4,F322=4),I322+L322+O322+R322,"")</f>
        <v/>
      </c>
      <c r="AD322" s="40" t="str">
        <f>IF(AND(E322&lt;&gt;'Povolené hodnoty'!$B$4,F322="5a"),I322-J322+L322-M322+O322-P322+R322-S322,"")</f>
        <v/>
      </c>
      <c r="AE322" s="40" t="str">
        <f>IF(AND(E322&lt;&gt;'Povolené hodnoty'!$B$4,F322="5b"),I322-J322+L322-M322+O322-P322+R322-S322,"")</f>
        <v/>
      </c>
      <c r="AF322" s="40" t="str">
        <f>IF(AND(E322&lt;&gt;'Povolené hodnoty'!$B$4,F322=6),I322+L322+O322+R322,"")</f>
        <v/>
      </c>
      <c r="AG322" s="41" t="str">
        <f>IF(AND(E322&lt;&gt;'Povolené hodnoty'!$B$4,F322=7),I322+L322+O322+R322,"")</f>
        <v/>
      </c>
      <c r="AH322" s="39" t="str">
        <f>IF(AND(E322&lt;&gt;'Povolené hodnoty'!$B$4,F322=10),J322+M322+P322+S322,"")</f>
        <v/>
      </c>
      <c r="AI322" s="40" t="str">
        <f>IF(AND(E322&lt;&gt;'Povolené hodnoty'!$B$4,F322=11),J322+M322+P322+S322,"")</f>
        <v/>
      </c>
      <c r="AJ322" s="40" t="str">
        <f>IF(AND(E322&lt;&gt;'Povolené hodnoty'!$B$4,F322=12),J322+M322+P322+S322,"")</f>
        <v/>
      </c>
      <c r="AK322" s="41" t="str">
        <f>IF(AND(E322&lt;&gt;'Povolené hodnoty'!$B$4,F322=13),J322+M322+P322+S322,"")</f>
        <v/>
      </c>
      <c r="AL322" s="39" t="str">
        <f>IF(AND($G322='Povolené hodnoty'!$B$13,$H322=AL$4),SUM($I322,$L322,$O322,$R322),"")</f>
        <v/>
      </c>
      <c r="AM322" s="458" t="str">
        <f>IF(AND($G322='Povolené hodnoty'!$B$13,$H322=AM$4),SUM($I322,$L322,$O322,$R322),"")</f>
        <v/>
      </c>
      <c r="AN322" s="458" t="str">
        <f>IF(AND($G322='Povolené hodnoty'!$B$13,$H322=AN$4),SUM($I322,$L322,$O322,$R322),"")</f>
        <v/>
      </c>
      <c r="AO322" s="458" t="str">
        <f>IF(AND($G322='Povolené hodnoty'!$B$13,$H322=AO$4),SUM($I322,$L322,$O322,$R322),"")</f>
        <v/>
      </c>
      <c r="AP322" s="458" t="str">
        <f>IF(AND($G322='Povolené hodnoty'!$B$13,$H322=AP$4),SUM($I322,$L322,$O322,$R322),"")</f>
        <v/>
      </c>
      <c r="AQ322" s="40" t="str">
        <f>IF(AND($G322='Povolené hodnoty'!$B$13,OR($H322=AQ$4,$H322='Povolené hodnoty'!$E$36)),SUM($I322,-$J322,$L322,-$M322,$O322,-$P322,$R322,-$S322),"")</f>
        <v/>
      </c>
      <c r="AR322" s="40" t="str">
        <f>IF(AND($G322='Povolené hodnoty'!$B$13,$H322=AR$4),SUM($I322,$L322,$O322,$R322),"")</f>
        <v/>
      </c>
      <c r="AS322" s="41" t="str">
        <f>IF(AND($G322='Povolené hodnoty'!$B$13,$H322=AS$4),SUM($I322,$L322,$O322,$R322),"")</f>
        <v/>
      </c>
      <c r="AT322" s="39" t="str">
        <f>IF(AND($G322='Povolené hodnoty'!$B$14,$H322=AT$4),SUM($I322,$L322,$O322,$R322),"")</f>
        <v/>
      </c>
      <c r="AU322" s="458" t="str">
        <f>IF(AND($G322='Povolené hodnoty'!$B$14,$H322=AU$4),SUM($I322,$L322,$O322,$R322),"")</f>
        <v/>
      </c>
      <c r="AV322" s="41" t="str">
        <f>IF(AND($G322='Povolené hodnoty'!$B$14,$H322=AV$4),SUM($I322,$L322,$O322,$R322),"")</f>
        <v/>
      </c>
      <c r="AW322" s="39" t="str">
        <f>IF(AND($G322='Povolené hodnoty'!$B$13,$H322=AW$4),SUM($J322,$M322,$P322,$S322),"")</f>
        <v/>
      </c>
      <c r="AX322" s="458" t="str">
        <f>IF(AND($G322='Povolené hodnoty'!$B$13,$H322=AX$4),SUM($J322,$M322,$P322,$S322),"")</f>
        <v/>
      </c>
      <c r="AY322" s="458" t="str">
        <f>IF(AND($G322='Povolené hodnoty'!$B$13,$H322=AY$4),SUM($J322,$M322,$P322,$S322),"")</f>
        <v/>
      </c>
      <c r="AZ322" s="458" t="str">
        <f>IF(AND($G322='Povolené hodnoty'!$B$13,$H322=AZ$4),SUM($J322,$M322,$P322,$S322),"")</f>
        <v/>
      </c>
      <c r="BA322" s="458" t="str">
        <f>IF(AND($G322='Povolené hodnoty'!$B$13,$H322=BA$4),SUM($J322,$M322,$P322,$S322),"")</f>
        <v/>
      </c>
      <c r="BB322" s="40" t="str">
        <f>IF(AND($G322='Povolené hodnoty'!$B$13,$H322=BB$4),SUM($J322,$M322,$P322,$S322),"")</f>
        <v/>
      </c>
      <c r="BC322" s="40" t="str">
        <f>IF(AND($G322='Povolené hodnoty'!$B$13,$H322=BC$4),SUM($J322,$M322,$P322,$S322),"")</f>
        <v/>
      </c>
      <c r="BD322" s="40" t="str">
        <f>IF(AND($G322='Povolené hodnoty'!$B$13,$H322=BD$4),SUM($J322,$M322,$P322,$S322),"")</f>
        <v/>
      </c>
      <c r="BE322" s="41" t="str">
        <f>IF(AND($G322='Povolené hodnoty'!$B$13,$H322=BE$4),SUM($J322,$M322,$P322,$S322),"")</f>
        <v/>
      </c>
      <c r="BF322" s="39" t="str">
        <f>IF(AND($G322='Povolené hodnoty'!$B$14,$H322=BF$4),SUM($J322,$M322,$P322,$S322),"")</f>
        <v/>
      </c>
      <c r="BG322" s="458" t="str">
        <f>IF(AND($G322='Povolené hodnoty'!$B$14,$H322=BG$4),SUM($J322,$M322,$P322,$S322),"")</f>
        <v/>
      </c>
      <c r="BH322" s="458" t="str">
        <f>IF(AND($G322='Povolené hodnoty'!$B$14,$H322=BH$4),SUM($J322,$M322,$P322,$S322),"")</f>
        <v/>
      </c>
      <c r="BI322" s="458" t="str">
        <f>IF(AND($G322='Povolené hodnoty'!$B$14,$H322=BI$4),SUM($J322,$M322,$P322,$S322),"")</f>
        <v/>
      </c>
      <c r="BJ322" s="458" t="str">
        <f>IF(AND($G322='Povolené hodnoty'!$B$14,$H322=BJ$4),SUM($J322,$M322,$P322,$S322),"")</f>
        <v/>
      </c>
      <c r="BK322" s="40" t="str">
        <f>IF(AND($G322='Povolené hodnoty'!$B$14,$H322=BK$4),SUM($J322,$M322,$P322,$S322),"")</f>
        <v/>
      </c>
      <c r="BL322" s="40" t="str">
        <f>IF(AND($G322='Povolené hodnoty'!$B$14,$H322=BL$4),SUM($J322,$M322,$P322,$S322),"")</f>
        <v/>
      </c>
      <c r="BM322" s="41" t="str">
        <f>IF(AND($G322='Povolené hodnoty'!$B$14,$H322=BM$4),SUM($J322,$M322,$P322,$S322),"")</f>
        <v/>
      </c>
      <c r="BO322" s="18" t="b">
        <f t="shared" si="176"/>
        <v>0</v>
      </c>
      <c r="BP322" s="18" t="b">
        <f t="shared" si="147"/>
        <v>0</v>
      </c>
      <c r="BQ322" s="18" t="b">
        <f>AND(E322&lt;&gt;'Povolené hodnoty'!$B$6,F322&lt;&gt;'Povolené hodnoty'!$D$7,F322&lt;&gt;'Povolené hodnoty'!$D$8,OR(SUM(I322,L322,O322,R322)&lt;&gt;SUM(W322:X322,AA322:AG322),SUM(J322,M322,P322,S322)&lt;&gt;SUM(Y322:Z322,AH322:AK322),COUNT(I322:J322,L322:M322,O322:P322,R322:S322)&lt;&gt;COUNT(W322:AK322)))</f>
        <v>0</v>
      </c>
      <c r="BR322" s="18" t="b">
        <f>OR(AND(E322='Povolené hodnoty'!$B$6,$BR$5),AND(E322='Povolené hodnoty'!$B$6,H322&lt;&gt;'Povolené hodnoty'!$E$26,H322&lt;&gt;'Povolené hodnoty'!$E$35),AND(E322&lt;&gt;'Povolené hodnoty'!$B$6,OR(H322='Povolené hodnoty'!$E$26,H322='Povolené hodnoty'!$E$35)))</f>
        <v>0</v>
      </c>
      <c r="BS322" s="18" t="b">
        <f>OR(AND(G322&lt;&gt;'Povolené hodnoty'!$B$13,OR(H322='Povolené hodnoty'!$E$21,H322='Povolené hodnoty'!$E$22,H322='Povolené hodnoty'!$E$23,H322='Povolené hodnoty'!$E$24,H322='Povolené hodnoty'!$E$26,H322='Povolené hodnoty'!$E$36)),COUNT(I322:J322,L322:M322,O322:P322,R322:S322)&lt;&gt;COUNT(AL322:BM322))</f>
        <v>0</v>
      </c>
      <c r="BT322" s="18" t="b">
        <f t="shared" si="148"/>
        <v>0</v>
      </c>
      <c r="BV322" s="39" t="str">
        <f t="shared" si="149"/>
        <v/>
      </c>
      <c r="BW322" s="458" t="str">
        <f t="shared" si="150"/>
        <v/>
      </c>
      <c r="BX322" s="458" t="str">
        <f t="shared" si="151"/>
        <v/>
      </c>
      <c r="BY322" s="458" t="str">
        <f t="shared" si="152"/>
        <v/>
      </c>
      <c r="BZ322" s="458" t="str">
        <f t="shared" si="153"/>
        <v/>
      </c>
      <c r="CA322" s="40" t="str">
        <f t="shared" si="154"/>
        <v/>
      </c>
      <c r="CB322" s="40" t="str">
        <f t="shared" si="155"/>
        <v/>
      </c>
      <c r="CC322" s="39" t="str">
        <f t="shared" si="156"/>
        <v/>
      </c>
      <c r="CD322" s="458" t="str">
        <f t="shared" si="157"/>
        <v/>
      </c>
      <c r="CE322" s="41" t="str">
        <f t="shared" si="158"/>
        <v/>
      </c>
      <c r="CF322" s="39" t="str">
        <f t="shared" si="159"/>
        <v/>
      </c>
      <c r="CG322" s="458" t="str">
        <f t="shared" si="160"/>
        <v/>
      </c>
      <c r="CH322" s="458" t="str">
        <f t="shared" si="161"/>
        <v/>
      </c>
      <c r="CI322" s="458" t="str">
        <f t="shared" si="162"/>
        <v/>
      </c>
      <c r="CJ322" s="458" t="str">
        <f t="shared" si="163"/>
        <v/>
      </c>
      <c r="CK322" s="40" t="str">
        <f t="shared" si="164"/>
        <v/>
      </c>
      <c r="CL322" s="40" t="str">
        <f t="shared" si="165"/>
        <v/>
      </c>
      <c r="CM322" s="40" t="str">
        <f t="shared" si="166"/>
        <v/>
      </c>
      <c r="CN322" s="39" t="str">
        <f t="shared" si="167"/>
        <v/>
      </c>
      <c r="CO322" s="458" t="str">
        <f t="shared" si="168"/>
        <v/>
      </c>
      <c r="CP322" s="458" t="str">
        <f t="shared" si="169"/>
        <v/>
      </c>
      <c r="CQ322" s="458" t="str">
        <f t="shared" si="170"/>
        <v/>
      </c>
      <c r="CR322" s="458" t="str">
        <f t="shared" si="171"/>
        <v/>
      </c>
      <c r="CS322" s="40" t="str">
        <f t="shared" si="172"/>
        <v/>
      </c>
      <c r="CT322" s="40" t="str">
        <f t="shared" si="173"/>
        <v/>
      </c>
      <c r="CU322" s="41" t="str">
        <f t="shared" si="174"/>
        <v/>
      </c>
    </row>
    <row r="323" spans="1:99" x14ac:dyDescent="0.2">
      <c r="A323" s="77">
        <f t="shared" si="175"/>
        <v>318</v>
      </c>
      <c r="B323" s="81"/>
      <c r="C323" s="82"/>
      <c r="D323" s="71"/>
      <c r="E323" s="72"/>
      <c r="F323" s="73"/>
      <c r="G323" s="443"/>
      <c r="H323" s="443"/>
      <c r="I323" s="74"/>
      <c r="J323" s="75"/>
      <c r="K323" s="41">
        <f t="shared" si="179"/>
        <v>3625</v>
      </c>
      <c r="L323" s="104"/>
      <c r="M323" s="105"/>
      <c r="N323" s="106">
        <f t="shared" si="180"/>
        <v>537.05999999999995</v>
      </c>
      <c r="O323" s="104"/>
      <c r="P323" s="105"/>
      <c r="Q323" s="106">
        <f t="shared" si="177"/>
        <v>10045.83</v>
      </c>
      <c r="R323" s="104"/>
      <c r="S323" s="105"/>
      <c r="T323" s="106">
        <f t="shared" si="178"/>
        <v>0</v>
      </c>
      <c r="U323" s="439"/>
      <c r="V323" s="42">
        <f t="shared" si="146"/>
        <v>318</v>
      </c>
      <c r="W323" s="39" t="str">
        <f>IF(AND(E323='Povolené hodnoty'!$B$4,F323=2),I323+L323+O323+R323,"")</f>
        <v/>
      </c>
      <c r="X323" s="41" t="str">
        <f>IF(AND(E323='Povolené hodnoty'!$B$4,F323=1),I323+L323+O323+R323,"")</f>
        <v/>
      </c>
      <c r="Y323" s="39" t="str">
        <f>IF(AND(E323='Povolené hodnoty'!$B$4,F323=10),J323+M323+P323+S323,"")</f>
        <v/>
      </c>
      <c r="Z323" s="41" t="str">
        <f>IF(AND(E323='Povolené hodnoty'!$B$4,F323=9),J323+M323+P323+S323,"")</f>
        <v/>
      </c>
      <c r="AA323" s="39" t="str">
        <f>IF(AND(E323&lt;&gt;'Povolené hodnoty'!$B$4,F323=2),I323+L323+O323+R323,"")</f>
        <v/>
      </c>
      <c r="AB323" s="40" t="str">
        <f>IF(AND(E323&lt;&gt;'Povolené hodnoty'!$B$4,F323=3),I323+L323+O323+R323,"")</f>
        <v/>
      </c>
      <c r="AC323" s="40" t="str">
        <f>IF(AND(E323&lt;&gt;'Povolené hodnoty'!$B$4,F323=4),I323+L323+O323+R323,"")</f>
        <v/>
      </c>
      <c r="AD323" s="40" t="str">
        <f>IF(AND(E323&lt;&gt;'Povolené hodnoty'!$B$4,F323="5a"),I323-J323+L323-M323+O323-P323+R323-S323,"")</f>
        <v/>
      </c>
      <c r="AE323" s="40" t="str">
        <f>IF(AND(E323&lt;&gt;'Povolené hodnoty'!$B$4,F323="5b"),I323-J323+L323-M323+O323-P323+R323-S323,"")</f>
        <v/>
      </c>
      <c r="AF323" s="40" t="str">
        <f>IF(AND(E323&lt;&gt;'Povolené hodnoty'!$B$4,F323=6),I323+L323+O323+R323,"")</f>
        <v/>
      </c>
      <c r="AG323" s="41" t="str">
        <f>IF(AND(E323&lt;&gt;'Povolené hodnoty'!$B$4,F323=7),I323+L323+O323+R323,"")</f>
        <v/>
      </c>
      <c r="AH323" s="39" t="str">
        <f>IF(AND(E323&lt;&gt;'Povolené hodnoty'!$B$4,F323=10),J323+M323+P323+S323,"")</f>
        <v/>
      </c>
      <c r="AI323" s="40" t="str">
        <f>IF(AND(E323&lt;&gt;'Povolené hodnoty'!$B$4,F323=11),J323+M323+P323+S323,"")</f>
        <v/>
      </c>
      <c r="AJ323" s="40" t="str">
        <f>IF(AND(E323&lt;&gt;'Povolené hodnoty'!$B$4,F323=12),J323+M323+P323+S323,"")</f>
        <v/>
      </c>
      <c r="AK323" s="41" t="str">
        <f>IF(AND(E323&lt;&gt;'Povolené hodnoty'!$B$4,F323=13),J323+M323+P323+S323,"")</f>
        <v/>
      </c>
      <c r="AL323" s="39" t="str">
        <f>IF(AND($G323='Povolené hodnoty'!$B$13,$H323=AL$4),SUM($I323,$L323,$O323,$R323),"")</f>
        <v/>
      </c>
      <c r="AM323" s="458" t="str">
        <f>IF(AND($G323='Povolené hodnoty'!$B$13,$H323=AM$4),SUM($I323,$L323,$O323,$R323),"")</f>
        <v/>
      </c>
      <c r="AN323" s="458" t="str">
        <f>IF(AND($G323='Povolené hodnoty'!$B$13,$H323=AN$4),SUM($I323,$L323,$O323,$R323),"")</f>
        <v/>
      </c>
      <c r="AO323" s="458" t="str">
        <f>IF(AND($G323='Povolené hodnoty'!$B$13,$H323=AO$4),SUM($I323,$L323,$O323,$R323),"")</f>
        <v/>
      </c>
      <c r="AP323" s="458" t="str">
        <f>IF(AND($G323='Povolené hodnoty'!$B$13,$H323=AP$4),SUM($I323,$L323,$O323,$R323),"")</f>
        <v/>
      </c>
      <c r="AQ323" s="40" t="str">
        <f>IF(AND($G323='Povolené hodnoty'!$B$13,OR($H323=AQ$4,$H323='Povolené hodnoty'!$E$36)),SUM($I323,-$J323,$L323,-$M323,$O323,-$P323,$R323,-$S323),"")</f>
        <v/>
      </c>
      <c r="AR323" s="40" t="str">
        <f>IF(AND($G323='Povolené hodnoty'!$B$13,$H323=AR$4),SUM($I323,$L323,$O323,$R323),"")</f>
        <v/>
      </c>
      <c r="AS323" s="41" t="str">
        <f>IF(AND($G323='Povolené hodnoty'!$B$13,$H323=AS$4),SUM($I323,$L323,$O323,$R323),"")</f>
        <v/>
      </c>
      <c r="AT323" s="39" t="str">
        <f>IF(AND($G323='Povolené hodnoty'!$B$14,$H323=AT$4),SUM($I323,$L323,$O323,$R323),"")</f>
        <v/>
      </c>
      <c r="AU323" s="458" t="str">
        <f>IF(AND($G323='Povolené hodnoty'!$B$14,$H323=AU$4),SUM($I323,$L323,$O323,$R323),"")</f>
        <v/>
      </c>
      <c r="AV323" s="41" t="str">
        <f>IF(AND($G323='Povolené hodnoty'!$B$14,$H323=AV$4),SUM($I323,$L323,$O323,$R323),"")</f>
        <v/>
      </c>
      <c r="AW323" s="39" t="str">
        <f>IF(AND($G323='Povolené hodnoty'!$B$13,$H323=AW$4),SUM($J323,$M323,$P323,$S323),"")</f>
        <v/>
      </c>
      <c r="AX323" s="458" t="str">
        <f>IF(AND($G323='Povolené hodnoty'!$B$13,$H323=AX$4),SUM($J323,$M323,$P323,$S323),"")</f>
        <v/>
      </c>
      <c r="AY323" s="458" t="str">
        <f>IF(AND($G323='Povolené hodnoty'!$B$13,$H323=AY$4),SUM($J323,$M323,$P323,$S323),"")</f>
        <v/>
      </c>
      <c r="AZ323" s="458" t="str">
        <f>IF(AND($G323='Povolené hodnoty'!$B$13,$H323=AZ$4),SUM($J323,$M323,$P323,$S323),"")</f>
        <v/>
      </c>
      <c r="BA323" s="458" t="str">
        <f>IF(AND($G323='Povolené hodnoty'!$B$13,$H323=BA$4),SUM($J323,$M323,$P323,$S323),"")</f>
        <v/>
      </c>
      <c r="BB323" s="40" t="str">
        <f>IF(AND($G323='Povolené hodnoty'!$B$13,$H323=BB$4),SUM($J323,$M323,$P323,$S323),"")</f>
        <v/>
      </c>
      <c r="BC323" s="40" t="str">
        <f>IF(AND($G323='Povolené hodnoty'!$B$13,$H323=BC$4),SUM($J323,$M323,$P323,$S323),"")</f>
        <v/>
      </c>
      <c r="BD323" s="40" t="str">
        <f>IF(AND($G323='Povolené hodnoty'!$B$13,$H323=BD$4),SUM($J323,$M323,$P323,$S323),"")</f>
        <v/>
      </c>
      <c r="BE323" s="41" t="str">
        <f>IF(AND($G323='Povolené hodnoty'!$B$13,$H323=BE$4),SUM($J323,$M323,$P323,$S323),"")</f>
        <v/>
      </c>
      <c r="BF323" s="39" t="str">
        <f>IF(AND($G323='Povolené hodnoty'!$B$14,$H323=BF$4),SUM($J323,$M323,$P323,$S323),"")</f>
        <v/>
      </c>
      <c r="BG323" s="458" t="str">
        <f>IF(AND($G323='Povolené hodnoty'!$B$14,$H323=BG$4),SUM($J323,$M323,$P323,$S323),"")</f>
        <v/>
      </c>
      <c r="BH323" s="458" t="str">
        <f>IF(AND($G323='Povolené hodnoty'!$B$14,$H323=BH$4),SUM($J323,$M323,$P323,$S323),"")</f>
        <v/>
      </c>
      <c r="BI323" s="458" t="str">
        <f>IF(AND($G323='Povolené hodnoty'!$B$14,$H323=BI$4),SUM($J323,$M323,$P323,$S323),"")</f>
        <v/>
      </c>
      <c r="BJ323" s="458" t="str">
        <f>IF(AND($G323='Povolené hodnoty'!$B$14,$H323=BJ$4),SUM($J323,$M323,$P323,$S323),"")</f>
        <v/>
      </c>
      <c r="BK323" s="40" t="str">
        <f>IF(AND($G323='Povolené hodnoty'!$B$14,$H323=BK$4),SUM($J323,$M323,$P323,$S323),"")</f>
        <v/>
      </c>
      <c r="BL323" s="40" t="str">
        <f>IF(AND($G323='Povolené hodnoty'!$B$14,$H323=BL$4),SUM($J323,$M323,$P323,$S323),"")</f>
        <v/>
      </c>
      <c r="BM323" s="41" t="str">
        <f>IF(AND($G323='Povolené hodnoty'!$B$14,$H323=BM$4),SUM($J323,$M323,$P323,$S323),"")</f>
        <v/>
      </c>
      <c r="BO323" s="18" t="b">
        <f t="shared" si="176"/>
        <v>0</v>
      </c>
      <c r="BP323" s="18" t="b">
        <f t="shared" si="147"/>
        <v>0</v>
      </c>
      <c r="BQ323" s="18" t="b">
        <f>AND(E323&lt;&gt;'Povolené hodnoty'!$B$6,F323&lt;&gt;'Povolené hodnoty'!$D$7,F323&lt;&gt;'Povolené hodnoty'!$D$8,OR(SUM(I323,L323,O323,R323)&lt;&gt;SUM(W323:X323,AA323:AG323),SUM(J323,M323,P323,S323)&lt;&gt;SUM(Y323:Z323,AH323:AK323),COUNT(I323:J323,L323:M323,O323:P323,R323:S323)&lt;&gt;COUNT(W323:AK323)))</f>
        <v>0</v>
      </c>
      <c r="BR323" s="18" t="b">
        <f>OR(AND(E323='Povolené hodnoty'!$B$6,$BR$5),AND(E323='Povolené hodnoty'!$B$6,H323&lt;&gt;'Povolené hodnoty'!$E$26,H323&lt;&gt;'Povolené hodnoty'!$E$35),AND(E323&lt;&gt;'Povolené hodnoty'!$B$6,OR(H323='Povolené hodnoty'!$E$26,H323='Povolené hodnoty'!$E$35)))</f>
        <v>0</v>
      </c>
      <c r="BS323" s="18" t="b">
        <f>OR(AND(G323&lt;&gt;'Povolené hodnoty'!$B$13,OR(H323='Povolené hodnoty'!$E$21,H323='Povolené hodnoty'!$E$22,H323='Povolené hodnoty'!$E$23,H323='Povolené hodnoty'!$E$24,H323='Povolené hodnoty'!$E$26,H323='Povolené hodnoty'!$E$36)),COUNT(I323:J323,L323:M323,O323:P323,R323:S323)&lt;&gt;COUNT(AL323:BM323))</f>
        <v>0</v>
      </c>
      <c r="BT323" s="18" t="b">
        <f t="shared" si="148"/>
        <v>0</v>
      </c>
      <c r="BV323" s="39" t="str">
        <f t="shared" si="149"/>
        <v/>
      </c>
      <c r="BW323" s="458" t="str">
        <f t="shared" si="150"/>
        <v/>
      </c>
      <c r="BX323" s="458" t="str">
        <f t="shared" si="151"/>
        <v/>
      </c>
      <c r="BY323" s="458" t="str">
        <f t="shared" si="152"/>
        <v/>
      </c>
      <c r="BZ323" s="458" t="str">
        <f t="shared" si="153"/>
        <v/>
      </c>
      <c r="CA323" s="40" t="str">
        <f t="shared" si="154"/>
        <v/>
      </c>
      <c r="CB323" s="40" t="str">
        <f t="shared" si="155"/>
        <v/>
      </c>
      <c r="CC323" s="39" t="str">
        <f t="shared" si="156"/>
        <v/>
      </c>
      <c r="CD323" s="458" t="str">
        <f t="shared" si="157"/>
        <v/>
      </c>
      <c r="CE323" s="41" t="str">
        <f t="shared" si="158"/>
        <v/>
      </c>
      <c r="CF323" s="39" t="str">
        <f t="shared" si="159"/>
        <v/>
      </c>
      <c r="CG323" s="458" t="str">
        <f t="shared" si="160"/>
        <v/>
      </c>
      <c r="CH323" s="458" t="str">
        <f t="shared" si="161"/>
        <v/>
      </c>
      <c r="CI323" s="458" t="str">
        <f t="shared" si="162"/>
        <v/>
      </c>
      <c r="CJ323" s="458" t="str">
        <f t="shared" si="163"/>
        <v/>
      </c>
      <c r="CK323" s="40" t="str">
        <f t="shared" si="164"/>
        <v/>
      </c>
      <c r="CL323" s="40" t="str">
        <f t="shared" si="165"/>
        <v/>
      </c>
      <c r="CM323" s="40" t="str">
        <f t="shared" si="166"/>
        <v/>
      </c>
      <c r="CN323" s="39" t="str">
        <f t="shared" si="167"/>
        <v/>
      </c>
      <c r="CO323" s="458" t="str">
        <f t="shared" si="168"/>
        <v/>
      </c>
      <c r="CP323" s="458" t="str">
        <f t="shared" si="169"/>
        <v/>
      </c>
      <c r="CQ323" s="458" t="str">
        <f t="shared" si="170"/>
        <v/>
      </c>
      <c r="CR323" s="458" t="str">
        <f t="shared" si="171"/>
        <v/>
      </c>
      <c r="CS323" s="40" t="str">
        <f t="shared" si="172"/>
        <v/>
      </c>
      <c r="CT323" s="40" t="str">
        <f t="shared" si="173"/>
        <v/>
      </c>
      <c r="CU323" s="41" t="str">
        <f t="shared" si="174"/>
        <v/>
      </c>
    </row>
    <row r="324" spans="1:99" x14ac:dyDescent="0.2">
      <c r="A324" s="77">
        <f t="shared" si="175"/>
        <v>319</v>
      </c>
      <c r="B324" s="81"/>
      <c r="C324" s="82"/>
      <c r="D324" s="71"/>
      <c r="E324" s="72"/>
      <c r="F324" s="73"/>
      <c r="G324" s="443"/>
      <c r="H324" s="443"/>
      <c r="I324" s="74"/>
      <c r="J324" s="75"/>
      <c r="K324" s="41">
        <f t="shared" si="179"/>
        <v>3625</v>
      </c>
      <c r="L324" s="104"/>
      <c r="M324" s="105"/>
      <c r="N324" s="106">
        <f t="shared" si="180"/>
        <v>537.05999999999995</v>
      </c>
      <c r="O324" s="104"/>
      <c r="P324" s="105"/>
      <c r="Q324" s="106">
        <f t="shared" si="177"/>
        <v>10045.83</v>
      </c>
      <c r="R324" s="104"/>
      <c r="S324" s="105"/>
      <c r="T324" s="106">
        <f t="shared" si="178"/>
        <v>0</v>
      </c>
      <c r="U324" s="439"/>
      <c r="V324" s="42">
        <f t="shared" si="146"/>
        <v>319</v>
      </c>
      <c r="W324" s="39" t="str">
        <f>IF(AND(E324='Povolené hodnoty'!$B$4,F324=2),I324+L324+O324+R324,"")</f>
        <v/>
      </c>
      <c r="X324" s="41" t="str">
        <f>IF(AND(E324='Povolené hodnoty'!$B$4,F324=1),I324+L324+O324+R324,"")</f>
        <v/>
      </c>
      <c r="Y324" s="39" t="str">
        <f>IF(AND(E324='Povolené hodnoty'!$B$4,F324=10),J324+M324+P324+S324,"")</f>
        <v/>
      </c>
      <c r="Z324" s="41" t="str">
        <f>IF(AND(E324='Povolené hodnoty'!$B$4,F324=9),J324+M324+P324+S324,"")</f>
        <v/>
      </c>
      <c r="AA324" s="39" t="str">
        <f>IF(AND(E324&lt;&gt;'Povolené hodnoty'!$B$4,F324=2),I324+L324+O324+R324,"")</f>
        <v/>
      </c>
      <c r="AB324" s="40" t="str">
        <f>IF(AND(E324&lt;&gt;'Povolené hodnoty'!$B$4,F324=3),I324+L324+O324+R324,"")</f>
        <v/>
      </c>
      <c r="AC324" s="40" t="str">
        <f>IF(AND(E324&lt;&gt;'Povolené hodnoty'!$B$4,F324=4),I324+L324+O324+R324,"")</f>
        <v/>
      </c>
      <c r="AD324" s="40" t="str">
        <f>IF(AND(E324&lt;&gt;'Povolené hodnoty'!$B$4,F324="5a"),I324-J324+L324-M324+O324-P324+R324-S324,"")</f>
        <v/>
      </c>
      <c r="AE324" s="40" t="str">
        <f>IF(AND(E324&lt;&gt;'Povolené hodnoty'!$B$4,F324="5b"),I324-J324+L324-M324+O324-P324+R324-S324,"")</f>
        <v/>
      </c>
      <c r="AF324" s="40" t="str">
        <f>IF(AND(E324&lt;&gt;'Povolené hodnoty'!$B$4,F324=6),I324+L324+O324+R324,"")</f>
        <v/>
      </c>
      <c r="AG324" s="41" t="str">
        <f>IF(AND(E324&lt;&gt;'Povolené hodnoty'!$B$4,F324=7),I324+L324+O324+R324,"")</f>
        <v/>
      </c>
      <c r="AH324" s="39" t="str">
        <f>IF(AND(E324&lt;&gt;'Povolené hodnoty'!$B$4,F324=10),J324+M324+P324+S324,"")</f>
        <v/>
      </c>
      <c r="AI324" s="40" t="str">
        <f>IF(AND(E324&lt;&gt;'Povolené hodnoty'!$B$4,F324=11),J324+M324+P324+S324,"")</f>
        <v/>
      </c>
      <c r="AJ324" s="40" t="str">
        <f>IF(AND(E324&lt;&gt;'Povolené hodnoty'!$B$4,F324=12),J324+M324+P324+S324,"")</f>
        <v/>
      </c>
      <c r="AK324" s="41" t="str">
        <f>IF(AND(E324&lt;&gt;'Povolené hodnoty'!$B$4,F324=13),J324+M324+P324+S324,"")</f>
        <v/>
      </c>
      <c r="AL324" s="39" t="str">
        <f>IF(AND($G324='Povolené hodnoty'!$B$13,$H324=AL$4),SUM($I324,$L324,$O324,$R324),"")</f>
        <v/>
      </c>
      <c r="AM324" s="458" t="str">
        <f>IF(AND($G324='Povolené hodnoty'!$B$13,$H324=AM$4),SUM($I324,$L324,$O324,$R324),"")</f>
        <v/>
      </c>
      <c r="AN324" s="458" t="str">
        <f>IF(AND($G324='Povolené hodnoty'!$B$13,$H324=AN$4),SUM($I324,$L324,$O324,$R324),"")</f>
        <v/>
      </c>
      <c r="AO324" s="458" t="str">
        <f>IF(AND($G324='Povolené hodnoty'!$B$13,$H324=AO$4),SUM($I324,$L324,$O324,$R324),"")</f>
        <v/>
      </c>
      <c r="AP324" s="458" t="str">
        <f>IF(AND($G324='Povolené hodnoty'!$B$13,$H324=AP$4),SUM($I324,$L324,$O324,$R324),"")</f>
        <v/>
      </c>
      <c r="AQ324" s="40" t="str">
        <f>IF(AND($G324='Povolené hodnoty'!$B$13,OR($H324=AQ$4,$H324='Povolené hodnoty'!$E$36)),SUM($I324,-$J324,$L324,-$M324,$O324,-$P324,$R324,-$S324),"")</f>
        <v/>
      </c>
      <c r="AR324" s="40" t="str">
        <f>IF(AND($G324='Povolené hodnoty'!$B$13,$H324=AR$4),SUM($I324,$L324,$O324,$R324),"")</f>
        <v/>
      </c>
      <c r="AS324" s="41" t="str">
        <f>IF(AND($G324='Povolené hodnoty'!$B$13,$H324=AS$4),SUM($I324,$L324,$O324,$R324),"")</f>
        <v/>
      </c>
      <c r="AT324" s="39" t="str">
        <f>IF(AND($G324='Povolené hodnoty'!$B$14,$H324=AT$4),SUM($I324,$L324,$O324,$R324),"")</f>
        <v/>
      </c>
      <c r="AU324" s="458" t="str">
        <f>IF(AND($G324='Povolené hodnoty'!$B$14,$H324=AU$4),SUM($I324,$L324,$O324,$R324),"")</f>
        <v/>
      </c>
      <c r="AV324" s="41" t="str">
        <f>IF(AND($G324='Povolené hodnoty'!$B$14,$H324=AV$4),SUM($I324,$L324,$O324,$R324),"")</f>
        <v/>
      </c>
      <c r="AW324" s="39" t="str">
        <f>IF(AND($G324='Povolené hodnoty'!$B$13,$H324=AW$4),SUM($J324,$M324,$P324,$S324),"")</f>
        <v/>
      </c>
      <c r="AX324" s="458" t="str">
        <f>IF(AND($G324='Povolené hodnoty'!$B$13,$H324=AX$4),SUM($J324,$M324,$P324,$S324),"")</f>
        <v/>
      </c>
      <c r="AY324" s="458" t="str">
        <f>IF(AND($G324='Povolené hodnoty'!$B$13,$H324=AY$4),SUM($J324,$M324,$P324,$S324),"")</f>
        <v/>
      </c>
      <c r="AZ324" s="458" t="str">
        <f>IF(AND($G324='Povolené hodnoty'!$B$13,$H324=AZ$4),SUM($J324,$M324,$P324,$S324),"")</f>
        <v/>
      </c>
      <c r="BA324" s="458" t="str">
        <f>IF(AND($G324='Povolené hodnoty'!$B$13,$H324=BA$4),SUM($J324,$M324,$P324,$S324),"")</f>
        <v/>
      </c>
      <c r="BB324" s="40" t="str">
        <f>IF(AND($G324='Povolené hodnoty'!$B$13,$H324=BB$4),SUM($J324,$M324,$P324,$S324),"")</f>
        <v/>
      </c>
      <c r="BC324" s="40" t="str">
        <f>IF(AND($G324='Povolené hodnoty'!$B$13,$H324=BC$4),SUM($J324,$M324,$P324,$S324),"")</f>
        <v/>
      </c>
      <c r="BD324" s="40" t="str">
        <f>IF(AND($G324='Povolené hodnoty'!$B$13,$H324=BD$4),SUM($J324,$M324,$P324,$S324),"")</f>
        <v/>
      </c>
      <c r="BE324" s="41" t="str">
        <f>IF(AND($G324='Povolené hodnoty'!$B$13,$H324=BE$4),SUM($J324,$M324,$P324,$S324),"")</f>
        <v/>
      </c>
      <c r="BF324" s="39" t="str">
        <f>IF(AND($G324='Povolené hodnoty'!$B$14,$H324=BF$4),SUM($J324,$M324,$P324,$S324),"")</f>
        <v/>
      </c>
      <c r="BG324" s="458" t="str">
        <f>IF(AND($G324='Povolené hodnoty'!$B$14,$H324=BG$4),SUM($J324,$M324,$P324,$S324),"")</f>
        <v/>
      </c>
      <c r="BH324" s="458" t="str">
        <f>IF(AND($G324='Povolené hodnoty'!$B$14,$H324=BH$4),SUM($J324,$M324,$P324,$S324),"")</f>
        <v/>
      </c>
      <c r="BI324" s="458" t="str">
        <f>IF(AND($G324='Povolené hodnoty'!$B$14,$H324=BI$4),SUM($J324,$M324,$P324,$S324),"")</f>
        <v/>
      </c>
      <c r="BJ324" s="458" t="str">
        <f>IF(AND($G324='Povolené hodnoty'!$B$14,$H324=BJ$4),SUM($J324,$M324,$P324,$S324),"")</f>
        <v/>
      </c>
      <c r="BK324" s="40" t="str">
        <f>IF(AND($G324='Povolené hodnoty'!$B$14,$H324=BK$4),SUM($J324,$M324,$P324,$S324),"")</f>
        <v/>
      </c>
      <c r="BL324" s="40" t="str">
        <f>IF(AND($G324='Povolené hodnoty'!$B$14,$H324=BL$4),SUM($J324,$M324,$P324,$S324),"")</f>
        <v/>
      </c>
      <c r="BM324" s="41" t="str">
        <f>IF(AND($G324='Povolené hodnoty'!$B$14,$H324=BM$4),SUM($J324,$M324,$P324,$S324),"")</f>
        <v/>
      </c>
      <c r="BO324" s="18" t="b">
        <f t="shared" si="176"/>
        <v>0</v>
      </c>
      <c r="BP324" s="18" t="b">
        <f t="shared" si="147"/>
        <v>0</v>
      </c>
      <c r="BQ324" s="18" t="b">
        <f>AND(E324&lt;&gt;'Povolené hodnoty'!$B$6,F324&lt;&gt;'Povolené hodnoty'!$D$7,F324&lt;&gt;'Povolené hodnoty'!$D$8,OR(SUM(I324,L324,O324,R324)&lt;&gt;SUM(W324:X324,AA324:AG324),SUM(J324,M324,P324,S324)&lt;&gt;SUM(Y324:Z324,AH324:AK324),COUNT(I324:J324,L324:M324,O324:P324,R324:S324)&lt;&gt;COUNT(W324:AK324)))</f>
        <v>0</v>
      </c>
      <c r="BR324" s="18" t="b">
        <f>OR(AND(E324='Povolené hodnoty'!$B$6,$BR$5),AND(E324='Povolené hodnoty'!$B$6,H324&lt;&gt;'Povolené hodnoty'!$E$26,H324&lt;&gt;'Povolené hodnoty'!$E$35),AND(E324&lt;&gt;'Povolené hodnoty'!$B$6,OR(H324='Povolené hodnoty'!$E$26,H324='Povolené hodnoty'!$E$35)))</f>
        <v>0</v>
      </c>
      <c r="BS324" s="18" t="b">
        <f>OR(AND(G324&lt;&gt;'Povolené hodnoty'!$B$13,OR(H324='Povolené hodnoty'!$E$21,H324='Povolené hodnoty'!$E$22,H324='Povolené hodnoty'!$E$23,H324='Povolené hodnoty'!$E$24,H324='Povolené hodnoty'!$E$26,H324='Povolené hodnoty'!$E$36)),COUNT(I324:J324,L324:M324,O324:P324,R324:S324)&lt;&gt;COUNT(AL324:BM324))</f>
        <v>0</v>
      </c>
      <c r="BT324" s="18" t="b">
        <f t="shared" si="148"/>
        <v>0</v>
      </c>
      <c r="BV324" s="39" t="str">
        <f t="shared" si="149"/>
        <v/>
      </c>
      <c r="BW324" s="458" t="str">
        <f t="shared" si="150"/>
        <v/>
      </c>
      <c r="BX324" s="458" t="str">
        <f t="shared" si="151"/>
        <v/>
      </c>
      <c r="BY324" s="458" t="str">
        <f t="shared" si="152"/>
        <v/>
      </c>
      <c r="BZ324" s="458" t="str">
        <f t="shared" si="153"/>
        <v/>
      </c>
      <c r="CA324" s="40" t="str">
        <f t="shared" si="154"/>
        <v/>
      </c>
      <c r="CB324" s="40" t="str">
        <f t="shared" si="155"/>
        <v/>
      </c>
      <c r="CC324" s="39" t="str">
        <f t="shared" si="156"/>
        <v/>
      </c>
      <c r="CD324" s="458" t="str">
        <f t="shared" si="157"/>
        <v/>
      </c>
      <c r="CE324" s="41" t="str">
        <f t="shared" si="158"/>
        <v/>
      </c>
      <c r="CF324" s="39" t="str">
        <f t="shared" si="159"/>
        <v/>
      </c>
      <c r="CG324" s="458" t="str">
        <f t="shared" si="160"/>
        <v/>
      </c>
      <c r="CH324" s="458" t="str">
        <f t="shared" si="161"/>
        <v/>
      </c>
      <c r="CI324" s="458" t="str">
        <f t="shared" si="162"/>
        <v/>
      </c>
      <c r="CJ324" s="458" t="str">
        <f t="shared" si="163"/>
        <v/>
      </c>
      <c r="CK324" s="40" t="str">
        <f t="shared" si="164"/>
        <v/>
      </c>
      <c r="CL324" s="40" t="str">
        <f t="shared" si="165"/>
        <v/>
      </c>
      <c r="CM324" s="40" t="str">
        <f t="shared" si="166"/>
        <v/>
      </c>
      <c r="CN324" s="39" t="str">
        <f t="shared" si="167"/>
        <v/>
      </c>
      <c r="CO324" s="458" t="str">
        <f t="shared" si="168"/>
        <v/>
      </c>
      <c r="CP324" s="458" t="str">
        <f t="shared" si="169"/>
        <v/>
      </c>
      <c r="CQ324" s="458" t="str">
        <f t="shared" si="170"/>
        <v/>
      </c>
      <c r="CR324" s="458" t="str">
        <f t="shared" si="171"/>
        <v/>
      </c>
      <c r="CS324" s="40" t="str">
        <f t="shared" si="172"/>
        <v/>
      </c>
      <c r="CT324" s="40" t="str">
        <f t="shared" si="173"/>
        <v/>
      </c>
      <c r="CU324" s="41" t="str">
        <f t="shared" si="174"/>
        <v/>
      </c>
    </row>
    <row r="325" spans="1:99" x14ac:dyDescent="0.2">
      <c r="A325" s="77">
        <f t="shared" si="175"/>
        <v>320</v>
      </c>
      <c r="B325" s="81"/>
      <c r="C325" s="82"/>
      <c r="D325" s="71"/>
      <c r="E325" s="72"/>
      <c r="F325" s="73"/>
      <c r="G325" s="443"/>
      <c r="H325" s="443"/>
      <c r="I325" s="74"/>
      <c r="J325" s="75"/>
      <c r="K325" s="41">
        <f t="shared" si="179"/>
        <v>3625</v>
      </c>
      <c r="L325" s="104"/>
      <c r="M325" s="105"/>
      <c r="N325" s="106">
        <f t="shared" si="180"/>
        <v>537.05999999999995</v>
      </c>
      <c r="O325" s="104"/>
      <c r="P325" s="105"/>
      <c r="Q325" s="106">
        <f t="shared" si="177"/>
        <v>10045.83</v>
      </c>
      <c r="R325" s="104"/>
      <c r="S325" s="105"/>
      <c r="T325" s="106">
        <f t="shared" si="178"/>
        <v>0</v>
      </c>
      <c r="U325" s="439"/>
      <c r="V325" s="42">
        <f t="shared" ref="V325:V388" si="181">A325</f>
        <v>320</v>
      </c>
      <c r="W325" s="39" t="str">
        <f>IF(AND(E325='Povolené hodnoty'!$B$4,F325=2),I325+L325+O325+R325,"")</f>
        <v/>
      </c>
      <c r="X325" s="41" t="str">
        <f>IF(AND(E325='Povolené hodnoty'!$B$4,F325=1),I325+L325+O325+R325,"")</f>
        <v/>
      </c>
      <c r="Y325" s="39" t="str">
        <f>IF(AND(E325='Povolené hodnoty'!$B$4,F325=10),J325+M325+P325+S325,"")</f>
        <v/>
      </c>
      <c r="Z325" s="41" t="str">
        <f>IF(AND(E325='Povolené hodnoty'!$B$4,F325=9),J325+M325+P325+S325,"")</f>
        <v/>
      </c>
      <c r="AA325" s="39" t="str">
        <f>IF(AND(E325&lt;&gt;'Povolené hodnoty'!$B$4,F325=2),I325+L325+O325+R325,"")</f>
        <v/>
      </c>
      <c r="AB325" s="40" t="str">
        <f>IF(AND(E325&lt;&gt;'Povolené hodnoty'!$B$4,F325=3),I325+L325+O325+R325,"")</f>
        <v/>
      </c>
      <c r="AC325" s="40" t="str">
        <f>IF(AND(E325&lt;&gt;'Povolené hodnoty'!$B$4,F325=4),I325+L325+O325+R325,"")</f>
        <v/>
      </c>
      <c r="AD325" s="40" t="str">
        <f>IF(AND(E325&lt;&gt;'Povolené hodnoty'!$B$4,F325="5a"),I325-J325+L325-M325+O325-P325+R325-S325,"")</f>
        <v/>
      </c>
      <c r="AE325" s="40" t="str">
        <f>IF(AND(E325&lt;&gt;'Povolené hodnoty'!$B$4,F325="5b"),I325-J325+L325-M325+O325-P325+R325-S325,"")</f>
        <v/>
      </c>
      <c r="AF325" s="40" t="str">
        <f>IF(AND(E325&lt;&gt;'Povolené hodnoty'!$B$4,F325=6),I325+L325+O325+R325,"")</f>
        <v/>
      </c>
      <c r="AG325" s="41" t="str">
        <f>IF(AND(E325&lt;&gt;'Povolené hodnoty'!$B$4,F325=7),I325+L325+O325+R325,"")</f>
        <v/>
      </c>
      <c r="AH325" s="39" t="str">
        <f>IF(AND(E325&lt;&gt;'Povolené hodnoty'!$B$4,F325=10),J325+M325+P325+S325,"")</f>
        <v/>
      </c>
      <c r="AI325" s="40" t="str">
        <f>IF(AND(E325&lt;&gt;'Povolené hodnoty'!$B$4,F325=11),J325+M325+P325+S325,"")</f>
        <v/>
      </c>
      <c r="AJ325" s="40" t="str">
        <f>IF(AND(E325&lt;&gt;'Povolené hodnoty'!$B$4,F325=12),J325+M325+P325+S325,"")</f>
        <v/>
      </c>
      <c r="AK325" s="41" t="str">
        <f>IF(AND(E325&lt;&gt;'Povolené hodnoty'!$B$4,F325=13),J325+M325+P325+S325,"")</f>
        <v/>
      </c>
      <c r="AL325" s="39" t="str">
        <f>IF(AND($G325='Povolené hodnoty'!$B$13,$H325=AL$4),SUM($I325,$L325,$O325,$R325),"")</f>
        <v/>
      </c>
      <c r="AM325" s="458" t="str">
        <f>IF(AND($G325='Povolené hodnoty'!$B$13,$H325=AM$4),SUM($I325,$L325,$O325,$R325),"")</f>
        <v/>
      </c>
      <c r="AN325" s="458" t="str">
        <f>IF(AND($G325='Povolené hodnoty'!$B$13,$H325=AN$4),SUM($I325,$L325,$O325,$R325),"")</f>
        <v/>
      </c>
      <c r="AO325" s="458" t="str">
        <f>IF(AND($G325='Povolené hodnoty'!$B$13,$H325=AO$4),SUM($I325,$L325,$O325,$R325),"")</f>
        <v/>
      </c>
      <c r="AP325" s="458" t="str">
        <f>IF(AND($G325='Povolené hodnoty'!$B$13,$H325=AP$4),SUM($I325,$L325,$O325,$R325),"")</f>
        <v/>
      </c>
      <c r="AQ325" s="40" t="str">
        <f>IF(AND($G325='Povolené hodnoty'!$B$13,OR($H325=AQ$4,$H325='Povolené hodnoty'!$E$36)),SUM($I325,-$J325,$L325,-$M325,$O325,-$P325,$R325,-$S325),"")</f>
        <v/>
      </c>
      <c r="AR325" s="40" t="str">
        <f>IF(AND($G325='Povolené hodnoty'!$B$13,$H325=AR$4),SUM($I325,$L325,$O325,$R325),"")</f>
        <v/>
      </c>
      <c r="AS325" s="41" t="str">
        <f>IF(AND($G325='Povolené hodnoty'!$B$13,$H325=AS$4),SUM($I325,$L325,$O325,$R325),"")</f>
        <v/>
      </c>
      <c r="AT325" s="39" t="str">
        <f>IF(AND($G325='Povolené hodnoty'!$B$14,$H325=AT$4),SUM($I325,$L325,$O325,$R325),"")</f>
        <v/>
      </c>
      <c r="AU325" s="458" t="str">
        <f>IF(AND($G325='Povolené hodnoty'!$B$14,$H325=AU$4),SUM($I325,$L325,$O325,$R325),"")</f>
        <v/>
      </c>
      <c r="AV325" s="41" t="str">
        <f>IF(AND($G325='Povolené hodnoty'!$B$14,$H325=AV$4),SUM($I325,$L325,$O325,$R325),"")</f>
        <v/>
      </c>
      <c r="AW325" s="39" t="str">
        <f>IF(AND($G325='Povolené hodnoty'!$B$13,$H325=AW$4),SUM($J325,$M325,$P325,$S325),"")</f>
        <v/>
      </c>
      <c r="AX325" s="458" t="str">
        <f>IF(AND($G325='Povolené hodnoty'!$B$13,$H325=AX$4),SUM($J325,$M325,$P325,$S325),"")</f>
        <v/>
      </c>
      <c r="AY325" s="458" t="str">
        <f>IF(AND($G325='Povolené hodnoty'!$B$13,$H325=AY$4),SUM($J325,$M325,$P325,$S325),"")</f>
        <v/>
      </c>
      <c r="AZ325" s="458" t="str">
        <f>IF(AND($G325='Povolené hodnoty'!$B$13,$H325=AZ$4),SUM($J325,$M325,$P325,$S325),"")</f>
        <v/>
      </c>
      <c r="BA325" s="458" t="str">
        <f>IF(AND($G325='Povolené hodnoty'!$B$13,$H325=BA$4),SUM($J325,$M325,$P325,$S325),"")</f>
        <v/>
      </c>
      <c r="BB325" s="40" t="str">
        <f>IF(AND($G325='Povolené hodnoty'!$B$13,$H325=BB$4),SUM($J325,$M325,$P325,$S325),"")</f>
        <v/>
      </c>
      <c r="BC325" s="40" t="str">
        <f>IF(AND($G325='Povolené hodnoty'!$B$13,$H325=BC$4),SUM($J325,$M325,$P325,$S325),"")</f>
        <v/>
      </c>
      <c r="BD325" s="40" t="str">
        <f>IF(AND($G325='Povolené hodnoty'!$B$13,$H325=BD$4),SUM($J325,$M325,$P325,$S325),"")</f>
        <v/>
      </c>
      <c r="BE325" s="41" t="str">
        <f>IF(AND($G325='Povolené hodnoty'!$B$13,$H325=BE$4),SUM($J325,$M325,$P325,$S325),"")</f>
        <v/>
      </c>
      <c r="BF325" s="39" t="str">
        <f>IF(AND($G325='Povolené hodnoty'!$B$14,$H325=BF$4),SUM($J325,$M325,$P325,$S325),"")</f>
        <v/>
      </c>
      <c r="BG325" s="458" t="str">
        <f>IF(AND($G325='Povolené hodnoty'!$B$14,$H325=BG$4),SUM($J325,$M325,$P325,$S325),"")</f>
        <v/>
      </c>
      <c r="BH325" s="458" t="str">
        <f>IF(AND($G325='Povolené hodnoty'!$B$14,$H325=BH$4),SUM($J325,$M325,$P325,$S325),"")</f>
        <v/>
      </c>
      <c r="BI325" s="458" t="str">
        <f>IF(AND($G325='Povolené hodnoty'!$B$14,$H325=BI$4),SUM($J325,$M325,$P325,$S325),"")</f>
        <v/>
      </c>
      <c r="BJ325" s="458" t="str">
        <f>IF(AND($G325='Povolené hodnoty'!$B$14,$H325=BJ$4),SUM($J325,$M325,$P325,$S325),"")</f>
        <v/>
      </c>
      <c r="BK325" s="40" t="str">
        <f>IF(AND($G325='Povolené hodnoty'!$B$14,$H325=BK$4),SUM($J325,$M325,$P325,$S325),"")</f>
        <v/>
      </c>
      <c r="BL325" s="40" t="str">
        <f>IF(AND($G325='Povolené hodnoty'!$B$14,$H325=BL$4),SUM($J325,$M325,$P325,$S325),"")</f>
        <v/>
      </c>
      <c r="BM325" s="41" t="str">
        <f>IF(AND($G325='Povolené hodnoty'!$B$14,$H325=BM$4),SUM($J325,$M325,$P325,$S325),"")</f>
        <v/>
      </c>
      <c r="BO325" s="18" t="b">
        <f t="shared" si="176"/>
        <v>0</v>
      </c>
      <c r="BP325" s="18" t="b">
        <f t="shared" si="147"/>
        <v>0</v>
      </c>
      <c r="BQ325" s="18" t="b">
        <f>AND(E325&lt;&gt;'Povolené hodnoty'!$B$6,F325&lt;&gt;'Povolené hodnoty'!$D$7,F325&lt;&gt;'Povolené hodnoty'!$D$8,OR(SUM(I325,L325,O325,R325)&lt;&gt;SUM(W325:X325,AA325:AG325),SUM(J325,M325,P325,S325)&lt;&gt;SUM(Y325:Z325,AH325:AK325),COUNT(I325:J325,L325:M325,O325:P325,R325:S325)&lt;&gt;COUNT(W325:AK325)))</f>
        <v>0</v>
      </c>
      <c r="BR325" s="18" t="b">
        <f>OR(AND(E325='Povolené hodnoty'!$B$6,$BR$5),AND(E325='Povolené hodnoty'!$B$6,H325&lt;&gt;'Povolené hodnoty'!$E$26,H325&lt;&gt;'Povolené hodnoty'!$E$35),AND(E325&lt;&gt;'Povolené hodnoty'!$B$6,OR(H325='Povolené hodnoty'!$E$26,H325='Povolené hodnoty'!$E$35)))</f>
        <v>0</v>
      </c>
      <c r="BS325" s="18" t="b">
        <f>OR(AND(G325&lt;&gt;'Povolené hodnoty'!$B$13,OR(H325='Povolené hodnoty'!$E$21,H325='Povolené hodnoty'!$E$22,H325='Povolené hodnoty'!$E$23,H325='Povolené hodnoty'!$E$24,H325='Povolené hodnoty'!$E$26,H325='Povolené hodnoty'!$E$36)),COUNT(I325:J325,L325:M325,O325:P325,R325:S325)&lt;&gt;COUNT(AL325:BM325))</f>
        <v>0</v>
      </c>
      <c r="BT325" s="18" t="b">
        <f t="shared" si="148"/>
        <v>0</v>
      </c>
      <c r="BV325" s="39" t="str">
        <f t="shared" si="149"/>
        <v/>
      </c>
      <c r="BW325" s="458" t="str">
        <f t="shared" si="150"/>
        <v/>
      </c>
      <c r="BX325" s="458" t="str">
        <f t="shared" si="151"/>
        <v/>
      </c>
      <c r="BY325" s="458" t="str">
        <f t="shared" si="152"/>
        <v/>
      </c>
      <c r="BZ325" s="458" t="str">
        <f t="shared" si="153"/>
        <v/>
      </c>
      <c r="CA325" s="40" t="str">
        <f t="shared" si="154"/>
        <v/>
      </c>
      <c r="CB325" s="40" t="str">
        <f t="shared" si="155"/>
        <v/>
      </c>
      <c r="CC325" s="39" t="str">
        <f t="shared" si="156"/>
        <v/>
      </c>
      <c r="CD325" s="458" t="str">
        <f t="shared" si="157"/>
        <v/>
      </c>
      <c r="CE325" s="41" t="str">
        <f t="shared" si="158"/>
        <v/>
      </c>
      <c r="CF325" s="39" t="str">
        <f t="shared" si="159"/>
        <v/>
      </c>
      <c r="CG325" s="458" t="str">
        <f t="shared" si="160"/>
        <v/>
      </c>
      <c r="CH325" s="458" t="str">
        <f t="shared" si="161"/>
        <v/>
      </c>
      <c r="CI325" s="458" t="str">
        <f t="shared" si="162"/>
        <v/>
      </c>
      <c r="CJ325" s="458" t="str">
        <f t="shared" si="163"/>
        <v/>
      </c>
      <c r="CK325" s="40" t="str">
        <f t="shared" si="164"/>
        <v/>
      </c>
      <c r="CL325" s="40" t="str">
        <f t="shared" si="165"/>
        <v/>
      </c>
      <c r="CM325" s="40" t="str">
        <f t="shared" si="166"/>
        <v/>
      </c>
      <c r="CN325" s="39" t="str">
        <f t="shared" si="167"/>
        <v/>
      </c>
      <c r="CO325" s="458" t="str">
        <f t="shared" si="168"/>
        <v/>
      </c>
      <c r="CP325" s="458" t="str">
        <f t="shared" si="169"/>
        <v/>
      </c>
      <c r="CQ325" s="458" t="str">
        <f t="shared" si="170"/>
        <v/>
      </c>
      <c r="CR325" s="458" t="str">
        <f t="shared" si="171"/>
        <v/>
      </c>
      <c r="CS325" s="40" t="str">
        <f t="shared" si="172"/>
        <v/>
      </c>
      <c r="CT325" s="40" t="str">
        <f t="shared" si="173"/>
        <v/>
      </c>
      <c r="CU325" s="41" t="str">
        <f t="shared" si="174"/>
        <v/>
      </c>
    </row>
    <row r="326" spans="1:99" x14ac:dyDescent="0.2">
      <c r="A326" s="77">
        <f t="shared" si="175"/>
        <v>321</v>
      </c>
      <c r="B326" s="81"/>
      <c r="C326" s="82"/>
      <c r="D326" s="71"/>
      <c r="E326" s="72"/>
      <c r="F326" s="73"/>
      <c r="G326" s="443"/>
      <c r="H326" s="443"/>
      <c r="I326" s="74"/>
      <c r="J326" s="75"/>
      <c r="K326" s="41">
        <f t="shared" si="179"/>
        <v>3625</v>
      </c>
      <c r="L326" s="104"/>
      <c r="M326" s="105"/>
      <c r="N326" s="106">
        <f t="shared" si="180"/>
        <v>537.05999999999995</v>
      </c>
      <c r="O326" s="104"/>
      <c r="P326" s="105"/>
      <c r="Q326" s="106">
        <f t="shared" si="177"/>
        <v>10045.83</v>
      </c>
      <c r="R326" s="104"/>
      <c r="S326" s="105"/>
      <c r="T326" s="106">
        <f t="shared" si="178"/>
        <v>0</v>
      </c>
      <c r="U326" s="439"/>
      <c r="V326" s="42">
        <f t="shared" si="181"/>
        <v>321</v>
      </c>
      <c r="W326" s="39" t="str">
        <f>IF(AND(E326='Povolené hodnoty'!$B$4,F326=2),I326+L326+O326+R326,"")</f>
        <v/>
      </c>
      <c r="X326" s="41" t="str">
        <f>IF(AND(E326='Povolené hodnoty'!$B$4,F326=1),I326+L326+O326+R326,"")</f>
        <v/>
      </c>
      <c r="Y326" s="39" t="str">
        <f>IF(AND(E326='Povolené hodnoty'!$B$4,F326=10),J326+M326+P326+S326,"")</f>
        <v/>
      </c>
      <c r="Z326" s="41" t="str">
        <f>IF(AND(E326='Povolené hodnoty'!$B$4,F326=9),J326+M326+P326+S326,"")</f>
        <v/>
      </c>
      <c r="AA326" s="39" t="str">
        <f>IF(AND(E326&lt;&gt;'Povolené hodnoty'!$B$4,F326=2),I326+L326+O326+R326,"")</f>
        <v/>
      </c>
      <c r="AB326" s="40" t="str">
        <f>IF(AND(E326&lt;&gt;'Povolené hodnoty'!$B$4,F326=3),I326+L326+O326+R326,"")</f>
        <v/>
      </c>
      <c r="AC326" s="40" t="str">
        <f>IF(AND(E326&lt;&gt;'Povolené hodnoty'!$B$4,F326=4),I326+L326+O326+R326,"")</f>
        <v/>
      </c>
      <c r="AD326" s="40" t="str">
        <f>IF(AND(E326&lt;&gt;'Povolené hodnoty'!$B$4,F326="5a"),I326-J326+L326-M326+O326-P326+R326-S326,"")</f>
        <v/>
      </c>
      <c r="AE326" s="40" t="str">
        <f>IF(AND(E326&lt;&gt;'Povolené hodnoty'!$B$4,F326="5b"),I326-J326+L326-M326+O326-P326+R326-S326,"")</f>
        <v/>
      </c>
      <c r="AF326" s="40" t="str">
        <f>IF(AND(E326&lt;&gt;'Povolené hodnoty'!$B$4,F326=6),I326+L326+O326+R326,"")</f>
        <v/>
      </c>
      <c r="AG326" s="41" t="str">
        <f>IF(AND(E326&lt;&gt;'Povolené hodnoty'!$B$4,F326=7),I326+L326+O326+R326,"")</f>
        <v/>
      </c>
      <c r="AH326" s="39" t="str">
        <f>IF(AND(E326&lt;&gt;'Povolené hodnoty'!$B$4,F326=10),J326+M326+P326+S326,"")</f>
        <v/>
      </c>
      <c r="AI326" s="40" t="str">
        <f>IF(AND(E326&lt;&gt;'Povolené hodnoty'!$B$4,F326=11),J326+M326+P326+S326,"")</f>
        <v/>
      </c>
      <c r="AJ326" s="40" t="str">
        <f>IF(AND(E326&lt;&gt;'Povolené hodnoty'!$B$4,F326=12),J326+M326+P326+S326,"")</f>
        <v/>
      </c>
      <c r="AK326" s="41" t="str">
        <f>IF(AND(E326&lt;&gt;'Povolené hodnoty'!$B$4,F326=13),J326+M326+P326+S326,"")</f>
        <v/>
      </c>
      <c r="AL326" s="39" t="str">
        <f>IF(AND($G326='Povolené hodnoty'!$B$13,$H326=AL$4),SUM($I326,$L326,$O326,$R326),"")</f>
        <v/>
      </c>
      <c r="AM326" s="458" t="str">
        <f>IF(AND($G326='Povolené hodnoty'!$B$13,$H326=AM$4),SUM($I326,$L326,$O326,$R326),"")</f>
        <v/>
      </c>
      <c r="AN326" s="458" t="str">
        <f>IF(AND($G326='Povolené hodnoty'!$B$13,$H326=AN$4),SUM($I326,$L326,$O326,$R326),"")</f>
        <v/>
      </c>
      <c r="AO326" s="458" t="str">
        <f>IF(AND($G326='Povolené hodnoty'!$B$13,$H326=AO$4),SUM($I326,$L326,$O326,$R326),"")</f>
        <v/>
      </c>
      <c r="AP326" s="458" t="str">
        <f>IF(AND($G326='Povolené hodnoty'!$B$13,$H326=AP$4),SUM($I326,$L326,$O326,$R326),"")</f>
        <v/>
      </c>
      <c r="AQ326" s="40" t="str">
        <f>IF(AND($G326='Povolené hodnoty'!$B$13,OR($H326=AQ$4,$H326='Povolené hodnoty'!$E$36)),SUM($I326,-$J326,$L326,-$M326,$O326,-$P326,$R326,-$S326),"")</f>
        <v/>
      </c>
      <c r="AR326" s="40" t="str">
        <f>IF(AND($G326='Povolené hodnoty'!$B$13,$H326=AR$4),SUM($I326,$L326,$O326,$R326),"")</f>
        <v/>
      </c>
      <c r="AS326" s="41" t="str">
        <f>IF(AND($G326='Povolené hodnoty'!$B$13,$H326=AS$4),SUM($I326,$L326,$O326,$R326),"")</f>
        <v/>
      </c>
      <c r="AT326" s="39" t="str">
        <f>IF(AND($G326='Povolené hodnoty'!$B$14,$H326=AT$4),SUM($I326,$L326,$O326,$R326),"")</f>
        <v/>
      </c>
      <c r="AU326" s="458" t="str">
        <f>IF(AND($G326='Povolené hodnoty'!$B$14,$H326=AU$4),SUM($I326,$L326,$O326,$R326),"")</f>
        <v/>
      </c>
      <c r="AV326" s="41" t="str">
        <f>IF(AND($G326='Povolené hodnoty'!$B$14,$H326=AV$4),SUM($I326,$L326,$O326,$R326),"")</f>
        <v/>
      </c>
      <c r="AW326" s="39" t="str">
        <f>IF(AND($G326='Povolené hodnoty'!$B$13,$H326=AW$4),SUM($J326,$M326,$P326,$S326),"")</f>
        <v/>
      </c>
      <c r="AX326" s="458" t="str">
        <f>IF(AND($G326='Povolené hodnoty'!$B$13,$H326=AX$4),SUM($J326,$M326,$P326,$S326),"")</f>
        <v/>
      </c>
      <c r="AY326" s="458" t="str">
        <f>IF(AND($G326='Povolené hodnoty'!$B$13,$H326=AY$4),SUM($J326,$M326,$P326,$S326),"")</f>
        <v/>
      </c>
      <c r="AZ326" s="458" t="str">
        <f>IF(AND($G326='Povolené hodnoty'!$B$13,$H326=AZ$4),SUM($J326,$M326,$P326,$S326),"")</f>
        <v/>
      </c>
      <c r="BA326" s="458" t="str">
        <f>IF(AND($G326='Povolené hodnoty'!$B$13,$H326=BA$4),SUM($J326,$M326,$P326,$S326),"")</f>
        <v/>
      </c>
      <c r="BB326" s="40" t="str">
        <f>IF(AND($G326='Povolené hodnoty'!$B$13,$H326=BB$4),SUM($J326,$M326,$P326,$S326),"")</f>
        <v/>
      </c>
      <c r="BC326" s="40" t="str">
        <f>IF(AND($G326='Povolené hodnoty'!$B$13,$H326=BC$4),SUM($J326,$M326,$P326,$S326),"")</f>
        <v/>
      </c>
      <c r="BD326" s="40" t="str">
        <f>IF(AND($G326='Povolené hodnoty'!$B$13,$H326=BD$4),SUM($J326,$M326,$P326,$S326),"")</f>
        <v/>
      </c>
      <c r="BE326" s="41" t="str">
        <f>IF(AND($G326='Povolené hodnoty'!$B$13,$H326=BE$4),SUM($J326,$M326,$P326,$S326),"")</f>
        <v/>
      </c>
      <c r="BF326" s="39" t="str">
        <f>IF(AND($G326='Povolené hodnoty'!$B$14,$H326=BF$4),SUM($J326,$M326,$P326,$S326),"")</f>
        <v/>
      </c>
      <c r="BG326" s="458" t="str">
        <f>IF(AND($G326='Povolené hodnoty'!$B$14,$H326=BG$4),SUM($J326,$M326,$P326,$S326),"")</f>
        <v/>
      </c>
      <c r="BH326" s="458" t="str">
        <f>IF(AND($G326='Povolené hodnoty'!$B$14,$H326=BH$4),SUM($J326,$M326,$P326,$S326),"")</f>
        <v/>
      </c>
      <c r="BI326" s="458" t="str">
        <f>IF(AND($G326='Povolené hodnoty'!$B$14,$H326=BI$4),SUM($J326,$M326,$P326,$S326),"")</f>
        <v/>
      </c>
      <c r="BJ326" s="458" t="str">
        <f>IF(AND($G326='Povolené hodnoty'!$B$14,$H326=BJ$4),SUM($J326,$M326,$P326,$S326),"")</f>
        <v/>
      </c>
      <c r="BK326" s="40" t="str">
        <f>IF(AND($G326='Povolené hodnoty'!$B$14,$H326=BK$4),SUM($J326,$M326,$P326,$S326),"")</f>
        <v/>
      </c>
      <c r="BL326" s="40" t="str">
        <f>IF(AND($G326='Povolené hodnoty'!$B$14,$H326=BL$4),SUM($J326,$M326,$P326,$S326),"")</f>
        <v/>
      </c>
      <c r="BM326" s="41" t="str">
        <f>IF(AND($G326='Povolené hodnoty'!$B$14,$H326=BM$4),SUM($J326,$M326,$P326,$S326),"")</f>
        <v/>
      </c>
      <c r="BO326" s="18" t="b">
        <f t="shared" si="176"/>
        <v>0</v>
      </c>
      <c r="BP326" s="18" t="b">
        <f t="shared" ref="BP326:BP389" si="182">COUNT(I326:J326,L326:M326,O326:P326,R326:S326)&gt;1</f>
        <v>0</v>
      </c>
      <c r="BQ326" s="18" t="b">
        <f>AND(E326&lt;&gt;'Povolené hodnoty'!$B$6,F326&lt;&gt;'Povolené hodnoty'!$D$7,F326&lt;&gt;'Povolené hodnoty'!$D$8,OR(SUM(I326,L326,O326,R326)&lt;&gt;SUM(W326:X326,AA326:AG326),SUM(J326,M326,P326,S326)&lt;&gt;SUM(Y326:Z326,AH326:AK326),COUNT(I326:J326,L326:M326,O326:P326,R326:S326)&lt;&gt;COUNT(W326:AK326)))</f>
        <v>0</v>
      </c>
      <c r="BR326" s="18" t="b">
        <f>OR(AND(E326='Povolené hodnoty'!$B$6,$BR$5),AND(E326='Povolené hodnoty'!$B$6,H326&lt;&gt;'Povolené hodnoty'!$E$26,H326&lt;&gt;'Povolené hodnoty'!$E$35),AND(E326&lt;&gt;'Povolené hodnoty'!$B$6,OR(H326='Povolené hodnoty'!$E$26,H326='Povolené hodnoty'!$E$35)))</f>
        <v>0</v>
      </c>
      <c r="BS326" s="18" t="b">
        <f>OR(AND(G326&lt;&gt;'Povolené hodnoty'!$B$13,OR(H326='Povolené hodnoty'!$E$21,H326='Povolené hodnoty'!$E$22,H326='Povolené hodnoty'!$E$23,H326='Povolené hodnoty'!$E$24,H326='Povolené hodnoty'!$E$26,H326='Povolené hodnoty'!$E$36)),COUNT(I326:J326,L326:M326,O326:P326,R326:S326)&lt;&gt;COUNT(AL326:BM326))</f>
        <v>0</v>
      </c>
      <c r="BT326" s="18" t="b">
        <f t="shared" ref="BT326:BT389" si="183">OR(AND(LEFT(H326,1)="V",COUNT(I326,L326,O326,R326)&gt;0),AND(LEFT(H326,1)="P",COUNT(J326,M326,P326,S326)&gt;0))</f>
        <v>0</v>
      </c>
      <c r="BV326" s="39" t="str">
        <f t="shared" ref="BV326:BV389" si="184">IF(SUM($W326:$X326)=AL326,AL326,"")</f>
        <v/>
      </c>
      <c r="BW326" s="458" t="str">
        <f t="shared" ref="BW326:BW389" si="185">IF(SUM($W326:$X326)=AM326,AM326,"")</f>
        <v/>
      </c>
      <c r="BX326" s="458" t="str">
        <f t="shared" ref="BX326:BX389" si="186">IF(SUM($W326:$X326)=AN326,AN326,"")</f>
        <v/>
      </c>
      <c r="BY326" s="458" t="str">
        <f t="shared" ref="BY326:BY389" si="187">IF(SUM($W326:$X326)=AO326,AO326,"")</f>
        <v/>
      </c>
      <c r="BZ326" s="458" t="str">
        <f t="shared" ref="BZ326:BZ389" si="188">IF(SUM($W326:$X326)=AP326,AP326,"")</f>
        <v/>
      </c>
      <c r="CA326" s="40" t="str">
        <f t="shared" ref="CA326:CA389" si="189">IF(SUM($W326:$X326)=AQ326,AQ326,"")</f>
        <v/>
      </c>
      <c r="CB326" s="40" t="str">
        <f t="shared" ref="CB326:CB389" si="190">IF(SUM($W326:$X326)=AR326,AR326,"")</f>
        <v/>
      </c>
      <c r="CC326" s="39" t="str">
        <f t="shared" ref="CC326:CC389" si="191">IF(SUM($W326:$X326)=AT326,AT326,"")</f>
        <v/>
      </c>
      <c r="CD326" s="458" t="str">
        <f t="shared" ref="CD326:CD389" si="192">IF(SUM($W326:$X326)=AU326,AU326,"")</f>
        <v/>
      </c>
      <c r="CE326" s="41" t="str">
        <f t="shared" ref="CE326:CE389" si="193">IF(SUM($W326:$X326)=AV326,AV326,"")</f>
        <v/>
      </c>
      <c r="CF326" s="39" t="str">
        <f t="shared" ref="CF326:CF389" si="194">IF(SUM($Y326:$Z326)=AW326,AW326,"")</f>
        <v/>
      </c>
      <c r="CG326" s="458" t="str">
        <f t="shared" ref="CG326:CG389" si="195">IF(SUM($Y326:$Z326)=AX326,AX326,"")</f>
        <v/>
      </c>
      <c r="CH326" s="458" t="str">
        <f t="shared" ref="CH326:CH389" si="196">IF(SUM($Y326:$Z326)=AY326,AY326,"")</f>
        <v/>
      </c>
      <c r="CI326" s="458" t="str">
        <f t="shared" ref="CI326:CI389" si="197">IF(SUM($Y326:$Z326)=AZ326,AZ326,"")</f>
        <v/>
      </c>
      <c r="CJ326" s="458" t="str">
        <f t="shared" ref="CJ326:CJ389" si="198">IF(SUM($Y326:$Z326)=BA326,BA326,"")</f>
        <v/>
      </c>
      <c r="CK326" s="40" t="str">
        <f t="shared" ref="CK326:CK389" si="199">IF(SUM($Y326:$Z326)=BB326,BB326,"")</f>
        <v/>
      </c>
      <c r="CL326" s="40" t="str">
        <f t="shared" ref="CL326:CL389" si="200">IF(SUM($Y326:$Z326)=BC326,BC326,"")</f>
        <v/>
      </c>
      <c r="CM326" s="40" t="str">
        <f t="shared" ref="CM326:CM389" si="201">IF(SUM($Y326:$Z326)=BD326,BD326,"")</f>
        <v/>
      </c>
      <c r="CN326" s="39" t="str">
        <f t="shared" ref="CN326:CN389" si="202">IF(SUM($Y326:$Z326)=BF326,BF326,"")</f>
        <v/>
      </c>
      <c r="CO326" s="458" t="str">
        <f t="shared" ref="CO326:CO389" si="203">IF(SUM($Y326:$Z326)=BG326,BG326,"")</f>
        <v/>
      </c>
      <c r="CP326" s="458" t="str">
        <f t="shared" ref="CP326:CP389" si="204">IF(SUM($Y326:$Z326)=BH326,BH326,"")</f>
        <v/>
      </c>
      <c r="CQ326" s="458" t="str">
        <f t="shared" ref="CQ326:CQ389" si="205">IF(SUM($Y326:$Z326)=BI326,BI326,"")</f>
        <v/>
      </c>
      <c r="CR326" s="458" t="str">
        <f t="shared" ref="CR326:CR389" si="206">IF(SUM($Y326:$Z326)=BJ326,BJ326,"")</f>
        <v/>
      </c>
      <c r="CS326" s="40" t="str">
        <f t="shared" ref="CS326:CS389" si="207">IF(SUM($Y326:$Z326)=BK326,BK326,"")</f>
        <v/>
      </c>
      <c r="CT326" s="40" t="str">
        <f t="shared" ref="CT326:CT389" si="208">IF(SUM($Y326:$Z326)=BL326,BL326,"")</f>
        <v/>
      </c>
      <c r="CU326" s="41" t="str">
        <f t="shared" ref="CU326:CU389" si="209">IF(SUM($Y326:$Z326)=BM326,BM326,"")</f>
        <v/>
      </c>
    </row>
    <row r="327" spans="1:99" x14ac:dyDescent="0.2">
      <c r="A327" s="77">
        <f t="shared" ref="A327:A390" si="210">A326+1</f>
        <v>322</v>
      </c>
      <c r="B327" s="81"/>
      <c r="C327" s="82"/>
      <c r="D327" s="71"/>
      <c r="E327" s="72"/>
      <c r="F327" s="73"/>
      <c r="G327" s="443"/>
      <c r="H327" s="443"/>
      <c r="I327" s="74"/>
      <c r="J327" s="75"/>
      <c r="K327" s="41">
        <f t="shared" si="179"/>
        <v>3625</v>
      </c>
      <c r="L327" s="104"/>
      <c r="M327" s="105"/>
      <c r="N327" s="106">
        <f t="shared" si="180"/>
        <v>537.05999999999995</v>
      </c>
      <c r="O327" s="104"/>
      <c r="P327" s="105"/>
      <c r="Q327" s="106">
        <f t="shared" si="177"/>
        <v>10045.83</v>
      </c>
      <c r="R327" s="104"/>
      <c r="S327" s="105"/>
      <c r="T327" s="106">
        <f t="shared" si="178"/>
        <v>0</v>
      </c>
      <c r="U327" s="439"/>
      <c r="V327" s="42">
        <f t="shared" si="181"/>
        <v>322</v>
      </c>
      <c r="W327" s="39" t="str">
        <f>IF(AND(E327='Povolené hodnoty'!$B$4,F327=2),I327+L327+O327+R327,"")</f>
        <v/>
      </c>
      <c r="X327" s="41" t="str">
        <f>IF(AND(E327='Povolené hodnoty'!$B$4,F327=1),I327+L327+O327+R327,"")</f>
        <v/>
      </c>
      <c r="Y327" s="39" t="str">
        <f>IF(AND(E327='Povolené hodnoty'!$B$4,F327=10),J327+M327+P327+S327,"")</f>
        <v/>
      </c>
      <c r="Z327" s="41" t="str">
        <f>IF(AND(E327='Povolené hodnoty'!$B$4,F327=9),J327+M327+P327+S327,"")</f>
        <v/>
      </c>
      <c r="AA327" s="39" t="str">
        <f>IF(AND(E327&lt;&gt;'Povolené hodnoty'!$B$4,F327=2),I327+L327+O327+R327,"")</f>
        <v/>
      </c>
      <c r="AB327" s="40" t="str">
        <f>IF(AND(E327&lt;&gt;'Povolené hodnoty'!$B$4,F327=3),I327+L327+O327+R327,"")</f>
        <v/>
      </c>
      <c r="AC327" s="40" t="str">
        <f>IF(AND(E327&lt;&gt;'Povolené hodnoty'!$B$4,F327=4),I327+L327+O327+R327,"")</f>
        <v/>
      </c>
      <c r="AD327" s="40" t="str">
        <f>IF(AND(E327&lt;&gt;'Povolené hodnoty'!$B$4,F327="5a"),I327-J327+L327-M327+O327-P327+R327-S327,"")</f>
        <v/>
      </c>
      <c r="AE327" s="40" t="str">
        <f>IF(AND(E327&lt;&gt;'Povolené hodnoty'!$B$4,F327="5b"),I327-J327+L327-M327+O327-P327+R327-S327,"")</f>
        <v/>
      </c>
      <c r="AF327" s="40" t="str">
        <f>IF(AND(E327&lt;&gt;'Povolené hodnoty'!$B$4,F327=6),I327+L327+O327+R327,"")</f>
        <v/>
      </c>
      <c r="AG327" s="41" t="str">
        <f>IF(AND(E327&lt;&gt;'Povolené hodnoty'!$B$4,F327=7),I327+L327+O327+R327,"")</f>
        <v/>
      </c>
      <c r="AH327" s="39" t="str">
        <f>IF(AND(E327&lt;&gt;'Povolené hodnoty'!$B$4,F327=10),J327+M327+P327+S327,"")</f>
        <v/>
      </c>
      <c r="AI327" s="40" t="str">
        <f>IF(AND(E327&lt;&gt;'Povolené hodnoty'!$B$4,F327=11),J327+M327+P327+S327,"")</f>
        <v/>
      </c>
      <c r="AJ327" s="40" t="str">
        <f>IF(AND(E327&lt;&gt;'Povolené hodnoty'!$B$4,F327=12),J327+M327+P327+S327,"")</f>
        <v/>
      </c>
      <c r="AK327" s="41" t="str">
        <f>IF(AND(E327&lt;&gt;'Povolené hodnoty'!$B$4,F327=13),J327+M327+P327+S327,"")</f>
        <v/>
      </c>
      <c r="AL327" s="39" t="str">
        <f>IF(AND($G327='Povolené hodnoty'!$B$13,$H327=AL$4),SUM($I327,$L327,$O327,$R327),"")</f>
        <v/>
      </c>
      <c r="AM327" s="458" t="str">
        <f>IF(AND($G327='Povolené hodnoty'!$B$13,$H327=AM$4),SUM($I327,$L327,$O327,$R327),"")</f>
        <v/>
      </c>
      <c r="AN327" s="458" t="str">
        <f>IF(AND($G327='Povolené hodnoty'!$B$13,$H327=AN$4),SUM($I327,$L327,$O327,$R327),"")</f>
        <v/>
      </c>
      <c r="AO327" s="458" t="str">
        <f>IF(AND($G327='Povolené hodnoty'!$B$13,$H327=AO$4),SUM($I327,$L327,$O327,$R327),"")</f>
        <v/>
      </c>
      <c r="AP327" s="458" t="str">
        <f>IF(AND($G327='Povolené hodnoty'!$B$13,$H327=AP$4),SUM($I327,$L327,$O327,$R327),"")</f>
        <v/>
      </c>
      <c r="AQ327" s="40" t="str">
        <f>IF(AND($G327='Povolené hodnoty'!$B$13,OR($H327=AQ$4,$H327='Povolené hodnoty'!$E$36)),SUM($I327,-$J327,$L327,-$M327,$O327,-$P327,$R327,-$S327),"")</f>
        <v/>
      </c>
      <c r="AR327" s="40" t="str">
        <f>IF(AND($G327='Povolené hodnoty'!$B$13,$H327=AR$4),SUM($I327,$L327,$O327,$R327),"")</f>
        <v/>
      </c>
      <c r="AS327" s="41" t="str">
        <f>IF(AND($G327='Povolené hodnoty'!$B$13,$H327=AS$4),SUM($I327,$L327,$O327,$R327),"")</f>
        <v/>
      </c>
      <c r="AT327" s="39" t="str">
        <f>IF(AND($G327='Povolené hodnoty'!$B$14,$H327=AT$4),SUM($I327,$L327,$O327,$R327),"")</f>
        <v/>
      </c>
      <c r="AU327" s="458" t="str">
        <f>IF(AND($G327='Povolené hodnoty'!$B$14,$H327=AU$4),SUM($I327,$L327,$O327,$R327),"")</f>
        <v/>
      </c>
      <c r="AV327" s="41" t="str">
        <f>IF(AND($G327='Povolené hodnoty'!$B$14,$H327=AV$4),SUM($I327,$L327,$O327,$R327),"")</f>
        <v/>
      </c>
      <c r="AW327" s="39" t="str">
        <f>IF(AND($G327='Povolené hodnoty'!$B$13,$H327=AW$4),SUM($J327,$M327,$P327,$S327),"")</f>
        <v/>
      </c>
      <c r="AX327" s="458" t="str">
        <f>IF(AND($G327='Povolené hodnoty'!$B$13,$H327=AX$4),SUM($J327,$M327,$P327,$S327),"")</f>
        <v/>
      </c>
      <c r="AY327" s="458" t="str">
        <f>IF(AND($G327='Povolené hodnoty'!$B$13,$H327=AY$4),SUM($J327,$M327,$P327,$S327),"")</f>
        <v/>
      </c>
      <c r="AZ327" s="458" t="str">
        <f>IF(AND($G327='Povolené hodnoty'!$B$13,$H327=AZ$4),SUM($J327,$M327,$P327,$S327),"")</f>
        <v/>
      </c>
      <c r="BA327" s="458" t="str">
        <f>IF(AND($G327='Povolené hodnoty'!$B$13,$H327=BA$4),SUM($J327,$M327,$P327,$S327),"")</f>
        <v/>
      </c>
      <c r="BB327" s="40" t="str">
        <f>IF(AND($G327='Povolené hodnoty'!$B$13,$H327=BB$4),SUM($J327,$M327,$P327,$S327),"")</f>
        <v/>
      </c>
      <c r="BC327" s="40" t="str">
        <f>IF(AND($G327='Povolené hodnoty'!$B$13,$H327=BC$4),SUM($J327,$M327,$P327,$S327),"")</f>
        <v/>
      </c>
      <c r="BD327" s="40" t="str">
        <f>IF(AND($G327='Povolené hodnoty'!$B$13,$H327=BD$4),SUM($J327,$M327,$P327,$S327),"")</f>
        <v/>
      </c>
      <c r="BE327" s="41" t="str">
        <f>IF(AND($G327='Povolené hodnoty'!$B$13,$H327=BE$4),SUM($J327,$M327,$P327,$S327),"")</f>
        <v/>
      </c>
      <c r="BF327" s="39" t="str">
        <f>IF(AND($G327='Povolené hodnoty'!$B$14,$H327=BF$4),SUM($J327,$M327,$P327,$S327),"")</f>
        <v/>
      </c>
      <c r="BG327" s="458" t="str">
        <f>IF(AND($G327='Povolené hodnoty'!$B$14,$H327=BG$4),SUM($J327,$M327,$P327,$S327),"")</f>
        <v/>
      </c>
      <c r="BH327" s="458" t="str">
        <f>IF(AND($G327='Povolené hodnoty'!$B$14,$H327=BH$4),SUM($J327,$M327,$P327,$S327),"")</f>
        <v/>
      </c>
      <c r="BI327" s="458" t="str">
        <f>IF(AND($G327='Povolené hodnoty'!$B$14,$H327=BI$4),SUM($J327,$M327,$P327,$S327),"")</f>
        <v/>
      </c>
      <c r="BJ327" s="458" t="str">
        <f>IF(AND($G327='Povolené hodnoty'!$B$14,$H327=BJ$4),SUM($J327,$M327,$P327,$S327),"")</f>
        <v/>
      </c>
      <c r="BK327" s="40" t="str">
        <f>IF(AND($G327='Povolené hodnoty'!$B$14,$H327=BK$4),SUM($J327,$M327,$P327,$S327),"")</f>
        <v/>
      </c>
      <c r="BL327" s="40" t="str">
        <f>IF(AND($G327='Povolené hodnoty'!$B$14,$H327=BL$4),SUM($J327,$M327,$P327,$S327),"")</f>
        <v/>
      </c>
      <c r="BM327" s="41" t="str">
        <f>IF(AND($G327='Povolené hodnoty'!$B$14,$H327=BM$4),SUM($J327,$M327,$P327,$S327),"")</f>
        <v/>
      </c>
      <c r="BO327" s="18" t="b">
        <f t="shared" ref="BO327:BO390" si="211">OR(BP327:BT327)</f>
        <v>0</v>
      </c>
      <c r="BP327" s="18" t="b">
        <f t="shared" si="182"/>
        <v>0</v>
      </c>
      <c r="BQ327" s="18" t="b">
        <f>AND(E327&lt;&gt;'Povolené hodnoty'!$B$6,F327&lt;&gt;'Povolené hodnoty'!$D$7,F327&lt;&gt;'Povolené hodnoty'!$D$8,OR(SUM(I327,L327,O327,R327)&lt;&gt;SUM(W327:X327,AA327:AG327),SUM(J327,M327,P327,S327)&lt;&gt;SUM(Y327:Z327,AH327:AK327),COUNT(I327:J327,L327:M327,O327:P327,R327:S327)&lt;&gt;COUNT(W327:AK327)))</f>
        <v>0</v>
      </c>
      <c r="BR327" s="18" t="b">
        <f>OR(AND(E327='Povolené hodnoty'!$B$6,$BR$5),AND(E327='Povolené hodnoty'!$B$6,H327&lt;&gt;'Povolené hodnoty'!$E$26,H327&lt;&gt;'Povolené hodnoty'!$E$35),AND(E327&lt;&gt;'Povolené hodnoty'!$B$6,OR(H327='Povolené hodnoty'!$E$26,H327='Povolené hodnoty'!$E$35)))</f>
        <v>0</v>
      </c>
      <c r="BS327" s="18" t="b">
        <f>OR(AND(G327&lt;&gt;'Povolené hodnoty'!$B$13,OR(H327='Povolené hodnoty'!$E$21,H327='Povolené hodnoty'!$E$22,H327='Povolené hodnoty'!$E$23,H327='Povolené hodnoty'!$E$24,H327='Povolené hodnoty'!$E$26,H327='Povolené hodnoty'!$E$36)),COUNT(I327:J327,L327:M327,O327:P327,R327:S327)&lt;&gt;COUNT(AL327:BM327))</f>
        <v>0</v>
      </c>
      <c r="BT327" s="18" t="b">
        <f t="shared" si="183"/>
        <v>0</v>
      </c>
      <c r="BV327" s="39" t="str">
        <f t="shared" si="184"/>
        <v/>
      </c>
      <c r="BW327" s="458" t="str">
        <f t="shared" si="185"/>
        <v/>
      </c>
      <c r="BX327" s="458" t="str">
        <f t="shared" si="186"/>
        <v/>
      </c>
      <c r="BY327" s="458" t="str">
        <f t="shared" si="187"/>
        <v/>
      </c>
      <c r="BZ327" s="458" t="str">
        <f t="shared" si="188"/>
        <v/>
      </c>
      <c r="CA327" s="40" t="str">
        <f t="shared" si="189"/>
        <v/>
      </c>
      <c r="CB327" s="40" t="str">
        <f t="shared" si="190"/>
        <v/>
      </c>
      <c r="CC327" s="39" t="str">
        <f t="shared" si="191"/>
        <v/>
      </c>
      <c r="CD327" s="458" t="str">
        <f t="shared" si="192"/>
        <v/>
      </c>
      <c r="CE327" s="41" t="str">
        <f t="shared" si="193"/>
        <v/>
      </c>
      <c r="CF327" s="39" t="str">
        <f t="shared" si="194"/>
        <v/>
      </c>
      <c r="CG327" s="458" t="str">
        <f t="shared" si="195"/>
        <v/>
      </c>
      <c r="CH327" s="458" t="str">
        <f t="shared" si="196"/>
        <v/>
      </c>
      <c r="CI327" s="458" t="str">
        <f t="shared" si="197"/>
        <v/>
      </c>
      <c r="CJ327" s="458" t="str">
        <f t="shared" si="198"/>
        <v/>
      </c>
      <c r="CK327" s="40" t="str">
        <f t="shared" si="199"/>
        <v/>
      </c>
      <c r="CL327" s="40" t="str">
        <f t="shared" si="200"/>
        <v/>
      </c>
      <c r="CM327" s="40" t="str">
        <f t="shared" si="201"/>
        <v/>
      </c>
      <c r="CN327" s="39" t="str">
        <f t="shared" si="202"/>
        <v/>
      </c>
      <c r="CO327" s="458" t="str">
        <f t="shared" si="203"/>
        <v/>
      </c>
      <c r="CP327" s="458" t="str">
        <f t="shared" si="204"/>
        <v/>
      </c>
      <c r="CQ327" s="458" t="str">
        <f t="shared" si="205"/>
        <v/>
      </c>
      <c r="CR327" s="458" t="str">
        <f t="shared" si="206"/>
        <v/>
      </c>
      <c r="CS327" s="40" t="str">
        <f t="shared" si="207"/>
        <v/>
      </c>
      <c r="CT327" s="40" t="str">
        <f t="shared" si="208"/>
        <v/>
      </c>
      <c r="CU327" s="41" t="str">
        <f t="shared" si="209"/>
        <v/>
      </c>
    </row>
    <row r="328" spans="1:99" x14ac:dyDescent="0.2">
      <c r="A328" s="77">
        <f t="shared" si="210"/>
        <v>323</v>
      </c>
      <c r="B328" s="81"/>
      <c r="C328" s="82"/>
      <c r="D328" s="71"/>
      <c r="E328" s="72"/>
      <c r="F328" s="73"/>
      <c r="G328" s="443"/>
      <c r="H328" s="443"/>
      <c r="I328" s="74"/>
      <c r="J328" s="75"/>
      <c r="K328" s="41">
        <f t="shared" si="179"/>
        <v>3625</v>
      </c>
      <c r="L328" s="104"/>
      <c r="M328" s="105"/>
      <c r="N328" s="106">
        <f t="shared" si="180"/>
        <v>537.05999999999995</v>
      </c>
      <c r="O328" s="104"/>
      <c r="P328" s="105"/>
      <c r="Q328" s="106">
        <f t="shared" ref="Q328:Q391" si="212">Q327+O328-P328</f>
        <v>10045.83</v>
      </c>
      <c r="R328" s="104"/>
      <c r="S328" s="105"/>
      <c r="T328" s="106">
        <f t="shared" ref="T328:T391" si="213">T327+R328-S328</f>
        <v>0</v>
      </c>
      <c r="U328" s="439"/>
      <c r="V328" s="42">
        <f t="shared" si="181"/>
        <v>323</v>
      </c>
      <c r="W328" s="39" t="str">
        <f>IF(AND(E328='Povolené hodnoty'!$B$4,F328=2),I328+L328+O328+R328,"")</f>
        <v/>
      </c>
      <c r="X328" s="41" t="str">
        <f>IF(AND(E328='Povolené hodnoty'!$B$4,F328=1),I328+L328+O328+R328,"")</f>
        <v/>
      </c>
      <c r="Y328" s="39" t="str">
        <f>IF(AND(E328='Povolené hodnoty'!$B$4,F328=10),J328+M328+P328+S328,"")</f>
        <v/>
      </c>
      <c r="Z328" s="41" t="str">
        <f>IF(AND(E328='Povolené hodnoty'!$B$4,F328=9),J328+M328+P328+S328,"")</f>
        <v/>
      </c>
      <c r="AA328" s="39" t="str">
        <f>IF(AND(E328&lt;&gt;'Povolené hodnoty'!$B$4,F328=2),I328+L328+O328+R328,"")</f>
        <v/>
      </c>
      <c r="AB328" s="40" t="str">
        <f>IF(AND(E328&lt;&gt;'Povolené hodnoty'!$B$4,F328=3),I328+L328+O328+R328,"")</f>
        <v/>
      </c>
      <c r="AC328" s="40" t="str">
        <f>IF(AND(E328&lt;&gt;'Povolené hodnoty'!$B$4,F328=4),I328+L328+O328+R328,"")</f>
        <v/>
      </c>
      <c r="AD328" s="40" t="str">
        <f>IF(AND(E328&lt;&gt;'Povolené hodnoty'!$B$4,F328="5a"),I328-J328+L328-M328+O328-P328+R328-S328,"")</f>
        <v/>
      </c>
      <c r="AE328" s="40" t="str">
        <f>IF(AND(E328&lt;&gt;'Povolené hodnoty'!$B$4,F328="5b"),I328-J328+L328-M328+O328-P328+R328-S328,"")</f>
        <v/>
      </c>
      <c r="AF328" s="40" t="str">
        <f>IF(AND(E328&lt;&gt;'Povolené hodnoty'!$B$4,F328=6),I328+L328+O328+R328,"")</f>
        <v/>
      </c>
      <c r="AG328" s="41" t="str">
        <f>IF(AND(E328&lt;&gt;'Povolené hodnoty'!$B$4,F328=7),I328+L328+O328+R328,"")</f>
        <v/>
      </c>
      <c r="AH328" s="39" t="str">
        <f>IF(AND(E328&lt;&gt;'Povolené hodnoty'!$B$4,F328=10),J328+M328+P328+S328,"")</f>
        <v/>
      </c>
      <c r="AI328" s="40" t="str">
        <f>IF(AND(E328&lt;&gt;'Povolené hodnoty'!$B$4,F328=11),J328+M328+P328+S328,"")</f>
        <v/>
      </c>
      <c r="AJ328" s="40" t="str">
        <f>IF(AND(E328&lt;&gt;'Povolené hodnoty'!$B$4,F328=12),J328+M328+P328+S328,"")</f>
        <v/>
      </c>
      <c r="AK328" s="41" t="str">
        <f>IF(AND(E328&lt;&gt;'Povolené hodnoty'!$B$4,F328=13),J328+M328+P328+S328,"")</f>
        <v/>
      </c>
      <c r="AL328" s="39" t="str">
        <f>IF(AND($G328='Povolené hodnoty'!$B$13,$H328=AL$4),SUM($I328,$L328,$O328,$R328),"")</f>
        <v/>
      </c>
      <c r="AM328" s="458" t="str">
        <f>IF(AND($G328='Povolené hodnoty'!$B$13,$H328=AM$4),SUM($I328,$L328,$O328,$R328),"")</f>
        <v/>
      </c>
      <c r="AN328" s="458" t="str">
        <f>IF(AND($G328='Povolené hodnoty'!$B$13,$H328=AN$4),SUM($I328,$L328,$O328,$R328),"")</f>
        <v/>
      </c>
      <c r="AO328" s="458" t="str">
        <f>IF(AND($G328='Povolené hodnoty'!$B$13,$H328=AO$4),SUM($I328,$L328,$O328,$R328),"")</f>
        <v/>
      </c>
      <c r="AP328" s="458" t="str">
        <f>IF(AND($G328='Povolené hodnoty'!$B$13,$H328=AP$4),SUM($I328,$L328,$O328,$R328),"")</f>
        <v/>
      </c>
      <c r="AQ328" s="40" t="str">
        <f>IF(AND($G328='Povolené hodnoty'!$B$13,OR($H328=AQ$4,$H328='Povolené hodnoty'!$E$36)),SUM($I328,-$J328,$L328,-$M328,$O328,-$P328,$R328,-$S328),"")</f>
        <v/>
      </c>
      <c r="AR328" s="40" t="str">
        <f>IF(AND($G328='Povolené hodnoty'!$B$13,$H328=AR$4),SUM($I328,$L328,$O328,$R328),"")</f>
        <v/>
      </c>
      <c r="AS328" s="41" t="str">
        <f>IF(AND($G328='Povolené hodnoty'!$B$13,$H328=AS$4),SUM($I328,$L328,$O328,$R328),"")</f>
        <v/>
      </c>
      <c r="AT328" s="39" t="str">
        <f>IF(AND($G328='Povolené hodnoty'!$B$14,$H328=AT$4),SUM($I328,$L328,$O328,$R328),"")</f>
        <v/>
      </c>
      <c r="AU328" s="458" t="str">
        <f>IF(AND($G328='Povolené hodnoty'!$B$14,$H328=AU$4),SUM($I328,$L328,$O328,$R328),"")</f>
        <v/>
      </c>
      <c r="AV328" s="41" t="str">
        <f>IF(AND($G328='Povolené hodnoty'!$B$14,$H328=AV$4),SUM($I328,$L328,$O328,$R328),"")</f>
        <v/>
      </c>
      <c r="AW328" s="39" t="str">
        <f>IF(AND($G328='Povolené hodnoty'!$B$13,$H328=AW$4),SUM($J328,$M328,$P328,$S328),"")</f>
        <v/>
      </c>
      <c r="AX328" s="458" t="str">
        <f>IF(AND($G328='Povolené hodnoty'!$B$13,$H328=AX$4),SUM($J328,$M328,$P328,$S328),"")</f>
        <v/>
      </c>
      <c r="AY328" s="458" t="str">
        <f>IF(AND($G328='Povolené hodnoty'!$B$13,$H328=AY$4),SUM($J328,$M328,$P328,$S328),"")</f>
        <v/>
      </c>
      <c r="AZ328" s="458" t="str">
        <f>IF(AND($G328='Povolené hodnoty'!$B$13,$H328=AZ$4),SUM($J328,$M328,$P328,$S328),"")</f>
        <v/>
      </c>
      <c r="BA328" s="458" t="str">
        <f>IF(AND($G328='Povolené hodnoty'!$B$13,$H328=BA$4),SUM($J328,$M328,$P328,$S328),"")</f>
        <v/>
      </c>
      <c r="BB328" s="40" t="str">
        <f>IF(AND($G328='Povolené hodnoty'!$B$13,$H328=BB$4),SUM($J328,$M328,$P328,$S328),"")</f>
        <v/>
      </c>
      <c r="BC328" s="40" t="str">
        <f>IF(AND($G328='Povolené hodnoty'!$B$13,$H328=BC$4),SUM($J328,$M328,$P328,$S328),"")</f>
        <v/>
      </c>
      <c r="BD328" s="40" t="str">
        <f>IF(AND($G328='Povolené hodnoty'!$B$13,$H328=BD$4),SUM($J328,$M328,$P328,$S328),"")</f>
        <v/>
      </c>
      <c r="BE328" s="41" t="str">
        <f>IF(AND($G328='Povolené hodnoty'!$B$13,$H328=BE$4),SUM($J328,$M328,$P328,$S328),"")</f>
        <v/>
      </c>
      <c r="BF328" s="39" t="str">
        <f>IF(AND($G328='Povolené hodnoty'!$B$14,$H328=BF$4),SUM($J328,$M328,$P328,$S328),"")</f>
        <v/>
      </c>
      <c r="BG328" s="458" t="str">
        <f>IF(AND($G328='Povolené hodnoty'!$B$14,$H328=BG$4),SUM($J328,$M328,$P328,$S328),"")</f>
        <v/>
      </c>
      <c r="BH328" s="458" t="str">
        <f>IF(AND($G328='Povolené hodnoty'!$B$14,$H328=BH$4),SUM($J328,$M328,$P328,$S328),"")</f>
        <v/>
      </c>
      <c r="BI328" s="458" t="str">
        <f>IF(AND($G328='Povolené hodnoty'!$B$14,$H328=BI$4),SUM($J328,$M328,$P328,$S328),"")</f>
        <v/>
      </c>
      <c r="BJ328" s="458" t="str">
        <f>IF(AND($G328='Povolené hodnoty'!$B$14,$H328=BJ$4),SUM($J328,$M328,$P328,$S328),"")</f>
        <v/>
      </c>
      <c r="BK328" s="40" t="str">
        <f>IF(AND($G328='Povolené hodnoty'!$B$14,$H328=BK$4),SUM($J328,$M328,$P328,$S328),"")</f>
        <v/>
      </c>
      <c r="BL328" s="40" t="str">
        <f>IF(AND($G328='Povolené hodnoty'!$B$14,$H328=BL$4),SUM($J328,$M328,$P328,$S328),"")</f>
        <v/>
      </c>
      <c r="BM328" s="41" t="str">
        <f>IF(AND($G328='Povolené hodnoty'!$B$14,$H328=BM$4),SUM($J328,$M328,$P328,$S328),"")</f>
        <v/>
      </c>
      <c r="BO328" s="18" t="b">
        <f t="shared" si="211"/>
        <v>0</v>
      </c>
      <c r="BP328" s="18" t="b">
        <f t="shared" si="182"/>
        <v>0</v>
      </c>
      <c r="BQ328" s="18" t="b">
        <f>AND(E328&lt;&gt;'Povolené hodnoty'!$B$6,F328&lt;&gt;'Povolené hodnoty'!$D$7,F328&lt;&gt;'Povolené hodnoty'!$D$8,OR(SUM(I328,L328,O328,R328)&lt;&gt;SUM(W328:X328,AA328:AG328),SUM(J328,M328,P328,S328)&lt;&gt;SUM(Y328:Z328,AH328:AK328),COUNT(I328:J328,L328:M328,O328:P328,R328:S328)&lt;&gt;COUNT(W328:AK328)))</f>
        <v>0</v>
      </c>
      <c r="BR328" s="18" t="b">
        <f>OR(AND(E328='Povolené hodnoty'!$B$6,$BR$5),AND(E328='Povolené hodnoty'!$B$6,H328&lt;&gt;'Povolené hodnoty'!$E$26,H328&lt;&gt;'Povolené hodnoty'!$E$35),AND(E328&lt;&gt;'Povolené hodnoty'!$B$6,OR(H328='Povolené hodnoty'!$E$26,H328='Povolené hodnoty'!$E$35)))</f>
        <v>0</v>
      </c>
      <c r="BS328" s="18" t="b">
        <f>OR(AND(G328&lt;&gt;'Povolené hodnoty'!$B$13,OR(H328='Povolené hodnoty'!$E$21,H328='Povolené hodnoty'!$E$22,H328='Povolené hodnoty'!$E$23,H328='Povolené hodnoty'!$E$24,H328='Povolené hodnoty'!$E$26,H328='Povolené hodnoty'!$E$36)),COUNT(I328:J328,L328:M328,O328:P328,R328:S328)&lt;&gt;COUNT(AL328:BM328))</f>
        <v>0</v>
      </c>
      <c r="BT328" s="18" t="b">
        <f t="shared" si="183"/>
        <v>0</v>
      </c>
      <c r="BV328" s="39" t="str">
        <f t="shared" si="184"/>
        <v/>
      </c>
      <c r="BW328" s="458" t="str">
        <f t="shared" si="185"/>
        <v/>
      </c>
      <c r="BX328" s="458" t="str">
        <f t="shared" si="186"/>
        <v/>
      </c>
      <c r="BY328" s="458" t="str">
        <f t="shared" si="187"/>
        <v/>
      </c>
      <c r="BZ328" s="458" t="str">
        <f t="shared" si="188"/>
        <v/>
      </c>
      <c r="CA328" s="40" t="str">
        <f t="shared" si="189"/>
        <v/>
      </c>
      <c r="CB328" s="40" t="str">
        <f t="shared" si="190"/>
        <v/>
      </c>
      <c r="CC328" s="39" t="str">
        <f t="shared" si="191"/>
        <v/>
      </c>
      <c r="CD328" s="458" t="str">
        <f t="shared" si="192"/>
        <v/>
      </c>
      <c r="CE328" s="41" t="str">
        <f t="shared" si="193"/>
        <v/>
      </c>
      <c r="CF328" s="39" t="str">
        <f t="shared" si="194"/>
        <v/>
      </c>
      <c r="CG328" s="458" t="str">
        <f t="shared" si="195"/>
        <v/>
      </c>
      <c r="CH328" s="458" t="str">
        <f t="shared" si="196"/>
        <v/>
      </c>
      <c r="CI328" s="458" t="str">
        <f t="shared" si="197"/>
        <v/>
      </c>
      <c r="CJ328" s="458" t="str">
        <f t="shared" si="198"/>
        <v/>
      </c>
      <c r="CK328" s="40" t="str">
        <f t="shared" si="199"/>
        <v/>
      </c>
      <c r="CL328" s="40" t="str">
        <f t="shared" si="200"/>
        <v/>
      </c>
      <c r="CM328" s="40" t="str">
        <f t="shared" si="201"/>
        <v/>
      </c>
      <c r="CN328" s="39" t="str">
        <f t="shared" si="202"/>
        <v/>
      </c>
      <c r="CO328" s="458" t="str">
        <f t="shared" si="203"/>
        <v/>
      </c>
      <c r="CP328" s="458" t="str">
        <f t="shared" si="204"/>
        <v/>
      </c>
      <c r="CQ328" s="458" t="str">
        <f t="shared" si="205"/>
        <v/>
      </c>
      <c r="CR328" s="458" t="str">
        <f t="shared" si="206"/>
        <v/>
      </c>
      <c r="CS328" s="40" t="str">
        <f t="shared" si="207"/>
        <v/>
      </c>
      <c r="CT328" s="40" t="str">
        <f t="shared" si="208"/>
        <v/>
      </c>
      <c r="CU328" s="41" t="str">
        <f t="shared" si="209"/>
        <v/>
      </c>
    </row>
    <row r="329" spans="1:99" x14ac:dyDescent="0.2">
      <c r="A329" s="77">
        <f t="shared" si="210"/>
        <v>324</v>
      </c>
      <c r="B329" s="81"/>
      <c r="C329" s="82"/>
      <c r="D329" s="71"/>
      <c r="E329" s="72"/>
      <c r="F329" s="73"/>
      <c r="G329" s="443"/>
      <c r="H329" s="443"/>
      <c r="I329" s="74"/>
      <c r="J329" s="75"/>
      <c r="K329" s="41">
        <f t="shared" si="179"/>
        <v>3625</v>
      </c>
      <c r="L329" s="104"/>
      <c r="M329" s="105"/>
      <c r="N329" s="106">
        <f t="shared" si="180"/>
        <v>537.05999999999995</v>
      </c>
      <c r="O329" s="104"/>
      <c r="P329" s="105"/>
      <c r="Q329" s="106">
        <f t="shared" si="212"/>
        <v>10045.83</v>
      </c>
      <c r="R329" s="104"/>
      <c r="S329" s="105"/>
      <c r="T329" s="106">
        <f t="shared" si="213"/>
        <v>0</v>
      </c>
      <c r="U329" s="439"/>
      <c r="V329" s="42">
        <f t="shared" si="181"/>
        <v>324</v>
      </c>
      <c r="W329" s="39" t="str">
        <f>IF(AND(E329='Povolené hodnoty'!$B$4,F329=2),I329+L329+O329+R329,"")</f>
        <v/>
      </c>
      <c r="X329" s="41" t="str">
        <f>IF(AND(E329='Povolené hodnoty'!$B$4,F329=1),I329+L329+O329+R329,"")</f>
        <v/>
      </c>
      <c r="Y329" s="39" t="str">
        <f>IF(AND(E329='Povolené hodnoty'!$B$4,F329=10),J329+M329+P329+S329,"")</f>
        <v/>
      </c>
      <c r="Z329" s="41" t="str">
        <f>IF(AND(E329='Povolené hodnoty'!$B$4,F329=9),J329+M329+P329+S329,"")</f>
        <v/>
      </c>
      <c r="AA329" s="39" t="str">
        <f>IF(AND(E329&lt;&gt;'Povolené hodnoty'!$B$4,F329=2),I329+L329+O329+R329,"")</f>
        <v/>
      </c>
      <c r="AB329" s="40" t="str">
        <f>IF(AND(E329&lt;&gt;'Povolené hodnoty'!$B$4,F329=3),I329+L329+O329+R329,"")</f>
        <v/>
      </c>
      <c r="AC329" s="40" t="str">
        <f>IF(AND(E329&lt;&gt;'Povolené hodnoty'!$B$4,F329=4),I329+L329+O329+R329,"")</f>
        <v/>
      </c>
      <c r="AD329" s="40" t="str">
        <f>IF(AND(E329&lt;&gt;'Povolené hodnoty'!$B$4,F329="5a"),I329-J329+L329-M329+O329-P329+R329-S329,"")</f>
        <v/>
      </c>
      <c r="AE329" s="40" t="str">
        <f>IF(AND(E329&lt;&gt;'Povolené hodnoty'!$B$4,F329="5b"),I329-J329+L329-M329+O329-P329+R329-S329,"")</f>
        <v/>
      </c>
      <c r="AF329" s="40" t="str">
        <f>IF(AND(E329&lt;&gt;'Povolené hodnoty'!$B$4,F329=6),I329+L329+O329+R329,"")</f>
        <v/>
      </c>
      <c r="AG329" s="41" t="str">
        <f>IF(AND(E329&lt;&gt;'Povolené hodnoty'!$B$4,F329=7),I329+L329+O329+R329,"")</f>
        <v/>
      </c>
      <c r="AH329" s="39" t="str">
        <f>IF(AND(E329&lt;&gt;'Povolené hodnoty'!$B$4,F329=10),J329+M329+P329+S329,"")</f>
        <v/>
      </c>
      <c r="AI329" s="40" t="str">
        <f>IF(AND(E329&lt;&gt;'Povolené hodnoty'!$B$4,F329=11),J329+M329+P329+S329,"")</f>
        <v/>
      </c>
      <c r="AJ329" s="40" t="str">
        <f>IF(AND(E329&lt;&gt;'Povolené hodnoty'!$B$4,F329=12),J329+M329+P329+S329,"")</f>
        <v/>
      </c>
      <c r="AK329" s="41" t="str">
        <f>IF(AND(E329&lt;&gt;'Povolené hodnoty'!$B$4,F329=13),J329+M329+P329+S329,"")</f>
        <v/>
      </c>
      <c r="AL329" s="39" t="str">
        <f>IF(AND($G329='Povolené hodnoty'!$B$13,$H329=AL$4),SUM($I329,$L329,$O329,$R329),"")</f>
        <v/>
      </c>
      <c r="AM329" s="458" t="str">
        <f>IF(AND($G329='Povolené hodnoty'!$B$13,$H329=AM$4),SUM($I329,$L329,$O329,$R329),"")</f>
        <v/>
      </c>
      <c r="AN329" s="458" t="str">
        <f>IF(AND($G329='Povolené hodnoty'!$B$13,$H329=AN$4),SUM($I329,$L329,$O329,$R329),"")</f>
        <v/>
      </c>
      <c r="AO329" s="458" t="str">
        <f>IF(AND($G329='Povolené hodnoty'!$B$13,$H329=AO$4),SUM($I329,$L329,$O329,$R329),"")</f>
        <v/>
      </c>
      <c r="AP329" s="458" t="str">
        <f>IF(AND($G329='Povolené hodnoty'!$B$13,$H329=AP$4),SUM($I329,$L329,$O329,$R329),"")</f>
        <v/>
      </c>
      <c r="AQ329" s="40" t="str">
        <f>IF(AND($G329='Povolené hodnoty'!$B$13,OR($H329=AQ$4,$H329='Povolené hodnoty'!$E$36)),SUM($I329,-$J329,$L329,-$M329,$O329,-$P329,$R329,-$S329),"")</f>
        <v/>
      </c>
      <c r="AR329" s="40" t="str">
        <f>IF(AND($G329='Povolené hodnoty'!$B$13,$H329=AR$4),SUM($I329,$L329,$O329,$R329),"")</f>
        <v/>
      </c>
      <c r="AS329" s="41" t="str">
        <f>IF(AND($G329='Povolené hodnoty'!$B$13,$H329=AS$4),SUM($I329,$L329,$O329,$R329),"")</f>
        <v/>
      </c>
      <c r="AT329" s="39" t="str">
        <f>IF(AND($G329='Povolené hodnoty'!$B$14,$H329=AT$4),SUM($I329,$L329,$O329,$R329),"")</f>
        <v/>
      </c>
      <c r="AU329" s="458" t="str">
        <f>IF(AND($G329='Povolené hodnoty'!$B$14,$H329=AU$4),SUM($I329,$L329,$O329,$R329),"")</f>
        <v/>
      </c>
      <c r="AV329" s="41" t="str">
        <f>IF(AND($G329='Povolené hodnoty'!$B$14,$H329=AV$4),SUM($I329,$L329,$O329,$R329),"")</f>
        <v/>
      </c>
      <c r="AW329" s="39" t="str">
        <f>IF(AND($G329='Povolené hodnoty'!$B$13,$H329=AW$4),SUM($J329,$M329,$P329,$S329),"")</f>
        <v/>
      </c>
      <c r="AX329" s="458" t="str">
        <f>IF(AND($G329='Povolené hodnoty'!$B$13,$H329=AX$4),SUM($J329,$M329,$P329,$S329),"")</f>
        <v/>
      </c>
      <c r="AY329" s="458" t="str">
        <f>IF(AND($G329='Povolené hodnoty'!$B$13,$H329=AY$4),SUM($J329,$M329,$P329,$S329),"")</f>
        <v/>
      </c>
      <c r="AZ329" s="458" t="str">
        <f>IF(AND($G329='Povolené hodnoty'!$B$13,$H329=AZ$4),SUM($J329,$M329,$P329,$S329),"")</f>
        <v/>
      </c>
      <c r="BA329" s="458" t="str">
        <f>IF(AND($G329='Povolené hodnoty'!$B$13,$H329=BA$4),SUM($J329,$M329,$P329,$S329),"")</f>
        <v/>
      </c>
      <c r="BB329" s="40" t="str">
        <f>IF(AND($G329='Povolené hodnoty'!$B$13,$H329=BB$4),SUM($J329,$M329,$P329,$S329),"")</f>
        <v/>
      </c>
      <c r="BC329" s="40" t="str">
        <f>IF(AND($G329='Povolené hodnoty'!$B$13,$H329=BC$4),SUM($J329,$M329,$P329,$S329),"")</f>
        <v/>
      </c>
      <c r="BD329" s="40" t="str">
        <f>IF(AND($G329='Povolené hodnoty'!$B$13,$H329=BD$4),SUM($J329,$M329,$P329,$S329),"")</f>
        <v/>
      </c>
      <c r="BE329" s="41" t="str">
        <f>IF(AND($G329='Povolené hodnoty'!$B$13,$H329=BE$4),SUM($J329,$M329,$P329,$S329),"")</f>
        <v/>
      </c>
      <c r="BF329" s="39" t="str">
        <f>IF(AND($G329='Povolené hodnoty'!$B$14,$H329=BF$4),SUM($J329,$M329,$P329,$S329),"")</f>
        <v/>
      </c>
      <c r="BG329" s="458" t="str">
        <f>IF(AND($G329='Povolené hodnoty'!$B$14,$H329=BG$4),SUM($J329,$M329,$P329,$S329),"")</f>
        <v/>
      </c>
      <c r="BH329" s="458" t="str">
        <f>IF(AND($G329='Povolené hodnoty'!$B$14,$H329=BH$4),SUM($J329,$M329,$P329,$S329),"")</f>
        <v/>
      </c>
      <c r="BI329" s="458" t="str">
        <f>IF(AND($G329='Povolené hodnoty'!$B$14,$H329=BI$4),SUM($J329,$M329,$P329,$S329),"")</f>
        <v/>
      </c>
      <c r="BJ329" s="458" t="str">
        <f>IF(AND($G329='Povolené hodnoty'!$B$14,$H329=BJ$4),SUM($J329,$M329,$P329,$S329),"")</f>
        <v/>
      </c>
      <c r="BK329" s="40" t="str">
        <f>IF(AND($G329='Povolené hodnoty'!$B$14,$H329=BK$4),SUM($J329,$M329,$P329,$S329),"")</f>
        <v/>
      </c>
      <c r="BL329" s="40" t="str">
        <f>IF(AND($G329='Povolené hodnoty'!$B$14,$H329=BL$4),SUM($J329,$M329,$P329,$S329),"")</f>
        <v/>
      </c>
      <c r="BM329" s="41" t="str">
        <f>IF(AND($G329='Povolené hodnoty'!$B$14,$H329=BM$4),SUM($J329,$M329,$P329,$S329),"")</f>
        <v/>
      </c>
      <c r="BO329" s="18" t="b">
        <f t="shared" si="211"/>
        <v>0</v>
      </c>
      <c r="BP329" s="18" t="b">
        <f t="shared" si="182"/>
        <v>0</v>
      </c>
      <c r="BQ329" s="18" t="b">
        <f>AND(E329&lt;&gt;'Povolené hodnoty'!$B$6,F329&lt;&gt;'Povolené hodnoty'!$D$7,F329&lt;&gt;'Povolené hodnoty'!$D$8,OR(SUM(I329,L329,O329,R329)&lt;&gt;SUM(W329:X329,AA329:AG329),SUM(J329,M329,P329,S329)&lt;&gt;SUM(Y329:Z329,AH329:AK329),COUNT(I329:J329,L329:M329,O329:P329,R329:S329)&lt;&gt;COUNT(W329:AK329)))</f>
        <v>0</v>
      </c>
      <c r="BR329" s="18" t="b">
        <f>OR(AND(E329='Povolené hodnoty'!$B$6,$BR$5),AND(E329='Povolené hodnoty'!$B$6,H329&lt;&gt;'Povolené hodnoty'!$E$26,H329&lt;&gt;'Povolené hodnoty'!$E$35),AND(E329&lt;&gt;'Povolené hodnoty'!$B$6,OR(H329='Povolené hodnoty'!$E$26,H329='Povolené hodnoty'!$E$35)))</f>
        <v>0</v>
      </c>
      <c r="BS329" s="18" t="b">
        <f>OR(AND(G329&lt;&gt;'Povolené hodnoty'!$B$13,OR(H329='Povolené hodnoty'!$E$21,H329='Povolené hodnoty'!$E$22,H329='Povolené hodnoty'!$E$23,H329='Povolené hodnoty'!$E$24,H329='Povolené hodnoty'!$E$26,H329='Povolené hodnoty'!$E$36)),COUNT(I329:J329,L329:M329,O329:P329,R329:S329)&lt;&gt;COUNT(AL329:BM329))</f>
        <v>0</v>
      </c>
      <c r="BT329" s="18" t="b">
        <f t="shared" si="183"/>
        <v>0</v>
      </c>
      <c r="BV329" s="39" t="str">
        <f t="shared" si="184"/>
        <v/>
      </c>
      <c r="BW329" s="458" t="str">
        <f t="shared" si="185"/>
        <v/>
      </c>
      <c r="BX329" s="458" t="str">
        <f t="shared" si="186"/>
        <v/>
      </c>
      <c r="BY329" s="458" t="str">
        <f t="shared" si="187"/>
        <v/>
      </c>
      <c r="BZ329" s="458" t="str">
        <f t="shared" si="188"/>
        <v/>
      </c>
      <c r="CA329" s="40" t="str">
        <f t="shared" si="189"/>
        <v/>
      </c>
      <c r="CB329" s="40" t="str">
        <f t="shared" si="190"/>
        <v/>
      </c>
      <c r="CC329" s="39" t="str">
        <f t="shared" si="191"/>
        <v/>
      </c>
      <c r="CD329" s="458" t="str">
        <f t="shared" si="192"/>
        <v/>
      </c>
      <c r="CE329" s="41" t="str">
        <f t="shared" si="193"/>
        <v/>
      </c>
      <c r="CF329" s="39" t="str">
        <f t="shared" si="194"/>
        <v/>
      </c>
      <c r="CG329" s="458" t="str">
        <f t="shared" si="195"/>
        <v/>
      </c>
      <c r="CH329" s="458" t="str">
        <f t="shared" si="196"/>
        <v/>
      </c>
      <c r="CI329" s="458" t="str">
        <f t="shared" si="197"/>
        <v/>
      </c>
      <c r="CJ329" s="458" t="str">
        <f t="shared" si="198"/>
        <v/>
      </c>
      <c r="CK329" s="40" t="str">
        <f t="shared" si="199"/>
        <v/>
      </c>
      <c r="CL329" s="40" t="str">
        <f t="shared" si="200"/>
        <v/>
      </c>
      <c r="CM329" s="40" t="str">
        <f t="shared" si="201"/>
        <v/>
      </c>
      <c r="CN329" s="39" t="str">
        <f t="shared" si="202"/>
        <v/>
      </c>
      <c r="CO329" s="458" t="str">
        <f t="shared" si="203"/>
        <v/>
      </c>
      <c r="CP329" s="458" t="str">
        <f t="shared" si="204"/>
        <v/>
      </c>
      <c r="CQ329" s="458" t="str">
        <f t="shared" si="205"/>
        <v/>
      </c>
      <c r="CR329" s="458" t="str">
        <f t="shared" si="206"/>
        <v/>
      </c>
      <c r="CS329" s="40" t="str">
        <f t="shared" si="207"/>
        <v/>
      </c>
      <c r="CT329" s="40" t="str">
        <f t="shared" si="208"/>
        <v/>
      </c>
      <c r="CU329" s="41" t="str">
        <f t="shared" si="209"/>
        <v/>
      </c>
    </row>
    <row r="330" spans="1:99" x14ac:dyDescent="0.2">
      <c r="A330" s="77">
        <f t="shared" si="210"/>
        <v>325</v>
      </c>
      <c r="B330" s="81"/>
      <c r="C330" s="82"/>
      <c r="D330" s="71"/>
      <c r="E330" s="72"/>
      <c r="F330" s="73"/>
      <c r="G330" s="443"/>
      <c r="H330" s="443"/>
      <c r="I330" s="74"/>
      <c r="J330" s="75"/>
      <c r="K330" s="41">
        <f t="shared" si="179"/>
        <v>3625</v>
      </c>
      <c r="L330" s="104"/>
      <c r="M330" s="105"/>
      <c r="N330" s="106">
        <f t="shared" si="180"/>
        <v>537.05999999999995</v>
      </c>
      <c r="O330" s="104"/>
      <c r="P330" s="105"/>
      <c r="Q330" s="106">
        <f t="shared" si="212"/>
        <v>10045.83</v>
      </c>
      <c r="R330" s="104"/>
      <c r="S330" s="105"/>
      <c r="T330" s="106">
        <f t="shared" si="213"/>
        <v>0</v>
      </c>
      <c r="U330" s="439"/>
      <c r="V330" s="42">
        <f t="shared" si="181"/>
        <v>325</v>
      </c>
      <c r="W330" s="39" t="str">
        <f>IF(AND(E330='Povolené hodnoty'!$B$4,F330=2),I330+L330+O330+R330,"")</f>
        <v/>
      </c>
      <c r="X330" s="41" t="str">
        <f>IF(AND(E330='Povolené hodnoty'!$B$4,F330=1),I330+L330+O330+R330,"")</f>
        <v/>
      </c>
      <c r="Y330" s="39" t="str">
        <f>IF(AND(E330='Povolené hodnoty'!$B$4,F330=10),J330+M330+P330+S330,"")</f>
        <v/>
      </c>
      <c r="Z330" s="41" t="str">
        <f>IF(AND(E330='Povolené hodnoty'!$B$4,F330=9),J330+M330+P330+S330,"")</f>
        <v/>
      </c>
      <c r="AA330" s="39" t="str">
        <f>IF(AND(E330&lt;&gt;'Povolené hodnoty'!$B$4,F330=2),I330+L330+O330+R330,"")</f>
        <v/>
      </c>
      <c r="AB330" s="40" t="str">
        <f>IF(AND(E330&lt;&gt;'Povolené hodnoty'!$B$4,F330=3),I330+L330+O330+R330,"")</f>
        <v/>
      </c>
      <c r="AC330" s="40" t="str">
        <f>IF(AND(E330&lt;&gt;'Povolené hodnoty'!$B$4,F330=4),I330+L330+O330+R330,"")</f>
        <v/>
      </c>
      <c r="AD330" s="40" t="str">
        <f>IF(AND(E330&lt;&gt;'Povolené hodnoty'!$B$4,F330="5a"),I330-J330+L330-M330+O330-P330+R330-S330,"")</f>
        <v/>
      </c>
      <c r="AE330" s="40" t="str">
        <f>IF(AND(E330&lt;&gt;'Povolené hodnoty'!$B$4,F330="5b"),I330-J330+L330-M330+O330-P330+R330-S330,"")</f>
        <v/>
      </c>
      <c r="AF330" s="40" t="str">
        <f>IF(AND(E330&lt;&gt;'Povolené hodnoty'!$B$4,F330=6),I330+L330+O330+R330,"")</f>
        <v/>
      </c>
      <c r="AG330" s="41" t="str">
        <f>IF(AND(E330&lt;&gt;'Povolené hodnoty'!$B$4,F330=7),I330+L330+O330+R330,"")</f>
        <v/>
      </c>
      <c r="AH330" s="39" t="str">
        <f>IF(AND(E330&lt;&gt;'Povolené hodnoty'!$B$4,F330=10),J330+M330+P330+S330,"")</f>
        <v/>
      </c>
      <c r="AI330" s="40" t="str">
        <f>IF(AND(E330&lt;&gt;'Povolené hodnoty'!$B$4,F330=11),J330+M330+P330+S330,"")</f>
        <v/>
      </c>
      <c r="AJ330" s="40" t="str">
        <f>IF(AND(E330&lt;&gt;'Povolené hodnoty'!$B$4,F330=12),J330+M330+P330+S330,"")</f>
        <v/>
      </c>
      <c r="AK330" s="41" t="str">
        <f>IF(AND(E330&lt;&gt;'Povolené hodnoty'!$B$4,F330=13),J330+M330+P330+S330,"")</f>
        <v/>
      </c>
      <c r="AL330" s="39" t="str">
        <f>IF(AND($G330='Povolené hodnoty'!$B$13,$H330=AL$4),SUM($I330,$L330,$O330,$R330),"")</f>
        <v/>
      </c>
      <c r="AM330" s="458" t="str">
        <f>IF(AND($G330='Povolené hodnoty'!$B$13,$H330=AM$4),SUM($I330,$L330,$O330,$R330),"")</f>
        <v/>
      </c>
      <c r="AN330" s="458" t="str">
        <f>IF(AND($G330='Povolené hodnoty'!$B$13,$H330=AN$4),SUM($I330,$L330,$O330,$R330),"")</f>
        <v/>
      </c>
      <c r="AO330" s="458" t="str">
        <f>IF(AND($G330='Povolené hodnoty'!$B$13,$H330=AO$4),SUM($I330,$L330,$O330,$R330),"")</f>
        <v/>
      </c>
      <c r="AP330" s="458" t="str">
        <f>IF(AND($G330='Povolené hodnoty'!$B$13,$H330=AP$4),SUM($I330,$L330,$O330,$R330),"")</f>
        <v/>
      </c>
      <c r="AQ330" s="40" t="str">
        <f>IF(AND($G330='Povolené hodnoty'!$B$13,OR($H330=AQ$4,$H330='Povolené hodnoty'!$E$36)),SUM($I330,-$J330,$L330,-$M330,$O330,-$P330,$R330,-$S330),"")</f>
        <v/>
      </c>
      <c r="AR330" s="40" t="str">
        <f>IF(AND($G330='Povolené hodnoty'!$B$13,$H330=AR$4),SUM($I330,$L330,$O330,$R330),"")</f>
        <v/>
      </c>
      <c r="AS330" s="41" t="str">
        <f>IF(AND($G330='Povolené hodnoty'!$B$13,$H330=AS$4),SUM($I330,$L330,$O330,$R330),"")</f>
        <v/>
      </c>
      <c r="AT330" s="39" t="str">
        <f>IF(AND($G330='Povolené hodnoty'!$B$14,$H330=AT$4),SUM($I330,$L330,$O330,$R330),"")</f>
        <v/>
      </c>
      <c r="AU330" s="458" t="str">
        <f>IF(AND($G330='Povolené hodnoty'!$B$14,$H330=AU$4),SUM($I330,$L330,$O330,$R330),"")</f>
        <v/>
      </c>
      <c r="AV330" s="41" t="str">
        <f>IF(AND($G330='Povolené hodnoty'!$B$14,$H330=AV$4),SUM($I330,$L330,$O330,$R330),"")</f>
        <v/>
      </c>
      <c r="AW330" s="39" t="str">
        <f>IF(AND($G330='Povolené hodnoty'!$B$13,$H330=AW$4),SUM($J330,$M330,$P330,$S330),"")</f>
        <v/>
      </c>
      <c r="AX330" s="458" t="str">
        <f>IF(AND($G330='Povolené hodnoty'!$B$13,$H330=AX$4),SUM($J330,$M330,$P330,$S330),"")</f>
        <v/>
      </c>
      <c r="AY330" s="458" t="str">
        <f>IF(AND($G330='Povolené hodnoty'!$B$13,$H330=AY$4),SUM($J330,$M330,$P330,$S330),"")</f>
        <v/>
      </c>
      <c r="AZ330" s="458" t="str">
        <f>IF(AND($G330='Povolené hodnoty'!$B$13,$H330=AZ$4),SUM($J330,$M330,$P330,$S330),"")</f>
        <v/>
      </c>
      <c r="BA330" s="458" t="str">
        <f>IF(AND($G330='Povolené hodnoty'!$B$13,$H330=BA$4),SUM($J330,$M330,$P330,$S330),"")</f>
        <v/>
      </c>
      <c r="BB330" s="40" t="str">
        <f>IF(AND($G330='Povolené hodnoty'!$B$13,$H330=BB$4),SUM($J330,$M330,$P330,$S330),"")</f>
        <v/>
      </c>
      <c r="BC330" s="40" t="str">
        <f>IF(AND($G330='Povolené hodnoty'!$B$13,$H330=BC$4),SUM($J330,$M330,$P330,$S330),"")</f>
        <v/>
      </c>
      <c r="BD330" s="40" t="str">
        <f>IF(AND($G330='Povolené hodnoty'!$B$13,$H330=BD$4),SUM($J330,$M330,$P330,$S330),"")</f>
        <v/>
      </c>
      <c r="BE330" s="41" t="str">
        <f>IF(AND($G330='Povolené hodnoty'!$B$13,$H330=BE$4),SUM($J330,$M330,$P330,$S330),"")</f>
        <v/>
      </c>
      <c r="BF330" s="39" t="str">
        <f>IF(AND($G330='Povolené hodnoty'!$B$14,$H330=BF$4),SUM($J330,$M330,$P330,$S330),"")</f>
        <v/>
      </c>
      <c r="BG330" s="458" t="str">
        <f>IF(AND($G330='Povolené hodnoty'!$B$14,$H330=BG$4),SUM($J330,$M330,$P330,$S330),"")</f>
        <v/>
      </c>
      <c r="BH330" s="458" t="str">
        <f>IF(AND($G330='Povolené hodnoty'!$B$14,$H330=BH$4),SUM($J330,$M330,$P330,$S330),"")</f>
        <v/>
      </c>
      <c r="BI330" s="458" t="str">
        <f>IF(AND($G330='Povolené hodnoty'!$B$14,$H330=BI$4),SUM($J330,$M330,$P330,$S330),"")</f>
        <v/>
      </c>
      <c r="BJ330" s="458" t="str">
        <f>IF(AND($G330='Povolené hodnoty'!$B$14,$H330=BJ$4),SUM($J330,$M330,$P330,$S330),"")</f>
        <v/>
      </c>
      <c r="BK330" s="40" t="str">
        <f>IF(AND($G330='Povolené hodnoty'!$B$14,$H330=BK$4),SUM($J330,$M330,$P330,$S330),"")</f>
        <v/>
      </c>
      <c r="BL330" s="40" t="str">
        <f>IF(AND($G330='Povolené hodnoty'!$B$14,$H330=BL$4),SUM($J330,$M330,$P330,$S330),"")</f>
        <v/>
      </c>
      <c r="BM330" s="41" t="str">
        <f>IF(AND($G330='Povolené hodnoty'!$B$14,$H330=BM$4),SUM($J330,$M330,$P330,$S330),"")</f>
        <v/>
      </c>
      <c r="BO330" s="18" t="b">
        <f t="shared" si="211"/>
        <v>0</v>
      </c>
      <c r="BP330" s="18" t="b">
        <f t="shared" si="182"/>
        <v>0</v>
      </c>
      <c r="BQ330" s="18" t="b">
        <f>AND(E330&lt;&gt;'Povolené hodnoty'!$B$6,F330&lt;&gt;'Povolené hodnoty'!$D$7,F330&lt;&gt;'Povolené hodnoty'!$D$8,OR(SUM(I330,L330,O330,R330)&lt;&gt;SUM(W330:X330,AA330:AG330),SUM(J330,M330,P330,S330)&lt;&gt;SUM(Y330:Z330,AH330:AK330),COUNT(I330:J330,L330:M330,O330:P330,R330:S330)&lt;&gt;COUNT(W330:AK330)))</f>
        <v>0</v>
      </c>
      <c r="BR330" s="18" t="b">
        <f>OR(AND(E330='Povolené hodnoty'!$B$6,$BR$5),AND(E330='Povolené hodnoty'!$B$6,H330&lt;&gt;'Povolené hodnoty'!$E$26,H330&lt;&gt;'Povolené hodnoty'!$E$35),AND(E330&lt;&gt;'Povolené hodnoty'!$B$6,OR(H330='Povolené hodnoty'!$E$26,H330='Povolené hodnoty'!$E$35)))</f>
        <v>0</v>
      </c>
      <c r="BS330" s="18" t="b">
        <f>OR(AND(G330&lt;&gt;'Povolené hodnoty'!$B$13,OR(H330='Povolené hodnoty'!$E$21,H330='Povolené hodnoty'!$E$22,H330='Povolené hodnoty'!$E$23,H330='Povolené hodnoty'!$E$24,H330='Povolené hodnoty'!$E$26,H330='Povolené hodnoty'!$E$36)),COUNT(I330:J330,L330:M330,O330:P330,R330:S330)&lt;&gt;COUNT(AL330:BM330))</f>
        <v>0</v>
      </c>
      <c r="BT330" s="18" t="b">
        <f t="shared" si="183"/>
        <v>0</v>
      </c>
      <c r="BV330" s="39" t="str">
        <f t="shared" si="184"/>
        <v/>
      </c>
      <c r="BW330" s="458" t="str">
        <f t="shared" si="185"/>
        <v/>
      </c>
      <c r="BX330" s="458" t="str">
        <f t="shared" si="186"/>
        <v/>
      </c>
      <c r="BY330" s="458" t="str">
        <f t="shared" si="187"/>
        <v/>
      </c>
      <c r="BZ330" s="458" t="str">
        <f t="shared" si="188"/>
        <v/>
      </c>
      <c r="CA330" s="40" t="str">
        <f t="shared" si="189"/>
        <v/>
      </c>
      <c r="CB330" s="40" t="str">
        <f t="shared" si="190"/>
        <v/>
      </c>
      <c r="CC330" s="39" t="str">
        <f t="shared" si="191"/>
        <v/>
      </c>
      <c r="CD330" s="458" t="str">
        <f t="shared" si="192"/>
        <v/>
      </c>
      <c r="CE330" s="41" t="str">
        <f t="shared" si="193"/>
        <v/>
      </c>
      <c r="CF330" s="39" t="str">
        <f t="shared" si="194"/>
        <v/>
      </c>
      <c r="CG330" s="458" t="str">
        <f t="shared" si="195"/>
        <v/>
      </c>
      <c r="CH330" s="458" t="str">
        <f t="shared" si="196"/>
        <v/>
      </c>
      <c r="CI330" s="458" t="str">
        <f t="shared" si="197"/>
        <v/>
      </c>
      <c r="CJ330" s="458" t="str">
        <f t="shared" si="198"/>
        <v/>
      </c>
      <c r="CK330" s="40" t="str">
        <f t="shared" si="199"/>
        <v/>
      </c>
      <c r="CL330" s="40" t="str">
        <f t="shared" si="200"/>
        <v/>
      </c>
      <c r="CM330" s="40" t="str">
        <f t="shared" si="201"/>
        <v/>
      </c>
      <c r="CN330" s="39" t="str">
        <f t="shared" si="202"/>
        <v/>
      </c>
      <c r="CO330" s="458" t="str">
        <f t="shared" si="203"/>
        <v/>
      </c>
      <c r="CP330" s="458" t="str">
        <f t="shared" si="204"/>
        <v/>
      </c>
      <c r="CQ330" s="458" t="str">
        <f t="shared" si="205"/>
        <v/>
      </c>
      <c r="CR330" s="458" t="str">
        <f t="shared" si="206"/>
        <v/>
      </c>
      <c r="CS330" s="40" t="str">
        <f t="shared" si="207"/>
        <v/>
      </c>
      <c r="CT330" s="40" t="str">
        <f t="shared" si="208"/>
        <v/>
      </c>
      <c r="CU330" s="41" t="str">
        <f t="shared" si="209"/>
        <v/>
      </c>
    </row>
    <row r="331" spans="1:99" x14ac:dyDescent="0.2">
      <c r="A331" s="77">
        <f t="shared" si="210"/>
        <v>326</v>
      </c>
      <c r="B331" s="81"/>
      <c r="C331" s="82"/>
      <c r="D331" s="71"/>
      <c r="E331" s="72"/>
      <c r="F331" s="73"/>
      <c r="G331" s="443"/>
      <c r="H331" s="443"/>
      <c r="I331" s="74"/>
      <c r="J331" s="75"/>
      <c r="K331" s="41">
        <f t="shared" si="179"/>
        <v>3625</v>
      </c>
      <c r="L331" s="104"/>
      <c r="M331" s="105"/>
      <c r="N331" s="106">
        <f t="shared" si="180"/>
        <v>537.05999999999995</v>
      </c>
      <c r="O331" s="104"/>
      <c r="P331" s="105"/>
      <c r="Q331" s="106">
        <f t="shared" si="212"/>
        <v>10045.83</v>
      </c>
      <c r="R331" s="104"/>
      <c r="S331" s="105"/>
      <c r="T331" s="106">
        <f t="shared" si="213"/>
        <v>0</v>
      </c>
      <c r="U331" s="439"/>
      <c r="V331" s="42">
        <f t="shared" si="181"/>
        <v>326</v>
      </c>
      <c r="W331" s="39" t="str">
        <f>IF(AND(E331='Povolené hodnoty'!$B$4,F331=2),I331+L331+O331+R331,"")</f>
        <v/>
      </c>
      <c r="X331" s="41" t="str">
        <f>IF(AND(E331='Povolené hodnoty'!$B$4,F331=1),I331+L331+O331+R331,"")</f>
        <v/>
      </c>
      <c r="Y331" s="39" t="str">
        <f>IF(AND(E331='Povolené hodnoty'!$B$4,F331=10),J331+M331+P331+S331,"")</f>
        <v/>
      </c>
      <c r="Z331" s="41" t="str">
        <f>IF(AND(E331='Povolené hodnoty'!$B$4,F331=9),J331+M331+P331+S331,"")</f>
        <v/>
      </c>
      <c r="AA331" s="39" t="str">
        <f>IF(AND(E331&lt;&gt;'Povolené hodnoty'!$B$4,F331=2),I331+L331+O331+R331,"")</f>
        <v/>
      </c>
      <c r="AB331" s="40" t="str">
        <f>IF(AND(E331&lt;&gt;'Povolené hodnoty'!$B$4,F331=3),I331+L331+O331+R331,"")</f>
        <v/>
      </c>
      <c r="AC331" s="40" t="str">
        <f>IF(AND(E331&lt;&gt;'Povolené hodnoty'!$B$4,F331=4),I331+L331+O331+R331,"")</f>
        <v/>
      </c>
      <c r="AD331" s="40" t="str">
        <f>IF(AND(E331&lt;&gt;'Povolené hodnoty'!$B$4,F331="5a"),I331-J331+L331-M331+O331-P331+R331-S331,"")</f>
        <v/>
      </c>
      <c r="AE331" s="40" t="str">
        <f>IF(AND(E331&lt;&gt;'Povolené hodnoty'!$B$4,F331="5b"),I331-J331+L331-M331+O331-P331+R331-S331,"")</f>
        <v/>
      </c>
      <c r="AF331" s="40" t="str">
        <f>IF(AND(E331&lt;&gt;'Povolené hodnoty'!$B$4,F331=6),I331+L331+O331+R331,"")</f>
        <v/>
      </c>
      <c r="AG331" s="41" t="str">
        <f>IF(AND(E331&lt;&gt;'Povolené hodnoty'!$B$4,F331=7),I331+L331+O331+R331,"")</f>
        <v/>
      </c>
      <c r="AH331" s="39" t="str">
        <f>IF(AND(E331&lt;&gt;'Povolené hodnoty'!$B$4,F331=10),J331+M331+P331+S331,"")</f>
        <v/>
      </c>
      <c r="AI331" s="40" t="str">
        <f>IF(AND(E331&lt;&gt;'Povolené hodnoty'!$B$4,F331=11),J331+M331+P331+S331,"")</f>
        <v/>
      </c>
      <c r="AJ331" s="40" t="str">
        <f>IF(AND(E331&lt;&gt;'Povolené hodnoty'!$B$4,F331=12),J331+M331+P331+S331,"")</f>
        <v/>
      </c>
      <c r="AK331" s="41" t="str">
        <f>IF(AND(E331&lt;&gt;'Povolené hodnoty'!$B$4,F331=13),J331+M331+P331+S331,"")</f>
        <v/>
      </c>
      <c r="AL331" s="39" t="str">
        <f>IF(AND($G331='Povolené hodnoty'!$B$13,$H331=AL$4),SUM($I331,$L331,$O331,$R331),"")</f>
        <v/>
      </c>
      <c r="AM331" s="458" t="str">
        <f>IF(AND($G331='Povolené hodnoty'!$B$13,$H331=AM$4),SUM($I331,$L331,$O331,$R331),"")</f>
        <v/>
      </c>
      <c r="AN331" s="458" t="str">
        <f>IF(AND($G331='Povolené hodnoty'!$B$13,$H331=AN$4),SUM($I331,$L331,$O331,$R331),"")</f>
        <v/>
      </c>
      <c r="AO331" s="458" t="str">
        <f>IF(AND($G331='Povolené hodnoty'!$B$13,$H331=AO$4),SUM($I331,$L331,$O331,$R331),"")</f>
        <v/>
      </c>
      <c r="AP331" s="458" t="str">
        <f>IF(AND($G331='Povolené hodnoty'!$B$13,$H331=AP$4),SUM($I331,$L331,$O331,$R331),"")</f>
        <v/>
      </c>
      <c r="AQ331" s="40" t="str">
        <f>IF(AND($G331='Povolené hodnoty'!$B$13,OR($H331=AQ$4,$H331='Povolené hodnoty'!$E$36)),SUM($I331,-$J331,$L331,-$M331,$O331,-$P331,$R331,-$S331),"")</f>
        <v/>
      </c>
      <c r="AR331" s="40" t="str">
        <f>IF(AND($G331='Povolené hodnoty'!$B$13,$H331=AR$4),SUM($I331,$L331,$O331,$R331),"")</f>
        <v/>
      </c>
      <c r="AS331" s="41" t="str">
        <f>IF(AND($G331='Povolené hodnoty'!$B$13,$H331=AS$4),SUM($I331,$L331,$O331,$R331),"")</f>
        <v/>
      </c>
      <c r="AT331" s="39" t="str">
        <f>IF(AND($G331='Povolené hodnoty'!$B$14,$H331=AT$4),SUM($I331,$L331,$O331,$R331),"")</f>
        <v/>
      </c>
      <c r="AU331" s="458" t="str">
        <f>IF(AND($G331='Povolené hodnoty'!$B$14,$H331=AU$4),SUM($I331,$L331,$O331,$R331),"")</f>
        <v/>
      </c>
      <c r="AV331" s="41" t="str">
        <f>IF(AND($G331='Povolené hodnoty'!$B$14,$H331=AV$4),SUM($I331,$L331,$O331,$R331),"")</f>
        <v/>
      </c>
      <c r="AW331" s="39" t="str">
        <f>IF(AND($G331='Povolené hodnoty'!$B$13,$H331=AW$4),SUM($J331,$M331,$P331,$S331),"")</f>
        <v/>
      </c>
      <c r="AX331" s="458" t="str">
        <f>IF(AND($G331='Povolené hodnoty'!$B$13,$H331=AX$4),SUM($J331,$M331,$P331,$S331),"")</f>
        <v/>
      </c>
      <c r="AY331" s="458" t="str">
        <f>IF(AND($G331='Povolené hodnoty'!$B$13,$H331=AY$4),SUM($J331,$M331,$P331,$S331),"")</f>
        <v/>
      </c>
      <c r="AZ331" s="458" t="str">
        <f>IF(AND($G331='Povolené hodnoty'!$B$13,$H331=AZ$4),SUM($J331,$M331,$P331,$S331),"")</f>
        <v/>
      </c>
      <c r="BA331" s="458" t="str">
        <f>IF(AND($G331='Povolené hodnoty'!$B$13,$H331=BA$4),SUM($J331,$M331,$P331,$S331),"")</f>
        <v/>
      </c>
      <c r="BB331" s="40" t="str">
        <f>IF(AND($G331='Povolené hodnoty'!$B$13,$H331=BB$4),SUM($J331,$M331,$P331,$S331),"")</f>
        <v/>
      </c>
      <c r="BC331" s="40" t="str">
        <f>IF(AND($G331='Povolené hodnoty'!$B$13,$H331=BC$4),SUM($J331,$M331,$P331,$S331),"")</f>
        <v/>
      </c>
      <c r="BD331" s="40" t="str">
        <f>IF(AND($G331='Povolené hodnoty'!$B$13,$H331=BD$4),SUM($J331,$M331,$P331,$S331),"")</f>
        <v/>
      </c>
      <c r="BE331" s="41" t="str">
        <f>IF(AND($G331='Povolené hodnoty'!$B$13,$H331=BE$4),SUM($J331,$M331,$P331,$S331),"")</f>
        <v/>
      </c>
      <c r="BF331" s="39" t="str">
        <f>IF(AND($G331='Povolené hodnoty'!$B$14,$H331=BF$4),SUM($J331,$M331,$P331,$S331),"")</f>
        <v/>
      </c>
      <c r="BG331" s="458" t="str">
        <f>IF(AND($G331='Povolené hodnoty'!$B$14,$H331=BG$4),SUM($J331,$M331,$P331,$S331),"")</f>
        <v/>
      </c>
      <c r="BH331" s="458" t="str">
        <f>IF(AND($G331='Povolené hodnoty'!$B$14,$H331=BH$4),SUM($J331,$M331,$P331,$S331),"")</f>
        <v/>
      </c>
      <c r="BI331" s="458" t="str">
        <f>IF(AND($G331='Povolené hodnoty'!$B$14,$H331=BI$4),SUM($J331,$M331,$P331,$S331),"")</f>
        <v/>
      </c>
      <c r="BJ331" s="458" t="str">
        <f>IF(AND($G331='Povolené hodnoty'!$B$14,$H331=BJ$4),SUM($J331,$M331,$P331,$S331),"")</f>
        <v/>
      </c>
      <c r="BK331" s="40" t="str">
        <f>IF(AND($G331='Povolené hodnoty'!$B$14,$H331=BK$4),SUM($J331,$M331,$P331,$S331),"")</f>
        <v/>
      </c>
      <c r="BL331" s="40" t="str">
        <f>IF(AND($G331='Povolené hodnoty'!$B$14,$H331=BL$4),SUM($J331,$M331,$P331,$S331),"")</f>
        <v/>
      </c>
      <c r="BM331" s="41" t="str">
        <f>IF(AND($G331='Povolené hodnoty'!$B$14,$H331=BM$4),SUM($J331,$M331,$P331,$S331),"")</f>
        <v/>
      </c>
      <c r="BO331" s="18" t="b">
        <f t="shared" si="211"/>
        <v>0</v>
      </c>
      <c r="BP331" s="18" t="b">
        <f t="shared" si="182"/>
        <v>0</v>
      </c>
      <c r="BQ331" s="18" t="b">
        <f>AND(E331&lt;&gt;'Povolené hodnoty'!$B$6,F331&lt;&gt;'Povolené hodnoty'!$D$7,F331&lt;&gt;'Povolené hodnoty'!$D$8,OR(SUM(I331,L331,O331,R331)&lt;&gt;SUM(W331:X331,AA331:AG331),SUM(J331,M331,P331,S331)&lt;&gt;SUM(Y331:Z331,AH331:AK331),COUNT(I331:J331,L331:M331,O331:P331,R331:S331)&lt;&gt;COUNT(W331:AK331)))</f>
        <v>0</v>
      </c>
      <c r="BR331" s="18" t="b">
        <f>OR(AND(E331='Povolené hodnoty'!$B$6,$BR$5),AND(E331='Povolené hodnoty'!$B$6,H331&lt;&gt;'Povolené hodnoty'!$E$26,H331&lt;&gt;'Povolené hodnoty'!$E$35),AND(E331&lt;&gt;'Povolené hodnoty'!$B$6,OR(H331='Povolené hodnoty'!$E$26,H331='Povolené hodnoty'!$E$35)))</f>
        <v>0</v>
      </c>
      <c r="BS331" s="18" t="b">
        <f>OR(AND(G331&lt;&gt;'Povolené hodnoty'!$B$13,OR(H331='Povolené hodnoty'!$E$21,H331='Povolené hodnoty'!$E$22,H331='Povolené hodnoty'!$E$23,H331='Povolené hodnoty'!$E$24,H331='Povolené hodnoty'!$E$26,H331='Povolené hodnoty'!$E$36)),COUNT(I331:J331,L331:M331,O331:P331,R331:S331)&lt;&gt;COUNT(AL331:BM331))</f>
        <v>0</v>
      </c>
      <c r="BT331" s="18" t="b">
        <f t="shared" si="183"/>
        <v>0</v>
      </c>
      <c r="BV331" s="39" t="str">
        <f t="shared" si="184"/>
        <v/>
      </c>
      <c r="BW331" s="458" t="str">
        <f t="shared" si="185"/>
        <v/>
      </c>
      <c r="BX331" s="458" t="str">
        <f t="shared" si="186"/>
        <v/>
      </c>
      <c r="BY331" s="458" t="str">
        <f t="shared" si="187"/>
        <v/>
      </c>
      <c r="BZ331" s="458" t="str">
        <f t="shared" si="188"/>
        <v/>
      </c>
      <c r="CA331" s="40" t="str">
        <f t="shared" si="189"/>
        <v/>
      </c>
      <c r="CB331" s="40" t="str">
        <f t="shared" si="190"/>
        <v/>
      </c>
      <c r="CC331" s="39" t="str">
        <f t="shared" si="191"/>
        <v/>
      </c>
      <c r="CD331" s="458" t="str">
        <f t="shared" si="192"/>
        <v/>
      </c>
      <c r="CE331" s="41" t="str">
        <f t="shared" si="193"/>
        <v/>
      </c>
      <c r="CF331" s="39" t="str">
        <f t="shared" si="194"/>
        <v/>
      </c>
      <c r="CG331" s="458" t="str">
        <f t="shared" si="195"/>
        <v/>
      </c>
      <c r="CH331" s="458" t="str">
        <f t="shared" si="196"/>
        <v/>
      </c>
      <c r="CI331" s="458" t="str">
        <f t="shared" si="197"/>
        <v/>
      </c>
      <c r="CJ331" s="458" t="str">
        <f t="shared" si="198"/>
        <v/>
      </c>
      <c r="CK331" s="40" t="str">
        <f t="shared" si="199"/>
        <v/>
      </c>
      <c r="CL331" s="40" t="str">
        <f t="shared" si="200"/>
        <v/>
      </c>
      <c r="CM331" s="40" t="str">
        <f t="shared" si="201"/>
        <v/>
      </c>
      <c r="CN331" s="39" t="str">
        <f t="shared" si="202"/>
        <v/>
      </c>
      <c r="CO331" s="458" t="str">
        <f t="shared" si="203"/>
        <v/>
      </c>
      <c r="CP331" s="458" t="str">
        <f t="shared" si="204"/>
        <v/>
      </c>
      <c r="CQ331" s="458" t="str">
        <f t="shared" si="205"/>
        <v/>
      </c>
      <c r="CR331" s="458" t="str">
        <f t="shared" si="206"/>
        <v/>
      </c>
      <c r="CS331" s="40" t="str">
        <f t="shared" si="207"/>
        <v/>
      </c>
      <c r="CT331" s="40" t="str">
        <f t="shared" si="208"/>
        <v/>
      </c>
      <c r="CU331" s="41" t="str">
        <f t="shared" si="209"/>
        <v/>
      </c>
    </row>
    <row r="332" spans="1:99" x14ac:dyDescent="0.2">
      <c r="A332" s="77">
        <f t="shared" si="210"/>
        <v>327</v>
      </c>
      <c r="B332" s="81"/>
      <c r="C332" s="82"/>
      <c r="D332" s="71"/>
      <c r="E332" s="72"/>
      <c r="F332" s="73"/>
      <c r="G332" s="443"/>
      <c r="H332" s="443"/>
      <c r="I332" s="74"/>
      <c r="J332" s="75"/>
      <c r="K332" s="41">
        <f t="shared" si="179"/>
        <v>3625</v>
      </c>
      <c r="L332" s="104"/>
      <c r="M332" s="105"/>
      <c r="N332" s="106">
        <f t="shared" si="180"/>
        <v>537.05999999999995</v>
      </c>
      <c r="O332" s="104"/>
      <c r="P332" s="105"/>
      <c r="Q332" s="106">
        <f t="shared" si="212"/>
        <v>10045.83</v>
      </c>
      <c r="R332" s="104"/>
      <c r="S332" s="105"/>
      <c r="T332" s="106">
        <f t="shared" si="213"/>
        <v>0</v>
      </c>
      <c r="U332" s="439"/>
      <c r="V332" s="42">
        <f t="shared" si="181"/>
        <v>327</v>
      </c>
      <c r="W332" s="39" t="str">
        <f>IF(AND(E332='Povolené hodnoty'!$B$4,F332=2),I332+L332+O332+R332,"")</f>
        <v/>
      </c>
      <c r="X332" s="41" t="str">
        <f>IF(AND(E332='Povolené hodnoty'!$B$4,F332=1),I332+L332+O332+R332,"")</f>
        <v/>
      </c>
      <c r="Y332" s="39" t="str">
        <f>IF(AND(E332='Povolené hodnoty'!$B$4,F332=10),J332+M332+P332+S332,"")</f>
        <v/>
      </c>
      <c r="Z332" s="41" t="str">
        <f>IF(AND(E332='Povolené hodnoty'!$B$4,F332=9),J332+M332+P332+S332,"")</f>
        <v/>
      </c>
      <c r="AA332" s="39" t="str">
        <f>IF(AND(E332&lt;&gt;'Povolené hodnoty'!$B$4,F332=2),I332+L332+O332+R332,"")</f>
        <v/>
      </c>
      <c r="AB332" s="40" t="str">
        <f>IF(AND(E332&lt;&gt;'Povolené hodnoty'!$B$4,F332=3),I332+L332+O332+R332,"")</f>
        <v/>
      </c>
      <c r="AC332" s="40" t="str">
        <f>IF(AND(E332&lt;&gt;'Povolené hodnoty'!$B$4,F332=4),I332+L332+O332+R332,"")</f>
        <v/>
      </c>
      <c r="AD332" s="40" t="str">
        <f>IF(AND(E332&lt;&gt;'Povolené hodnoty'!$B$4,F332="5a"),I332-J332+L332-M332+O332-P332+R332-S332,"")</f>
        <v/>
      </c>
      <c r="AE332" s="40" t="str">
        <f>IF(AND(E332&lt;&gt;'Povolené hodnoty'!$B$4,F332="5b"),I332-J332+L332-M332+O332-P332+R332-S332,"")</f>
        <v/>
      </c>
      <c r="AF332" s="40" t="str">
        <f>IF(AND(E332&lt;&gt;'Povolené hodnoty'!$B$4,F332=6),I332+L332+O332+R332,"")</f>
        <v/>
      </c>
      <c r="AG332" s="41" t="str">
        <f>IF(AND(E332&lt;&gt;'Povolené hodnoty'!$B$4,F332=7),I332+L332+O332+R332,"")</f>
        <v/>
      </c>
      <c r="AH332" s="39" t="str">
        <f>IF(AND(E332&lt;&gt;'Povolené hodnoty'!$B$4,F332=10),J332+M332+P332+S332,"")</f>
        <v/>
      </c>
      <c r="AI332" s="40" t="str">
        <f>IF(AND(E332&lt;&gt;'Povolené hodnoty'!$B$4,F332=11),J332+M332+P332+S332,"")</f>
        <v/>
      </c>
      <c r="AJ332" s="40" t="str">
        <f>IF(AND(E332&lt;&gt;'Povolené hodnoty'!$B$4,F332=12),J332+M332+P332+S332,"")</f>
        <v/>
      </c>
      <c r="AK332" s="41" t="str">
        <f>IF(AND(E332&lt;&gt;'Povolené hodnoty'!$B$4,F332=13),J332+M332+P332+S332,"")</f>
        <v/>
      </c>
      <c r="AL332" s="39" t="str">
        <f>IF(AND($G332='Povolené hodnoty'!$B$13,$H332=AL$4),SUM($I332,$L332,$O332,$R332),"")</f>
        <v/>
      </c>
      <c r="AM332" s="458" t="str">
        <f>IF(AND($G332='Povolené hodnoty'!$B$13,$H332=AM$4),SUM($I332,$L332,$O332,$R332),"")</f>
        <v/>
      </c>
      <c r="AN332" s="458" t="str">
        <f>IF(AND($G332='Povolené hodnoty'!$B$13,$H332=AN$4),SUM($I332,$L332,$O332,$R332),"")</f>
        <v/>
      </c>
      <c r="AO332" s="458" t="str">
        <f>IF(AND($G332='Povolené hodnoty'!$B$13,$H332=AO$4),SUM($I332,$L332,$O332,$R332),"")</f>
        <v/>
      </c>
      <c r="AP332" s="458" t="str">
        <f>IF(AND($G332='Povolené hodnoty'!$B$13,$H332=AP$4),SUM($I332,$L332,$O332,$R332),"")</f>
        <v/>
      </c>
      <c r="AQ332" s="40" t="str">
        <f>IF(AND($G332='Povolené hodnoty'!$B$13,OR($H332=AQ$4,$H332='Povolené hodnoty'!$E$36)),SUM($I332,-$J332,$L332,-$M332,$O332,-$P332,$R332,-$S332),"")</f>
        <v/>
      </c>
      <c r="AR332" s="40" t="str">
        <f>IF(AND($G332='Povolené hodnoty'!$B$13,$H332=AR$4),SUM($I332,$L332,$O332,$R332),"")</f>
        <v/>
      </c>
      <c r="AS332" s="41" t="str">
        <f>IF(AND($G332='Povolené hodnoty'!$B$13,$H332=AS$4),SUM($I332,$L332,$O332,$R332),"")</f>
        <v/>
      </c>
      <c r="AT332" s="39" t="str">
        <f>IF(AND($G332='Povolené hodnoty'!$B$14,$H332=AT$4),SUM($I332,$L332,$O332,$R332),"")</f>
        <v/>
      </c>
      <c r="AU332" s="458" t="str">
        <f>IF(AND($G332='Povolené hodnoty'!$B$14,$H332=AU$4),SUM($I332,$L332,$O332,$R332),"")</f>
        <v/>
      </c>
      <c r="AV332" s="41" t="str">
        <f>IF(AND($G332='Povolené hodnoty'!$B$14,$H332=AV$4),SUM($I332,$L332,$O332,$R332),"")</f>
        <v/>
      </c>
      <c r="AW332" s="39" t="str">
        <f>IF(AND($G332='Povolené hodnoty'!$B$13,$H332=AW$4),SUM($J332,$M332,$P332,$S332),"")</f>
        <v/>
      </c>
      <c r="AX332" s="458" t="str">
        <f>IF(AND($G332='Povolené hodnoty'!$B$13,$H332=AX$4),SUM($J332,$M332,$P332,$S332),"")</f>
        <v/>
      </c>
      <c r="AY332" s="458" t="str">
        <f>IF(AND($G332='Povolené hodnoty'!$B$13,$H332=AY$4),SUM($J332,$M332,$P332,$S332),"")</f>
        <v/>
      </c>
      <c r="AZ332" s="458" t="str">
        <f>IF(AND($G332='Povolené hodnoty'!$B$13,$H332=AZ$4),SUM($J332,$M332,$P332,$S332),"")</f>
        <v/>
      </c>
      <c r="BA332" s="458" t="str">
        <f>IF(AND($G332='Povolené hodnoty'!$B$13,$H332=BA$4),SUM($J332,$M332,$P332,$S332),"")</f>
        <v/>
      </c>
      <c r="BB332" s="40" t="str">
        <f>IF(AND($G332='Povolené hodnoty'!$B$13,$H332=BB$4),SUM($J332,$M332,$P332,$S332),"")</f>
        <v/>
      </c>
      <c r="BC332" s="40" t="str">
        <f>IF(AND($G332='Povolené hodnoty'!$B$13,$H332=BC$4),SUM($J332,$M332,$P332,$S332),"")</f>
        <v/>
      </c>
      <c r="BD332" s="40" t="str">
        <f>IF(AND($G332='Povolené hodnoty'!$B$13,$H332=BD$4),SUM($J332,$M332,$P332,$S332),"")</f>
        <v/>
      </c>
      <c r="BE332" s="41" t="str">
        <f>IF(AND($G332='Povolené hodnoty'!$B$13,$H332=BE$4),SUM($J332,$M332,$P332,$S332),"")</f>
        <v/>
      </c>
      <c r="BF332" s="39" t="str">
        <f>IF(AND($G332='Povolené hodnoty'!$B$14,$H332=BF$4),SUM($J332,$M332,$P332,$S332),"")</f>
        <v/>
      </c>
      <c r="BG332" s="458" t="str">
        <f>IF(AND($G332='Povolené hodnoty'!$B$14,$H332=BG$4),SUM($J332,$M332,$P332,$S332),"")</f>
        <v/>
      </c>
      <c r="BH332" s="458" t="str">
        <f>IF(AND($G332='Povolené hodnoty'!$B$14,$H332=BH$4),SUM($J332,$M332,$P332,$S332),"")</f>
        <v/>
      </c>
      <c r="BI332" s="458" t="str">
        <f>IF(AND($G332='Povolené hodnoty'!$B$14,$H332=BI$4),SUM($J332,$M332,$P332,$S332),"")</f>
        <v/>
      </c>
      <c r="BJ332" s="458" t="str">
        <f>IF(AND($G332='Povolené hodnoty'!$B$14,$H332=BJ$4),SUM($J332,$M332,$P332,$S332),"")</f>
        <v/>
      </c>
      <c r="BK332" s="40" t="str">
        <f>IF(AND($G332='Povolené hodnoty'!$B$14,$H332=BK$4),SUM($J332,$M332,$P332,$S332),"")</f>
        <v/>
      </c>
      <c r="BL332" s="40" t="str">
        <f>IF(AND($G332='Povolené hodnoty'!$B$14,$H332=BL$4),SUM($J332,$M332,$P332,$S332),"")</f>
        <v/>
      </c>
      <c r="BM332" s="41" t="str">
        <f>IF(AND($G332='Povolené hodnoty'!$B$14,$H332=BM$4),SUM($J332,$M332,$P332,$S332),"")</f>
        <v/>
      </c>
      <c r="BO332" s="18" t="b">
        <f t="shared" si="211"/>
        <v>0</v>
      </c>
      <c r="BP332" s="18" t="b">
        <f t="shared" si="182"/>
        <v>0</v>
      </c>
      <c r="BQ332" s="18" t="b">
        <f>AND(E332&lt;&gt;'Povolené hodnoty'!$B$6,F332&lt;&gt;'Povolené hodnoty'!$D$7,F332&lt;&gt;'Povolené hodnoty'!$D$8,OR(SUM(I332,L332,O332,R332)&lt;&gt;SUM(W332:X332,AA332:AG332),SUM(J332,M332,P332,S332)&lt;&gt;SUM(Y332:Z332,AH332:AK332),COUNT(I332:J332,L332:M332,O332:P332,R332:S332)&lt;&gt;COUNT(W332:AK332)))</f>
        <v>0</v>
      </c>
      <c r="BR332" s="18" t="b">
        <f>OR(AND(E332='Povolené hodnoty'!$B$6,$BR$5),AND(E332='Povolené hodnoty'!$B$6,H332&lt;&gt;'Povolené hodnoty'!$E$26,H332&lt;&gt;'Povolené hodnoty'!$E$35),AND(E332&lt;&gt;'Povolené hodnoty'!$B$6,OR(H332='Povolené hodnoty'!$E$26,H332='Povolené hodnoty'!$E$35)))</f>
        <v>0</v>
      </c>
      <c r="BS332" s="18" t="b">
        <f>OR(AND(G332&lt;&gt;'Povolené hodnoty'!$B$13,OR(H332='Povolené hodnoty'!$E$21,H332='Povolené hodnoty'!$E$22,H332='Povolené hodnoty'!$E$23,H332='Povolené hodnoty'!$E$24,H332='Povolené hodnoty'!$E$26,H332='Povolené hodnoty'!$E$36)),COUNT(I332:J332,L332:M332,O332:P332,R332:S332)&lt;&gt;COUNT(AL332:BM332))</f>
        <v>0</v>
      </c>
      <c r="BT332" s="18" t="b">
        <f t="shared" si="183"/>
        <v>0</v>
      </c>
      <c r="BV332" s="39" t="str">
        <f t="shared" si="184"/>
        <v/>
      </c>
      <c r="BW332" s="458" t="str">
        <f t="shared" si="185"/>
        <v/>
      </c>
      <c r="BX332" s="458" t="str">
        <f t="shared" si="186"/>
        <v/>
      </c>
      <c r="BY332" s="458" t="str">
        <f t="shared" si="187"/>
        <v/>
      </c>
      <c r="BZ332" s="458" t="str">
        <f t="shared" si="188"/>
        <v/>
      </c>
      <c r="CA332" s="40" t="str">
        <f t="shared" si="189"/>
        <v/>
      </c>
      <c r="CB332" s="40" t="str">
        <f t="shared" si="190"/>
        <v/>
      </c>
      <c r="CC332" s="39" t="str">
        <f t="shared" si="191"/>
        <v/>
      </c>
      <c r="CD332" s="458" t="str">
        <f t="shared" si="192"/>
        <v/>
      </c>
      <c r="CE332" s="41" t="str">
        <f t="shared" si="193"/>
        <v/>
      </c>
      <c r="CF332" s="39" t="str">
        <f t="shared" si="194"/>
        <v/>
      </c>
      <c r="CG332" s="458" t="str">
        <f t="shared" si="195"/>
        <v/>
      </c>
      <c r="CH332" s="458" t="str">
        <f t="shared" si="196"/>
        <v/>
      </c>
      <c r="CI332" s="458" t="str">
        <f t="shared" si="197"/>
        <v/>
      </c>
      <c r="CJ332" s="458" t="str">
        <f t="shared" si="198"/>
        <v/>
      </c>
      <c r="CK332" s="40" t="str">
        <f t="shared" si="199"/>
        <v/>
      </c>
      <c r="CL332" s="40" t="str">
        <f t="shared" si="200"/>
        <v/>
      </c>
      <c r="CM332" s="40" t="str">
        <f t="shared" si="201"/>
        <v/>
      </c>
      <c r="CN332" s="39" t="str">
        <f t="shared" si="202"/>
        <v/>
      </c>
      <c r="CO332" s="458" t="str">
        <f t="shared" si="203"/>
        <v/>
      </c>
      <c r="CP332" s="458" t="str">
        <f t="shared" si="204"/>
        <v/>
      </c>
      <c r="CQ332" s="458" t="str">
        <f t="shared" si="205"/>
        <v/>
      </c>
      <c r="CR332" s="458" t="str">
        <f t="shared" si="206"/>
        <v/>
      </c>
      <c r="CS332" s="40" t="str">
        <f t="shared" si="207"/>
        <v/>
      </c>
      <c r="CT332" s="40" t="str">
        <f t="shared" si="208"/>
        <v/>
      </c>
      <c r="CU332" s="41" t="str">
        <f t="shared" si="209"/>
        <v/>
      </c>
    </row>
    <row r="333" spans="1:99" x14ac:dyDescent="0.2">
      <c r="A333" s="77">
        <f t="shared" si="210"/>
        <v>328</v>
      </c>
      <c r="B333" s="81"/>
      <c r="C333" s="82"/>
      <c r="D333" s="71"/>
      <c r="E333" s="72"/>
      <c r="F333" s="73"/>
      <c r="G333" s="443"/>
      <c r="H333" s="443"/>
      <c r="I333" s="74"/>
      <c r="J333" s="75"/>
      <c r="K333" s="41">
        <f t="shared" si="179"/>
        <v>3625</v>
      </c>
      <c r="L333" s="104"/>
      <c r="M333" s="105"/>
      <c r="N333" s="106">
        <f t="shared" si="180"/>
        <v>537.05999999999995</v>
      </c>
      <c r="O333" s="104"/>
      <c r="P333" s="105"/>
      <c r="Q333" s="106">
        <f t="shared" si="212"/>
        <v>10045.83</v>
      </c>
      <c r="R333" s="104"/>
      <c r="S333" s="105"/>
      <c r="T333" s="106">
        <f t="shared" si="213"/>
        <v>0</v>
      </c>
      <c r="U333" s="439"/>
      <c r="V333" s="42">
        <f t="shared" si="181"/>
        <v>328</v>
      </c>
      <c r="W333" s="39" t="str">
        <f>IF(AND(E333='Povolené hodnoty'!$B$4,F333=2),I333+L333+O333+R333,"")</f>
        <v/>
      </c>
      <c r="X333" s="41" t="str">
        <f>IF(AND(E333='Povolené hodnoty'!$B$4,F333=1),I333+L333+O333+R333,"")</f>
        <v/>
      </c>
      <c r="Y333" s="39" t="str">
        <f>IF(AND(E333='Povolené hodnoty'!$B$4,F333=10),J333+M333+P333+S333,"")</f>
        <v/>
      </c>
      <c r="Z333" s="41" t="str">
        <f>IF(AND(E333='Povolené hodnoty'!$B$4,F333=9),J333+M333+P333+S333,"")</f>
        <v/>
      </c>
      <c r="AA333" s="39" t="str">
        <f>IF(AND(E333&lt;&gt;'Povolené hodnoty'!$B$4,F333=2),I333+L333+O333+R333,"")</f>
        <v/>
      </c>
      <c r="AB333" s="40" t="str">
        <f>IF(AND(E333&lt;&gt;'Povolené hodnoty'!$B$4,F333=3),I333+L333+O333+R333,"")</f>
        <v/>
      </c>
      <c r="AC333" s="40" t="str">
        <f>IF(AND(E333&lt;&gt;'Povolené hodnoty'!$B$4,F333=4),I333+L333+O333+R333,"")</f>
        <v/>
      </c>
      <c r="AD333" s="40" t="str">
        <f>IF(AND(E333&lt;&gt;'Povolené hodnoty'!$B$4,F333="5a"),I333-J333+L333-M333+O333-P333+R333-S333,"")</f>
        <v/>
      </c>
      <c r="AE333" s="40" t="str">
        <f>IF(AND(E333&lt;&gt;'Povolené hodnoty'!$B$4,F333="5b"),I333-J333+L333-M333+O333-P333+R333-S333,"")</f>
        <v/>
      </c>
      <c r="AF333" s="40" t="str">
        <f>IF(AND(E333&lt;&gt;'Povolené hodnoty'!$B$4,F333=6),I333+L333+O333+R333,"")</f>
        <v/>
      </c>
      <c r="AG333" s="41" t="str">
        <f>IF(AND(E333&lt;&gt;'Povolené hodnoty'!$B$4,F333=7),I333+L333+O333+R333,"")</f>
        <v/>
      </c>
      <c r="AH333" s="39" t="str">
        <f>IF(AND(E333&lt;&gt;'Povolené hodnoty'!$B$4,F333=10),J333+M333+P333+S333,"")</f>
        <v/>
      </c>
      <c r="AI333" s="40" t="str">
        <f>IF(AND(E333&lt;&gt;'Povolené hodnoty'!$B$4,F333=11),J333+M333+P333+S333,"")</f>
        <v/>
      </c>
      <c r="AJ333" s="40" t="str">
        <f>IF(AND(E333&lt;&gt;'Povolené hodnoty'!$B$4,F333=12),J333+M333+P333+S333,"")</f>
        <v/>
      </c>
      <c r="AK333" s="41" t="str">
        <f>IF(AND(E333&lt;&gt;'Povolené hodnoty'!$B$4,F333=13),J333+M333+P333+S333,"")</f>
        <v/>
      </c>
      <c r="AL333" s="39" t="str">
        <f>IF(AND($G333='Povolené hodnoty'!$B$13,$H333=AL$4),SUM($I333,$L333,$O333,$R333),"")</f>
        <v/>
      </c>
      <c r="AM333" s="458" t="str">
        <f>IF(AND($G333='Povolené hodnoty'!$B$13,$H333=AM$4),SUM($I333,$L333,$O333,$R333),"")</f>
        <v/>
      </c>
      <c r="AN333" s="458" t="str">
        <f>IF(AND($G333='Povolené hodnoty'!$B$13,$H333=AN$4),SUM($I333,$L333,$O333,$R333),"")</f>
        <v/>
      </c>
      <c r="AO333" s="458" t="str">
        <f>IF(AND($G333='Povolené hodnoty'!$B$13,$H333=AO$4),SUM($I333,$L333,$O333,$R333),"")</f>
        <v/>
      </c>
      <c r="AP333" s="458" t="str">
        <f>IF(AND($G333='Povolené hodnoty'!$B$13,$H333=AP$4),SUM($I333,$L333,$O333,$R333),"")</f>
        <v/>
      </c>
      <c r="AQ333" s="40" t="str">
        <f>IF(AND($G333='Povolené hodnoty'!$B$13,OR($H333=AQ$4,$H333='Povolené hodnoty'!$E$36)),SUM($I333,-$J333,$L333,-$M333,$O333,-$P333,$R333,-$S333),"")</f>
        <v/>
      </c>
      <c r="AR333" s="40" t="str">
        <f>IF(AND($G333='Povolené hodnoty'!$B$13,$H333=AR$4),SUM($I333,$L333,$O333,$R333),"")</f>
        <v/>
      </c>
      <c r="AS333" s="41" t="str">
        <f>IF(AND($G333='Povolené hodnoty'!$B$13,$H333=AS$4),SUM($I333,$L333,$O333,$R333),"")</f>
        <v/>
      </c>
      <c r="AT333" s="39" t="str">
        <f>IF(AND($G333='Povolené hodnoty'!$B$14,$H333=AT$4),SUM($I333,$L333,$O333,$R333),"")</f>
        <v/>
      </c>
      <c r="AU333" s="458" t="str">
        <f>IF(AND($G333='Povolené hodnoty'!$B$14,$H333=AU$4),SUM($I333,$L333,$O333,$R333),"")</f>
        <v/>
      </c>
      <c r="AV333" s="41" t="str">
        <f>IF(AND($G333='Povolené hodnoty'!$B$14,$H333=AV$4),SUM($I333,$L333,$O333,$R333),"")</f>
        <v/>
      </c>
      <c r="AW333" s="39" t="str">
        <f>IF(AND($G333='Povolené hodnoty'!$B$13,$H333=AW$4),SUM($J333,$M333,$P333,$S333),"")</f>
        <v/>
      </c>
      <c r="AX333" s="458" t="str">
        <f>IF(AND($G333='Povolené hodnoty'!$B$13,$H333=AX$4),SUM($J333,$M333,$P333,$S333),"")</f>
        <v/>
      </c>
      <c r="AY333" s="458" t="str">
        <f>IF(AND($G333='Povolené hodnoty'!$B$13,$H333=AY$4),SUM($J333,$M333,$P333,$S333),"")</f>
        <v/>
      </c>
      <c r="AZ333" s="458" t="str">
        <f>IF(AND($G333='Povolené hodnoty'!$B$13,$H333=AZ$4),SUM($J333,$M333,$P333,$S333),"")</f>
        <v/>
      </c>
      <c r="BA333" s="458" t="str">
        <f>IF(AND($G333='Povolené hodnoty'!$B$13,$H333=BA$4),SUM($J333,$M333,$P333,$S333),"")</f>
        <v/>
      </c>
      <c r="BB333" s="40" t="str">
        <f>IF(AND($G333='Povolené hodnoty'!$B$13,$H333=BB$4),SUM($J333,$M333,$P333,$S333),"")</f>
        <v/>
      </c>
      <c r="BC333" s="40" t="str">
        <f>IF(AND($G333='Povolené hodnoty'!$B$13,$H333=BC$4),SUM($J333,$M333,$P333,$S333),"")</f>
        <v/>
      </c>
      <c r="BD333" s="40" t="str">
        <f>IF(AND($G333='Povolené hodnoty'!$B$13,$H333=BD$4),SUM($J333,$M333,$P333,$S333),"")</f>
        <v/>
      </c>
      <c r="BE333" s="41" t="str">
        <f>IF(AND($G333='Povolené hodnoty'!$B$13,$H333=BE$4),SUM($J333,$M333,$P333,$S333),"")</f>
        <v/>
      </c>
      <c r="BF333" s="39" t="str">
        <f>IF(AND($G333='Povolené hodnoty'!$B$14,$H333=BF$4),SUM($J333,$M333,$P333,$S333),"")</f>
        <v/>
      </c>
      <c r="BG333" s="458" t="str">
        <f>IF(AND($G333='Povolené hodnoty'!$B$14,$H333=BG$4),SUM($J333,$M333,$P333,$S333),"")</f>
        <v/>
      </c>
      <c r="BH333" s="458" t="str">
        <f>IF(AND($G333='Povolené hodnoty'!$B$14,$H333=BH$4),SUM($J333,$M333,$P333,$S333),"")</f>
        <v/>
      </c>
      <c r="BI333" s="458" t="str">
        <f>IF(AND($G333='Povolené hodnoty'!$B$14,$H333=BI$4),SUM($J333,$M333,$P333,$S333),"")</f>
        <v/>
      </c>
      <c r="BJ333" s="458" t="str">
        <f>IF(AND($G333='Povolené hodnoty'!$B$14,$H333=BJ$4),SUM($J333,$M333,$P333,$S333),"")</f>
        <v/>
      </c>
      <c r="BK333" s="40" t="str">
        <f>IF(AND($G333='Povolené hodnoty'!$B$14,$H333=BK$4),SUM($J333,$M333,$P333,$S333),"")</f>
        <v/>
      </c>
      <c r="BL333" s="40" t="str">
        <f>IF(AND($G333='Povolené hodnoty'!$B$14,$H333=BL$4),SUM($J333,$M333,$P333,$S333),"")</f>
        <v/>
      </c>
      <c r="BM333" s="41" t="str">
        <f>IF(AND($G333='Povolené hodnoty'!$B$14,$H333=BM$4),SUM($J333,$M333,$P333,$S333),"")</f>
        <v/>
      </c>
      <c r="BO333" s="18" t="b">
        <f t="shared" si="211"/>
        <v>0</v>
      </c>
      <c r="BP333" s="18" t="b">
        <f t="shared" si="182"/>
        <v>0</v>
      </c>
      <c r="BQ333" s="18" t="b">
        <f>AND(E333&lt;&gt;'Povolené hodnoty'!$B$6,F333&lt;&gt;'Povolené hodnoty'!$D$7,F333&lt;&gt;'Povolené hodnoty'!$D$8,OR(SUM(I333,L333,O333,R333)&lt;&gt;SUM(W333:X333,AA333:AG333),SUM(J333,M333,P333,S333)&lt;&gt;SUM(Y333:Z333,AH333:AK333),COUNT(I333:J333,L333:M333,O333:P333,R333:S333)&lt;&gt;COUNT(W333:AK333)))</f>
        <v>0</v>
      </c>
      <c r="BR333" s="18" t="b">
        <f>OR(AND(E333='Povolené hodnoty'!$B$6,$BR$5),AND(E333='Povolené hodnoty'!$B$6,H333&lt;&gt;'Povolené hodnoty'!$E$26,H333&lt;&gt;'Povolené hodnoty'!$E$35),AND(E333&lt;&gt;'Povolené hodnoty'!$B$6,OR(H333='Povolené hodnoty'!$E$26,H333='Povolené hodnoty'!$E$35)))</f>
        <v>0</v>
      </c>
      <c r="BS333" s="18" t="b">
        <f>OR(AND(G333&lt;&gt;'Povolené hodnoty'!$B$13,OR(H333='Povolené hodnoty'!$E$21,H333='Povolené hodnoty'!$E$22,H333='Povolené hodnoty'!$E$23,H333='Povolené hodnoty'!$E$24,H333='Povolené hodnoty'!$E$26,H333='Povolené hodnoty'!$E$36)),COUNT(I333:J333,L333:M333,O333:P333,R333:S333)&lt;&gt;COUNT(AL333:BM333))</f>
        <v>0</v>
      </c>
      <c r="BT333" s="18" t="b">
        <f t="shared" si="183"/>
        <v>0</v>
      </c>
      <c r="BV333" s="39" t="str">
        <f t="shared" si="184"/>
        <v/>
      </c>
      <c r="BW333" s="458" t="str">
        <f t="shared" si="185"/>
        <v/>
      </c>
      <c r="BX333" s="458" t="str">
        <f t="shared" si="186"/>
        <v/>
      </c>
      <c r="BY333" s="458" t="str">
        <f t="shared" si="187"/>
        <v/>
      </c>
      <c r="BZ333" s="458" t="str">
        <f t="shared" si="188"/>
        <v/>
      </c>
      <c r="CA333" s="40" t="str">
        <f t="shared" si="189"/>
        <v/>
      </c>
      <c r="CB333" s="40" t="str">
        <f t="shared" si="190"/>
        <v/>
      </c>
      <c r="CC333" s="39" t="str">
        <f t="shared" si="191"/>
        <v/>
      </c>
      <c r="CD333" s="458" t="str">
        <f t="shared" si="192"/>
        <v/>
      </c>
      <c r="CE333" s="41" t="str">
        <f t="shared" si="193"/>
        <v/>
      </c>
      <c r="CF333" s="39" t="str">
        <f t="shared" si="194"/>
        <v/>
      </c>
      <c r="CG333" s="458" t="str">
        <f t="shared" si="195"/>
        <v/>
      </c>
      <c r="CH333" s="458" t="str">
        <f t="shared" si="196"/>
        <v/>
      </c>
      <c r="CI333" s="458" t="str">
        <f t="shared" si="197"/>
        <v/>
      </c>
      <c r="CJ333" s="458" t="str">
        <f t="shared" si="198"/>
        <v/>
      </c>
      <c r="CK333" s="40" t="str">
        <f t="shared" si="199"/>
        <v/>
      </c>
      <c r="CL333" s="40" t="str">
        <f t="shared" si="200"/>
        <v/>
      </c>
      <c r="CM333" s="40" t="str">
        <f t="shared" si="201"/>
        <v/>
      </c>
      <c r="CN333" s="39" t="str">
        <f t="shared" si="202"/>
        <v/>
      </c>
      <c r="CO333" s="458" t="str">
        <f t="shared" si="203"/>
        <v/>
      </c>
      <c r="CP333" s="458" t="str">
        <f t="shared" si="204"/>
        <v/>
      </c>
      <c r="CQ333" s="458" t="str">
        <f t="shared" si="205"/>
        <v/>
      </c>
      <c r="CR333" s="458" t="str">
        <f t="shared" si="206"/>
        <v/>
      </c>
      <c r="CS333" s="40" t="str">
        <f t="shared" si="207"/>
        <v/>
      </c>
      <c r="CT333" s="40" t="str">
        <f t="shared" si="208"/>
        <v/>
      </c>
      <c r="CU333" s="41" t="str">
        <f t="shared" si="209"/>
        <v/>
      </c>
    </row>
    <row r="334" spans="1:99" x14ac:dyDescent="0.2">
      <c r="A334" s="77">
        <f t="shared" si="210"/>
        <v>329</v>
      </c>
      <c r="B334" s="81"/>
      <c r="C334" s="82"/>
      <c r="D334" s="71"/>
      <c r="E334" s="72"/>
      <c r="F334" s="73"/>
      <c r="G334" s="443"/>
      <c r="H334" s="443"/>
      <c r="I334" s="74"/>
      <c r="J334" s="75"/>
      <c r="K334" s="41">
        <f t="shared" si="179"/>
        <v>3625</v>
      </c>
      <c r="L334" s="104"/>
      <c r="M334" s="105"/>
      <c r="N334" s="106">
        <f t="shared" si="180"/>
        <v>537.05999999999995</v>
      </c>
      <c r="O334" s="104"/>
      <c r="P334" s="105"/>
      <c r="Q334" s="106">
        <f t="shared" si="212"/>
        <v>10045.83</v>
      </c>
      <c r="R334" s="104"/>
      <c r="S334" s="105"/>
      <c r="T334" s="106">
        <f t="shared" si="213"/>
        <v>0</v>
      </c>
      <c r="U334" s="439"/>
      <c r="V334" s="42">
        <f t="shared" si="181"/>
        <v>329</v>
      </c>
      <c r="W334" s="39" t="str">
        <f>IF(AND(E334='Povolené hodnoty'!$B$4,F334=2),I334+L334+O334+R334,"")</f>
        <v/>
      </c>
      <c r="X334" s="41" t="str">
        <f>IF(AND(E334='Povolené hodnoty'!$B$4,F334=1),I334+L334+O334+R334,"")</f>
        <v/>
      </c>
      <c r="Y334" s="39" t="str">
        <f>IF(AND(E334='Povolené hodnoty'!$B$4,F334=10),J334+M334+P334+S334,"")</f>
        <v/>
      </c>
      <c r="Z334" s="41" t="str">
        <f>IF(AND(E334='Povolené hodnoty'!$B$4,F334=9),J334+M334+P334+S334,"")</f>
        <v/>
      </c>
      <c r="AA334" s="39" t="str">
        <f>IF(AND(E334&lt;&gt;'Povolené hodnoty'!$B$4,F334=2),I334+L334+O334+R334,"")</f>
        <v/>
      </c>
      <c r="AB334" s="40" t="str">
        <f>IF(AND(E334&lt;&gt;'Povolené hodnoty'!$B$4,F334=3),I334+L334+O334+R334,"")</f>
        <v/>
      </c>
      <c r="AC334" s="40" t="str">
        <f>IF(AND(E334&lt;&gt;'Povolené hodnoty'!$B$4,F334=4),I334+L334+O334+R334,"")</f>
        <v/>
      </c>
      <c r="AD334" s="40" t="str">
        <f>IF(AND(E334&lt;&gt;'Povolené hodnoty'!$B$4,F334="5a"),I334-J334+L334-M334+O334-P334+R334-S334,"")</f>
        <v/>
      </c>
      <c r="AE334" s="40" t="str">
        <f>IF(AND(E334&lt;&gt;'Povolené hodnoty'!$B$4,F334="5b"),I334-J334+L334-M334+O334-P334+R334-S334,"")</f>
        <v/>
      </c>
      <c r="AF334" s="40" t="str">
        <f>IF(AND(E334&lt;&gt;'Povolené hodnoty'!$B$4,F334=6),I334+L334+O334+R334,"")</f>
        <v/>
      </c>
      <c r="AG334" s="41" t="str">
        <f>IF(AND(E334&lt;&gt;'Povolené hodnoty'!$B$4,F334=7),I334+L334+O334+R334,"")</f>
        <v/>
      </c>
      <c r="AH334" s="39" t="str">
        <f>IF(AND(E334&lt;&gt;'Povolené hodnoty'!$B$4,F334=10),J334+M334+P334+S334,"")</f>
        <v/>
      </c>
      <c r="AI334" s="40" t="str">
        <f>IF(AND(E334&lt;&gt;'Povolené hodnoty'!$B$4,F334=11),J334+M334+P334+S334,"")</f>
        <v/>
      </c>
      <c r="AJ334" s="40" t="str">
        <f>IF(AND(E334&lt;&gt;'Povolené hodnoty'!$B$4,F334=12),J334+M334+P334+S334,"")</f>
        <v/>
      </c>
      <c r="AK334" s="41" t="str">
        <f>IF(AND(E334&lt;&gt;'Povolené hodnoty'!$B$4,F334=13),J334+M334+P334+S334,"")</f>
        <v/>
      </c>
      <c r="AL334" s="39" t="str">
        <f>IF(AND($G334='Povolené hodnoty'!$B$13,$H334=AL$4),SUM($I334,$L334,$O334,$R334),"")</f>
        <v/>
      </c>
      <c r="AM334" s="458" t="str">
        <f>IF(AND($G334='Povolené hodnoty'!$B$13,$H334=AM$4),SUM($I334,$L334,$O334,$R334),"")</f>
        <v/>
      </c>
      <c r="AN334" s="458" t="str">
        <f>IF(AND($G334='Povolené hodnoty'!$B$13,$H334=AN$4),SUM($I334,$L334,$O334,$R334),"")</f>
        <v/>
      </c>
      <c r="AO334" s="458" t="str">
        <f>IF(AND($G334='Povolené hodnoty'!$B$13,$H334=AO$4),SUM($I334,$L334,$O334,$R334),"")</f>
        <v/>
      </c>
      <c r="AP334" s="458" t="str">
        <f>IF(AND($G334='Povolené hodnoty'!$B$13,$H334=AP$4),SUM($I334,$L334,$O334,$R334),"")</f>
        <v/>
      </c>
      <c r="AQ334" s="40" t="str">
        <f>IF(AND($G334='Povolené hodnoty'!$B$13,OR($H334=AQ$4,$H334='Povolené hodnoty'!$E$36)),SUM($I334,-$J334,$L334,-$M334,$O334,-$P334,$R334,-$S334),"")</f>
        <v/>
      </c>
      <c r="AR334" s="40" t="str">
        <f>IF(AND($G334='Povolené hodnoty'!$B$13,$H334=AR$4),SUM($I334,$L334,$O334,$R334),"")</f>
        <v/>
      </c>
      <c r="AS334" s="41" t="str">
        <f>IF(AND($G334='Povolené hodnoty'!$B$13,$H334=AS$4),SUM($I334,$L334,$O334,$R334),"")</f>
        <v/>
      </c>
      <c r="AT334" s="39" t="str">
        <f>IF(AND($G334='Povolené hodnoty'!$B$14,$H334=AT$4),SUM($I334,$L334,$O334,$R334),"")</f>
        <v/>
      </c>
      <c r="AU334" s="458" t="str">
        <f>IF(AND($G334='Povolené hodnoty'!$B$14,$H334=AU$4),SUM($I334,$L334,$O334,$R334),"")</f>
        <v/>
      </c>
      <c r="AV334" s="41" t="str">
        <f>IF(AND($G334='Povolené hodnoty'!$B$14,$H334=AV$4),SUM($I334,$L334,$O334,$R334),"")</f>
        <v/>
      </c>
      <c r="AW334" s="39" t="str">
        <f>IF(AND($G334='Povolené hodnoty'!$B$13,$H334=AW$4),SUM($J334,$M334,$P334,$S334),"")</f>
        <v/>
      </c>
      <c r="AX334" s="458" t="str">
        <f>IF(AND($G334='Povolené hodnoty'!$B$13,$H334=AX$4),SUM($J334,$M334,$P334,$S334),"")</f>
        <v/>
      </c>
      <c r="AY334" s="458" t="str">
        <f>IF(AND($G334='Povolené hodnoty'!$B$13,$H334=AY$4),SUM($J334,$M334,$P334,$S334),"")</f>
        <v/>
      </c>
      <c r="AZ334" s="458" t="str">
        <f>IF(AND($G334='Povolené hodnoty'!$B$13,$H334=AZ$4),SUM($J334,$M334,$P334,$S334),"")</f>
        <v/>
      </c>
      <c r="BA334" s="458" t="str">
        <f>IF(AND($G334='Povolené hodnoty'!$B$13,$H334=BA$4),SUM($J334,$M334,$P334,$S334),"")</f>
        <v/>
      </c>
      <c r="BB334" s="40" t="str">
        <f>IF(AND($G334='Povolené hodnoty'!$B$13,$H334=BB$4),SUM($J334,$M334,$P334,$S334),"")</f>
        <v/>
      </c>
      <c r="BC334" s="40" t="str">
        <f>IF(AND($G334='Povolené hodnoty'!$B$13,$H334=BC$4),SUM($J334,$M334,$P334,$S334),"")</f>
        <v/>
      </c>
      <c r="BD334" s="40" t="str">
        <f>IF(AND($G334='Povolené hodnoty'!$B$13,$H334=BD$4),SUM($J334,$M334,$P334,$S334),"")</f>
        <v/>
      </c>
      <c r="BE334" s="41" t="str">
        <f>IF(AND($G334='Povolené hodnoty'!$B$13,$H334=BE$4),SUM($J334,$M334,$P334,$S334),"")</f>
        <v/>
      </c>
      <c r="BF334" s="39" t="str">
        <f>IF(AND($G334='Povolené hodnoty'!$B$14,$H334=BF$4),SUM($J334,$M334,$P334,$S334),"")</f>
        <v/>
      </c>
      <c r="BG334" s="458" t="str">
        <f>IF(AND($G334='Povolené hodnoty'!$B$14,$H334=BG$4),SUM($J334,$M334,$P334,$S334),"")</f>
        <v/>
      </c>
      <c r="BH334" s="458" t="str">
        <f>IF(AND($G334='Povolené hodnoty'!$B$14,$H334=BH$4),SUM($J334,$M334,$P334,$S334),"")</f>
        <v/>
      </c>
      <c r="BI334" s="458" t="str">
        <f>IF(AND($G334='Povolené hodnoty'!$B$14,$H334=BI$4),SUM($J334,$M334,$P334,$S334),"")</f>
        <v/>
      </c>
      <c r="BJ334" s="458" t="str">
        <f>IF(AND($G334='Povolené hodnoty'!$B$14,$H334=BJ$4),SUM($J334,$M334,$P334,$S334),"")</f>
        <v/>
      </c>
      <c r="BK334" s="40" t="str">
        <f>IF(AND($G334='Povolené hodnoty'!$B$14,$H334=BK$4),SUM($J334,$M334,$P334,$S334),"")</f>
        <v/>
      </c>
      <c r="BL334" s="40" t="str">
        <f>IF(AND($G334='Povolené hodnoty'!$B$14,$H334=BL$4),SUM($J334,$M334,$P334,$S334),"")</f>
        <v/>
      </c>
      <c r="BM334" s="41" t="str">
        <f>IF(AND($G334='Povolené hodnoty'!$B$14,$H334=BM$4),SUM($J334,$M334,$P334,$S334),"")</f>
        <v/>
      </c>
      <c r="BO334" s="18" t="b">
        <f t="shared" si="211"/>
        <v>0</v>
      </c>
      <c r="BP334" s="18" t="b">
        <f t="shared" si="182"/>
        <v>0</v>
      </c>
      <c r="BQ334" s="18" t="b">
        <f>AND(E334&lt;&gt;'Povolené hodnoty'!$B$6,F334&lt;&gt;'Povolené hodnoty'!$D$7,F334&lt;&gt;'Povolené hodnoty'!$D$8,OR(SUM(I334,L334,O334,R334)&lt;&gt;SUM(W334:X334,AA334:AG334),SUM(J334,M334,P334,S334)&lt;&gt;SUM(Y334:Z334,AH334:AK334),COUNT(I334:J334,L334:M334,O334:P334,R334:S334)&lt;&gt;COUNT(W334:AK334)))</f>
        <v>0</v>
      </c>
      <c r="BR334" s="18" t="b">
        <f>OR(AND(E334='Povolené hodnoty'!$B$6,$BR$5),AND(E334='Povolené hodnoty'!$B$6,H334&lt;&gt;'Povolené hodnoty'!$E$26,H334&lt;&gt;'Povolené hodnoty'!$E$35),AND(E334&lt;&gt;'Povolené hodnoty'!$B$6,OR(H334='Povolené hodnoty'!$E$26,H334='Povolené hodnoty'!$E$35)))</f>
        <v>0</v>
      </c>
      <c r="BS334" s="18" t="b">
        <f>OR(AND(G334&lt;&gt;'Povolené hodnoty'!$B$13,OR(H334='Povolené hodnoty'!$E$21,H334='Povolené hodnoty'!$E$22,H334='Povolené hodnoty'!$E$23,H334='Povolené hodnoty'!$E$24,H334='Povolené hodnoty'!$E$26,H334='Povolené hodnoty'!$E$36)),COUNT(I334:J334,L334:M334,O334:P334,R334:S334)&lt;&gt;COUNT(AL334:BM334))</f>
        <v>0</v>
      </c>
      <c r="BT334" s="18" t="b">
        <f t="shared" si="183"/>
        <v>0</v>
      </c>
      <c r="BV334" s="39" t="str">
        <f t="shared" si="184"/>
        <v/>
      </c>
      <c r="BW334" s="458" t="str">
        <f t="shared" si="185"/>
        <v/>
      </c>
      <c r="BX334" s="458" t="str">
        <f t="shared" si="186"/>
        <v/>
      </c>
      <c r="BY334" s="458" t="str">
        <f t="shared" si="187"/>
        <v/>
      </c>
      <c r="BZ334" s="458" t="str">
        <f t="shared" si="188"/>
        <v/>
      </c>
      <c r="CA334" s="40" t="str">
        <f t="shared" si="189"/>
        <v/>
      </c>
      <c r="CB334" s="40" t="str">
        <f t="shared" si="190"/>
        <v/>
      </c>
      <c r="CC334" s="39" t="str">
        <f t="shared" si="191"/>
        <v/>
      </c>
      <c r="CD334" s="458" t="str">
        <f t="shared" si="192"/>
        <v/>
      </c>
      <c r="CE334" s="41" t="str">
        <f t="shared" si="193"/>
        <v/>
      </c>
      <c r="CF334" s="39" t="str">
        <f t="shared" si="194"/>
        <v/>
      </c>
      <c r="CG334" s="458" t="str">
        <f t="shared" si="195"/>
        <v/>
      </c>
      <c r="CH334" s="458" t="str">
        <f t="shared" si="196"/>
        <v/>
      </c>
      <c r="CI334" s="458" t="str">
        <f t="shared" si="197"/>
        <v/>
      </c>
      <c r="CJ334" s="458" t="str">
        <f t="shared" si="198"/>
        <v/>
      </c>
      <c r="CK334" s="40" t="str">
        <f t="shared" si="199"/>
        <v/>
      </c>
      <c r="CL334" s="40" t="str">
        <f t="shared" si="200"/>
        <v/>
      </c>
      <c r="CM334" s="40" t="str">
        <f t="shared" si="201"/>
        <v/>
      </c>
      <c r="CN334" s="39" t="str">
        <f t="shared" si="202"/>
        <v/>
      </c>
      <c r="CO334" s="458" t="str">
        <f t="shared" si="203"/>
        <v/>
      </c>
      <c r="CP334" s="458" t="str">
        <f t="shared" si="204"/>
        <v/>
      </c>
      <c r="CQ334" s="458" t="str">
        <f t="shared" si="205"/>
        <v/>
      </c>
      <c r="CR334" s="458" t="str">
        <f t="shared" si="206"/>
        <v/>
      </c>
      <c r="CS334" s="40" t="str">
        <f t="shared" si="207"/>
        <v/>
      </c>
      <c r="CT334" s="40" t="str">
        <f t="shared" si="208"/>
        <v/>
      </c>
      <c r="CU334" s="41" t="str">
        <f t="shared" si="209"/>
        <v/>
      </c>
    </row>
    <row r="335" spans="1:99" x14ac:dyDescent="0.2">
      <c r="A335" s="77">
        <f t="shared" si="210"/>
        <v>330</v>
      </c>
      <c r="B335" s="81"/>
      <c r="C335" s="82"/>
      <c r="D335" s="71"/>
      <c r="E335" s="72"/>
      <c r="F335" s="73"/>
      <c r="G335" s="443"/>
      <c r="H335" s="443"/>
      <c r="I335" s="74"/>
      <c r="J335" s="75"/>
      <c r="K335" s="41">
        <f t="shared" si="179"/>
        <v>3625</v>
      </c>
      <c r="L335" s="104"/>
      <c r="M335" s="105"/>
      <c r="N335" s="106">
        <f t="shared" si="180"/>
        <v>537.05999999999995</v>
      </c>
      <c r="O335" s="104"/>
      <c r="P335" s="105"/>
      <c r="Q335" s="106">
        <f t="shared" si="212"/>
        <v>10045.83</v>
      </c>
      <c r="R335" s="104"/>
      <c r="S335" s="105"/>
      <c r="T335" s="106">
        <f t="shared" si="213"/>
        <v>0</v>
      </c>
      <c r="U335" s="439"/>
      <c r="V335" s="42">
        <f t="shared" si="181"/>
        <v>330</v>
      </c>
      <c r="W335" s="39" t="str">
        <f>IF(AND(E335='Povolené hodnoty'!$B$4,F335=2),I335+L335+O335+R335,"")</f>
        <v/>
      </c>
      <c r="X335" s="41" t="str">
        <f>IF(AND(E335='Povolené hodnoty'!$B$4,F335=1),I335+L335+O335+R335,"")</f>
        <v/>
      </c>
      <c r="Y335" s="39" t="str">
        <f>IF(AND(E335='Povolené hodnoty'!$B$4,F335=10),J335+M335+P335+S335,"")</f>
        <v/>
      </c>
      <c r="Z335" s="41" t="str">
        <f>IF(AND(E335='Povolené hodnoty'!$B$4,F335=9),J335+M335+P335+S335,"")</f>
        <v/>
      </c>
      <c r="AA335" s="39" t="str">
        <f>IF(AND(E335&lt;&gt;'Povolené hodnoty'!$B$4,F335=2),I335+L335+O335+R335,"")</f>
        <v/>
      </c>
      <c r="AB335" s="40" t="str">
        <f>IF(AND(E335&lt;&gt;'Povolené hodnoty'!$B$4,F335=3),I335+L335+O335+R335,"")</f>
        <v/>
      </c>
      <c r="AC335" s="40" t="str">
        <f>IF(AND(E335&lt;&gt;'Povolené hodnoty'!$B$4,F335=4),I335+L335+O335+R335,"")</f>
        <v/>
      </c>
      <c r="AD335" s="40" t="str">
        <f>IF(AND(E335&lt;&gt;'Povolené hodnoty'!$B$4,F335="5a"),I335-J335+L335-M335+O335-P335+R335-S335,"")</f>
        <v/>
      </c>
      <c r="AE335" s="40" t="str">
        <f>IF(AND(E335&lt;&gt;'Povolené hodnoty'!$B$4,F335="5b"),I335-J335+L335-M335+O335-P335+R335-S335,"")</f>
        <v/>
      </c>
      <c r="AF335" s="40" t="str">
        <f>IF(AND(E335&lt;&gt;'Povolené hodnoty'!$B$4,F335=6),I335+L335+O335+R335,"")</f>
        <v/>
      </c>
      <c r="AG335" s="41" t="str">
        <f>IF(AND(E335&lt;&gt;'Povolené hodnoty'!$B$4,F335=7),I335+L335+O335+R335,"")</f>
        <v/>
      </c>
      <c r="AH335" s="39" t="str">
        <f>IF(AND(E335&lt;&gt;'Povolené hodnoty'!$B$4,F335=10),J335+M335+P335+S335,"")</f>
        <v/>
      </c>
      <c r="AI335" s="40" t="str">
        <f>IF(AND(E335&lt;&gt;'Povolené hodnoty'!$B$4,F335=11),J335+M335+P335+S335,"")</f>
        <v/>
      </c>
      <c r="AJ335" s="40" t="str">
        <f>IF(AND(E335&lt;&gt;'Povolené hodnoty'!$B$4,F335=12),J335+M335+P335+S335,"")</f>
        <v/>
      </c>
      <c r="AK335" s="41" t="str">
        <f>IF(AND(E335&lt;&gt;'Povolené hodnoty'!$B$4,F335=13),J335+M335+P335+S335,"")</f>
        <v/>
      </c>
      <c r="AL335" s="39" t="str">
        <f>IF(AND($G335='Povolené hodnoty'!$B$13,$H335=AL$4),SUM($I335,$L335,$O335,$R335),"")</f>
        <v/>
      </c>
      <c r="AM335" s="458" t="str">
        <f>IF(AND($G335='Povolené hodnoty'!$B$13,$H335=AM$4),SUM($I335,$L335,$O335,$R335),"")</f>
        <v/>
      </c>
      <c r="AN335" s="458" t="str">
        <f>IF(AND($G335='Povolené hodnoty'!$B$13,$H335=AN$4),SUM($I335,$L335,$O335,$R335),"")</f>
        <v/>
      </c>
      <c r="AO335" s="458" t="str">
        <f>IF(AND($G335='Povolené hodnoty'!$B$13,$H335=AO$4),SUM($I335,$L335,$O335,$R335),"")</f>
        <v/>
      </c>
      <c r="AP335" s="458" t="str">
        <f>IF(AND($G335='Povolené hodnoty'!$B$13,$H335=AP$4),SUM($I335,$L335,$O335,$R335),"")</f>
        <v/>
      </c>
      <c r="AQ335" s="40" t="str">
        <f>IF(AND($G335='Povolené hodnoty'!$B$13,OR($H335=AQ$4,$H335='Povolené hodnoty'!$E$36)),SUM($I335,-$J335,$L335,-$M335,$O335,-$P335,$R335,-$S335),"")</f>
        <v/>
      </c>
      <c r="AR335" s="40" t="str">
        <f>IF(AND($G335='Povolené hodnoty'!$B$13,$H335=AR$4),SUM($I335,$L335,$O335,$R335),"")</f>
        <v/>
      </c>
      <c r="AS335" s="41" t="str">
        <f>IF(AND($G335='Povolené hodnoty'!$B$13,$H335=AS$4),SUM($I335,$L335,$O335,$R335),"")</f>
        <v/>
      </c>
      <c r="AT335" s="39" t="str">
        <f>IF(AND($G335='Povolené hodnoty'!$B$14,$H335=AT$4),SUM($I335,$L335,$O335,$R335),"")</f>
        <v/>
      </c>
      <c r="AU335" s="458" t="str">
        <f>IF(AND($G335='Povolené hodnoty'!$B$14,$H335=AU$4),SUM($I335,$L335,$O335,$R335),"")</f>
        <v/>
      </c>
      <c r="AV335" s="41" t="str">
        <f>IF(AND($G335='Povolené hodnoty'!$B$14,$H335=AV$4),SUM($I335,$L335,$O335,$R335),"")</f>
        <v/>
      </c>
      <c r="AW335" s="39" t="str">
        <f>IF(AND($G335='Povolené hodnoty'!$B$13,$H335=AW$4),SUM($J335,$M335,$P335,$S335),"")</f>
        <v/>
      </c>
      <c r="AX335" s="458" t="str">
        <f>IF(AND($G335='Povolené hodnoty'!$B$13,$H335=AX$4),SUM($J335,$M335,$P335,$S335),"")</f>
        <v/>
      </c>
      <c r="AY335" s="458" t="str">
        <f>IF(AND($G335='Povolené hodnoty'!$B$13,$H335=AY$4),SUM($J335,$M335,$P335,$S335),"")</f>
        <v/>
      </c>
      <c r="AZ335" s="458" t="str">
        <f>IF(AND($G335='Povolené hodnoty'!$B$13,$H335=AZ$4),SUM($J335,$M335,$P335,$S335),"")</f>
        <v/>
      </c>
      <c r="BA335" s="458" t="str">
        <f>IF(AND($G335='Povolené hodnoty'!$B$13,$H335=BA$4),SUM($J335,$M335,$P335,$S335),"")</f>
        <v/>
      </c>
      <c r="BB335" s="40" t="str">
        <f>IF(AND($G335='Povolené hodnoty'!$B$13,$H335=BB$4),SUM($J335,$M335,$P335,$S335),"")</f>
        <v/>
      </c>
      <c r="BC335" s="40" t="str">
        <f>IF(AND($G335='Povolené hodnoty'!$B$13,$H335=BC$4),SUM($J335,$M335,$P335,$S335),"")</f>
        <v/>
      </c>
      <c r="BD335" s="40" t="str">
        <f>IF(AND($G335='Povolené hodnoty'!$B$13,$H335=BD$4),SUM($J335,$M335,$P335,$S335),"")</f>
        <v/>
      </c>
      <c r="BE335" s="41" t="str">
        <f>IF(AND($G335='Povolené hodnoty'!$B$13,$H335=BE$4),SUM($J335,$M335,$P335,$S335),"")</f>
        <v/>
      </c>
      <c r="BF335" s="39" t="str">
        <f>IF(AND($G335='Povolené hodnoty'!$B$14,$H335=BF$4),SUM($J335,$M335,$P335,$S335),"")</f>
        <v/>
      </c>
      <c r="BG335" s="458" t="str">
        <f>IF(AND($G335='Povolené hodnoty'!$B$14,$H335=BG$4),SUM($J335,$M335,$P335,$S335),"")</f>
        <v/>
      </c>
      <c r="BH335" s="458" t="str">
        <f>IF(AND($G335='Povolené hodnoty'!$B$14,$H335=BH$4),SUM($J335,$M335,$P335,$S335),"")</f>
        <v/>
      </c>
      <c r="BI335" s="458" t="str">
        <f>IF(AND($G335='Povolené hodnoty'!$B$14,$H335=BI$4),SUM($J335,$M335,$P335,$S335),"")</f>
        <v/>
      </c>
      <c r="BJ335" s="458" t="str">
        <f>IF(AND($G335='Povolené hodnoty'!$B$14,$H335=BJ$4),SUM($J335,$M335,$P335,$S335),"")</f>
        <v/>
      </c>
      <c r="BK335" s="40" t="str">
        <f>IF(AND($G335='Povolené hodnoty'!$B$14,$H335=BK$4),SUM($J335,$M335,$P335,$S335),"")</f>
        <v/>
      </c>
      <c r="BL335" s="40" t="str">
        <f>IF(AND($G335='Povolené hodnoty'!$B$14,$H335=BL$4),SUM($J335,$M335,$P335,$S335),"")</f>
        <v/>
      </c>
      <c r="BM335" s="41" t="str">
        <f>IF(AND($G335='Povolené hodnoty'!$B$14,$H335=BM$4),SUM($J335,$M335,$P335,$S335),"")</f>
        <v/>
      </c>
      <c r="BO335" s="18" t="b">
        <f t="shared" si="211"/>
        <v>0</v>
      </c>
      <c r="BP335" s="18" t="b">
        <f t="shared" si="182"/>
        <v>0</v>
      </c>
      <c r="BQ335" s="18" t="b">
        <f>AND(E335&lt;&gt;'Povolené hodnoty'!$B$6,F335&lt;&gt;'Povolené hodnoty'!$D$7,F335&lt;&gt;'Povolené hodnoty'!$D$8,OR(SUM(I335,L335,O335,R335)&lt;&gt;SUM(W335:X335,AA335:AG335),SUM(J335,M335,P335,S335)&lt;&gt;SUM(Y335:Z335,AH335:AK335),COUNT(I335:J335,L335:M335,O335:P335,R335:S335)&lt;&gt;COUNT(W335:AK335)))</f>
        <v>0</v>
      </c>
      <c r="BR335" s="18" t="b">
        <f>OR(AND(E335='Povolené hodnoty'!$B$6,$BR$5),AND(E335='Povolené hodnoty'!$B$6,H335&lt;&gt;'Povolené hodnoty'!$E$26,H335&lt;&gt;'Povolené hodnoty'!$E$35),AND(E335&lt;&gt;'Povolené hodnoty'!$B$6,OR(H335='Povolené hodnoty'!$E$26,H335='Povolené hodnoty'!$E$35)))</f>
        <v>0</v>
      </c>
      <c r="BS335" s="18" t="b">
        <f>OR(AND(G335&lt;&gt;'Povolené hodnoty'!$B$13,OR(H335='Povolené hodnoty'!$E$21,H335='Povolené hodnoty'!$E$22,H335='Povolené hodnoty'!$E$23,H335='Povolené hodnoty'!$E$24,H335='Povolené hodnoty'!$E$26,H335='Povolené hodnoty'!$E$36)),COUNT(I335:J335,L335:M335,O335:P335,R335:S335)&lt;&gt;COUNT(AL335:BM335))</f>
        <v>0</v>
      </c>
      <c r="BT335" s="18" t="b">
        <f t="shared" si="183"/>
        <v>0</v>
      </c>
      <c r="BV335" s="39" t="str">
        <f t="shared" si="184"/>
        <v/>
      </c>
      <c r="BW335" s="458" t="str">
        <f t="shared" si="185"/>
        <v/>
      </c>
      <c r="BX335" s="458" t="str">
        <f t="shared" si="186"/>
        <v/>
      </c>
      <c r="BY335" s="458" t="str">
        <f t="shared" si="187"/>
        <v/>
      </c>
      <c r="BZ335" s="458" t="str">
        <f t="shared" si="188"/>
        <v/>
      </c>
      <c r="CA335" s="40" t="str">
        <f t="shared" si="189"/>
        <v/>
      </c>
      <c r="CB335" s="40" t="str">
        <f t="shared" si="190"/>
        <v/>
      </c>
      <c r="CC335" s="39" t="str">
        <f t="shared" si="191"/>
        <v/>
      </c>
      <c r="CD335" s="458" t="str">
        <f t="shared" si="192"/>
        <v/>
      </c>
      <c r="CE335" s="41" t="str">
        <f t="shared" si="193"/>
        <v/>
      </c>
      <c r="CF335" s="39" t="str">
        <f t="shared" si="194"/>
        <v/>
      </c>
      <c r="CG335" s="458" t="str">
        <f t="shared" si="195"/>
        <v/>
      </c>
      <c r="CH335" s="458" t="str">
        <f t="shared" si="196"/>
        <v/>
      </c>
      <c r="CI335" s="458" t="str">
        <f t="shared" si="197"/>
        <v/>
      </c>
      <c r="CJ335" s="458" t="str">
        <f t="shared" si="198"/>
        <v/>
      </c>
      <c r="CK335" s="40" t="str">
        <f t="shared" si="199"/>
        <v/>
      </c>
      <c r="CL335" s="40" t="str">
        <f t="shared" si="200"/>
        <v/>
      </c>
      <c r="CM335" s="40" t="str">
        <f t="shared" si="201"/>
        <v/>
      </c>
      <c r="CN335" s="39" t="str">
        <f t="shared" si="202"/>
        <v/>
      </c>
      <c r="CO335" s="458" t="str">
        <f t="shared" si="203"/>
        <v/>
      </c>
      <c r="CP335" s="458" t="str">
        <f t="shared" si="204"/>
        <v/>
      </c>
      <c r="CQ335" s="458" t="str">
        <f t="shared" si="205"/>
        <v/>
      </c>
      <c r="CR335" s="458" t="str">
        <f t="shared" si="206"/>
        <v/>
      </c>
      <c r="CS335" s="40" t="str">
        <f t="shared" si="207"/>
        <v/>
      </c>
      <c r="CT335" s="40" t="str">
        <f t="shared" si="208"/>
        <v/>
      </c>
      <c r="CU335" s="41" t="str">
        <f t="shared" si="209"/>
        <v/>
      </c>
    </row>
    <row r="336" spans="1:99" x14ac:dyDescent="0.2">
      <c r="A336" s="77">
        <f t="shared" si="210"/>
        <v>331</v>
      </c>
      <c r="B336" s="81"/>
      <c r="C336" s="82"/>
      <c r="D336" s="71"/>
      <c r="E336" s="72"/>
      <c r="F336" s="73"/>
      <c r="G336" s="443"/>
      <c r="H336" s="443"/>
      <c r="I336" s="74"/>
      <c r="J336" s="75"/>
      <c r="K336" s="41">
        <f t="shared" si="179"/>
        <v>3625</v>
      </c>
      <c r="L336" s="104"/>
      <c r="M336" s="105"/>
      <c r="N336" s="106">
        <f t="shared" si="180"/>
        <v>537.05999999999995</v>
      </c>
      <c r="O336" s="104"/>
      <c r="P336" s="105"/>
      <c r="Q336" s="106">
        <f t="shared" si="212"/>
        <v>10045.83</v>
      </c>
      <c r="R336" s="104"/>
      <c r="S336" s="105"/>
      <c r="T336" s="106">
        <f t="shared" si="213"/>
        <v>0</v>
      </c>
      <c r="U336" s="439"/>
      <c r="V336" s="42">
        <f t="shared" si="181"/>
        <v>331</v>
      </c>
      <c r="W336" s="39" t="str">
        <f>IF(AND(E336='Povolené hodnoty'!$B$4,F336=2),I336+L336+O336+R336,"")</f>
        <v/>
      </c>
      <c r="X336" s="41" t="str">
        <f>IF(AND(E336='Povolené hodnoty'!$B$4,F336=1),I336+L336+O336+R336,"")</f>
        <v/>
      </c>
      <c r="Y336" s="39" t="str">
        <f>IF(AND(E336='Povolené hodnoty'!$B$4,F336=10),J336+M336+P336+S336,"")</f>
        <v/>
      </c>
      <c r="Z336" s="41" t="str">
        <f>IF(AND(E336='Povolené hodnoty'!$B$4,F336=9),J336+M336+P336+S336,"")</f>
        <v/>
      </c>
      <c r="AA336" s="39" t="str">
        <f>IF(AND(E336&lt;&gt;'Povolené hodnoty'!$B$4,F336=2),I336+L336+O336+R336,"")</f>
        <v/>
      </c>
      <c r="AB336" s="40" t="str">
        <f>IF(AND(E336&lt;&gt;'Povolené hodnoty'!$B$4,F336=3),I336+L336+O336+R336,"")</f>
        <v/>
      </c>
      <c r="AC336" s="40" t="str">
        <f>IF(AND(E336&lt;&gt;'Povolené hodnoty'!$B$4,F336=4),I336+L336+O336+R336,"")</f>
        <v/>
      </c>
      <c r="AD336" s="40" t="str">
        <f>IF(AND(E336&lt;&gt;'Povolené hodnoty'!$B$4,F336="5a"),I336-J336+L336-M336+O336-P336+R336-S336,"")</f>
        <v/>
      </c>
      <c r="AE336" s="40" t="str">
        <f>IF(AND(E336&lt;&gt;'Povolené hodnoty'!$B$4,F336="5b"),I336-J336+L336-M336+O336-P336+R336-S336,"")</f>
        <v/>
      </c>
      <c r="AF336" s="40" t="str">
        <f>IF(AND(E336&lt;&gt;'Povolené hodnoty'!$B$4,F336=6),I336+L336+O336+R336,"")</f>
        <v/>
      </c>
      <c r="AG336" s="41" t="str">
        <f>IF(AND(E336&lt;&gt;'Povolené hodnoty'!$B$4,F336=7),I336+L336+O336+R336,"")</f>
        <v/>
      </c>
      <c r="AH336" s="39" t="str">
        <f>IF(AND(E336&lt;&gt;'Povolené hodnoty'!$B$4,F336=10),J336+M336+P336+S336,"")</f>
        <v/>
      </c>
      <c r="AI336" s="40" t="str">
        <f>IF(AND(E336&lt;&gt;'Povolené hodnoty'!$B$4,F336=11),J336+M336+P336+S336,"")</f>
        <v/>
      </c>
      <c r="AJ336" s="40" t="str">
        <f>IF(AND(E336&lt;&gt;'Povolené hodnoty'!$B$4,F336=12),J336+M336+P336+S336,"")</f>
        <v/>
      </c>
      <c r="AK336" s="41" t="str">
        <f>IF(AND(E336&lt;&gt;'Povolené hodnoty'!$B$4,F336=13),J336+M336+P336+S336,"")</f>
        <v/>
      </c>
      <c r="AL336" s="39" t="str">
        <f>IF(AND($G336='Povolené hodnoty'!$B$13,$H336=AL$4),SUM($I336,$L336,$O336,$R336),"")</f>
        <v/>
      </c>
      <c r="AM336" s="458" t="str">
        <f>IF(AND($G336='Povolené hodnoty'!$B$13,$H336=AM$4),SUM($I336,$L336,$O336,$R336),"")</f>
        <v/>
      </c>
      <c r="AN336" s="458" t="str">
        <f>IF(AND($G336='Povolené hodnoty'!$B$13,$H336=AN$4),SUM($I336,$L336,$O336,$R336),"")</f>
        <v/>
      </c>
      <c r="AO336" s="458" t="str">
        <f>IF(AND($G336='Povolené hodnoty'!$B$13,$H336=AO$4),SUM($I336,$L336,$O336,$R336),"")</f>
        <v/>
      </c>
      <c r="AP336" s="458" t="str">
        <f>IF(AND($G336='Povolené hodnoty'!$B$13,$H336=AP$4),SUM($I336,$L336,$O336,$R336),"")</f>
        <v/>
      </c>
      <c r="AQ336" s="40" t="str">
        <f>IF(AND($G336='Povolené hodnoty'!$B$13,OR($H336=AQ$4,$H336='Povolené hodnoty'!$E$36)),SUM($I336,-$J336,$L336,-$M336,$O336,-$P336,$R336,-$S336),"")</f>
        <v/>
      </c>
      <c r="AR336" s="40" t="str">
        <f>IF(AND($G336='Povolené hodnoty'!$B$13,$H336=AR$4),SUM($I336,$L336,$O336,$R336),"")</f>
        <v/>
      </c>
      <c r="AS336" s="41" t="str">
        <f>IF(AND($G336='Povolené hodnoty'!$B$13,$H336=AS$4),SUM($I336,$L336,$O336,$R336),"")</f>
        <v/>
      </c>
      <c r="AT336" s="39" t="str">
        <f>IF(AND($G336='Povolené hodnoty'!$B$14,$H336=AT$4),SUM($I336,$L336,$O336,$R336),"")</f>
        <v/>
      </c>
      <c r="AU336" s="458" t="str">
        <f>IF(AND($G336='Povolené hodnoty'!$B$14,$H336=AU$4),SUM($I336,$L336,$O336,$R336),"")</f>
        <v/>
      </c>
      <c r="AV336" s="41" t="str">
        <f>IF(AND($G336='Povolené hodnoty'!$B$14,$H336=AV$4),SUM($I336,$L336,$O336,$R336),"")</f>
        <v/>
      </c>
      <c r="AW336" s="39" t="str">
        <f>IF(AND($G336='Povolené hodnoty'!$B$13,$H336=AW$4),SUM($J336,$M336,$P336,$S336),"")</f>
        <v/>
      </c>
      <c r="AX336" s="458" t="str">
        <f>IF(AND($G336='Povolené hodnoty'!$B$13,$H336=AX$4),SUM($J336,$M336,$P336,$S336),"")</f>
        <v/>
      </c>
      <c r="AY336" s="458" t="str">
        <f>IF(AND($G336='Povolené hodnoty'!$B$13,$H336=AY$4),SUM($J336,$M336,$P336,$S336),"")</f>
        <v/>
      </c>
      <c r="AZ336" s="458" t="str">
        <f>IF(AND($G336='Povolené hodnoty'!$B$13,$H336=AZ$4),SUM($J336,$M336,$P336,$S336),"")</f>
        <v/>
      </c>
      <c r="BA336" s="458" t="str">
        <f>IF(AND($G336='Povolené hodnoty'!$B$13,$H336=BA$4),SUM($J336,$M336,$P336,$S336),"")</f>
        <v/>
      </c>
      <c r="BB336" s="40" t="str">
        <f>IF(AND($G336='Povolené hodnoty'!$B$13,$H336=BB$4),SUM($J336,$M336,$P336,$S336),"")</f>
        <v/>
      </c>
      <c r="BC336" s="40" t="str">
        <f>IF(AND($G336='Povolené hodnoty'!$B$13,$H336=BC$4),SUM($J336,$M336,$P336,$S336),"")</f>
        <v/>
      </c>
      <c r="BD336" s="40" t="str">
        <f>IF(AND($G336='Povolené hodnoty'!$B$13,$H336=BD$4),SUM($J336,$M336,$P336,$S336),"")</f>
        <v/>
      </c>
      <c r="BE336" s="41" t="str">
        <f>IF(AND($G336='Povolené hodnoty'!$B$13,$H336=BE$4),SUM($J336,$M336,$P336,$S336),"")</f>
        <v/>
      </c>
      <c r="BF336" s="39" t="str">
        <f>IF(AND($G336='Povolené hodnoty'!$B$14,$H336=BF$4),SUM($J336,$M336,$P336,$S336),"")</f>
        <v/>
      </c>
      <c r="BG336" s="458" t="str">
        <f>IF(AND($G336='Povolené hodnoty'!$B$14,$H336=BG$4),SUM($J336,$M336,$P336,$S336),"")</f>
        <v/>
      </c>
      <c r="BH336" s="458" t="str">
        <f>IF(AND($G336='Povolené hodnoty'!$B$14,$H336=BH$4),SUM($J336,$M336,$P336,$S336),"")</f>
        <v/>
      </c>
      <c r="BI336" s="458" t="str">
        <f>IF(AND($G336='Povolené hodnoty'!$B$14,$H336=BI$4),SUM($J336,$M336,$P336,$S336),"")</f>
        <v/>
      </c>
      <c r="BJ336" s="458" t="str">
        <f>IF(AND($G336='Povolené hodnoty'!$B$14,$H336=BJ$4),SUM($J336,$M336,$P336,$S336),"")</f>
        <v/>
      </c>
      <c r="BK336" s="40" t="str">
        <f>IF(AND($G336='Povolené hodnoty'!$B$14,$H336=BK$4),SUM($J336,$M336,$P336,$S336),"")</f>
        <v/>
      </c>
      <c r="BL336" s="40" t="str">
        <f>IF(AND($G336='Povolené hodnoty'!$B$14,$H336=BL$4),SUM($J336,$M336,$P336,$S336),"")</f>
        <v/>
      </c>
      <c r="BM336" s="41" t="str">
        <f>IF(AND($G336='Povolené hodnoty'!$B$14,$H336=BM$4),SUM($J336,$M336,$P336,$S336),"")</f>
        <v/>
      </c>
      <c r="BO336" s="18" t="b">
        <f t="shared" si="211"/>
        <v>0</v>
      </c>
      <c r="BP336" s="18" t="b">
        <f t="shared" si="182"/>
        <v>0</v>
      </c>
      <c r="BQ336" s="18" t="b">
        <f>AND(E336&lt;&gt;'Povolené hodnoty'!$B$6,F336&lt;&gt;'Povolené hodnoty'!$D$7,F336&lt;&gt;'Povolené hodnoty'!$D$8,OR(SUM(I336,L336,O336,R336)&lt;&gt;SUM(W336:X336,AA336:AG336),SUM(J336,M336,P336,S336)&lt;&gt;SUM(Y336:Z336,AH336:AK336),COUNT(I336:J336,L336:M336,O336:P336,R336:S336)&lt;&gt;COUNT(W336:AK336)))</f>
        <v>0</v>
      </c>
      <c r="BR336" s="18" t="b">
        <f>OR(AND(E336='Povolené hodnoty'!$B$6,$BR$5),AND(E336='Povolené hodnoty'!$B$6,H336&lt;&gt;'Povolené hodnoty'!$E$26,H336&lt;&gt;'Povolené hodnoty'!$E$35),AND(E336&lt;&gt;'Povolené hodnoty'!$B$6,OR(H336='Povolené hodnoty'!$E$26,H336='Povolené hodnoty'!$E$35)))</f>
        <v>0</v>
      </c>
      <c r="BS336" s="18" t="b">
        <f>OR(AND(G336&lt;&gt;'Povolené hodnoty'!$B$13,OR(H336='Povolené hodnoty'!$E$21,H336='Povolené hodnoty'!$E$22,H336='Povolené hodnoty'!$E$23,H336='Povolené hodnoty'!$E$24,H336='Povolené hodnoty'!$E$26,H336='Povolené hodnoty'!$E$36)),COUNT(I336:J336,L336:M336,O336:P336,R336:S336)&lt;&gt;COUNT(AL336:BM336))</f>
        <v>0</v>
      </c>
      <c r="BT336" s="18" t="b">
        <f t="shared" si="183"/>
        <v>0</v>
      </c>
      <c r="BV336" s="39" t="str">
        <f t="shared" si="184"/>
        <v/>
      </c>
      <c r="BW336" s="458" t="str">
        <f t="shared" si="185"/>
        <v/>
      </c>
      <c r="BX336" s="458" t="str">
        <f t="shared" si="186"/>
        <v/>
      </c>
      <c r="BY336" s="458" t="str">
        <f t="shared" si="187"/>
        <v/>
      </c>
      <c r="BZ336" s="458" t="str">
        <f t="shared" si="188"/>
        <v/>
      </c>
      <c r="CA336" s="40" t="str">
        <f t="shared" si="189"/>
        <v/>
      </c>
      <c r="CB336" s="40" t="str">
        <f t="shared" si="190"/>
        <v/>
      </c>
      <c r="CC336" s="39" t="str">
        <f t="shared" si="191"/>
        <v/>
      </c>
      <c r="CD336" s="458" t="str">
        <f t="shared" si="192"/>
        <v/>
      </c>
      <c r="CE336" s="41" t="str">
        <f t="shared" si="193"/>
        <v/>
      </c>
      <c r="CF336" s="39" t="str">
        <f t="shared" si="194"/>
        <v/>
      </c>
      <c r="CG336" s="458" t="str">
        <f t="shared" si="195"/>
        <v/>
      </c>
      <c r="CH336" s="458" t="str">
        <f t="shared" si="196"/>
        <v/>
      </c>
      <c r="CI336" s="458" t="str">
        <f t="shared" si="197"/>
        <v/>
      </c>
      <c r="CJ336" s="458" t="str">
        <f t="shared" si="198"/>
        <v/>
      </c>
      <c r="CK336" s="40" t="str">
        <f t="shared" si="199"/>
        <v/>
      </c>
      <c r="CL336" s="40" t="str">
        <f t="shared" si="200"/>
        <v/>
      </c>
      <c r="CM336" s="40" t="str">
        <f t="shared" si="201"/>
        <v/>
      </c>
      <c r="CN336" s="39" t="str">
        <f t="shared" si="202"/>
        <v/>
      </c>
      <c r="CO336" s="458" t="str">
        <f t="shared" si="203"/>
        <v/>
      </c>
      <c r="CP336" s="458" t="str">
        <f t="shared" si="204"/>
        <v/>
      </c>
      <c r="CQ336" s="458" t="str">
        <f t="shared" si="205"/>
        <v/>
      </c>
      <c r="CR336" s="458" t="str">
        <f t="shared" si="206"/>
        <v/>
      </c>
      <c r="CS336" s="40" t="str">
        <f t="shared" si="207"/>
        <v/>
      </c>
      <c r="CT336" s="40" t="str">
        <f t="shared" si="208"/>
        <v/>
      </c>
      <c r="CU336" s="41" t="str">
        <f t="shared" si="209"/>
        <v/>
      </c>
    </row>
    <row r="337" spans="1:99" x14ac:dyDescent="0.2">
      <c r="A337" s="77">
        <f t="shared" si="210"/>
        <v>332</v>
      </c>
      <c r="B337" s="81"/>
      <c r="C337" s="82"/>
      <c r="D337" s="71"/>
      <c r="E337" s="72"/>
      <c r="F337" s="73"/>
      <c r="G337" s="443"/>
      <c r="H337" s="443"/>
      <c r="I337" s="74"/>
      <c r="J337" s="75"/>
      <c r="K337" s="41">
        <f t="shared" si="179"/>
        <v>3625</v>
      </c>
      <c r="L337" s="104"/>
      <c r="M337" s="105"/>
      <c r="N337" s="106">
        <f t="shared" si="180"/>
        <v>537.05999999999995</v>
      </c>
      <c r="O337" s="104"/>
      <c r="P337" s="105"/>
      <c r="Q337" s="106">
        <f t="shared" si="212"/>
        <v>10045.83</v>
      </c>
      <c r="R337" s="104"/>
      <c r="S337" s="105"/>
      <c r="T337" s="106">
        <f t="shared" si="213"/>
        <v>0</v>
      </c>
      <c r="U337" s="439"/>
      <c r="V337" s="42">
        <f t="shared" si="181"/>
        <v>332</v>
      </c>
      <c r="W337" s="39" t="str">
        <f>IF(AND(E337='Povolené hodnoty'!$B$4,F337=2),I337+L337+O337+R337,"")</f>
        <v/>
      </c>
      <c r="X337" s="41" t="str">
        <f>IF(AND(E337='Povolené hodnoty'!$B$4,F337=1),I337+L337+O337+R337,"")</f>
        <v/>
      </c>
      <c r="Y337" s="39" t="str">
        <f>IF(AND(E337='Povolené hodnoty'!$B$4,F337=10),J337+M337+P337+S337,"")</f>
        <v/>
      </c>
      <c r="Z337" s="41" t="str">
        <f>IF(AND(E337='Povolené hodnoty'!$B$4,F337=9),J337+M337+P337+S337,"")</f>
        <v/>
      </c>
      <c r="AA337" s="39" t="str">
        <f>IF(AND(E337&lt;&gt;'Povolené hodnoty'!$B$4,F337=2),I337+L337+O337+R337,"")</f>
        <v/>
      </c>
      <c r="AB337" s="40" t="str">
        <f>IF(AND(E337&lt;&gt;'Povolené hodnoty'!$B$4,F337=3),I337+L337+O337+R337,"")</f>
        <v/>
      </c>
      <c r="AC337" s="40" t="str">
        <f>IF(AND(E337&lt;&gt;'Povolené hodnoty'!$B$4,F337=4),I337+L337+O337+R337,"")</f>
        <v/>
      </c>
      <c r="AD337" s="40" t="str">
        <f>IF(AND(E337&lt;&gt;'Povolené hodnoty'!$B$4,F337="5a"),I337-J337+L337-M337+O337-P337+R337-S337,"")</f>
        <v/>
      </c>
      <c r="AE337" s="40" t="str">
        <f>IF(AND(E337&lt;&gt;'Povolené hodnoty'!$B$4,F337="5b"),I337-J337+L337-M337+O337-P337+R337-S337,"")</f>
        <v/>
      </c>
      <c r="AF337" s="40" t="str">
        <f>IF(AND(E337&lt;&gt;'Povolené hodnoty'!$B$4,F337=6),I337+L337+O337+R337,"")</f>
        <v/>
      </c>
      <c r="AG337" s="41" t="str">
        <f>IF(AND(E337&lt;&gt;'Povolené hodnoty'!$B$4,F337=7),I337+L337+O337+R337,"")</f>
        <v/>
      </c>
      <c r="AH337" s="39" t="str">
        <f>IF(AND(E337&lt;&gt;'Povolené hodnoty'!$B$4,F337=10),J337+M337+P337+S337,"")</f>
        <v/>
      </c>
      <c r="AI337" s="40" t="str">
        <f>IF(AND(E337&lt;&gt;'Povolené hodnoty'!$B$4,F337=11),J337+M337+P337+S337,"")</f>
        <v/>
      </c>
      <c r="AJ337" s="40" t="str">
        <f>IF(AND(E337&lt;&gt;'Povolené hodnoty'!$B$4,F337=12),J337+M337+P337+S337,"")</f>
        <v/>
      </c>
      <c r="AK337" s="41" t="str">
        <f>IF(AND(E337&lt;&gt;'Povolené hodnoty'!$B$4,F337=13),J337+M337+P337+S337,"")</f>
        <v/>
      </c>
      <c r="AL337" s="39" t="str">
        <f>IF(AND($G337='Povolené hodnoty'!$B$13,$H337=AL$4),SUM($I337,$L337,$O337,$R337),"")</f>
        <v/>
      </c>
      <c r="AM337" s="458" t="str">
        <f>IF(AND($G337='Povolené hodnoty'!$B$13,$H337=AM$4),SUM($I337,$L337,$O337,$R337),"")</f>
        <v/>
      </c>
      <c r="AN337" s="458" t="str">
        <f>IF(AND($G337='Povolené hodnoty'!$B$13,$H337=AN$4),SUM($I337,$L337,$O337,$R337),"")</f>
        <v/>
      </c>
      <c r="AO337" s="458" t="str">
        <f>IF(AND($G337='Povolené hodnoty'!$B$13,$H337=AO$4),SUM($I337,$L337,$O337,$R337),"")</f>
        <v/>
      </c>
      <c r="AP337" s="458" t="str">
        <f>IF(AND($G337='Povolené hodnoty'!$B$13,$H337=AP$4),SUM($I337,$L337,$O337,$R337),"")</f>
        <v/>
      </c>
      <c r="AQ337" s="40" t="str">
        <f>IF(AND($G337='Povolené hodnoty'!$B$13,OR($H337=AQ$4,$H337='Povolené hodnoty'!$E$36)),SUM($I337,-$J337,$L337,-$M337,$O337,-$P337,$R337,-$S337),"")</f>
        <v/>
      </c>
      <c r="AR337" s="40" t="str">
        <f>IF(AND($G337='Povolené hodnoty'!$B$13,$H337=AR$4),SUM($I337,$L337,$O337,$R337),"")</f>
        <v/>
      </c>
      <c r="AS337" s="41" t="str">
        <f>IF(AND($G337='Povolené hodnoty'!$B$13,$H337=AS$4),SUM($I337,$L337,$O337,$R337),"")</f>
        <v/>
      </c>
      <c r="AT337" s="39" t="str">
        <f>IF(AND($G337='Povolené hodnoty'!$B$14,$H337=AT$4),SUM($I337,$L337,$O337,$R337),"")</f>
        <v/>
      </c>
      <c r="AU337" s="458" t="str">
        <f>IF(AND($G337='Povolené hodnoty'!$B$14,$H337=AU$4),SUM($I337,$L337,$O337,$R337),"")</f>
        <v/>
      </c>
      <c r="AV337" s="41" t="str">
        <f>IF(AND($G337='Povolené hodnoty'!$B$14,$H337=AV$4),SUM($I337,$L337,$O337,$R337),"")</f>
        <v/>
      </c>
      <c r="AW337" s="39" t="str">
        <f>IF(AND($G337='Povolené hodnoty'!$B$13,$H337=AW$4),SUM($J337,$M337,$P337,$S337),"")</f>
        <v/>
      </c>
      <c r="AX337" s="458" t="str">
        <f>IF(AND($G337='Povolené hodnoty'!$B$13,$H337=AX$4),SUM($J337,$M337,$P337,$S337),"")</f>
        <v/>
      </c>
      <c r="AY337" s="458" t="str">
        <f>IF(AND($G337='Povolené hodnoty'!$B$13,$H337=AY$4),SUM($J337,$M337,$P337,$S337),"")</f>
        <v/>
      </c>
      <c r="AZ337" s="458" t="str">
        <f>IF(AND($G337='Povolené hodnoty'!$B$13,$H337=AZ$4),SUM($J337,$M337,$P337,$S337),"")</f>
        <v/>
      </c>
      <c r="BA337" s="458" t="str">
        <f>IF(AND($G337='Povolené hodnoty'!$B$13,$H337=BA$4),SUM($J337,$M337,$P337,$S337),"")</f>
        <v/>
      </c>
      <c r="BB337" s="40" t="str">
        <f>IF(AND($G337='Povolené hodnoty'!$B$13,$H337=BB$4),SUM($J337,$M337,$P337,$S337),"")</f>
        <v/>
      </c>
      <c r="BC337" s="40" t="str">
        <f>IF(AND($G337='Povolené hodnoty'!$B$13,$H337=BC$4),SUM($J337,$M337,$P337,$S337),"")</f>
        <v/>
      </c>
      <c r="BD337" s="40" t="str">
        <f>IF(AND($G337='Povolené hodnoty'!$B$13,$H337=BD$4),SUM($J337,$M337,$P337,$S337),"")</f>
        <v/>
      </c>
      <c r="BE337" s="41" t="str">
        <f>IF(AND($G337='Povolené hodnoty'!$B$13,$H337=BE$4),SUM($J337,$M337,$P337,$S337),"")</f>
        <v/>
      </c>
      <c r="BF337" s="39" t="str">
        <f>IF(AND($G337='Povolené hodnoty'!$B$14,$H337=BF$4),SUM($J337,$M337,$P337,$S337),"")</f>
        <v/>
      </c>
      <c r="BG337" s="458" t="str">
        <f>IF(AND($G337='Povolené hodnoty'!$B$14,$H337=BG$4),SUM($J337,$M337,$P337,$S337),"")</f>
        <v/>
      </c>
      <c r="BH337" s="458" t="str">
        <f>IF(AND($G337='Povolené hodnoty'!$B$14,$H337=BH$4),SUM($J337,$M337,$P337,$S337),"")</f>
        <v/>
      </c>
      <c r="BI337" s="458" t="str">
        <f>IF(AND($G337='Povolené hodnoty'!$B$14,$H337=BI$4),SUM($J337,$M337,$P337,$S337),"")</f>
        <v/>
      </c>
      <c r="BJ337" s="458" t="str">
        <f>IF(AND($G337='Povolené hodnoty'!$B$14,$H337=BJ$4),SUM($J337,$M337,$P337,$S337),"")</f>
        <v/>
      </c>
      <c r="BK337" s="40" t="str">
        <f>IF(AND($G337='Povolené hodnoty'!$B$14,$H337=BK$4),SUM($J337,$M337,$P337,$S337),"")</f>
        <v/>
      </c>
      <c r="BL337" s="40" t="str">
        <f>IF(AND($G337='Povolené hodnoty'!$B$14,$H337=BL$4),SUM($J337,$M337,$P337,$S337),"")</f>
        <v/>
      </c>
      <c r="BM337" s="41" t="str">
        <f>IF(AND($G337='Povolené hodnoty'!$B$14,$H337=BM$4),SUM($J337,$M337,$P337,$S337),"")</f>
        <v/>
      </c>
      <c r="BO337" s="18" t="b">
        <f t="shared" si="211"/>
        <v>0</v>
      </c>
      <c r="BP337" s="18" t="b">
        <f t="shared" si="182"/>
        <v>0</v>
      </c>
      <c r="BQ337" s="18" t="b">
        <f>AND(E337&lt;&gt;'Povolené hodnoty'!$B$6,F337&lt;&gt;'Povolené hodnoty'!$D$7,F337&lt;&gt;'Povolené hodnoty'!$D$8,OR(SUM(I337,L337,O337,R337)&lt;&gt;SUM(W337:X337,AA337:AG337),SUM(J337,M337,P337,S337)&lt;&gt;SUM(Y337:Z337,AH337:AK337),COUNT(I337:J337,L337:M337,O337:P337,R337:S337)&lt;&gt;COUNT(W337:AK337)))</f>
        <v>0</v>
      </c>
      <c r="BR337" s="18" t="b">
        <f>OR(AND(E337='Povolené hodnoty'!$B$6,$BR$5),AND(E337='Povolené hodnoty'!$B$6,H337&lt;&gt;'Povolené hodnoty'!$E$26,H337&lt;&gt;'Povolené hodnoty'!$E$35),AND(E337&lt;&gt;'Povolené hodnoty'!$B$6,OR(H337='Povolené hodnoty'!$E$26,H337='Povolené hodnoty'!$E$35)))</f>
        <v>0</v>
      </c>
      <c r="BS337" s="18" t="b">
        <f>OR(AND(G337&lt;&gt;'Povolené hodnoty'!$B$13,OR(H337='Povolené hodnoty'!$E$21,H337='Povolené hodnoty'!$E$22,H337='Povolené hodnoty'!$E$23,H337='Povolené hodnoty'!$E$24,H337='Povolené hodnoty'!$E$26,H337='Povolené hodnoty'!$E$36)),COUNT(I337:J337,L337:M337,O337:P337,R337:S337)&lt;&gt;COUNT(AL337:BM337))</f>
        <v>0</v>
      </c>
      <c r="BT337" s="18" t="b">
        <f t="shared" si="183"/>
        <v>0</v>
      </c>
      <c r="BV337" s="39" t="str">
        <f t="shared" si="184"/>
        <v/>
      </c>
      <c r="BW337" s="458" t="str">
        <f t="shared" si="185"/>
        <v/>
      </c>
      <c r="BX337" s="458" t="str">
        <f t="shared" si="186"/>
        <v/>
      </c>
      <c r="BY337" s="458" t="str">
        <f t="shared" si="187"/>
        <v/>
      </c>
      <c r="BZ337" s="458" t="str">
        <f t="shared" si="188"/>
        <v/>
      </c>
      <c r="CA337" s="40" t="str">
        <f t="shared" si="189"/>
        <v/>
      </c>
      <c r="CB337" s="40" t="str">
        <f t="shared" si="190"/>
        <v/>
      </c>
      <c r="CC337" s="39" t="str">
        <f t="shared" si="191"/>
        <v/>
      </c>
      <c r="CD337" s="458" t="str">
        <f t="shared" si="192"/>
        <v/>
      </c>
      <c r="CE337" s="41" t="str">
        <f t="shared" si="193"/>
        <v/>
      </c>
      <c r="CF337" s="39" t="str">
        <f t="shared" si="194"/>
        <v/>
      </c>
      <c r="CG337" s="458" t="str">
        <f t="shared" si="195"/>
        <v/>
      </c>
      <c r="CH337" s="458" t="str">
        <f t="shared" si="196"/>
        <v/>
      </c>
      <c r="CI337" s="458" t="str">
        <f t="shared" si="197"/>
        <v/>
      </c>
      <c r="CJ337" s="458" t="str">
        <f t="shared" si="198"/>
        <v/>
      </c>
      <c r="CK337" s="40" t="str">
        <f t="shared" si="199"/>
        <v/>
      </c>
      <c r="CL337" s="40" t="str">
        <f t="shared" si="200"/>
        <v/>
      </c>
      <c r="CM337" s="40" t="str">
        <f t="shared" si="201"/>
        <v/>
      </c>
      <c r="CN337" s="39" t="str">
        <f t="shared" si="202"/>
        <v/>
      </c>
      <c r="CO337" s="458" t="str">
        <f t="shared" si="203"/>
        <v/>
      </c>
      <c r="CP337" s="458" t="str">
        <f t="shared" si="204"/>
        <v/>
      </c>
      <c r="CQ337" s="458" t="str">
        <f t="shared" si="205"/>
        <v/>
      </c>
      <c r="CR337" s="458" t="str">
        <f t="shared" si="206"/>
        <v/>
      </c>
      <c r="CS337" s="40" t="str">
        <f t="shared" si="207"/>
        <v/>
      </c>
      <c r="CT337" s="40" t="str">
        <f t="shared" si="208"/>
        <v/>
      </c>
      <c r="CU337" s="41" t="str">
        <f t="shared" si="209"/>
        <v/>
      </c>
    </row>
    <row r="338" spans="1:99" x14ac:dyDescent="0.2">
      <c r="A338" s="77">
        <f t="shared" si="210"/>
        <v>333</v>
      </c>
      <c r="B338" s="81"/>
      <c r="C338" s="82"/>
      <c r="D338" s="71"/>
      <c r="E338" s="72"/>
      <c r="F338" s="73"/>
      <c r="G338" s="443"/>
      <c r="H338" s="443"/>
      <c r="I338" s="74"/>
      <c r="J338" s="75"/>
      <c r="K338" s="41">
        <f t="shared" si="179"/>
        <v>3625</v>
      </c>
      <c r="L338" s="104"/>
      <c r="M338" s="105"/>
      <c r="N338" s="106">
        <f t="shared" si="180"/>
        <v>537.05999999999995</v>
      </c>
      <c r="O338" s="104"/>
      <c r="P338" s="105"/>
      <c r="Q338" s="106">
        <f t="shared" si="212"/>
        <v>10045.83</v>
      </c>
      <c r="R338" s="104"/>
      <c r="S338" s="105"/>
      <c r="T338" s="106">
        <f t="shared" si="213"/>
        <v>0</v>
      </c>
      <c r="U338" s="439"/>
      <c r="V338" s="42">
        <f t="shared" si="181"/>
        <v>333</v>
      </c>
      <c r="W338" s="39" t="str">
        <f>IF(AND(E338='Povolené hodnoty'!$B$4,F338=2),I338+L338+O338+R338,"")</f>
        <v/>
      </c>
      <c r="X338" s="41" t="str">
        <f>IF(AND(E338='Povolené hodnoty'!$B$4,F338=1),I338+L338+O338+R338,"")</f>
        <v/>
      </c>
      <c r="Y338" s="39" t="str">
        <f>IF(AND(E338='Povolené hodnoty'!$B$4,F338=10),J338+M338+P338+S338,"")</f>
        <v/>
      </c>
      <c r="Z338" s="41" t="str">
        <f>IF(AND(E338='Povolené hodnoty'!$B$4,F338=9),J338+M338+P338+S338,"")</f>
        <v/>
      </c>
      <c r="AA338" s="39" t="str">
        <f>IF(AND(E338&lt;&gt;'Povolené hodnoty'!$B$4,F338=2),I338+L338+O338+R338,"")</f>
        <v/>
      </c>
      <c r="AB338" s="40" t="str">
        <f>IF(AND(E338&lt;&gt;'Povolené hodnoty'!$B$4,F338=3),I338+L338+O338+R338,"")</f>
        <v/>
      </c>
      <c r="AC338" s="40" t="str">
        <f>IF(AND(E338&lt;&gt;'Povolené hodnoty'!$B$4,F338=4),I338+L338+O338+R338,"")</f>
        <v/>
      </c>
      <c r="AD338" s="40" t="str">
        <f>IF(AND(E338&lt;&gt;'Povolené hodnoty'!$B$4,F338="5a"),I338-J338+L338-M338+O338-P338+R338-S338,"")</f>
        <v/>
      </c>
      <c r="AE338" s="40" t="str">
        <f>IF(AND(E338&lt;&gt;'Povolené hodnoty'!$B$4,F338="5b"),I338-J338+L338-M338+O338-P338+R338-S338,"")</f>
        <v/>
      </c>
      <c r="AF338" s="40" t="str">
        <f>IF(AND(E338&lt;&gt;'Povolené hodnoty'!$B$4,F338=6),I338+L338+O338+R338,"")</f>
        <v/>
      </c>
      <c r="AG338" s="41" t="str">
        <f>IF(AND(E338&lt;&gt;'Povolené hodnoty'!$B$4,F338=7),I338+L338+O338+R338,"")</f>
        <v/>
      </c>
      <c r="AH338" s="39" t="str">
        <f>IF(AND(E338&lt;&gt;'Povolené hodnoty'!$B$4,F338=10),J338+M338+P338+S338,"")</f>
        <v/>
      </c>
      <c r="AI338" s="40" t="str">
        <f>IF(AND(E338&lt;&gt;'Povolené hodnoty'!$B$4,F338=11),J338+M338+P338+S338,"")</f>
        <v/>
      </c>
      <c r="AJ338" s="40" t="str">
        <f>IF(AND(E338&lt;&gt;'Povolené hodnoty'!$B$4,F338=12),J338+M338+P338+S338,"")</f>
        <v/>
      </c>
      <c r="AK338" s="41" t="str">
        <f>IF(AND(E338&lt;&gt;'Povolené hodnoty'!$B$4,F338=13),J338+M338+P338+S338,"")</f>
        <v/>
      </c>
      <c r="AL338" s="39" t="str">
        <f>IF(AND($G338='Povolené hodnoty'!$B$13,$H338=AL$4),SUM($I338,$L338,$O338,$R338),"")</f>
        <v/>
      </c>
      <c r="AM338" s="458" t="str">
        <f>IF(AND($G338='Povolené hodnoty'!$B$13,$H338=AM$4),SUM($I338,$L338,$O338,$R338),"")</f>
        <v/>
      </c>
      <c r="AN338" s="458" t="str">
        <f>IF(AND($G338='Povolené hodnoty'!$B$13,$H338=AN$4),SUM($I338,$L338,$O338,$R338),"")</f>
        <v/>
      </c>
      <c r="AO338" s="458" t="str">
        <f>IF(AND($G338='Povolené hodnoty'!$B$13,$H338=AO$4),SUM($I338,$L338,$O338,$R338),"")</f>
        <v/>
      </c>
      <c r="AP338" s="458" t="str">
        <f>IF(AND($G338='Povolené hodnoty'!$B$13,$H338=AP$4),SUM($I338,$L338,$O338,$R338),"")</f>
        <v/>
      </c>
      <c r="AQ338" s="40" t="str">
        <f>IF(AND($G338='Povolené hodnoty'!$B$13,OR($H338=AQ$4,$H338='Povolené hodnoty'!$E$36)),SUM($I338,-$J338,$L338,-$M338,$O338,-$P338,$R338,-$S338),"")</f>
        <v/>
      </c>
      <c r="AR338" s="40" t="str">
        <f>IF(AND($G338='Povolené hodnoty'!$B$13,$H338=AR$4),SUM($I338,$L338,$O338,$R338),"")</f>
        <v/>
      </c>
      <c r="AS338" s="41" t="str">
        <f>IF(AND($G338='Povolené hodnoty'!$B$13,$H338=AS$4),SUM($I338,$L338,$O338,$R338),"")</f>
        <v/>
      </c>
      <c r="AT338" s="39" t="str">
        <f>IF(AND($G338='Povolené hodnoty'!$B$14,$H338=AT$4),SUM($I338,$L338,$O338,$R338),"")</f>
        <v/>
      </c>
      <c r="AU338" s="458" t="str">
        <f>IF(AND($G338='Povolené hodnoty'!$B$14,$H338=AU$4),SUM($I338,$L338,$O338,$R338),"")</f>
        <v/>
      </c>
      <c r="AV338" s="41" t="str">
        <f>IF(AND($G338='Povolené hodnoty'!$B$14,$H338=AV$4),SUM($I338,$L338,$O338,$R338),"")</f>
        <v/>
      </c>
      <c r="AW338" s="39" t="str">
        <f>IF(AND($G338='Povolené hodnoty'!$B$13,$H338=AW$4),SUM($J338,$M338,$P338,$S338),"")</f>
        <v/>
      </c>
      <c r="AX338" s="458" t="str">
        <f>IF(AND($G338='Povolené hodnoty'!$B$13,$H338=AX$4),SUM($J338,$M338,$P338,$S338),"")</f>
        <v/>
      </c>
      <c r="AY338" s="458" t="str">
        <f>IF(AND($G338='Povolené hodnoty'!$B$13,$H338=AY$4),SUM($J338,$M338,$P338,$S338),"")</f>
        <v/>
      </c>
      <c r="AZ338" s="458" t="str">
        <f>IF(AND($G338='Povolené hodnoty'!$B$13,$H338=AZ$4),SUM($J338,$M338,$P338,$S338),"")</f>
        <v/>
      </c>
      <c r="BA338" s="458" t="str">
        <f>IF(AND($G338='Povolené hodnoty'!$B$13,$H338=BA$4),SUM($J338,$M338,$P338,$S338),"")</f>
        <v/>
      </c>
      <c r="BB338" s="40" t="str">
        <f>IF(AND($G338='Povolené hodnoty'!$B$13,$H338=BB$4),SUM($J338,$M338,$P338,$S338),"")</f>
        <v/>
      </c>
      <c r="BC338" s="40" t="str">
        <f>IF(AND($G338='Povolené hodnoty'!$B$13,$H338=BC$4),SUM($J338,$M338,$P338,$S338),"")</f>
        <v/>
      </c>
      <c r="BD338" s="40" t="str">
        <f>IF(AND($G338='Povolené hodnoty'!$B$13,$H338=BD$4),SUM($J338,$M338,$P338,$S338),"")</f>
        <v/>
      </c>
      <c r="BE338" s="41" t="str">
        <f>IF(AND($G338='Povolené hodnoty'!$B$13,$H338=BE$4),SUM($J338,$M338,$P338,$S338),"")</f>
        <v/>
      </c>
      <c r="BF338" s="39" t="str">
        <f>IF(AND($G338='Povolené hodnoty'!$B$14,$H338=BF$4),SUM($J338,$M338,$P338,$S338),"")</f>
        <v/>
      </c>
      <c r="BG338" s="458" t="str">
        <f>IF(AND($G338='Povolené hodnoty'!$B$14,$H338=BG$4),SUM($J338,$M338,$P338,$S338),"")</f>
        <v/>
      </c>
      <c r="BH338" s="458" t="str">
        <f>IF(AND($G338='Povolené hodnoty'!$B$14,$H338=BH$4),SUM($J338,$M338,$P338,$S338),"")</f>
        <v/>
      </c>
      <c r="BI338" s="458" t="str">
        <f>IF(AND($G338='Povolené hodnoty'!$B$14,$H338=BI$4),SUM($J338,$M338,$P338,$S338),"")</f>
        <v/>
      </c>
      <c r="BJ338" s="458" t="str">
        <f>IF(AND($G338='Povolené hodnoty'!$B$14,$H338=BJ$4),SUM($J338,$M338,$P338,$S338),"")</f>
        <v/>
      </c>
      <c r="BK338" s="40" t="str">
        <f>IF(AND($G338='Povolené hodnoty'!$B$14,$H338=BK$4),SUM($J338,$M338,$P338,$S338),"")</f>
        <v/>
      </c>
      <c r="BL338" s="40" t="str">
        <f>IF(AND($G338='Povolené hodnoty'!$B$14,$H338=BL$4),SUM($J338,$M338,$P338,$S338),"")</f>
        <v/>
      </c>
      <c r="BM338" s="41" t="str">
        <f>IF(AND($G338='Povolené hodnoty'!$B$14,$H338=BM$4),SUM($J338,$M338,$P338,$S338),"")</f>
        <v/>
      </c>
      <c r="BO338" s="18" t="b">
        <f t="shared" si="211"/>
        <v>0</v>
      </c>
      <c r="BP338" s="18" t="b">
        <f t="shared" si="182"/>
        <v>0</v>
      </c>
      <c r="BQ338" s="18" t="b">
        <f>AND(E338&lt;&gt;'Povolené hodnoty'!$B$6,F338&lt;&gt;'Povolené hodnoty'!$D$7,F338&lt;&gt;'Povolené hodnoty'!$D$8,OR(SUM(I338,L338,O338,R338)&lt;&gt;SUM(W338:X338,AA338:AG338),SUM(J338,M338,P338,S338)&lt;&gt;SUM(Y338:Z338,AH338:AK338),COUNT(I338:J338,L338:M338,O338:P338,R338:S338)&lt;&gt;COUNT(W338:AK338)))</f>
        <v>0</v>
      </c>
      <c r="BR338" s="18" t="b">
        <f>OR(AND(E338='Povolené hodnoty'!$B$6,$BR$5),AND(E338='Povolené hodnoty'!$B$6,H338&lt;&gt;'Povolené hodnoty'!$E$26,H338&lt;&gt;'Povolené hodnoty'!$E$35),AND(E338&lt;&gt;'Povolené hodnoty'!$B$6,OR(H338='Povolené hodnoty'!$E$26,H338='Povolené hodnoty'!$E$35)))</f>
        <v>0</v>
      </c>
      <c r="BS338" s="18" t="b">
        <f>OR(AND(G338&lt;&gt;'Povolené hodnoty'!$B$13,OR(H338='Povolené hodnoty'!$E$21,H338='Povolené hodnoty'!$E$22,H338='Povolené hodnoty'!$E$23,H338='Povolené hodnoty'!$E$24,H338='Povolené hodnoty'!$E$26,H338='Povolené hodnoty'!$E$36)),COUNT(I338:J338,L338:M338,O338:P338,R338:S338)&lt;&gt;COUNT(AL338:BM338))</f>
        <v>0</v>
      </c>
      <c r="BT338" s="18" t="b">
        <f t="shared" si="183"/>
        <v>0</v>
      </c>
      <c r="BV338" s="39" t="str">
        <f t="shared" si="184"/>
        <v/>
      </c>
      <c r="BW338" s="458" t="str">
        <f t="shared" si="185"/>
        <v/>
      </c>
      <c r="BX338" s="458" t="str">
        <f t="shared" si="186"/>
        <v/>
      </c>
      <c r="BY338" s="458" t="str">
        <f t="shared" si="187"/>
        <v/>
      </c>
      <c r="BZ338" s="458" t="str">
        <f t="shared" si="188"/>
        <v/>
      </c>
      <c r="CA338" s="40" t="str">
        <f t="shared" si="189"/>
        <v/>
      </c>
      <c r="CB338" s="40" t="str">
        <f t="shared" si="190"/>
        <v/>
      </c>
      <c r="CC338" s="39" t="str">
        <f t="shared" si="191"/>
        <v/>
      </c>
      <c r="CD338" s="458" t="str">
        <f t="shared" si="192"/>
        <v/>
      </c>
      <c r="CE338" s="41" t="str">
        <f t="shared" si="193"/>
        <v/>
      </c>
      <c r="CF338" s="39" t="str">
        <f t="shared" si="194"/>
        <v/>
      </c>
      <c r="CG338" s="458" t="str">
        <f t="shared" si="195"/>
        <v/>
      </c>
      <c r="CH338" s="458" t="str">
        <f t="shared" si="196"/>
        <v/>
      </c>
      <c r="CI338" s="458" t="str">
        <f t="shared" si="197"/>
        <v/>
      </c>
      <c r="CJ338" s="458" t="str">
        <f t="shared" si="198"/>
        <v/>
      </c>
      <c r="CK338" s="40" t="str">
        <f t="shared" si="199"/>
        <v/>
      </c>
      <c r="CL338" s="40" t="str">
        <f t="shared" si="200"/>
        <v/>
      </c>
      <c r="CM338" s="40" t="str">
        <f t="shared" si="201"/>
        <v/>
      </c>
      <c r="CN338" s="39" t="str">
        <f t="shared" si="202"/>
        <v/>
      </c>
      <c r="CO338" s="458" t="str">
        <f t="shared" si="203"/>
        <v/>
      </c>
      <c r="CP338" s="458" t="str">
        <f t="shared" si="204"/>
        <v/>
      </c>
      <c r="CQ338" s="458" t="str">
        <f t="shared" si="205"/>
        <v/>
      </c>
      <c r="CR338" s="458" t="str">
        <f t="shared" si="206"/>
        <v/>
      </c>
      <c r="CS338" s="40" t="str">
        <f t="shared" si="207"/>
        <v/>
      </c>
      <c r="CT338" s="40" t="str">
        <f t="shared" si="208"/>
        <v/>
      </c>
      <c r="CU338" s="41" t="str">
        <f t="shared" si="209"/>
        <v/>
      </c>
    </row>
    <row r="339" spans="1:99" x14ac:dyDescent="0.2">
      <c r="A339" s="77">
        <f t="shared" si="210"/>
        <v>334</v>
      </c>
      <c r="B339" s="81"/>
      <c r="C339" s="82"/>
      <c r="D339" s="71"/>
      <c r="E339" s="72"/>
      <c r="F339" s="73"/>
      <c r="G339" s="443"/>
      <c r="H339" s="443"/>
      <c r="I339" s="74"/>
      <c r="J339" s="75"/>
      <c r="K339" s="41">
        <f t="shared" si="179"/>
        <v>3625</v>
      </c>
      <c r="L339" s="104"/>
      <c r="M339" s="105"/>
      <c r="N339" s="106">
        <f t="shared" si="180"/>
        <v>537.05999999999995</v>
      </c>
      <c r="O339" s="104"/>
      <c r="P339" s="105"/>
      <c r="Q339" s="106">
        <f t="shared" si="212"/>
        <v>10045.83</v>
      </c>
      <c r="R339" s="104"/>
      <c r="S339" s="105"/>
      <c r="T339" s="106">
        <f t="shared" si="213"/>
        <v>0</v>
      </c>
      <c r="U339" s="439"/>
      <c r="V339" s="42">
        <f t="shared" si="181"/>
        <v>334</v>
      </c>
      <c r="W339" s="39" t="str">
        <f>IF(AND(E339='Povolené hodnoty'!$B$4,F339=2),I339+L339+O339+R339,"")</f>
        <v/>
      </c>
      <c r="X339" s="41" t="str">
        <f>IF(AND(E339='Povolené hodnoty'!$B$4,F339=1),I339+L339+O339+R339,"")</f>
        <v/>
      </c>
      <c r="Y339" s="39" t="str">
        <f>IF(AND(E339='Povolené hodnoty'!$B$4,F339=10),J339+M339+P339+S339,"")</f>
        <v/>
      </c>
      <c r="Z339" s="41" t="str">
        <f>IF(AND(E339='Povolené hodnoty'!$B$4,F339=9),J339+M339+P339+S339,"")</f>
        <v/>
      </c>
      <c r="AA339" s="39" t="str">
        <f>IF(AND(E339&lt;&gt;'Povolené hodnoty'!$B$4,F339=2),I339+L339+O339+R339,"")</f>
        <v/>
      </c>
      <c r="AB339" s="40" t="str">
        <f>IF(AND(E339&lt;&gt;'Povolené hodnoty'!$B$4,F339=3),I339+L339+O339+R339,"")</f>
        <v/>
      </c>
      <c r="AC339" s="40" t="str">
        <f>IF(AND(E339&lt;&gt;'Povolené hodnoty'!$B$4,F339=4),I339+L339+O339+R339,"")</f>
        <v/>
      </c>
      <c r="AD339" s="40" t="str">
        <f>IF(AND(E339&lt;&gt;'Povolené hodnoty'!$B$4,F339="5a"),I339-J339+L339-M339+O339-P339+R339-S339,"")</f>
        <v/>
      </c>
      <c r="AE339" s="40" t="str">
        <f>IF(AND(E339&lt;&gt;'Povolené hodnoty'!$B$4,F339="5b"),I339-J339+L339-M339+O339-P339+R339-S339,"")</f>
        <v/>
      </c>
      <c r="AF339" s="40" t="str">
        <f>IF(AND(E339&lt;&gt;'Povolené hodnoty'!$B$4,F339=6),I339+L339+O339+R339,"")</f>
        <v/>
      </c>
      <c r="AG339" s="41" t="str">
        <f>IF(AND(E339&lt;&gt;'Povolené hodnoty'!$B$4,F339=7),I339+L339+O339+R339,"")</f>
        <v/>
      </c>
      <c r="AH339" s="39" t="str">
        <f>IF(AND(E339&lt;&gt;'Povolené hodnoty'!$B$4,F339=10),J339+M339+P339+S339,"")</f>
        <v/>
      </c>
      <c r="AI339" s="40" t="str">
        <f>IF(AND(E339&lt;&gt;'Povolené hodnoty'!$B$4,F339=11),J339+M339+P339+S339,"")</f>
        <v/>
      </c>
      <c r="AJ339" s="40" t="str">
        <f>IF(AND(E339&lt;&gt;'Povolené hodnoty'!$B$4,F339=12),J339+M339+P339+S339,"")</f>
        <v/>
      </c>
      <c r="AK339" s="41" t="str">
        <f>IF(AND(E339&lt;&gt;'Povolené hodnoty'!$B$4,F339=13),J339+M339+P339+S339,"")</f>
        <v/>
      </c>
      <c r="AL339" s="39" t="str">
        <f>IF(AND($G339='Povolené hodnoty'!$B$13,$H339=AL$4),SUM($I339,$L339,$O339,$R339),"")</f>
        <v/>
      </c>
      <c r="AM339" s="458" t="str">
        <f>IF(AND($G339='Povolené hodnoty'!$B$13,$H339=AM$4),SUM($I339,$L339,$O339,$R339),"")</f>
        <v/>
      </c>
      <c r="AN339" s="458" t="str">
        <f>IF(AND($G339='Povolené hodnoty'!$B$13,$H339=AN$4),SUM($I339,$L339,$O339,$R339),"")</f>
        <v/>
      </c>
      <c r="AO339" s="458" t="str">
        <f>IF(AND($G339='Povolené hodnoty'!$B$13,$H339=AO$4),SUM($I339,$L339,$O339,$R339),"")</f>
        <v/>
      </c>
      <c r="AP339" s="458" t="str">
        <f>IF(AND($G339='Povolené hodnoty'!$B$13,$H339=AP$4),SUM($I339,$L339,$O339,$R339),"")</f>
        <v/>
      </c>
      <c r="AQ339" s="40" t="str">
        <f>IF(AND($G339='Povolené hodnoty'!$B$13,OR($H339=AQ$4,$H339='Povolené hodnoty'!$E$36)),SUM($I339,-$J339,$L339,-$M339,$O339,-$P339,$R339,-$S339),"")</f>
        <v/>
      </c>
      <c r="AR339" s="40" t="str">
        <f>IF(AND($G339='Povolené hodnoty'!$B$13,$H339=AR$4),SUM($I339,$L339,$O339,$R339),"")</f>
        <v/>
      </c>
      <c r="AS339" s="41" t="str">
        <f>IF(AND($G339='Povolené hodnoty'!$B$13,$H339=AS$4),SUM($I339,$L339,$O339,$R339),"")</f>
        <v/>
      </c>
      <c r="AT339" s="39" t="str">
        <f>IF(AND($G339='Povolené hodnoty'!$B$14,$H339=AT$4),SUM($I339,$L339,$O339,$R339),"")</f>
        <v/>
      </c>
      <c r="AU339" s="458" t="str">
        <f>IF(AND($G339='Povolené hodnoty'!$B$14,$H339=AU$4),SUM($I339,$L339,$O339,$R339),"")</f>
        <v/>
      </c>
      <c r="AV339" s="41" t="str">
        <f>IF(AND($G339='Povolené hodnoty'!$B$14,$H339=AV$4),SUM($I339,$L339,$O339,$R339),"")</f>
        <v/>
      </c>
      <c r="AW339" s="39" t="str">
        <f>IF(AND($G339='Povolené hodnoty'!$B$13,$H339=AW$4),SUM($J339,$M339,$P339,$S339),"")</f>
        <v/>
      </c>
      <c r="AX339" s="458" t="str">
        <f>IF(AND($G339='Povolené hodnoty'!$B$13,$H339=AX$4),SUM($J339,$M339,$P339,$S339),"")</f>
        <v/>
      </c>
      <c r="AY339" s="458" t="str">
        <f>IF(AND($G339='Povolené hodnoty'!$B$13,$H339=AY$4),SUM($J339,$M339,$P339,$S339),"")</f>
        <v/>
      </c>
      <c r="AZ339" s="458" t="str">
        <f>IF(AND($G339='Povolené hodnoty'!$B$13,$H339=AZ$4),SUM($J339,$M339,$P339,$S339),"")</f>
        <v/>
      </c>
      <c r="BA339" s="458" t="str">
        <f>IF(AND($G339='Povolené hodnoty'!$B$13,$H339=BA$4),SUM($J339,$M339,$P339,$S339),"")</f>
        <v/>
      </c>
      <c r="BB339" s="40" t="str">
        <f>IF(AND($G339='Povolené hodnoty'!$B$13,$H339=BB$4),SUM($J339,$M339,$P339,$S339),"")</f>
        <v/>
      </c>
      <c r="BC339" s="40" t="str">
        <f>IF(AND($G339='Povolené hodnoty'!$B$13,$H339=BC$4),SUM($J339,$M339,$P339,$S339),"")</f>
        <v/>
      </c>
      <c r="BD339" s="40" t="str">
        <f>IF(AND($G339='Povolené hodnoty'!$B$13,$H339=BD$4),SUM($J339,$M339,$P339,$S339),"")</f>
        <v/>
      </c>
      <c r="BE339" s="41" t="str">
        <f>IF(AND($G339='Povolené hodnoty'!$B$13,$H339=BE$4),SUM($J339,$M339,$P339,$S339),"")</f>
        <v/>
      </c>
      <c r="BF339" s="39" t="str">
        <f>IF(AND($G339='Povolené hodnoty'!$B$14,$H339=BF$4),SUM($J339,$M339,$P339,$S339),"")</f>
        <v/>
      </c>
      <c r="BG339" s="458" t="str">
        <f>IF(AND($G339='Povolené hodnoty'!$B$14,$H339=BG$4),SUM($J339,$M339,$P339,$S339),"")</f>
        <v/>
      </c>
      <c r="BH339" s="458" t="str">
        <f>IF(AND($G339='Povolené hodnoty'!$B$14,$H339=BH$4),SUM($J339,$M339,$P339,$S339),"")</f>
        <v/>
      </c>
      <c r="BI339" s="458" t="str">
        <f>IF(AND($G339='Povolené hodnoty'!$B$14,$H339=BI$4),SUM($J339,$M339,$P339,$S339),"")</f>
        <v/>
      </c>
      <c r="BJ339" s="458" t="str">
        <f>IF(AND($G339='Povolené hodnoty'!$B$14,$H339=BJ$4),SUM($J339,$M339,$P339,$S339),"")</f>
        <v/>
      </c>
      <c r="BK339" s="40" t="str">
        <f>IF(AND($G339='Povolené hodnoty'!$B$14,$H339=BK$4),SUM($J339,$M339,$P339,$S339),"")</f>
        <v/>
      </c>
      <c r="BL339" s="40" t="str">
        <f>IF(AND($G339='Povolené hodnoty'!$B$14,$H339=BL$4),SUM($J339,$M339,$P339,$S339),"")</f>
        <v/>
      </c>
      <c r="BM339" s="41" t="str">
        <f>IF(AND($G339='Povolené hodnoty'!$B$14,$H339=BM$4),SUM($J339,$M339,$P339,$S339),"")</f>
        <v/>
      </c>
      <c r="BO339" s="18" t="b">
        <f t="shared" si="211"/>
        <v>0</v>
      </c>
      <c r="BP339" s="18" t="b">
        <f t="shared" si="182"/>
        <v>0</v>
      </c>
      <c r="BQ339" s="18" t="b">
        <f>AND(E339&lt;&gt;'Povolené hodnoty'!$B$6,F339&lt;&gt;'Povolené hodnoty'!$D$7,F339&lt;&gt;'Povolené hodnoty'!$D$8,OR(SUM(I339,L339,O339,R339)&lt;&gt;SUM(W339:X339,AA339:AG339),SUM(J339,M339,P339,S339)&lt;&gt;SUM(Y339:Z339,AH339:AK339),COUNT(I339:J339,L339:M339,O339:P339,R339:S339)&lt;&gt;COUNT(W339:AK339)))</f>
        <v>0</v>
      </c>
      <c r="BR339" s="18" t="b">
        <f>OR(AND(E339='Povolené hodnoty'!$B$6,$BR$5),AND(E339='Povolené hodnoty'!$B$6,H339&lt;&gt;'Povolené hodnoty'!$E$26,H339&lt;&gt;'Povolené hodnoty'!$E$35),AND(E339&lt;&gt;'Povolené hodnoty'!$B$6,OR(H339='Povolené hodnoty'!$E$26,H339='Povolené hodnoty'!$E$35)))</f>
        <v>0</v>
      </c>
      <c r="BS339" s="18" t="b">
        <f>OR(AND(G339&lt;&gt;'Povolené hodnoty'!$B$13,OR(H339='Povolené hodnoty'!$E$21,H339='Povolené hodnoty'!$E$22,H339='Povolené hodnoty'!$E$23,H339='Povolené hodnoty'!$E$24,H339='Povolené hodnoty'!$E$26,H339='Povolené hodnoty'!$E$36)),COUNT(I339:J339,L339:M339,O339:P339,R339:S339)&lt;&gt;COUNT(AL339:BM339))</f>
        <v>0</v>
      </c>
      <c r="BT339" s="18" t="b">
        <f t="shared" si="183"/>
        <v>0</v>
      </c>
      <c r="BV339" s="39" t="str">
        <f t="shared" si="184"/>
        <v/>
      </c>
      <c r="BW339" s="458" t="str">
        <f t="shared" si="185"/>
        <v/>
      </c>
      <c r="BX339" s="458" t="str">
        <f t="shared" si="186"/>
        <v/>
      </c>
      <c r="BY339" s="458" t="str">
        <f t="shared" si="187"/>
        <v/>
      </c>
      <c r="BZ339" s="458" t="str">
        <f t="shared" si="188"/>
        <v/>
      </c>
      <c r="CA339" s="40" t="str">
        <f t="shared" si="189"/>
        <v/>
      </c>
      <c r="CB339" s="40" t="str">
        <f t="shared" si="190"/>
        <v/>
      </c>
      <c r="CC339" s="39" t="str">
        <f t="shared" si="191"/>
        <v/>
      </c>
      <c r="CD339" s="458" t="str">
        <f t="shared" si="192"/>
        <v/>
      </c>
      <c r="CE339" s="41" t="str">
        <f t="shared" si="193"/>
        <v/>
      </c>
      <c r="CF339" s="39" t="str">
        <f t="shared" si="194"/>
        <v/>
      </c>
      <c r="CG339" s="458" t="str">
        <f t="shared" si="195"/>
        <v/>
      </c>
      <c r="CH339" s="458" t="str">
        <f t="shared" si="196"/>
        <v/>
      </c>
      <c r="CI339" s="458" t="str">
        <f t="shared" si="197"/>
        <v/>
      </c>
      <c r="CJ339" s="458" t="str">
        <f t="shared" si="198"/>
        <v/>
      </c>
      <c r="CK339" s="40" t="str">
        <f t="shared" si="199"/>
        <v/>
      </c>
      <c r="CL339" s="40" t="str">
        <f t="shared" si="200"/>
        <v/>
      </c>
      <c r="CM339" s="40" t="str">
        <f t="shared" si="201"/>
        <v/>
      </c>
      <c r="CN339" s="39" t="str">
        <f t="shared" si="202"/>
        <v/>
      </c>
      <c r="CO339" s="458" t="str">
        <f t="shared" si="203"/>
        <v/>
      </c>
      <c r="CP339" s="458" t="str">
        <f t="shared" si="204"/>
        <v/>
      </c>
      <c r="CQ339" s="458" t="str">
        <f t="shared" si="205"/>
        <v/>
      </c>
      <c r="CR339" s="458" t="str">
        <f t="shared" si="206"/>
        <v/>
      </c>
      <c r="CS339" s="40" t="str">
        <f t="shared" si="207"/>
        <v/>
      </c>
      <c r="CT339" s="40" t="str">
        <f t="shared" si="208"/>
        <v/>
      </c>
      <c r="CU339" s="41" t="str">
        <f t="shared" si="209"/>
        <v/>
      </c>
    </row>
    <row r="340" spans="1:99" x14ac:dyDescent="0.2">
      <c r="A340" s="77">
        <f t="shared" si="210"/>
        <v>335</v>
      </c>
      <c r="B340" s="81"/>
      <c r="C340" s="82"/>
      <c r="D340" s="71"/>
      <c r="E340" s="72"/>
      <c r="F340" s="73"/>
      <c r="G340" s="443"/>
      <c r="H340" s="443"/>
      <c r="I340" s="74"/>
      <c r="J340" s="75"/>
      <c r="K340" s="41">
        <f t="shared" si="179"/>
        <v>3625</v>
      </c>
      <c r="L340" s="104"/>
      <c r="M340" s="105"/>
      <c r="N340" s="106">
        <f t="shared" si="180"/>
        <v>537.05999999999995</v>
      </c>
      <c r="O340" s="104"/>
      <c r="P340" s="105"/>
      <c r="Q340" s="106">
        <f t="shared" si="212"/>
        <v>10045.83</v>
      </c>
      <c r="R340" s="104"/>
      <c r="S340" s="105"/>
      <c r="T340" s="106">
        <f t="shared" si="213"/>
        <v>0</v>
      </c>
      <c r="U340" s="439"/>
      <c r="V340" s="42">
        <f t="shared" si="181"/>
        <v>335</v>
      </c>
      <c r="W340" s="39" t="str">
        <f>IF(AND(E340='Povolené hodnoty'!$B$4,F340=2),I340+L340+O340+R340,"")</f>
        <v/>
      </c>
      <c r="X340" s="41" t="str">
        <f>IF(AND(E340='Povolené hodnoty'!$B$4,F340=1),I340+L340+O340+R340,"")</f>
        <v/>
      </c>
      <c r="Y340" s="39" t="str">
        <f>IF(AND(E340='Povolené hodnoty'!$B$4,F340=10),J340+M340+P340+S340,"")</f>
        <v/>
      </c>
      <c r="Z340" s="41" t="str">
        <f>IF(AND(E340='Povolené hodnoty'!$B$4,F340=9),J340+M340+P340+S340,"")</f>
        <v/>
      </c>
      <c r="AA340" s="39" t="str">
        <f>IF(AND(E340&lt;&gt;'Povolené hodnoty'!$B$4,F340=2),I340+L340+O340+R340,"")</f>
        <v/>
      </c>
      <c r="AB340" s="40" t="str">
        <f>IF(AND(E340&lt;&gt;'Povolené hodnoty'!$B$4,F340=3),I340+L340+O340+R340,"")</f>
        <v/>
      </c>
      <c r="AC340" s="40" t="str">
        <f>IF(AND(E340&lt;&gt;'Povolené hodnoty'!$B$4,F340=4),I340+L340+O340+R340,"")</f>
        <v/>
      </c>
      <c r="AD340" s="40" t="str">
        <f>IF(AND(E340&lt;&gt;'Povolené hodnoty'!$B$4,F340="5a"),I340-J340+L340-M340+O340-P340+R340-S340,"")</f>
        <v/>
      </c>
      <c r="AE340" s="40" t="str">
        <f>IF(AND(E340&lt;&gt;'Povolené hodnoty'!$B$4,F340="5b"),I340-J340+L340-M340+O340-P340+R340-S340,"")</f>
        <v/>
      </c>
      <c r="AF340" s="40" t="str">
        <f>IF(AND(E340&lt;&gt;'Povolené hodnoty'!$B$4,F340=6),I340+L340+O340+R340,"")</f>
        <v/>
      </c>
      <c r="AG340" s="41" t="str">
        <f>IF(AND(E340&lt;&gt;'Povolené hodnoty'!$B$4,F340=7),I340+L340+O340+R340,"")</f>
        <v/>
      </c>
      <c r="AH340" s="39" t="str">
        <f>IF(AND(E340&lt;&gt;'Povolené hodnoty'!$B$4,F340=10),J340+M340+P340+S340,"")</f>
        <v/>
      </c>
      <c r="AI340" s="40" t="str">
        <f>IF(AND(E340&lt;&gt;'Povolené hodnoty'!$B$4,F340=11),J340+M340+P340+S340,"")</f>
        <v/>
      </c>
      <c r="AJ340" s="40" t="str">
        <f>IF(AND(E340&lt;&gt;'Povolené hodnoty'!$B$4,F340=12),J340+M340+P340+S340,"")</f>
        <v/>
      </c>
      <c r="AK340" s="41" t="str">
        <f>IF(AND(E340&lt;&gt;'Povolené hodnoty'!$B$4,F340=13),J340+M340+P340+S340,"")</f>
        <v/>
      </c>
      <c r="AL340" s="39" t="str">
        <f>IF(AND($G340='Povolené hodnoty'!$B$13,$H340=AL$4),SUM($I340,$L340,$O340,$R340),"")</f>
        <v/>
      </c>
      <c r="AM340" s="458" t="str">
        <f>IF(AND($G340='Povolené hodnoty'!$B$13,$H340=AM$4),SUM($I340,$L340,$O340,$R340),"")</f>
        <v/>
      </c>
      <c r="AN340" s="458" t="str">
        <f>IF(AND($G340='Povolené hodnoty'!$B$13,$H340=AN$4),SUM($I340,$L340,$O340,$R340),"")</f>
        <v/>
      </c>
      <c r="AO340" s="458" t="str">
        <f>IF(AND($G340='Povolené hodnoty'!$B$13,$H340=AO$4),SUM($I340,$L340,$O340,$R340),"")</f>
        <v/>
      </c>
      <c r="AP340" s="458" t="str">
        <f>IF(AND($G340='Povolené hodnoty'!$B$13,$H340=AP$4),SUM($I340,$L340,$O340,$R340),"")</f>
        <v/>
      </c>
      <c r="AQ340" s="40" t="str">
        <f>IF(AND($G340='Povolené hodnoty'!$B$13,OR($H340=AQ$4,$H340='Povolené hodnoty'!$E$36)),SUM($I340,-$J340,$L340,-$M340,$O340,-$P340,$R340,-$S340),"")</f>
        <v/>
      </c>
      <c r="AR340" s="40" t="str">
        <f>IF(AND($G340='Povolené hodnoty'!$B$13,$H340=AR$4),SUM($I340,$L340,$O340,$R340),"")</f>
        <v/>
      </c>
      <c r="AS340" s="41" t="str">
        <f>IF(AND($G340='Povolené hodnoty'!$B$13,$H340=AS$4),SUM($I340,$L340,$O340,$R340),"")</f>
        <v/>
      </c>
      <c r="AT340" s="39" t="str">
        <f>IF(AND($G340='Povolené hodnoty'!$B$14,$H340=AT$4),SUM($I340,$L340,$O340,$R340),"")</f>
        <v/>
      </c>
      <c r="AU340" s="458" t="str">
        <f>IF(AND($G340='Povolené hodnoty'!$B$14,$H340=AU$4),SUM($I340,$L340,$O340,$R340),"")</f>
        <v/>
      </c>
      <c r="AV340" s="41" t="str">
        <f>IF(AND($G340='Povolené hodnoty'!$B$14,$H340=AV$4),SUM($I340,$L340,$O340,$R340),"")</f>
        <v/>
      </c>
      <c r="AW340" s="39" t="str">
        <f>IF(AND($G340='Povolené hodnoty'!$B$13,$H340=AW$4),SUM($J340,$M340,$P340,$S340),"")</f>
        <v/>
      </c>
      <c r="AX340" s="458" t="str">
        <f>IF(AND($G340='Povolené hodnoty'!$B$13,$H340=AX$4),SUM($J340,$M340,$P340,$S340),"")</f>
        <v/>
      </c>
      <c r="AY340" s="458" t="str">
        <f>IF(AND($G340='Povolené hodnoty'!$B$13,$H340=AY$4),SUM($J340,$M340,$P340,$S340),"")</f>
        <v/>
      </c>
      <c r="AZ340" s="458" t="str">
        <f>IF(AND($G340='Povolené hodnoty'!$B$13,$H340=AZ$4),SUM($J340,$M340,$P340,$S340),"")</f>
        <v/>
      </c>
      <c r="BA340" s="458" t="str">
        <f>IF(AND($G340='Povolené hodnoty'!$B$13,$H340=BA$4),SUM($J340,$M340,$P340,$S340),"")</f>
        <v/>
      </c>
      <c r="BB340" s="40" t="str">
        <f>IF(AND($G340='Povolené hodnoty'!$B$13,$H340=BB$4),SUM($J340,$M340,$P340,$S340),"")</f>
        <v/>
      </c>
      <c r="BC340" s="40" t="str">
        <f>IF(AND($G340='Povolené hodnoty'!$B$13,$H340=BC$4),SUM($J340,$M340,$P340,$S340),"")</f>
        <v/>
      </c>
      <c r="BD340" s="40" t="str">
        <f>IF(AND($G340='Povolené hodnoty'!$B$13,$H340=BD$4),SUM($J340,$M340,$P340,$S340),"")</f>
        <v/>
      </c>
      <c r="BE340" s="41" t="str">
        <f>IF(AND($G340='Povolené hodnoty'!$B$13,$H340=BE$4),SUM($J340,$M340,$P340,$S340),"")</f>
        <v/>
      </c>
      <c r="BF340" s="39" t="str">
        <f>IF(AND($G340='Povolené hodnoty'!$B$14,$H340=BF$4),SUM($J340,$M340,$P340,$S340),"")</f>
        <v/>
      </c>
      <c r="BG340" s="458" t="str">
        <f>IF(AND($G340='Povolené hodnoty'!$B$14,$H340=BG$4),SUM($J340,$M340,$P340,$S340),"")</f>
        <v/>
      </c>
      <c r="BH340" s="458" t="str">
        <f>IF(AND($G340='Povolené hodnoty'!$B$14,$H340=BH$4),SUM($J340,$M340,$P340,$S340),"")</f>
        <v/>
      </c>
      <c r="BI340" s="458" t="str">
        <f>IF(AND($G340='Povolené hodnoty'!$B$14,$H340=BI$4),SUM($J340,$M340,$P340,$S340),"")</f>
        <v/>
      </c>
      <c r="BJ340" s="458" t="str">
        <f>IF(AND($G340='Povolené hodnoty'!$B$14,$H340=BJ$4),SUM($J340,$M340,$P340,$S340),"")</f>
        <v/>
      </c>
      <c r="BK340" s="40" t="str">
        <f>IF(AND($G340='Povolené hodnoty'!$B$14,$H340=BK$4),SUM($J340,$M340,$P340,$S340),"")</f>
        <v/>
      </c>
      <c r="BL340" s="40" t="str">
        <f>IF(AND($G340='Povolené hodnoty'!$B$14,$H340=BL$4),SUM($J340,$M340,$P340,$S340),"")</f>
        <v/>
      </c>
      <c r="BM340" s="41" t="str">
        <f>IF(AND($G340='Povolené hodnoty'!$B$14,$H340=BM$4),SUM($J340,$M340,$P340,$S340),"")</f>
        <v/>
      </c>
      <c r="BO340" s="18" t="b">
        <f t="shared" si="211"/>
        <v>0</v>
      </c>
      <c r="BP340" s="18" t="b">
        <f t="shared" si="182"/>
        <v>0</v>
      </c>
      <c r="BQ340" s="18" t="b">
        <f>AND(E340&lt;&gt;'Povolené hodnoty'!$B$6,F340&lt;&gt;'Povolené hodnoty'!$D$7,F340&lt;&gt;'Povolené hodnoty'!$D$8,OR(SUM(I340,L340,O340,R340)&lt;&gt;SUM(W340:X340,AA340:AG340),SUM(J340,M340,P340,S340)&lt;&gt;SUM(Y340:Z340,AH340:AK340),COUNT(I340:J340,L340:M340,O340:P340,R340:S340)&lt;&gt;COUNT(W340:AK340)))</f>
        <v>0</v>
      </c>
      <c r="BR340" s="18" t="b">
        <f>OR(AND(E340='Povolené hodnoty'!$B$6,$BR$5),AND(E340='Povolené hodnoty'!$B$6,H340&lt;&gt;'Povolené hodnoty'!$E$26,H340&lt;&gt;'Povolené hodnoty'!$E$35),AND(E340&lt;&gt;'Povolené hodnoty'!$B$6,OR(H340='Povolené hodnoty'!$E$26,H340='Povolené hodnoty'!$E$35)))</f>
        <v>0</v>
      </c>
      <c r="BS340" s="18" t="b">
        <f>OR(AND(G340&lt;&gt;'Povolené hodnoty'!$B$13,OR(H340='Povolené hodnoty'!$E$21,H340='Povolené hodnoty'!$E$22,H340='Povolené hodnoty'!$E$23,H340='Povolené hodnoty'!$E$24,H340='Povolené hodnoty'!$E$26,H340='Povolené hodnoty'!$E$36)),COUNT(I340:J340,L340:M340,O340:P340,R340:S340)&lt;&gt;COUNT(AL340:BM340))</f>
        <v>0</v>
      </c>
      <c r="BT340" s="18" t="b">
        <f t="shared" si="183"/>
        <v>0</v>
      </c>
      <c r="BV340" s="39" t="str">
        <f t="shared" si="184"/>
        <v/>
      </c>
      <c r="BW340" s="458" t="str">
        <f t="shared" si="185"/>
        <v/>
      </c>
      <c r="BX340" s="458" t="str">
        <f t="shared" si="186"/>
        <v/>
      </c>
      <c r="BY340" s="458" t="str">
        <f t="shared" si="187"/>
        <v/>
      </c>
      <c r="BZ340" s="458" t="str">
        <f t="shared" si="188"/>
        <v/>
      </c>
      <c r="CA340" s="40" t="str">
        <f t="shared" si="189"/>
        <v/>
      </c>
      <c r="CB340" s="40" t="str">
        <f t="shared" si="190"/>
        <v/>
      </c>
      <c r="CC340" s="39" t="str">
        <f t="shared" si="191"/>
        <v/>
      </c>
      <c r="CD340" s="458" t="str">
        <f t="shared" si="192"/>
        <v/>
      </c>
      <c r="CE340" s="41" t="str">
        <f t="shared" si="193"/>
        <v/>
      </c>
      <c r="CF340" s="39" t="str">
        <f t="shared" si="194"/>
        <v/>
      </c>
      <c r="CG340" s="458" t="str">
        <f t="shared" si="195"/>
        <v/>
      </c>
      <c r="CH340" s="458" t="str">
        <f t="shared" si="196"/>
        <v/>
      </c>
      <c r="CI340" s="458" t="str">
        <f t="shared" si="197"/>
        <v/>
      </c>
      <c r="CJ340" s="458" t="str">
        <f t="shared" si="198"/>
        <v/>
      </c>
      <c r="CK340" s="40" t="str">
        <f t="shared" si="199"/>
        <v/>
      </c>
      <c r="CL340" s="40" t="str">
        <f t="shared" si="200"/>
        <v/>
      </c>
      <c r="CM340" s="40" t="str">
        <f t="shared" si="201"/>
        <v/>
      </c>
      <c r="CN340" s="39" t="str">
        <f t="shared" si="202"/>
        <v/>
      </c>
      <c r="CO340" s="458" t="str">
        <f t="shared" si="203"/>
        <v/>
      </c>
      <c r="CP340" s="458" t="str">
        <f t="shared" si="204"/>
        <v/>
      </c>
      <c r="CQ340" s="458" t="str">
        <f t="shared" si="205"/>
        <v/>
      </c>
      <c r="CR340" s="458" t="str">
        <f t="shared" si="206"/>
        <v/>
      </c>
      <c r="CS340" s="40" t="str">
        <f t="shared" si="207"/>
        <v/>
      </c>
      <c r="CT340" s="40" t="str">
        <f t="shared" si="208"/>
        <v/>
      </c>
      <c r="CU340" s="41" t="str">
        <f t="shared" si="209"/>
        <v/>
      </c>
    </row>
    <row r="341" spans="1:99" x14ac:dyDescent="0.2">
      <c r="A341" s="77">
        <f t="shared" si="210"/>
        <v>336</v>
      </c>
      <c r="B341" s="81"/>
      <c r="C341" s="82"/>
      <c r="D341" s="71"/>
      <c r="E341" s="72"/>
      <c r="F341" s="73"/>
      <c r="G341" s="443"/>
      <c r="H341" s="443"/>
      <c r="I341" s="74"/>
      <c r="J341" s="75"/>
      <c r="K341" s="41">
        <f t="shared" si="179"/>
        <v>3625</v>
      </c>
      <c r="L341" s="104"/>
      <c r="M341" s="105"/>
      <c r="N341" s="106">
        <f t="shared" si="180"/>
        <v>537.05999999999995</v>
      </c>
      <c r="O341" s="104"/>
      <c r="P341" s="105"/>
      <c r="Q341" s="106">
        <f t="shared" si="212"/>
        <v>10045.83</v>
      </c>
      <c r="R341" s="104"/>
      <c r="S341" s="105"/>
      <c r="T341" s="106">
        <f t="shared" si="213"/>
        <v>0</v>
      </c>
      <c r="U341" s="439"/>
      <c r="V341" s="42">
        <f t="shared" si="181"/>
        <v>336</v>
      </c>
      <c r="W341" s="39" t="str">
        <f>IF(AND(E341='Povolené hodnoty'!$B$4,F341=2),I341+L341+O341+R341,"")</f>
        <v/>
      </c>
      <c r="X341" s="41" t="str">
        <f>IF(AND(E341='Povolené hodnoty'!$B$4,F341=1),I341+L341+O341+R341,"")</f>
        <v/>
      </c>
      <c r="Y341" s="39" t="str">
        <f>IF(AND(E341='Povolené hodnoty'!$B$4,F341=10),J341+M341+P341+S341,"")</f>
        <v/>
      </c>
      <c r="Z341" s="41" t="str">
        <f>IF(AND(E341='Povolené hodnoty'!$B$4,F341=9),J341+M341+P341+S341,"")</f>
        <v/>
      </c>
      <c r="AA341" s="39" t="str">
        <f>IF(AND(E341&lt;&gt;'Povolené hodnoty'!$B$4,F341=2),I341+L341+O341+R341,"")</f>
        <v/>
      </c>
      <c r="AB341" s="40" t="str">
        <f>IF(AND(E341&lt;&gt;'Povolené hodnoty'!$B$4,F341=3),I341+L341+O341+R341,"")</f>
        <v/>
      </c>
      <c r="AC341" s="40" t="str">
        <f>IF(AND(E341&lt;&gt;'Povolené hodnoty'!$B$4,F341=4),I341+L341+O341+R341,"")</f>
        <v/>
      </c>
      <c r="AD341" s="40" t="str">
        <f>IF(AND(E341&lt;&gt;'Povolené hodnoty'!$B$4,F341="5a"),I341-J341+L341-M341+O341-P341+R341-S341,"")</f>
        <v/>
      </c>
      <c r="AE341" s="40" t="str">
        <f>IF(AND(E341&lt;&gt;'Povolené hodnoty'!$B$4,F341="5b"),I341-J341+L341-M341+O341-P341+R341-S341,"")</f>
        <v/>
      </c>
      <c r="AF341" s="40" t="str">
        <f>IF(AND(E341&lt;&gt;'Povolené hodnoty'!$B$4,F341=6),I341+L341+O341+R341,"")</f>
        <v/>
      </c>
      <c r="AG341" s="41" t="str">
        <f>IF(AND(E341&lt;&gt;'Povolené hodnoty'!$B$4,F341=7),I341+L341+O341+R341,"")</f>
        <v/>
      </c>
      <c r="AH341" s="39" t="str">
        <f>IF(AND(E341&lt;&gt;'Povolené hodnoty'!$B$4,F341=10),J341+M341+P341+S341,"")</f>
        <v/>
      </c>
      <c r="AI341" s="40" t="str">
        <f>IF(AND(E341&lt;&gt;'Povolené hodnoty'!$B$4,F341=11),J341+M341+P341+S341,"")</f>
        <v/>
      </c>
      <c r="AJ341" s="40" t="str">
        <f>IF(AND(E341&lt;&gt;'Povolené hodnoty'!$B$4,F341=12),J341+M341+P341+S341,"")</f>
        <v/>
      </c>
      <c r="AK341" s="41" t="str">
        <f>IF(AND(E341&lt;&gt;'Povolené hodnoty'!$B$4,F341=13),J341+M341+P341+S341,"")</f>
        <v/>
      </c>
      <c r="AL341" s="39" t="str">
        <f>IF(AND($G341='Povolené hodnoty'!$B$13,$H341=AL$4),SUM($I341,$L341,$O341,$R341),"")</f>
        <v/>
      </c>
      <c r="AM341" s="458" t="str">
        <f>IF(AND($G341='Povolené hodnoty'!$B$13,$H341=AM$4),SUM($I341,$L341,$O341,$R341),"")</f>
        <v/>
      </c>
      <c r="AN341" s="458" t="str">
        <f>IF(AND($G341='Povolené hodnoty'!$B$13,$H341=AN$4),SUM($I341,$L341,$O341,$R341),"")</f>
        <v/>
      </c>
      <c r="AO341" s="458" t="str">
        <f>IF(AND($G341='Povolené hodnoty'!$B$13,$H341=AO$4),SUM($I341,$L341,$O341,$R341),"")</f>
        <v/>
      </c>
      <c r="AP341" s="458" t="str">
        <f>IF(AND($G341='Povolené hodnoty'!$B$13,$H341=AP$4),SUM($I341,$L341,$O341,$R341),"")</f>
        <v/>
      </c>
      <c r="AQ341" s="40" t="str">
        <f>IF(AND($G341='Povolené hodnoty'!$B$13,OR($H341=AQ$4,$H341='Povolené hodnoty'!$E$36)),SUM($I341,-$J341,$L341,-$M341,$O341,-$P341,$R341,-$S341),"")</f>
        <v/>
      </c>
      <c r="AR341" s="40" t="str">
        <f>IF(AND($G341='Povolené hodnoty'!$B$13,$H341=AR$4),SUM($I341,$L341,$O341,$R341),"")</f>
        <v/>
      </c>
      <c r="AS341" s="41" t="str">
        <f>IF(AND($G341='Povolené hodnoty'!$B$13,$H341=AS$4),SUM($I341,$L341,$O341,$R341),"")</f>
        <v/>
      </c>
      <c r="AT341" s="39" t="str">
        <f>IF(AND($G341='Povolené hodnoty'!$B$14,$H341=AT$4),SUM($I341,$L341,$O341,$R341),"")</f>
        <v/>
      </c>
      <c r="AU341" s="458" t="str">
        <f>IF(AND($G341='Povolené hodnoty'!$B$14,$H341=AU$4),SUM($I341,$L341,$O341,$R341),"")</f>
        <v/>
      </c>
      <c r="AV341" s="41" t="str">
        <f>IF(AND($G341='Povolené hodnoty'!$B$14,$H341=AV$4),SUM($I341,$L341,$O341,$R341),"")</f>
        <v/>
      </c>
      <c r="AW341" s="39" t="str">
        <f>IF(AND($G341='Povolené hodnoty'!$B$13,$H341=AW$4),SUM($J341,$M341,$P341,$S341),"")</f>
        <v/>
      </c>
      <c r="AX341" s="458" t="str">
        <f>IF(AND($G341='Povolené hodnoty'!$B$13,$H341=AX$4),SUM($J341,$M341,$P341,$S341),"")</f>
        <v/>
      </c>
      <c r="AY341" s="458" t="str">
        <f>IF(AND($G341='Povolené hodnoty'!$B$13,$H341=AY$4),SUM($J341,$M341,$P341,$S341),"")</f>
        <v/>
      </c>
      <c r="AZ341" s="458" t="str">
        <f>IF(AND($G341='Povolené hodnoty'!$B$13,$H341=AZ$4),SUM($J341,$M341,$P341,$S341),"")</f>
        <v/>
      </c>
      <c r="BA341" s="458" t="str">
        <f>IF(AND($G341='Povolené hodnoty'!$B$13,$H341=BA$4),SUM($J341,$M341,$P341,$S341),"")</f>
        <v/>
      </c>
      <c r="BB341" s="40" t="str">
        <f>IF(AND($G341='Povolené hodnoty'!$B$13,$H341=BB$4),SUM($J341,$M341,$P341,$S341),"")</f>
        <v/>
      </c>
      <c r="BC341" s="40" t="str">
        <f>IF(AND($G341='Povolené hodnoty'!$B$13,$H341=BC$4),SUM($J341,$M341,$P341,$S341),"")</f>
        <v/>
      </c>
      <c r="BD341" s="40" t="str">
        <f>IF(AND($G341='Povolené hodnoty'!$B$13,$H341=BD$4),SUM($J341,$M341,$P341,$S341),"")</f>
        <v/>
      </c>
      <c r="BE341" s="41" t="str">
        <f>IF(AND($G341='Povolené hodnoty'!$B$13,$H341=BE$4),SUM($J341,$M341,$P341,$S341),"")</f>
        <v/>
      </c>
      <c r="BF341" s="39" t="str">
        <f>IF(AND($G341='Povolené hodnoty'!$B$14,$H341=BF$4),SUM($J341,$M341,$P341,$S341),"")</f>
        <v/>
      </c>
      <c r="BG341" s="458" t="str">
        <f>IF(AND($G341='Povolené hodnoty'!$B$14,$H341=BG$4),SUM($J341,$M341,$P341,$S341),"")</f>
        <v/>
      </c>
      <c r="BH341" s="458" t="str">
        <f>IF(AND($G341='Povolené hodnoty'!$B$14,$H341=BH$4),SUM($J341,$M341,$P341,$S341),"")</f>
        <v/>
      </c>
      <c r="BI341" s="458" t="str">
        <f>IF(AND($G341='Povolené hodnoty'!$B$14,$H341=BI$4),SUM($J341,$M341,$P341,$S341),"")</f>
        <v/>
      </c>
      <c r="BJ341" s="458" t="str">
        <f>IF(AND($G341='Povolené hodnoty'!$B$14,$H341=BJ$4),SUM($J341,$M341,$P341,$S341),"")</f>
        <v/>
      </c>
      <c r="BK341" s="40" t="str">
        <f>IF(AND($G341='Povolené hodnoty'!$B$14,$H341=BK$4),SUM($J341,$M341,$P341,$S341),"")</f>
        <v/>
      </c>
      <c r="BL341" s="40" t="str">
        <f>IF(AND($G341='Povolené hodnoty'!$B$14,$H341=BL$4),SUM($J341,$M341,$P341,$S341),"")</f>
        <v/>
      </c>
      <c r="BM341" s="41" t="str">
        <f>IF(AND($G341='Povolené hodnoty'!$B$14,$H341=BM$4),SUM($J341,$M341,$P341,$S341),"")</f>
        <v/>
      </c>
      <c r="BO341" s="18" t="b">
        <f t="shared" si="211"/>
        <v>0</v>
      </c>
      <c r="BP341" s="18" t="b">
        <f t="shared" si="182"/>
        <v>0</v>
      </c>
      <c r="BQ341" s="18" t="b">
        <f>AND(E341&lt;&gt;'Povolené hodnoty'!$B$6,F341&lt;&gt;'Povolené hodnoty'!$D$7,F341&lt;&gt;'Povolené hodnoty'!$D$8,OR(SUM(I341,L341,O341,R341)&lt;&gt;SUM(W341:X341,AA341:AG341),SUM(J341,M341,P341,S341)&lt;&gt;SUM(Y341:Z341,AH341:AK341),COUNT(I341:J341,L341:M341,O341:P341,R341:S341)&lt;&gt;COUNT(W341:AK341)))</f>
        <v>0</v>
      </c>
      <c r="BR341" s="18" t="b">
        <f>OR(AND(E341='Povolené hodnoty'!$B$6,$BR$5),AND(E341='Povolené hodnoty'!$B$6,H341&lt;&gt;'Povolené hodnoty'!$E$26,H341&lt;&gt;'Povolené hodnoty'!$E$35),AND(E341&lt;&gt;'Povolené hodnoty'!$B$6,OR(H341='Povolené hodnoty'!$E$26,H341='Povolené hodnoty'!$E$35)))</f>
        <v>0</v>
      </c>
      <c r="BS341" s="18" t="b">
        <f>OR(AND(G341&lt;&gt;'Povolené hodnoty'!$B$13,OR(H341='Povolené hodnoty'!$E$21,H341='Povolené hodnoty'!$E$22,H341='Povolené hodnoty'!$E$23,H341='Povolené hodnoty'!$E$24,H341='Povolené hodnoty'!$E$26,H341='Povolené hodnoty'!$E$36)),COUNT(I341:J341,L341:M341,O341:P341,R341:S341)&lt;&gt;COUNT(AL341:BM341))</f>
        <v>0</v>
      </c>
      <c r="BT341" s="18" t="b">
        <f t="shared" si="183"/>
        <v>0</v>
      </c>
      <c r="BV341" s="39" t="str">
        <f t="shared" si="184"/>
        <v/>
      </c>
      <c r="BW341" s="458" t="str">
        <f t="shared" si="185"/>
        <v/>
      </c>
      <c r="BX341" s="458" t="str">
        <f t="shared" si="186"/>
        <v/>
      </c>
      <c r="BY341" s="458" t="str">
        <f t="shared" si="187"/>
        <v/>
      </c>
      <c r="BZ341" s="458" t="str">
        <f t="shared" si="188"/>
        <v/>
      </c>
      <c r="CA341" s="40" t="str">
        <f t="shared" si="189"/>
        <v/>
      </c>
      <c r="CB341" s="40" t="str">
        <f t="shared" si="190"/>
        <v/>
      </c>
      <c r="CC341" s="39" t="str">
        <f t="shared" si="191"/>
        <v/>
      </c>
      <c r="CD341" s="458" t="str">
        <f t="shared" si="192"/>
        <v/>
      </c>
      <c r="CE341" s="41" t="str">
        <f t="shared" si="193"/>
        <v/>
      </c>
      <c r="CF341" s="39" t="str">
        <f t="shared" si="194"/>
        <v/>
      </c>
      <c r="CG341" s="458" t="str">
        <f t="shared" si="195"/>
        <v/>
      </c>
      <c r="CH341" s="458" t="str">
        <f t="shared" si="196"/>
        <v/>
      </c>
      <c r="CI341" s="458" t="str">
        <f t="shared" si="197"/>
        <v/>
      </c>
      <c r="CJ341" s="458" t="str">
        <f t="shared" si="198"/>
        <v/>
      </c>
      <c r="CK341" s="40" t="str">
        <f t="shared" si="199"/>
        <v/>
      </c>
      <c r="CL341" s="40" t="str">
        <f t="shared" si="200"/>
        <v/>
      </c>
      <c r="CM341" s="40" t="str">
        <f t="shared" si="201"/>
        <v/>
      </c>
      <c r="CN341" s="39" t="str">
        <f t="shared" si="202"/>
        <v/>
      </c>
      <c r="CO341" s="458" t="str">
        <f t="shared" si="203"/>
        <v/>
      </c>
      <c r="CP341" s="458" t="str">
        <f t="shared" si="204"/>
        <v/>
      </c>
      <c r="CQ341" s="458" t="str">
        <f t="shared" si="205"/>
        <v/>
      </c>
      <c r="CR341" s="458" t="str">
        <f t="shared" si="206"/>
        <v/>
      </c>
      <c r="CS341" s="40" t="str">
        <f t="shared" si="207"/>
        <v/>
      </c>
      <c r="CT341" s="40" t="str">
        <f t="shared" si="208"/>
        <v/>
      </c>
      <c r="CU341" s="41" t="str">
        <f t="shared" si="209"/>
        <v/>
      </c>
    </row>
    <row r="342" spans="1:99" x14ac:dyDescent="0.2">
      <c r="A342" s="77">
        <f t="shared" si="210"/>
        <v>337</v>
      </c>
      <c r="B342" s="81"/>
      <c r="C342" s="82"/>
      <c r="D342" s="71"/>
      <c r="E342" s="72"/>
      <c r="F342" s="73"/>
      <c r="G342" s="443"/>
      <c r="H342" s="443"/>
      <c r="I342" s="74"/>
      <c r="J342" s="75"/>
      <c r="K342" s="41">
        <f t="shared" si="179"/>
        <v>3625</v>
      </c>
      <c r="L342" s="104"/>
      <c r="M342" s="105"/>
      <c r="N342" s="106">
        <f t="shared" si="180"/>
        <v>537.05999999999995</v>
      </c>
      <c r="O342" s="104"/>
      <c r="P342" s="105"/>
      <c r="Q342" s="106">
        <f t="shared" si="212"/>
        <v>10045.83</v>
      </c>
      <c r="R342" s="104"/>
      <c r="S342" s="105"/>
      <c r="T342" s="106">
        <f t="shared" si="213"/>
        <v>0</v>
      </c>
      <c r="U342" s="439"/>
      <c r="V342" s="42">
        <f t="shared" si="181"/>
        <v>337</v>
      </c>
      <c r="W342" s="39" t="str">
        <f>IF(AND(E342='Povolené hodnoty'!$B$4,F342=2),I342+L342+O342+R342,"")</f>
        <v/>
      </c>
      <c r="X342" s="41" t="str">
        <f>IF(AND(E342='Povolené hodnoty'!$B$4,F342=1),I342+L342+O342+R342,"")</f>
        <v/>
      </c>
      <c r="Y342" s="39" t="str">
        <f>IF(AND(E342='Povolené hodnoty'!$B$4,F342=10),J342+M342+P342+S342,"")</f>
        <v/>
      </c>
      <c r="Z342" s="41" t="str">
        <f>IF(AND(E342='Povolené hodnoty'!$B$4,F342=9),J342+M342+P342+S342,"")</f>
        <v/>
      </c>
      <c r="AA342" s="39" t="str">
        <f>IF(AND(E342&lt;&gt;'Povolené hodnoty'!$B$4,F342=2),I342+L342+O342+R342,"")</f>
        <v/>
      </c>
      <c r="AB342" s="40" t="str">
        <f>IF(AND(E342&lt;&gt;'Povolené hodnoty'!$B$4,F342=3),I342+L342+O342+R342,"")</f>
        <v/>
      </c>
      <c r="AC342" s="40" t="str">
        <f>IF(AND(E342&lt;&gt;'Povolené hodnoty'!$B$4,F342=4),I342+L342+O342+R342,"")</f>
        <v/>
      </c>
      <c r="AD342" s="40" t="str">
        <f>IF(AND(E342&lt;&gt;'Povolené hodnoty'!$B$4,F342="5a"),I342-J342+L342-M342+O342-P342+R342-S342,"")</f>
        <v/>
      </c>
      <c r="AE342" s="40" t="str">
        <f>IF(AND(E342&lt;&gt;'Povolené hodnoty'!$B$4,F342="5b"),I342-J342+L342-M342+O342-P342+R342-S342,"")</f>
        <v/>
      </c>
      <c r="AF342" s="40" t="str">
        <f>IF(AND(E342&lt;&gt;'Povolené hodnoty'!$B$4,F342=6),I342+L342+O342+R342,"")</f>
        <v/>
      </c>
      <c r="AG342" s="41" t="str">
        <f>IF(AND(E342&lt;&gt;'Povolené hodnoty'!$B$4,F342=7),I342+L342+O342+R342,"")</f>
        <v/>
      </c>
      <c r="AH342" s="39" t="str">
        <f>IF(AND(E342&lt;&gt;'Povolené hodnoty'!$B$4,F342=10),J342+M342+P342+S342,"")</f>
        <v/>
      </c>
      <c r="AI342" s="40" t="str">
        <f>IF(AND(E342&lt;&gt;'Povolené hodnoty'!$B$4,F342=11),J342+M342+P342+S342,"")</f>
        <v/>
      </c>
      <c r="AJ342" s="40" t="str">
        <f>IF(AND(E342&lt;&gt;'Povolené hodnoty'!$B$4,F342=12),J342+M342+P342+S342,"")</f>
        <v/>
      </c>
      <c r="AK342" s="41" t="str">
        <f>IF(AND(E342&lt;&gt;'Povolené hodnoty'!$B$4,F342=13),J342+M342+P342+S342,"")</f>
        <v/>
      </c>
      <c r="AL342" s="39" t="str">
        <f>IF(AND($G342='Povolené hodnoty'!$B$13,$H342=AL$4),SUM($I342,$L342,$O342,$R342),"")</f>
        <v/>
      </c>
      <c r="AM342" s="458" t="str">
        <f>IF(AND($G342='Povolené hodnoty'!$B$13,$H342=AM$4),SUM($I342,$L342,$O342,$R342),"")</f>
        <v/>
      </c>
      <c r="AN342" s="458" t="str">
        <f>IF(AND($G342='Povolené hodnoty'!$B$13,$H342=AN$4),SUM($I342,$L342,$O342,$R342),"")</f>
        <v/>
      </c>
      <c r="AO342" s="458" t="str">
        <f>IF(AND($G342='Povolené hodnoty'!$B$13,$H342=AO$4),SUM($I342,$L342,$O342,$R342),"")</f>
        <v/>
      </c>
      <c r="AP342" s="458" t="str">
        <f>IF(AND($G342='Povolené hodnoty'!$B$13,$H342=AP$4),SUM($I342,$L342,$O342,$R342),"")</f>
        <v/>
      </c>
      <c r="AQ342" s="40" t="str">
        <f>IF(AND($G342='Povolené hodnoty'!$B$13,OR($H342=AQ$4,$H342='Povolené hodnoty'!$E$36)),SUM($I342,-$J342,$L342,-$M342,$O342,-$P342,$R342,-$S342),"")</f>
        <v/>
      </c>
      <c r="AR342" s="40" t="str">
        <f>IF(AND($G342='Povolené hodnoty'!$B$13,$H342=AR$4),SUM($I342,$L342,$O342,$R342),"")</f>
        <v/>
      </c>
      <c r="AS342" s="41" t="str">
        <f>IF(AND($G342='Povolené hodnoty'!$B$13,$H342=AS$4),SUM($I342,$L342,$O342,$R342),"")</f>
        <v/>
      </c>
      <c r="AT342" s="39" t="str">
        <f>IF(AND($G342='Povolené hodnoty'!$B$14,$H342=AT$4),SUM($I342,$L342,$O342,$R342),"")</f>
        <v/>
      </c>
      <c r="AU342" s="458" t="str">
        <f>IF(AND($G342='Povolené hodnoty'!$B$14,$H342=AU$4),SUM($I342,$L342,$O342,$R342),"")</f>
        <v/>
      </c>
      <c r="AV342" s="41" t="str">
        <f>IF(AND($G342='Povolené hodnoty'!$B$14,$H342=AV$4),SUM($I342,$L342,$O342,$R342),"")</f>
        <v/>
      </c>
      <c r="AW342" s="39" t="str">
        <f>IF(AND($G342='Povolené hodnoty'!$B$13,$H342=AW$4),SUM($J342,$M342,$P342,$S342),"")</f>
        <v/>
      </c>
      <c r="AX342" s="458" t="str">
        <f>IF(AND($G342='Povolené hodnoty'!$B$13,$H342=AX$4),SUM($J342,$M342,$P342,$S342),"")</f>
        <v/>
      </c>
      <c r="AY342" s="458" t="str">
        <f>IF(AND($G342='Povolené hodnoty'!$B$13,$H342=AY$4),SUM($J342,$M342,$P342,$S342),"")</f>
        <v/>
      </c>
      <c r="AZ342" s="458" t="str">
        <f>IF(AND($G342='Povolené hodnoty'!$B$13,$H342=AZ$4),SUM($J342,$M342,$P342,$S342),"")</f>
        <v/>
      </c>
      <c r="BA342" s="458" t="str">
        <f>IF(AND($G342='Povolené hodnoty'!$B$13,$H342=BA$4),SUM($J342,$M342,$P342,$S342),"")</f>
        <v/>
      </c>
      <c r="BB342" s="40" t="str">
        <f>IF(AND($G342='Povolené hodnoty'!$B$13,$H342=BB$4),SUM($J342,$M342,$P342,$S342),"")</f>
        <v/>
      </c>
      <c r="BC342" s="40" t="str">
        <f>IF(AND($G342='Povolené hodnoty'!$B$13,$H342=BC$4),SUM($J342,$M342,$P342,$S342),"")</f>
        <v/>
      </c>
      <c r="BD342" s="40" t="str">
        <f>IF(AND($G342='Povolené hodnoty'!$B$13,$H342=BD$4),SUM($J342,$M342,$P342,$S342),"")</f>
        <v/>
      </c>
      <c r="BE342" s="41" t="str">
        <f>IF(AND($G342='Povolené hodnoty'!$B$13,$H342=BE$4),SUM($J342,$M342,$P342,$S342),"")</f>
        <v/>
      </c>
      <c r="BF342" s="39" t="str">
        <f>IF(AND($G342='Povolené hodnoty'!$B$14,$H342=BF$4),SUM($J342,$M342,$P342,$S342),"")</f>
        <v/>
      </c>
      <c r="BG342" s="458" t="str">
        <f>IF(AND($G342='Povolené hodnoty'!$B$14,$H342=BG$4),SUM($J342,$M342,$P342,$S342),"")</f>
        <v/>
      </c>
      <c r="BH342" s="458" t="str">
        <f>IF(AND($G342='Povolené hodnoty'!$B$14,$H342=BH$4),SUM($J342,$M342,$P342,$S342),"")</f>
        <v/>
      </c>
      <c r="BI342" s="458" t="str">
        <f>IF(AND($G342='Povolené hodnoty'!$B$14,$H342=BI$4),SUM($J342,$M342,$P342,$S342),"")</f>
        <v/>
      </c>
      <c r="BJ342" s="458" t="str">
        <f>IF(AND($G342='Povolené hodnoty'!$B$14,$H342=BJ$4),SUM($J342,$M342,$P342,$S342),"")</f>
        <v/>
      </c>
      <c r="BK342" s="40" t="str">
        <f>IF(AND($G342='Povolené hodnoty'!$B$14,$H342=BK$4),SUM($J342,$M342,$P342,$S342),"")</f>
        <v/>
      </c>
      <c r="BL342" s="40" t="str">
        <f>IF(AND($G342='Povolené hodnoty'!$B$14,$H342=BL$4),SUM($J342,$M342,$P342,$S342),"")</f>
        <v/>
      </c>
      <c r="BM342" s="41" t="str">
        <f>IF(AND($G342='Povolené hodnoty'!$B$14,$H342=BM$4),SUM($J342,$M342,$P342,$S342),"")</f>
        <v/>
      </c>
      <c r="BO342" s="18" t="b">
        <f t="shared" si="211"/>
        <v>0</v>
      </c>
      <c r="BP342" s="18" t="b">
        <f t="shared" si="182"/>
        <v>0</v>
      </c>
      <c r="BQ342" s="18" t="b">
        <f>AND(E342&lt;&gt;'Povolené hodnoty'!$B$6,F342&lt;&gt;'Povolené hodnoty'!$D$7,F342&lt;&gt;'Povolené hodnoty'!$D$8,OR(SUM(I342,L342,O342,R342)&lt;&gt;SUM(W342:X342,AA342:AG342),SUM(J342,M342,P342,S342)&lt;&gt;SUM(Y342:Z342,AH342:AK342),COUNT(I342:J342,L342:M342,O342:P342,R342:S342)&lt;&gt;COUNT(W342:AK342)))</f>
        <v>0</v>
      </c>
      <c r="BR342" s="18" t="b">
        <f>OR(AND(E342='Povolené hodnoty'!$B$6,$BR$5),AND(E342='Povolené hodnoty'!$B$6,H342&lt;&gt;'Povolené hodnoty'!$E$26,H342&lt;&gt;'Povolené hodnoty'!$E$35),AND(E342&lt;&gt;'Povolené hodnoty'!$B$6,OR(H342='Povolené hodnoty'!$E$26,H342='Povolené hodnoty'!$E$35)))</f>
        <v>0</v>
      </c>
      <c r="BS342" s="18" t="b">
        <f>OR(AND(G342&lt;&gt;'Povolené hodnoty'!$B$13,OR(H342='Povolené hodnoty'!$E$21,H342='Povolené hodnoty'!$E$22,H342='Povolené hodnoty'!$E$23,H342='Povolené hodnoty'!$E$24,H342='Povolené hodnoty'!$E$26,H342='Povolené hodnoty'!$E$36)),COUNT(I342:J342,L342:M342,O342:P342,R342:S342)&lt;&gt;COUNT(AL342:BM342))</f>
        <v>0</v>
      </c>
      <c r="BT342" s="18" t="b">
        <f t="shared" si="183"/>
        <v>0</v>
      </c>
      <c r="BV342" s="39" t="str">
        <f t="shared" si="184"/>
        <v/>
      </c>
      <c r="BW342" s="458" t="str">
        <f t="shared" si="185"/>
        <v/>
      </c>
      <c r="BX342" s="458" t="str">
        <f t="shared" si="186"/>
        <v/>
      </c>
      <c r="BY342" s="458" t="str">
        <f t="shared" si="187"/>
        <v/>
      </c>
      <c r="BZ342" s="458" t="str">
        <f t="shared" si="188"/>
        <v/>
      </c>
      <c r="CA342" s="40" t="str">
        <f t="shared" si="189"/>
        <v/>
      </c>
      <c r="CB342" s="40" t="str">
        <f t="shared" si="190"/>
        <v/>
      </c>
      <c r="CC342" s="39" t="str">
        <f t="shared" si="191"/>
        <v/>
      </c>
      <c r="CD342" s="458" t="str">
        <f t="shared" si="192"/>
        <v/>
      </c>
      <c r="CE342" s="41" t="str">
        <f t="shared" si="193"/>
        <v/>
      </c>
      <c r="CF342" s="39" t="str">
        <f t="shared" si="194"/>
        <v/>
      </c>
      <c r="CG342" s="458" t="str">
        <f t="shared" si="195"/>
        <v/>
      </c>
      <c r="CH342" s="458" t="str">
        <f t="shared" si="196"/>
        <v/>
      </c>
      <c r="CI342" s="458" t="str">
        <f t="shared" si="197"/>
        <v/>
      </c>
      <c r="CJ342" s="458" t="str">
        <f t="shared" si="198"/>
        <v/>
      </c>
      <c r="CK342" s="40" t="str">
        <f t="shared" si="199"/>
        <v/>
      </c>
      <c r="CL342" s="40" t="str">
        <f t="shared" si="200"/>
        <v/>
      </c>
      <c r="CM342" s="40" t="str">
        <f t="shared" si="201"/>
        <v/>
      </c>
      <c r="CN342" s="39" t="str">
        <f t="shared" si="202"/>
        <v/>
      </c>
      <c r="CO342" s="458" t="str">
        <f t="shared" si="203"/>
        <v/>
      </c>
      <c r="CP342" s="458" t="str">
        <f t="shared" si="204"/>
        <v/>
      </c>
      <c r="CQ342" s="458" t="str">
        <f t="shared" si="205"/>
        <v/>
      </c>
      <c r="CR342" s="458" t="str">
        <f t="shared" si="206"/>
        <v/>
      </c>
      <c r="CS342" s="40" t="str">
        <f t="shared" si="207"/>
        <v/>
      </c>
      <c r="CT342" s="40" t="str">
        <f t="shared" si="208"/>
        <v/>
      </c>
      <c r="CU342" s="41" t="str">
        <f t="shared" si="209"/>
        <v/>
      </c>
    </row>
    <row r="343" spans="1:99" x14ac:dyDescent="0.2">
      <c r="A343" s="77">
        <f t="shared" si="210"/>
        <v>338</v>
      </c>
      <c r="B343" s="81"/>
      <c r="C343" s="82"/>
      <c r="D343" s="71"/>
      <c r="E343" s="72"/>
      <c r="F343" s="73"/>
      <c r="G343" s="443"/>
      <c r="H343" s="443"/>
      <c r="I343" s="74"/>
      <c r="J343" s="75"/>
      <c r="K343" s="41">
        <f t="shared" si="179"/>
        <v>3625</v>
      </c>
      <c r="L343" s="104"/>
      <c r="M343" s="105"/>
      <c r="N343" s="106">
        <f t="shared" si="180"/>
        <v>537.05999999999995</v>
      </c>
      <c r="O343" s="104"/>
      <c r="P343" s="105"/>
      <c r="Q343" s="106">
        <f t="shared" si="212"/>
        <v>10045.83</v>
      </c>
      <c r="R343" s="104"/>
      <c r="S343" s="105"/>
      <c r="T343" s="106">
        <f t="shared" si="213"/>
        <v>0</v>
      </c>
      <c r="U343" s="439"/>
      <c r="V343" s="42">
        <f t="shared" si="181"/>
        <v>338</v>
      </c>
      <c r="W343" s="39" t="str">
        <f>IF(AND(E343='Povolené hodnoty'!$B$4,F343=2),I343+L343+O343+R343,"")</f>
        <v/>
      </c>
      <c r="X343" s="41" t="str">
        <f>IF(AND(E343='Povolené hodnoty'!$B$4,F343=1),I343+L343+O343+R343,"")</f>
        <v/>
      </c>
      <c r="Y343" s="39" t="str">
        <f>IF(AND(E343='Povolené hodnoty'!$B$4,F343=10),J343+M343+P343+S343,"")</f>
        <v/>
      </c>
      <c r="Z343" s="41" t="str">
        <f>IF(AND(E343='Povolené hodnoty'!$B$4,F343=9),J343+M343+P343+S343,"")</f>
        <v/>
      </c>
      <c r="AA343" s="39" t="str">
        <f>IF(AND(E343&lt;&gt;'Povolené hodnoty'!$B$4,F343=2),I343+L343+O343+R343,"")</f>
        <v/>
      </c>
      <c r="AB343" s="40" t="str">
        <f>IF(AND(E343&lt;&gt;'Povolené hodnoty'!$B$4,F343=3),I343+L343+O343+R343,"")</f>
        <v/>
      </c>
      <c r="AC343" s="40" t="str">
        <f>IF(AND(E343&lt;&gt;'Povolené hodnoty'!$B$4,F343=4),I343+L343+O343+R343,"")</f>
        <v/>
      </c>
      <c r="AD343" s="40" t="str">
        <f>IF(AND(E343&lt;&gt;'Povolené hodnoty'!$B$4,F343="5a"),I343-J343+L343-M343+O343-P343+R343-S343,"")</f>
        <v/>
      </c>
      <c r="AE343" s="40" t="str">
        <f>IF(AND(E343&lt;&gt;'Povolené hodnoty'!$B$4,F343="5b"),I343-J343+L343-M343+O343-P343+R343-S343,"")</f>
        <v/>
      </c>
      <c r="AF343" s="40" t="str">
        <f>IF(AND(E343&lt;&gt;'Povolené hodnoty'!$B$4,F343=6),I343+L343+O343+R343,"")</f>
        <v/>
      </c>
      <c r="AG343" s="41" t="str">
        <f>IF(AND(E343&lt;&gt;'Povolené hodnoty'!$B$4,F343=7),I343+L343+O343+R343,"")</f>
        <v/>
      </c>
      <c r="AH343" s="39" t="str">
        <f>IF(AND(E343&lt;&gt;'Povolené hodnoty'!$B$4,F343=10),J343+M343+P343+S343,"")</f>
        <v/>
      </c>
      <c r="AI343" s="40" t="str">
        <f>IF(AND(E343&lt;&gt;'Povolené hodnoty'!$B$4,F343=11),J343+M343+P343+S343,"")</f>
        <v/>
      </c>
      <c r="AJ343" s="40" t="str">
        <f>IF(AND(E343&lt;&gt;'Povolené hodnoty'!$B$4,F343=12),J343+M343+P343+S343,"")</f>
        <v/>
      </c>
      <c r="AK343" s="41" t="str">
        <f>IF(AND(E343&lt;&gt;'Povolené hodnoty'!$B$4,F343=13),J343+M343+P343+S343,"")</f>
        <v/>
      </c>
      <c r="AL343" s="39" t="str">
        <f>IF(AND($G343='Povolené hodnoty'!$B$13,$H343=AL$4),SUM($I343,$L343,$O343,$R343),"")</f>
        <v/>
      </c>
      <c r="AM343" s="458" t="str">
        <f>IF(AND($G343='Povolené hodnoty'!$B$13,$H343=AM$4),SUM($I343,$L343,$O343,$R343),"")</f>
        <v/>
      </c>
      <c r="AN343" s="458" t="str">
        <f>IF(AND($G343='Povolené hodnoty'!$B$13,$H343=AN$4),SUM($I343,$L343,$O343,$R343),"")</f>
        <v/>
      </c>
      <c r="AO343" s="458" t="str">
        <f>IF(AND($G343='Povolené hodnoty'!$B$13,$H343=AO$4),SUM($I343,$L343,$O343,$R343),"")</f>
        <v/>
      </c>
      <c r="AP343" s="458" t="str">
        <f>IF(AND($G343='Povolené hodnoty'!$B$13,$H343=AP$4),SUM($I343,$L343,$O343,$R343),"")</f>
        <v/>
      </c>
      <c r="AQ343" s="40" t="str">
        <f>IF(AND($G343='Povolené hodnoty'!$B$13,OR($H343=AQ$4,$H343='Povolené hodnoty'!$E$36)),SUM($I343,-$J343,$L343,-$M343,$O343,-$P343,$R343,-$S343),"")</f>
        <v/>
      </c>
      <c r="AR343" s="40" t="str">
        <f>IF(AND($G343='Povolené hodnoty'!$B$13,$H343=AR$4),SUM($I343,$L343,$O343,$R343),"")</f>
        <v/>
      </c>
      <c r="AS343" s="41" t="str">
        <f>IF(AND($G343='Povolené hodnoty'!$B$13,$H343=AS$4),SUM($I343,$L343,$O343,$R343),"")</f>
        <v/>
      </c>
      <c r="AT343" s="39" t="str">
        <f>IF(AND($G343='Povolené hodnoty'!$B$14,$H343=AT$4),SUM($I343,$L343,$O343,$R343),"")</f>
        <v/>
      </c>
      <c r="AU343" s="458" t="str">
        <f>IF(AND($G343='Povolené hodnoty'!$B$14,$H343=AU$4),SUM($I343,$L343,$O343,$R343),"")</f>
        <v/>
      </c>
      <c r="AV343" s="41" t="str">
        <f>IF(AND($G343='Povolené hodnoty'!$B$14,$H343=AV$4),SUM($I343,$L343,$O343,$R343),"")</f>
        <v/>
      </c>
      <c r="AW343" s="39" t="str">
        <f>IF(AND($G343='Povolené hodnoty'!$B$13,$H343=AW$4),SUM($J343,$M343,$P343,$S343),"")</f>
        <v/>
      </c>
      <c r="AX343" s="458" t="str">
        <f>IF(AND($G343='Povolené hodnoty'!$B$13,$H343=AX$4),SUM($J343,$M343,$P343,$S343),"")</f>
        <v/>
      </c>
      <c r="AY343" s="458" t="str">
        <f>IF(AND($G343='Povolené hodnoty'!$B$13,$H343=AY$4),SUM($J343,$M343,$P343,$S343),"")</f>
        <v/>
      </c>
      <c r="AZ343" s="458" t="str">
        <f>IF(AND($G343='Povolené hodnoty'!$B$13,$H343=AZ$4),SUM($J343,$M343,$P343,$S343),"")</f>
        <v/>
      </c>
      <c r="BA343" s="458" t="str">
        <f>IF(AND($G343='Povolené hodnoty'!$B$13,$H343=BA$4),SUM($J343,$M343,$P343,$S343),"")</f>
        <v/>
      </c>
      <c r="BB343" s="40" t="str">
        <f>IF(AND($G343='Povolené hodnoty'!$B$13,$H343=BB$4),SUM($J343,$M343,$P343,$S343),"")</f>
        <v/>
      </c>
      <c r="BC343" s="40" t="str">
        <f>IF(AND($G343='Povolené hodnoty'!$B$13,$H343=BC$4),SUM($J343,$M343,$P343,$S343),"")</f>
        <v/>
      </c>
      <c r="BD343" s="40" t="str">
        <f>IF(AND($G343='Povolené hodnoty'!$B$13,$H343=BD$4),SUM($J343,$M343,$P343,$S343),"")</f>
        <v/>
      </c>
      <c r="BE343" s="41" t="str">
        <f>IF(AND($G343='Povolené hodnoty'!$B$13,$H343=BE$4),SUM($J343,$M343,$P343,$S343),"")</f>
        <v/>
      </c>
      <c r="BF343" s="39" t="str">
        <f>IF(AND($G343='Povolené hodnoty'!$B$14,$H343=BF$4),SUM($J343,$M343,$P343,$S343),"")</f>
        <v/>
      </c>
      <c r="BG343" s="458" t="str">
        <f>IF(AND($G343='Povolené hodnoty'!$B$14,$H343=BG$4),SUM($J343,$M343,$P343,$S343),"")</f>
        <v/>
      </c>
      <c r="BH343" s="458" t="str">
        <f>IF(AND($G343='Povolené hodnoty'!$B$14,$H343=BH$4),SUM($J343,$M343,$P343,$S343),"")</f>
        <v/>
      </c>
      <c r="BI343" s="458" t="str">
        <f>IF(AND($G343='Povolené hodnoty'!$B$14,$H343=BI$4),SUM($J343,$M343,$P343,$S343),"")</f>
        <v/>
      </c>
      <c r="BJ343" s="458" t="str">
        <f>IF(AND($G343='Povolené hodnoty'!$B$14,$H343=BJ$4),SUM($J343,$M343,$P343,$S343),"")</f>
        <v/>
      </c>
      <c r="BK343" s="40" t="str">
        <f>IF(AND($G343='Povolené hodnoty'!$B$14,$H343=BK$4),SUM($J343,$M343,$P343,$S343),"")</f>
        <v/>
      </c>
      <c r="BL343" s="40" t="str">
        <f>IF(AND($G343='Povolené hodnoty'!$B$14,$H343=BL$4),SUM($J343,$M343,$P343,$S343),"")</f>
        <v/>
      </c>
      <c r="BM343" s="41" t="str">
        <f>IF(AND($G343='Povolené hodnoty'!$B$14,$H343=BM$4),SUM($J343,$M343,$P343,$S343),"")</f>
        <v/>
      </c>
      <c r="BO343" s="18" t="b">
        <f t="shared" si="211"/>
        <v>0</v>
      </c>
      <c r="BP343" s="18" t="b">
        <f t="shared" si="182"/>
        <v>0</v>
      </c>
      <c r="BQ343" s="18" t="b">
        <f>AND(E343&lt;&gt;'Povolené hodnoty'!$B$6,F343&lt;&gt;'Povolené hodnoty'!$D$7,F343&lt;&gt;'Povolené hodnoty'!$D$8,OR(SUM(I343,L343,O343,R343)&lt;&gt;SUM(W343:X343,AA343:AG343),SUM(J343,M343,P343,S343)&lt;&gt;SUM(Y343:Z343,AH343:AK343),COUNT(I343:J343,L343:M343,O343:P343,R343:S343)&lt;&gt;COUNT(W343:AK343)))</f>
        <v>0</v>
      </c>
      <c r="BR343" s="18" t="b">
        <f>OR(AND(E343='Povolené hodnoty'!$B$6,$BR$5),AND(E343='Povolené hodnoty'!$B$6,H343&lt;&gt;'Povolené hodnoty'!$E$26,H343&lt;&gt;'Povolené hodnoty'!$E$35),AND(E343&lt;&gt;'Povolené hodnoty'!$B$6,OR(H343='Povolené hodnoty'!$E$26,H343='Povolené hodnoty'!$E$35)))</f>
        <v>0</v>
      </c>
      <c r="BS343" s="18" t="b">
        <f>OR(AND(G343&lt;&gt;'Povolené hodnoty'!$B$13,OR(H343='Povolené hodnoty'!$E$21,H343='Povolené hodnoty'!$E$22,H343='Povolené hodnoty'!$E$23,H343='Povolené hodnoty'!$E$24,H343='Povolené hodnoty'!$E$26,H343='Povolené hodnoty'!$E$36)),COUNT(I343:J343,L343:M343,O343:P343,R343:S343)&lt;&gt;COUNT(AL343:BM343))</f>
        <v>0</v>
      </c>
      <c r="BT343" s="18" t="b">
        <f t="shared" si="183"/>
        <v>0</v>
      </c>
      <c r="BV343" s="39" t="str">
        <f t="shared" si="184"/>
        <v/>
      </c>
      <c r="BW343" s="458" t="str">
        <f t="shared" si="185"/>
        <v/>
      </c>
      <c r="BX343" s="458" t="str">
        <f t="shared" si="186"/>
        <v/>
      </c>
      <c r="BY343" s="458" t="str">
        <f t="shared" si="187"/>
        <v/>
      </c>
      <c r="BZ343" s="458" t="str">
        <f t="shared" si="188"/>
        <v/>
      </c>
      <c r="CA343" s="40" t="str">
        <f t="shared" si="189"/>
        <v/>
      </c>
      <c r="CB343" s="40" t="str">
        <f t="shared" si="190"/>
        <v/>
      </c>
      <c r="CC343" s="39" t="str">
        <f t="shared" si="191"/>
        <v/>
      </c>
      <c r="CD343" s="458" t="str">
        <f t="shared" si="192"/>
        <v/>
      </c>
      <c r="CE343" s="41" t="str">
        <f t="shared" si="193"/>
        <v/>
      </c>
      <c r="CF343" s="39" t="str">
        <f t="shared" si="194"/>
        <v/>
      </c>
      <c r="CG343" s="458" t="str">
        <f t="shared" si="195"/>
        <v/>
      </c>
      <c r="CH343" s="458" t="str">
        <f t="shared" si="196"/>
        <v/>
      </c>
      <c r="CI343" s="458" t="str">
        <f t="shared" si="197"/>
        <v/>
      </c>
      <c r="CJ343" s="458" t="str">
        <f t="shared" si="198"/>
        <v/>
      </c>
      <c r="CK343" s="40" t="str">
        <f t="shared" si="199"/>
        <v/>
      </c>
      <c r="CL343" s="40" t="str">
        <f t="shared" si="200"/>
        <v/>
      </c>
      <c r="CM343" s="40" t="str">
        <f t="shared" si="201"/>
        <v/>
      </c>
      <c r="CN343" s="39" t="str">
        <f t="shared" si="202"/>
        <v/>
      </c>
      <c r="CO343" s="458" t="str">
        <f t="shared" si="203"/>
        <v/>
      </c>
      <c r="CP343" s="458" t="str">
        <f t="shared" si="204"/>
        <v/>
      </c>
      <c r="CQ343" s="458" t="str">
        <f t="shared" si="205"/>
        <v/>
      </c>
      <c r="CR343" s="458" t="str">
        <f t="shared" si="206"/>
        <v/>
      </c>
      <c r="CS343" s="40" t="str">
        <f t="shared" si="207"/>
        <v/>
      </c>
      <c r="CT343" s="40" t="str">
        <f t="shared" si="208"/>
        <v/>
      </c>
      <c r="CU343" s="41" t="str">
        <f t="shared" si="209"/>
        <v/>
      </c>
    </row>
    <row r="344" spans="1:99" x14ac:dyDescent="0.2">
      <c r="A344" s="77">
        <f t="shared" si="210"/>
        <v>339</v>
      </c>
      <c r="B344" s="81"/>
      <c r="C344" s="82"/>
      <c r="D344" s="71"/>
      <c r="E344" s="72"/>
      <c r="F344" s="73"/>
      <c r="G344" s="443"/>
      <c r="H344" s="443"/>
      <c r="I344" s="74"/>
      <c r="J344" s="75"/>
      <c r="K344" s="41">
        <f t="shared" si="179"/>
        <v>3625</v>
      </c>
      <c r="L344" s="104"/>
      <c r="M344" s="105"/>
      <c r="N344" s="106">
        <f t="shared" si="180"/>
        <v>537.05999999999995</v>
      </c>
      <c r="O344" s="104"/>
      <c r="P344" s="105"/>
      <c r="Q344" s="106">
        <f t="shared" si="212"/>
        <v>10045.83</v>
      </c>
      <c r="R344" s="104"/>
      <c r="S344" s="105"/>
      <c r="T344" s="106">
        <f t="shared" si="213"/>
        <v>0</v>
      </c>
      <c r="U344" s="439"/>
      <c r="V344" s="42">
        <f t="shared" si="181"/>
        <v>339</v>
      </c>
      <c r="W344" s="39" t="str">
        <f>IF(AND(E344='Povolené hodnoty'!$B$4,F344=2),I344+L344+O344+R344,"")</f>
        <v/>
      </c>
      <c r="X344" s="41" t="str">
        <f>IF(AND(E344='Povolené hodnoty'!$B$4,F344=1),I344+L344+O344+R344,"")</f>
        <v/>
      </c>
      <c r="Y344" s="39" t="str">
        <f>IF(AND(E344='Povolené hodnoty'!$B$4,F344=10),J344+M344+P344+S344,"")</f>
        <v/>
      </c>
      <c r="Z344" s="41" t="str">
        <f>IF(AND(E344='Povolené hodnoty'!$B$4,F344=9),J344+M344+P344+S344,"")</f>
        <v/>
      </c>
      <c r="AA344" s="39" t="str">
        <f>IF(AND(E344&lt;&gt;'Povolené hodnoty'!$B$4,F344=2),I344+L344+O344+R344,"")</f>
        <v/>
      </c>
      <c r="AB344" s="40" t="str">
        <f>IF(AND(E344&lt;&gt;'Povolené hodnoty'!$B$4,F344=3),I344+L344+O344+R344,"")</f>
        <v/>
      </c>
      <c r="AC344" s="40" t="str">
        <f>IF(AND(E344&lt;&gt;'Povolené hodnoty'!$B$4,F344=4),I344+L344+O344+R344,"")</f>
        <v/>
      </c>
      <c r="AD344" s="40" t="str">
        <f>IF(AND(E344&lt;&gt;'Povolené hodnoty'!$B$4,F344="5a"),I344-J344+L344-M344+O344-P344+R344-S344,"")</f>
        <v/>
      </c>
      <c r="AE344" s="40" t="str">
        <f>IF(AND(E344&lt;&gt;'Povolené hodnoty'!$B$4,F344="5b"),I344-J344+L344-M344+O344-P344+R344-S344,"")</f>
        <v/>
      </c>
      <c r="AF344" s="40" t="str">
        <f>IF(AND(E344&lt;&gt;'Povolené hodnoty'!$B$4,F344=6),I344+L344+O344+R344,"")</f>
        <v/>
      </c>
      <c r="AG344" s="41" t="str">
        <f>IF(AND(E344&lt;&gt;'Povolené hodnoty'!$B$4,F344=7),I344+L344+O344+R344,"")</f>
        <v/>
      </c>
      <c r="AH344" s="39" t="str">
        <f>IF(AND(E344&lt;&gt;'Povolené hodnoty'!$B$4,F344=10),J344+M344+P344+S344,"")</f>
        <v/>
      </c>
      <c r="AI344" s="40" t="str">
        <f>IF(AND(E344&lt;&gt;'Povolené hodnoty'!$B$4,F344=11),J344+M344+P344+S344,"")</f>
        <v/>
      </c>
      <c r="AJ344" s="40" t="str">
        <f>IF(AND(E344&lt;&gt;'Povolené hodnoty'!$B$4,F344=12),J344+M344+P344+S344,"")</f>
        <v/>
      </c>
      <c r="AK344" s="41" t="str">
        <f>IF(AND(E344&lt;&gt;'Povolené hodnoty'!$B$4,F344=13),J344+M344+P344+S344,"")</f>
        <v/>
      </c>
      <c r="AL344" s="39" t="str">
        <f>IF(AND($G344='Povolené hodnoty'!$B$13,$H344=AL$4),SUM($I344,$L344,$O344,$R344),"")</f>
        <v/>
      </c>
      <c r="AM344" s="458" t="str">
        <f>IF(AND($G344='Povolené hodnoty'!$B$13,$H344=AM$4),SUM($I344,$L344,$O344,$R344),"")</f>
        <v/>
      </c>
      <c r="AN344" s="458" t="str">
        <f>IF(AND($G344='Povolené hodnoty'!$B$13,$H344=AN$4),SUM($I344,$L344,$O344,$R344),"")</f>
        <v/>
      </c>
      <c r="AO344" s="458" t="str">
        <f>IF(AND($G344='Povolené hodnoty'!$B$13,$H344=AO$4),SUM($I344,$L344,$O344,$R344),"")</f>
        <v/>
      </c>
      <c r="AP344" s="458" t="str">
        <f>IF(AND($G344='Povolené hodnoty'!$B$13,$H344=AP$4),SUM($I344,$L344,$O344,$R344),"")</f>
        <v/>
      </c>
      <c r="AQ344" s="40" t="str">
        <f>IF(AND($G344='Povolené hodnoty'!$B$13,OR($H344=AQ$4,$H344='Povolené hodnoty'!$E$36)),SUM($I344,-$J344,$L344,-$M344,$O344,-$P344,$R344,-$S344),"")</f>
        <v/>
      </c>
      <c r="AR344" s="40" t="str">
        <f>IF(AND($G344='Povolené hodnoty'!$B$13,$H344=AR$4),SUM($I344,$L344,$O344,$R344),"")</f>
        <v/>
      </c>
      <c r="AS344" s="41" t="str">
        <f>IF(AND($G344='Povolené hodnoty'!$B$13,$H344=AS$4),SUM($I344,$L344,$O344,$R344),"")</f>
        <v/>
      </c>
      <c r="AT344" s="39" t="str">
        <f>IF(AND($G344='Povolené hodnoty'!$B$14,$H344=AT$4),SUM($I344,$L344,$O344,$R344),"")</f>
        <v/>
      </c>
      <c r="AU344" s="458" t="str">
        <f>IF(AND($G344='Povolené hodnoty'!$B$14,$H344=AU$4),SUM($I344,$L344,$O344,$R344),"")</f>
        <v/>
      </c>
      <c r="AV344" s="41" t="str">
        <f>IF(AND($G344='Povolené hodnoty'!$B$14,$H344=AV$4),SUM($I344,$L344,$O344,$R344),"")</f>
        <v/>
      </c>
      <c r="AW344" s="39" t="str">
        <f>IF(AND($G344='Povolené hodnoty'!$B$13,$H344=AW$4),SUM($J344,$M344,$P344,$S344),"")</f>
        <v/>
      </c>
      <c r="AX344" s="458" t="str">
        <f>IF(AND($G344='Povolené hodnoty'!$B$13,$H344=AX$4),SUM($J344,$M344,$P344,$S344),"")</f>
        <v/>
      </c>
      <c r="AY344" s="458" t="str">
        <f>IF(AND($G344='Povolené hodnoty'!$B$13,$H344=AY$4),SUM($J344,$M344,$P344,$S344),"")</f>
        <v/>
      </c>
      <c r="AZ344" s="458" t="str">
        <f>IF(AND($G344='Povolené hodnoty'!$B$13,$H344=AZ$4),SUM($J344,$M344,$P344,$S344),"")</f>
        <v/>
      </c>
      <c r="BA344" s="458" t="str">
        <f>IF(AND($G344='Povolené hodnoty'!$B$13,$H344=BA$4),SUM($J344,$M344,$P344,$S344),"")</f>
        <v/>
      </c>
      <c r="BB344" s="40" t="str">
        <f>IF(AND($G344='Povolené hodnoty'!$B$13,$H344=BB$4),SUM($J344,$M344,$P344,$S344),"")</f>
        <v/>
      </c>
      <c r="BC344" s="40" t="str">
        <f>IF(AND($G344='Povolené hodnoty'!$B$13,$H344=BC$4),SUM($J344,$M344,$P344,$S344),"")</f>
        <v/>
      </c>
      <c r="BD344" s="40" t="str">
        <f>IF(AND($G344='Povolené hodnoty'!$B$13,$H344=BD$4),SUM($J344,$M344,$P344,$S344),"")</f>
        <v/>
      </c>
      <c r="BE344" s="41" t="str">
        <f>IF(AND($G344='Povolené hodnoty'!$B$13,$H344=BE$4),SUM($J344,$M344,$P344,$S344),"")</f>
        <v/>
      </c>
      <c r="BF344" s="39" t="str">
        <f>IF(AND($G344='Povolené hodnoty'!$B$14,$H344=BF$4),SUM($J344,$M344,$P344,$S344),"")</f>
        <v/>
      </c>
      <c r="BG344" s="458" t="str">
        <f>IF(AND($G344='Povolené hodnoty'!$B$14,$H344=BG$4),SUM($J344,$M344,$P344,$S344),"")</f>
        <v/>
      </c>
      <c r="BH344" s="458" t="str">
        <f>IF(AND($G344='Povolené hodnoty'!$B$14,$H344=BH$4),SUM($J344,$M344,$P344,$S344),"")</f>
        <v/>
      </c>
      <c r="BI344" s="458" t="str">
        <f>IF(AND($G344='Povolené hodnoty'!$B$14,$H344=BI$4),SUM($J344,$M344,$P344,$S344),"")</f>
        <v/>
      </c>
      <c r="BJ344" s="458" t="str">
        <f>IF(AND($G344='Povolené hodnoty'!$B$14,$H344=BJ$4),SUM($J344,$M344,$P344,$S344),"")</f>
        <v/>
      </c>
      <c r="BK344" s="40" t="str">
        <f>IF(AND($G344='Povolené hodnoty'!$B$14,$H344=BK$4),SUM($J344,$M344,$P344,$S344),"")</f>
        <v/>
      </c>
      <c r="BL344" s="40" t="str">
        <f>IF(AND($G344='Povolené hodnoty'!$B$14,$H344=BL$4),SUM($J344,$M344,$P344,$S344),"")</f>
        <v/>
      </c>
      <c r="BM344" s="41" t="str">
        <f>IF(AND($G344='Povolené hodnoty'!$B$14,$H344=BM$4),SUM($J344,$M344,$P344,$S344),"")</f>
        <v/>
      </c>
      <c r="BO344" s="18" t="b">
        <f t="shared" si="211"/>
        <v>0</v>
      </c>
      <c r="BP344" s="18" t="b">
        <f t="shared" si="182"/>
        <v>0</v>
      </c>
      <c r="BQ344" s="18" t="b">
        <f>AND(E344&lt;&gt;'Povolené hodnoty'!$B$6,F344&lt;&gt;'Povolené hodnoty'!$D$7,F344&lt;&gt;'Povolené hodnoty'!$D$8,OR(SUM(I344,L344,O344,R344)&lt;&gt;SUM(W344:X344,AA344:AG344),SUM(J344,M344,P344,S344)&lt;&gt;SUM(Y344:Z344,AH344:AK344),COUNT(I344:J344,L344:M344,O344:P344,R344:S344)&lt;&gt;COUNT(W344:AK344)))</f>
        <v>0</v>
      </c>
      <c r="BR344" s="18" t="b">
        <f>OR(AND(E344='Povolené hodnoty'!$B$6,$BR$5),AND(E344='Povolené hodnoty'!$B$6,H344&lt;&gt;'Povolené hodnoty'!$E$26,H344&lt;&gt;'Povolené hodnoty'!$E$35),AND(E344&lt;&gt;'Povolené hodnoty'!$B$6,OR(H344='Povolené hodnoty'!$E$26,H344='Povolené hodnoty'!$E$35)))</f>
        <v>0</v>
      </c>
      <c r="BS344" s="18" t="b">
        <f>OR(AND(G344&lt;&gt;'Povolené hodnoty'!$B$13,OR(H344='Povolené hodnoty'!$E$21,H344='Povolené hodnoty'!$E$22,H344='Povolené hodnoty'!$E$23,H344='Povolené hodnoty'!$E$24,H344='Povolené hodnoty'!$E$26,H344='Povolené hodnoty'!$E$36)),COUNT(I344:J344,L344:M344,O344:P344,R344:S344)&lt;&gt;COUNT(AL344:BM344))</f>
        <v>0</v>
      </c>
      <c r="BT344" s="18" t="b">
        <f t="shared" si="183"/>
        <v>0</v>
      </c>
      <c r="BV344" s="39" t="str">
        <f t="shared" si="184"/>
        <v/>
      </c>
      <c r="BW344" s="458" t="str">
        <f t="shared" si="185"/>
        <v/>
      </c>
      <c r="BX344" s="458" t="str">
        <f t="shared" si="186"/>
        <v/>
      </c>
      <c r="BY344" s="458" t="str">
        <f t="shared" si="187"/>
        <v/>
      </c>
      <c r="BZ344" s="458" t="str">
        <f t="shared" si="188"/>
        <v/>
      </c>
      <c r="CA344" s="40" t="str">
        <f t="shared" si="189"/>
        <v/>
      </c>
      <c r="CB344" s="40" t="str">
        <f t="shared" si="190"/>
        <v/>
      </c>
      <c r="CC344" s="39" t="str">
        <f t="shared" si="191"/>
        <v/>
      </c>
      <c r="CD344" s="458" t="str">
        <f t="shared" si="192"/>
        <v/>
      </c>
      <c r="CE344" s="41" t="str">
        <f t="shared" si="193"/>
        <v/>
      </c>
      <c r="CF344" s="39" t="str">
        <f t="shared" si="194"/>
        <v/>
      </c>
      <c r="CG344" s="458" t="str">
        <f t="shared" si="195"/>
        <v/>
      </c>
      <c r="CH344" s="458" t="str">
        <f t="shared" si="196"/>
        <v/>
      </c>
      <c r="CI344" s="458" t="str">
        <f t="shared" si="197"/>
        <v/>
      </c>
      <c r="CJ344" s="458" t="str">
        <f t="shared" si="198"/>
        <v/>
      </c>
      <c r="CK344" s="40" t="str">
        <f t="shared" si="199"/>
        <v/>
      </c>
      <c r="CL344" s="40" t="str">
        <f t="shared" si="200"/>
        <v/>
      </c>
      <c r="CM344" s="40" t="str">
        <f t="shared" si="201"/>
        <v/>
      </c>
      <c r="CN344" s="39" t="str">
        <f t="shared" si="202"/>
        <v/>
      </c>
      <c r="CO344" s="458" t="str">
        <f t="shared" si="203"/>
        <v/>
      </c>
      <c r="CP344" s="458" t="str">
        <f t="shared" si="204"/>
        <v/>
      </c>
      <c r="CQ344" s="458" t="str">
        <f t="shared" si="205"/>
        <v/>
      </c>
      <c r="CR344" s="458" t="str">
        <f t="shared" si="206"/>
        <v/>
      </c>
      <c r="CS344" s="40" t="str">
        <f t="shared" si="207"/>
        <v/>
      </c>
      <c r="CT344" s="40" t="str">
        <f t="shared" si="208"/>
        <v/>
      </c>
      <c r="CU344" s="41" t="str">
        <f t="shared" si="209"/>
        <v/>
      </c>
    </row>
    <row r="345" spans="1:99" x14ac:dyDescent="0.2">
      <c r="A345" s="77">
        <f t="shared" si="210"/>
        <v>340</v>
      </c>
      <c r="B345" s="81"/>
      <c r="C345" s="82"/>
      <c r="D345" s="71"/>
      <c r="E345" s="72"/>
      <c r="F345" s="73"/>
      <c r="G345" s="443"/>
      <c r="H345" s="443"/>
      <c r="I345" s="74"/>
      <c r="J345" s="75"/>
      <c r="K345" s="41">
        <f t="shared" si="179"/>
        <v>3625</v>
      </c>
      <c r="L345" s="104"/>
      <c r="M345" s="105"/>
      <c r="N345" s="106">
        <f t="shared" si="180"/>
        <v>537.05999999999995</v>
      </c>
      <c r="O345" s="104"/>
      <c r="P345" s="105"/>
      <c r="Q345" s="106">
        <f t="shared" si="212"/>
        <v>10045.83</v>
      </c>
      <c r="R345" s="104"/>
      <c r="S345" s="105"/>
      <c r="T345" s="106">
        <f t="shared" si="213"/>
        <v>0</v>
      </c>
      <c r="U345" s="439"/>
      <c r="V345" s="42">
        <f t="shared" si="181"/>
        <v>340</v>
      </c>
      <c r="W345" s="39" t="str">
        <f>IF(AND(E345='Povolené hodnoty'!$B$4,F345=2),I345+L345+O345+R345,"")</f>
        <v/>
      </c>
      <c r="X345" s="41" t="str">
        <f>IF(AND(E345='Povolené hodnoty'!$B$4,F345=1),I345+L345+O345+R345,"")</f>
        <v/>
      </c>
      <c r="Y345" s="39" t="str">
        <f>IF(AND(E345='Povolené hodnoty'!$B$4,F345=10),J345+M345+P345+S345,"")</f>
        <v/>
      </c>
      <c r="Z345" s="41" t="str">
        <f>IF(AND(E345='Povolené hodnoty'!$B$4,F345=9),J345+M345+P345+S345,"")</f>
        <v/>
      </c>
      <c r="AA345" s="39" t="str">
        <f>IF(AND(E345&lt;&gt;'Povolené hodnoty'!$B$4,F345=2),I345+L345+O345+R345,"")</f>
        <v/>
      </c>
      <c r="AB345" s="40" t="str">
        <f>IF(AND(E345&lt;&gt;'Povolené hodnoty'!$B$4,F345=3),I345+L345+O345+R345,"")</f>
        <v/>
      </c>
      <c r="AC345" s="40" t="str">
        <f>IF(AND(E345&lt;&gt;'Povolené hodnoty'!$B$4,F345=4),I345+L345+O345+R345,"")</f>
        <v/>
      </c>
      <c r="AD345" s="40" t="str">
        <f>IF(AND(E345&lt;&gt;'Povolené hodnoty'!$B$4,F345="5a"),I345-J345+L345-M345+O345-P345+R345-S345,"")</f>
        <v/>
      </c>
      <c r="AE345" s="40" t="str">
        <f>IF(AND(E345&lt;&gt;'Povolené hodnoty'!$B$4,F345="5b"),I345-J345+L345-M345+O345-P345+R345-S345,"")</f>
        <v/>
      </c>
      <c r="AF345" s="40" t="str">
        <f>IF(AND(E345&lt;&gt;'Povolené hodnoty'!$B$4,F345=6),I345+L345+O345+R345,"")</f>
        <v/>
      </c>
      <c r="AG345" s="41" t="str">
        <f>IF(AND(E345&lt;&gt;'Povolené hodnoty'!$B$4,F345=7),I345+L345+O345+R345,"")</f>
        <v/>
      </c>
      <c r="AH345" s="39" t="str">
        <f>IF(AND(E345&lt;&gt;'Povolené hodnoty'!$B$4,F345=10),J345+M345+P345+S345,"")</f>
        <v/>
      </c>
      <c r="AI345" s="40" t="str">
        <f>IF(AND(E345&lt;&gt;'Povolené hodnoty'!$B$4,F345=11),J345+M345+P345+S345,"")</f>
        <v/>
      </c>
      <c r="AJ345" s="40" t="str">
        <f>IF(AND(E345&lt;&gt;'Povolené hodnoty'!$B$4,F345=12),J345+M345+P345+S345,"")</f>
        <v/>
      </c>
      <c r="AK345" s="41" t="str">
        <f>IF(AND(E345&lt;&gt;'Povolené hodnoty'!$B$4,F345=13),J345+M345+P345+S345,"")</f>
        <v/>
      </c>
      <c r="AL345" s="39" t="str">
        <f>IF(AND($G345='Povolené hodnoty'!$B$13,$H345=AL$4),SUM($I345,$L345,$O345,$R345),"")</f>
        <v/>
      </c>
      <c r="AM345" s="458" t="str">
        <f>IF(AND($G345='Povolené hodnoty'!$B$13,$H345=AM$4),SUM($I345,$L345,$O345,$R345),"")</f>
        <v/>
      </c>
      <c r="AN345" s="458" t="str">
        <f>IF(AND($G345='Povolené hodnoty'!$B$13,$H345=AN$4),SUM($I345,$L345,$O345,$R345),"")</f>
        <v/>
      </c>
      <c r="AO345" s="458" t="str">
        <f>IF(AND($G345='Povolené hodnoty'!$B$13,$H345=AO$4),SUM($I345,$L345,$O345,$R345),"")</f>
        <v/>
      </c>
      <c r="AP345" s="458" t="str">
        <f>IF(AND($G345='Povolené hodnoty'!$B$13,$H345=AP$4),SUM($I345,$L345,$O345,$R345),"")</f>
        <v/>
      </c>
      <c r="AQ345" s="40" t="str">
        <f>IF(AND($G345='Povolené hodnoty'!$B$13,OR($H345=AQ$4,$H345='Povolené hodnoty'!$E$36)),SUM($I345,-$J345,$L345,-$M345,$O345,-$P345,$R345,-$S345),"")</f>
        <v/>
      </c>
      <c r="AR345" s="40" t="str">
        <f>IF(AND($G345='Povolené hodnoty'!$B$13,$H345=AR$4),SUM($I345,$L345,$O345,$R345),"")</f>
        <v/>
      </c>
      <c r="AS345" s="41" t="str">
        <f>IF(AND($G345='Povolené hodnoty'!$B$13,$H345=AS$4),SUM($I345,$L345,$O345,$R345),"")</f>
        <v/>
      </c>
      <c r="AT345" s="39" t="str">
        <f>IF(AND($G345='Povolené hodnoty'!$B$14,$H345=AT$4),SUM($I345,$L345,$O345,$R345),"")</f>
        <v/>
      </c>
      <c r="AU345" s="458" t="str">
        <f>IF(AND($G345='Povolené hodnoty'!$B$14,$H345=AU$4),SUM($I345,$L345,$O345,$R345),"")</f>
        <v/>
      </c>
      <c r="AV345" s="41" t="str">
        <f>IF(AND($G345='Povolené hodnoty'!$B$14,$H345=AV$4),SUM($I345,$L345,$O345,$R345),"")</f>
        <v/>
      </c>
      <c r="AW345" s="39" t="str">
        <f>IF(AND($G345='Povolené hodnoty'!$B$13,$H345=AW$4),SUM($J345,$M345,$P345,$S345),"")</f>
        <v/>
      </c>
      <c r="AX345" s="458" t="str">
        <f>IF(AND($G345='Povolené hodnoty'!$B$13,$H345=AX$4),SUM($J345,$M345,$P345,$S345),"")</f>
        <v/>
      </c>
      <c r="AY345" s="458" t="str">
        <f>IF(AND($G345='Povolené hodnoty'!$B$13,$H345=AY$4),SUM($J345,$M345,$P345,$S345),"")</f>
        <v/>
      </c>
      <c r="AZ345" s="458" t="str">
        <f>IF(AND($G345='Povolené hodnoty'!$B$13,$H345=AZ$4),SUM($J345,$M345,$P345,$S345),"")</f>
        <v/>
      </c>
      <c r="BA345" s="458" t="str">
        <f>IF(AND($G345='Povolené hodnoty'!$B$13,$H345=BA$4),SUM($J345,$M345,$P345,$S345),"")</f>
        <v/>
      </c>
      <c r="BB345" s="40" t="str">
        <f>IF(AND($G345='Povolené hodnoty'!$B$13,$H345=BB$4),SUM($J345,$M345,$P345,$S345),"")</f>
        <v/>
      </c>
      <c r="BC345" s="40" t="str">
        <f>IF(AND($G345='Povolené hodnoty'!$B$13,$H345=BC$4),SUM($J345,$M345,$P345,$S345),"")</f>
        <v/>
      </c>
      <c r="BD345" s="40" t="str">
        <f>IF(AND($G345='Povolené hodnoty'!$B$13,$H345=BD$4),SUM($J345,$M345,$P345,$S345),"")</f>
        <v/>
      </c>
      <c r="BE345" s="41" t="str">
        <f>IF(AND($G345='Povolené hodnoty'!$B$13,$H345=BE$4),SUM($J345,$M345,$P345,$S345),"")</f>
        <v/>
      </c>
      <c r="BF345" s="39" t="str">
        <f>IF(AND($G345='Povolené hodnoty'!$B$14,$H345=BF$4),SUM($J345,$M345,$P345,$S345),"")</f>
        <v/>
      </c>
      <c r="BG345" s="458" t="str">
        <f>IF(AND($G345='Povolené hodnoty'!$B$14,$H345=BG$4),SUM($J345,$M345,$P345,$S345),"")</f>
        <v/>
      </c>
      <c r="BH345" s="458" t="str">
        <f>IF(AND($G345='Povolené hodnoty'!$B$14,$H345=BH$4),SUM($J345,$M345,$P345,$S345),"")</f>
        <v/>
      </c>
      <c r="BI345" s="458" t="str">
        <f>IF(AND($G345='Povolené hodnoty'!$B$14,$H345=BI$4),SUM($J345,$M345,$P345,$S345),"")</f>
        <v/>
      </c>
      <c r="BJ345" s="458" t="str">
        <f>IF(AND($G345='Povolené hodnoty'!$B$14,$H345=BJ$4),SUM($J345,$M345,$P345,$S345),"")</f>
        <v/>
      </c>
      <c r="BK345" s="40" t="str">
        <f>IF(AND($G345='Povolené hodnoty'!$B$14,$H345=BK$4),SUM($J345,$M345,$P345,$S345),"")</f>
        <v/>
      </c>
      <c r="BL345" s="40" t="str">
        <f>IF(AND($G345='Povolené hodnoty'!$B$14,$H345=BL$4),SUM($J345,$M345,$P345,$S345),"")</f>
        <v/>
      </c>
      <c r="BM345" s="41" t="str">
        <f>IF(AND($G345='Povolené hodnoty'!$B$14,$H345=BM$4),SUM($J345,$M345,$P345,$S345),"")</f>
        <v/>
      </c>
      <c r="BO345" s="18" t="b">
        <f t="shared" si="211"/>
        <v>0</v>
      </c>
      <c r="BP345" s="18" t="b">
        <f t="shared" si="182"/>
        <v>0</v>
      </c>
      <c r="BQ345" s="18" t="b">
        <f>AND(E345&lt;&gt;'Povolené hodnoty'!$B$6,F345&lt;&gt;'Povolené hodnoty'!$D$7,F345&lt;&gt;'Povolené hodnoty'!$D$8,OR(SUM(I345,L345,O345,R345)&lt;&gt;SUM(W345:X345,AA345:AG345),SUM(J345,M345,P345,S345)&lt;&gt;SUM(Y345:Z345,AH345:AK345),COUNT(I345:J345,L345:M345,O345:P345,R345:S345)&lt;&gt;COUNT(W345:AK345)))</f>
        <v>0</v>
      </c>
      <c r="BR345" s="18" t="b">
        <f>OR(AND(E345='Povolené hodnoty'!$B$6,$BR$5),AND(E345='Povolené hodnoty'!$B$6,H345&lt;&gt;'Povolené hodnoty'!$E$26,H345&lt;&gt;'Povolené hodnoty'!$E$35),AND(E345&lt;&gt;'Povolené hodnoty'!$B$6,OR(H345='Povolené hodnoty'!$E$26,H345='Povolené hodnoty'!$E$35)))</f>
        <v>0</v>
      </c>
      <c r="BS345" s="18" t="b">
        <f>OR(AND(G345&lt;&gt;'Povolené hodnoty'!$B$13,OR(H345='Povolené hodnoty'!$E$21,H345='Povolené hodnoty'!$E$22,H345='Povolené hodnoty'!$E$23,H345='Povolené hodnoty'!$E$24,H345='Povolené hodnoty'!$E$26,H345='Povolené hodnoty'!$E$36)),COUNT(I345:J345,L345:M345,O345:P345,R345:S345)&lt;&gt;COUNT(AL345:BM345))</f>
        <v>0</v>
      </c>
      <c r="BT345" s="18" t="b">
        <f t="shared" si="183"/>
        <v>0</v>
      </c>
      <c r="BV345" s="39" t="str">
        <f t="shared" si="184"/>
        <v/>
      </c>
      <c r="BW345" s="458" t="str">
        <f t="shared" si="185"/>
        <v/>
      </c>
      <c r="BX345" s="458" t="str">
        <f t="shared" si="186"/>
        <v/>
      </c>
      <c r="BY345" s="458" t="str">
        <f t="shared" si="187"/>
        <v/>
      </c>
      <c r="BZ345" s="458" t="str">
        <f t="shared" si="188"/>
        <v/>
      </c>
      <c r="CA345" s="40" t="str">
        <f t="shared" si="189"/>
        <v/>
      </c>
      <c r="CB345" s="40" t="str">
        <f t="shared" si="190"/>
        <v/>
      </c>
      <c r="CC345" s="39" t="str">
        <f t="shared" si="191"/>
        <v/>
      </c>
      <c r="CD345" s="458" t="str">
        <f t="shared" si="192"/>
        <v/>
      </c>
      <c r="CE345" s="41" t="str">
        <f t="shared" si="193"/>
        <v/>
      </c>
      <c r="CF345" s="39" t="str">
        <f t="shared" si="194"/>
        <v/>
      </c>
      <c r="CG345" s="458" t="str">
        <f t="shared" si="195"/>
        <v/>
      </c>
      <c r="CH345" s="458" t="str">
        <f t="shared" si="196"/>
        <v/>
      </c>
      <c r="CI345" s="458" t="str">
        <f t="shared" si="197"/>
        <v/>
      </c>
      <c r="CJ345" s="458" t="str">
        <f t="shared" si="198"/>
        <v/>
      </c>
      <c r="CK345" s="40" t="str">
        <f t="shared" si="199"/>
        <v/>
      </c>
      <c r="CL345" s="40" t="str">
        <f t="shared" si="200"/>
        <v/>
      </c>
      <c r="CM345" s="40" t="str">
        <f t="shared" si="201"/>
        <v/>
      </c>
      <c r="CN345" s="39" t="str">
        <f t="shared" si="202"/>
        <v/>
      </c>
      <c r="CO345" s="458" t="str">
        <f t="shared" si="203"/>
        <v/>
      </c>
      <c r="CP345" s="458" t="str">
        <f t="shared" si="204"/>
        <v/>
      </c>
      <c r="CQ345" s="458" t="str">
        <f t="shared" si="205"/>
        <v/>
      </c>
      <c r="CR345" s="458" t="str">
        <f t="shared" si="206"/>
        <v/>
      </c>
      <c r="CS345" s="40" t="str">
        <f t="shared" si="207"/>
        <v/>
      </c>
      <c r="CT345" s="40" t="str">
        <f t="shared" si="208"/>
        <v/>
      </c>
      <c r="CU345" s="41" t="str">
        <f t="shared" si="209"/>
        <v/>
      </c>
    </row>
    <row r="346" spans="1:99" x14ac:dyDescent="0.2">
      <c r="A346" s="77">
        <f t="shared" si="210"/>
        <v>341</v>
      </c>
      <c r="B346" s="81"/>
      <c r="C346" s="82"/>
      <c r="D346" s="71"/>
      <c r="E346" s="72"/>
      <c r="F346" s="73"/>
      <c r="G346" s="443"/>
      <c r="H346" s="443"/>
      <c r="I346" s="74"/>
      <c r="J346" s="75"/>
      <c r="K346" s="41">
        <f t="shared" si="179"/>
        <v>3625</v>
      </c>
      <c r="L346" s="104"/>
      <c r="M346" s="105"/>
      <c r="N346" s="106">
        <f t="shared" si="180"/>
        <v>537.05999999999995</v>
      </c>
      <c r="O346" s="104"/>
      <c r="P346" s="105"/>
      <c r="Q346" s="106">
        <f t="shared" si="212"/>
        <v>10045.83</v>
      </c>
      <c r="R346" s="104"/>
      <c r="S346" s="105"/>
      <c r="T346" s="106">
        <f t="shared" si="213"/>
        <v>0</v>
      </c>
      <c r="U346" s="439"/>
      <c r="V346" s="42">
        <f t="shared" si="181"/>
        <v>341</v>
      </c>
      <c r="W346" s="39" t="str">
        <f>IF(AND(E346='Povolené hodnoty'!$B$4,F346=2),I346+L346+O346+R346,"")</f>
        <v/>
      </c>
      <c r="X346" s="41" t="str">
        <f>IF(AND(E346='Povolené hodnoty'!$B$4,F346=1),I346+L346+O346+R346,"")</f>
        <v/>
      </c>
      <c r="Y346" s="39" t="str">
        <f>IF(AND(E346='Povolené hodnoty'!$B$4,F346=10),J346+M346+P346+S346,"")</f>
        <v/>
      </c>
      <c r="Z346" s="41" t="str">
        <f>IF(AND(E346='Povolené hodnoty'!$B$4,F346=9),J346+M346+P346+S346,"")</f>
        <v/>
      </c>
      <c r="AA346" s="39" t="str">
        <f>IF(AND(E346&lt;&gt;'Povolené hodnoty'!$B$4,F346=2),I346+L346+O346+R346,"")</f>
        <v/>
      </c>
      <c r="AB346" s="40" t="str">
        <f>IF(AND(E346&lt;&gt;'Povolené hodnoty'!$B$4,F346=3),I346+L346+O346+R346,"")</f>
        <v/>
      </c>
      <c r="AC346" s="40" t="str">
        <f>IF(AND(E346&lt;&gt;'Povolené hodnoty'!$B$4,F346=4),I346+L346+O346+R346,"")</f>
        <v/>
      </c>
      <c r="AD346" s="40" t="str">
        <f>IF(AND(E346&lt;&gt;'Povolené hodnoty'!$B$4,F346="5a"),I346-J346+L346-M346+O346-P346+R346-S346,"")</f>
        <v/>
      </c>
      <c r="AE346" s="40" t="str">
        <f>IF(AND(E346&lt;&gt;'Povolené hodnoty'!$B$4,F346="5b"),I346-J346+L346-M346+O346-P346+R346-S346,"")</f>
        <v/>
      </c>
      <c r="AF346" s="40" t="str">
        <f>IF(AND(E346&lt;&gt;'Povolené hodnoty'!$B$4,F346=6),I346+L346+O346+R346,"")</f>
        <v/>
      </c>
      <c r="AG346" s="41" t="str">
        <f>IF(AND(E346&lt;&gt;'Povolené hodnoty'!$B$4,F346=7),I346+L346+O346+R346,"")</f>
        <v/>
      </c>
      <c r="AH346" s="39" t="str">
        <f>IF(AND(E346&lt;&gt;'Povolené hodnoty'!$B$4,F346=10),J346+M346+P346+S346,"")</f>
        <v/>
      </c>
      <c r="AI346" s="40" t="str">
        <f>IF(AND(E346&lt;&gt;'Povolené hodnoty'!$B$4,F346=11),J346+M346+P346+S346,"")</f>
        <v/>
      </c>
      <c r="AJ346" s="40" t="str">
        <f>IF(AND(E346&lt;&gt;'Povolené hodnoty'!$B$4,F346=12),J346+M346+P346+S346,"")</f>
        <v/>
      </c>
      <c r="AK346" s="41" t="str">
        <f>IF(AND(E346&lt;&gt;'Povolené hodnoty'!$B$4,F346=13),J346+M346+P346+S346,"")</f>
        <v/>
      </c>
      <c r="AL346" s="39" t="str">
        <f>IF(AND($G346='Povolené hodnoty'!$B$13,$H346=AL$4),SUM($I346,$L346,$O346,$R346),"")</f>
        <v/>
      </c>
      <c r="AM346" s="458" t="str">
        <f>IF(AND($G346='Povolené hodnoty'!$B$13,$H346=AM$4),SUM($I346,$L346,$O346,$R346),"")</f>
        <v/>
      </c>
      <c r="AN346" s="458" t="str">
        <f>IF(AND($G346='Povolené hodnoty'!$B$13,$H346=AN$4),SUM($I346,$L346,$O346,$R346),"")</f>
        <v/>
      </c>
      <c r="AO346" s="458" t="str">
        <f>IF(AND($G346='Povolené hodnoty'!$B$13,$H346=AO$4),SUM($I346,$L346,$O346,$R346),"")</f>
        <v/>
      </c>
      <c r="AP346" s="458" t="str">
        <f>IF(AND($G346='Povolené hodnoty'!$B$13,$H346=AP$4),SUM($I346,$L346,$O346,$R346),"")</f>
        <v/>
      </c>
      <c r="AQ346" s="40" t="str">
        <f>IF(AND($G346='Povolené hodnoty'!$B$13,OR($H346=AQ$4,$H346='Povolené hodnoty'!$E$36)),SUM($I346,-$J346,$L346,-$M346,$O346,-$P346,$R346,-$S346),"")</f>
        <v/>
      </c>
      <c r="AR346" s="40" t="str">
        <f>IF(AND($G346='Povolené hodnoty'!$B$13,$H346=AR$4),SUM($I346,$L346,$O346,$R346),"")</f>
        <v/>
      </c>
      <c r="AS346" s="41" t="str">
        <f>IF(AND($G346='Povolené hodnoty'!$B$13,$H346=AS$4),SUM($I346,$L346,$O346,$R346),"")</f>
        <v/>
      </c>
      <c r="AT346" s="39" t="str">
        <f>IF(AND($G346='Povolené hodnoty'!$B$14,$H346=AT$4),SUM($I346,$L346,$O346,$R346),"")</f>
        <v/>
      </c>
      <c r="AU346" s="458" t="str">
        <f>IF(AND($G346='Povolené hodnoty'!$B$14,$H346=AU$4),SUM($I346,$L346,$O346,$R346),"")</f>
        <v/>
      </c>
      <c r="AV346" s="41" t="str">
        <f>IF(AND($G346='Povolené hodnoty'!$B$14,$H346=AV$4),SUM($I346,$L346,$O346,$R346),"")</f>
        <v/>
      </c>
      <c r="AW346" s="39" t="str">
        <f>IF(AND($G346='Povolené hodnoty'!$B$13,$H346=AW$4),SUM($J346,$M346,$P346,$S346),"")</f>
        <v/>
      </c>
      <c r="AX346" s="458" t="str">
        <f>IF(AND($G346='Povolené hodnoty'!$B$13,$H346=AX$4),SUM($J346,$M346,$P346,$S346),"")</f>
        <v/>
      </c>
      <c r="AY346" s="458" t="str">
        <f>IF(AND($G346='Povolené hodnoty'!$B$13,$H346=AY$4),SUM($J346,$M346,$P346,$S346),"")</f>
        <v/>
      </c>
      <c r="AZ346" s="458" t="str">
        <f>IF(AND($G346='Povolené hodnoty'!$B$13,$H346=AZ$4),SUM($J346,$M346,$P346,$S346),"")</f>
        <v/>
      </c>
      <c r="BA346" s="458" t="str">
        <f>IF(AND($G346='Povolené hodnoty'!$B$13,$H346=BA$4),SUM($J346,$M346,$P346,$S346),"")</f>
        <v/>
      </c>
      <c r="BB346" s="40" t="str">
        <f>IF(AND($G346='Povolené hodnoty'!$B$13,$H346=BB$4),SUM($J346,$M346,$P346,$S346),"")</f>
        <v/>
      </c>
      <c r="BC346" s="40" t="str">
        <f>IF(AND($G346='Povolené hodnoty'!$B$13,$H346=BC$4),SUM($J346,$M346,$P346,$S346),"")</f>
        <v/>
      </c>
      <c r="BD346" s="40" t="str">
        <f>IF(AND($G346='Povolené hodnoty'!$B$13,$H346=BD$4),SUM($J346,$M346,$P346,$S346),"")</f>
        <v/>
      </c>
      <c r="BE346" s="41" t="str">
        <f>IF(AND($G346='Povolené hodnoty'!$B$13,$H346=BE$4),SUM($J346,$M346,$P346,$S346),"")</f>
        <v/>
      </c>
      <c r="BF346" s="39" t="str">
        <f>IF(AND($G346='Povolené hodnoty'!$B$14,$H346=BF$4),SUM($J346,$M346,$P346,$S346),"")</f>
        <v/>
      </c>
      <c r="BG346" s="458" t="str">
        <f>IF(AND($G346='Povolené hodnoty'!$B$14,$H346=BG$4),SUM($J346,$M346,$P346,$S346),"")</f>
        <v/>
      </c>
      <c r="BH346" s="458" t="str">
        <f>IF(AND($G346='Povolené hodnoty'!$B$14,$H346=BH$4),SUM($J346,$M346,$P346,$S346),"")</f>
        <v/>
      </c>
      <c r="BI346" s="458" t="str">
        <f>IF(AND($G346='Povolené hodnoty'!$B$14,$H346=BI$4),SUM($J346,$M346,$P346,$S346),"")</f>
        <v/>
      </c>
      <c r="BJ346" s="458" t="str">
        <f>IF(AND($G346='Povolené hodnoty'!$B$14,$H346=BJ$4),SUM($J346,$M346,$P346,$S346),"")</f>
        <v/>
      </c>
      <c r="BK346" s="40" t="str">
        <f>IF(AND($G346='Povolené hodnoty'!$B$14,$H346=BK$4),SUM($J346,$M346,$P346,$S346),"")</f>
        <v/>
      </c>
      <c r="BL346" s="40" t="str">
        <f>IF(AND($G346='Povolené hodnoty'!$B$14,$H346=BL$4),SUM($J346,$M346,$P346,$S346),"")</f>
        <v/>
      </c>
      <c r="BM346" s="41" t="str">
        <f>IF(AND($G346='Povolené hodnoty'!$B$14,$H346=BM$4),SUM($J346,$M346,$P346,$S346),"")</f>
        <v/>
      </c>
      <c r="BO346" s="18" t="b">
        <f t="shared" si="211"/>
        <v>0</v>
      </c>
      <c r="BP346" s="18" t="b">
        <f t="shared" si="182"/>
        <v>0</v>
      </c>
      <c r="BQ346" s="18" t="b">
        <f>AND(E346&lt;&gt;'Povolené hodnoty'!$B$6,F346&lt;&gt;'Povolené hodnoty'!$D$7,F346&lt;&gt;'Povolené hodnoty'!$D$8,OR(SUM(I346,L346,O346,R346)&lt;&gt;SUM(W346:X346,AA346:AG346),SUM(J346,M346,P346,S346)&lt;&gt;SUM(Y346:Z346,AH346:AK346),COUNT(I346:J346,L346:M346,O346:P346,R346:S346)&lt;&gt;COUNT(W346:AK346)))</f>
        <v>0</v>
      </c>
      <c r="BR346" s="18" t="b">
        <f>OR(AND(E346='Povolené hodnoty'!$B$6,$BR$5),AND(E346='Povolené hodnoty'!$B$6,H346&lt;&gt;'Povolené hodnoty'!$E$26,H346&lt;&gt;'Povolené hodnoty'!$E$35),AND(E346&lt;&gt;'Povolené hodnoty'!$B$6,OR(H346='Povolené hodnoty'!$E$26,H346='Povolené hodnoty'!$E$35)))</f>
        <v>0</v>
      </c>
      <c r="BS346" s="18" t="b">
        <f>OR(AND(G346&lt;&gt;'Povolené hodnoty'!$B$13,OR(H346='Povolené hodnoty'!$E$21,H346='Povolené hodnoty'!$E$22,H346='Povolené hodnoty'!$E$23,H346='Povolené hodnoty'!$E$24,H346='Povolené hodnoty'!$E$26,H346='Povolené hodnoty'!$E$36)),COUNT(I346:J346,L346:M346,O346:P346,R346:S346)&lt;&gt;COUNT(AL346:BM346))</f>
        <v>0</v>
      </c>
      <c r="BT346" s="18" t="b">
        <f t="shared" si="183"/>
        <v>0</v>
      </c>
      <c r="BV346" s="39" t="str">
        <f t="shared" si="184"/>
        <v/>
      </c>
      <c r="BW346" s="458" t="str">
        <f t="shared" si="185"/>
        <v/>
      </c>
      <c r="BX346" s="458" t="str">
        <f t="shared" si="186"/>
        <v/>
      </c>
      <c r="BY346" s="458" t="str">
        <f t="shared" si="187"/>
        <v/>
      </c>
      <c r="BZ346" s="458" t="str">
        <f t="shared" si="188"/>
        <v/>
      </c>
      <c r="CA346" s="40" t="str">
        <f t="shared" si="189"/>
        <v/>
      </c>
      <c r="CB346" s="40" t="str">
        <f t="shared" si="190"/>
        <v/>
      </c>
      <c r="CC346" s="39" t="str">
        <f t="shared" si="191"/>
        <v/>
      </c>
      <c r="CD346" s="458" t="str">
        <f t="shared" si="192"/>
        <v/>
      </c>
      <c r="CE346" s="41" t="str">
        <f t="shared" si="193"/>
        <v/>
      </c>
      <c r="CF346" s="39" t="str">
        <f t="shared" si="194"/>
        <v/>
      </c>
      <c r="CG346" s="458" t="str">
        <f t="shared" si="195"/>
        <v/>
      </c>
      <c r="CH346" s="458" t="str">
        <f t="shared" si="196"/>
        <v/>
      </c>
      <c r="CI346" s="458" t="str">
        <f t="shared" si="197"/>
        <v/>
      </c>
      <c r="CJ346" s="458" t="str">
        <f t="shared" si="198"/>
        <v/>
      </c>
      <c r="CK346" s="40" t="str">
        <f t="shared" si="199"/>
        <v/>
      </c>
      <c r="CL346" s="40" t="str">
        <f t="shared" si="200"/>
        <v/>
      </c>
      <c r="CM346" s="40" t="str">
        <f t="shared" si="201"/>
        <v/>
      </c>
      <c r="CN346" s="39" t="str">
        <f t="shared" si="202"/>
        <v/>
      </c>
      <c r="CO346" s="458" t="str">
        <f t="shared" si="203"/>
        <v/>
      </c>
      <c r="CP346" s="458" t="str">
        <f t="shared" si="204"/>
        <v/>
      </c>
      <c r="CQ346" s="458" t="str">
        <f t="shared" si="205"/>
        <v/>
      </c>
      <c r="CR346" s="458" t="str">
        <f t="shared" si="206"/>
        <v/>
      </c>
      <c r="CS346" s="40" t="str">
        <f t="shared" si="207"/>
        <v/>
      </c>
      <c r="CT346" s="40" t="str">
        <f t="shared" si="208"/>
        <v/>
      </c>
      <c r="CU346" s="41" t="str">
        <f t="shared" si="209"/>
        <v/>
      </c>
    </row>
    <row r="347" spans="1:99" x14ac:dyDescent="0.2">
      <c r="A347" s="77">
        <f t="shared" si="210"/>
        <v>342</v>
      </c>
      <c r="B347" s="81"/>
      <c r="C347" s="82"/>
      <c r="D347" s="71"/>
      <c r="E347" s="72"/>
      <c r="F347" s="73"/>
      <c r="G347" s="443"/>
      <c r="H347" s="443"/>
      <c r="I347" s="74"/>
      <c r="J347" s="75"/>
      <c r="K347" s="41">
        <f t="shared" si="179"/>
        <v>3625</v>
      </c>
      <c r="L347" s="104"/>
      <c r="M347" s="105"/>
      <c r="N347" s="106">
        <f t="shared" si="180"/>
        <v>537.05999999999995</v>
      </c>
      <c r="O347" s="104"/>
      <c r="P347" s="105"/>
      <c r="Q347" s="106">
        <f t="shared" si="212"/>
        <v>10045.83</v>
      </c>
      <c r="R347" s="104"/>
      <c r="S347" s="105"/>
      <c r="T347" s="106">
        <f t="shared" si="213"/>
        <v>0</v>
      </c>
      <c r="U347" s="439"/>
      <c r="V347" s="42">
        <f t="shared" si="181"/>
        <v>342</v>
      </c>
      <c r="W347" s="39" t="str">
        <f>IF(AND(E347='Povolené hodnoty'!$B$4,F347=2),I347+L347+O347+R347,"")</f>
        <v/>
      </c>
      <c r="X347" s="41" t="str">
        <f>IF(AND(E347='Povolené hodnoty'!$B$4,F347=1),I347+L347+O347+R347,"")</f>
        <v/>
      </c>
      <c r="Y347" s="39" t="str">
        <f>IF(AND(E347='Povolené hodnoty'!$B$4,F347=10),J347+M347+P347+S347,"")</f>
        <v/>
      </c>
      <c r="Z347" s="41" t="str">
        <f>IF(AND(E347='Povolené hodnoty'!$B$4,F347=9),J347+M347+P347+S347,"")</f>
        <v/>
      </c>
      <c r="AA347" s="39" t="str">
        <f>IF(AND(E347&lt;&gt;'Povolené hodnoty'!$B$4,F347=2),I347+L347+O347+R347,"")</f>
        <v/>
      </c>
      <c r="AB347" s="40" t="str">
        <f>IF(AND(E347&lt;&gt;'Povolené hodnoty'!$B$4,F347=3),I347+L347+O347+R347,"")</f>
        <v/>
      </c>
      <c r="AC347" s="40" t="str">
        <f>IF(AND(E347&lt;&gt;'Povolené hodnoty'!$B$4,F347=4),I347+L347+O347+R347,"")</f>
        <v/>
      </c>
      <c r="AD347" s="40" t="str">
        <f>IF(AND(E347&lt;&gt;'Povolené hodnoty'!$B$4,F347="5a"),I347-J347+L347-M347+O347-P347+R347-S347,"")</f>
        <v/>
      </c>
      <c r="AE347" s="40" t="str">
        <f>IF(AND(E347&lt;&gt;'Povolené hodnoty'!$B$4,F347="5b"),I347-J347+L347-M347+O347-P347+R347-S347,"")</f>
        <v/>
      </c>
      <c r="AF347" s="40" t="str">
        <f>IF(AND(E347&lt;&gt;'Povolené hodnoty'!$B$4,F347=6),I347+L347+O347+R347,"")</f>
        <v/>
      </c>
      <c r="AG347" s="41" t="str">
        <f>IF(AND(E347&lt;&gt;'Povolené hodnoty'!$B$4,F347=7),I347+L347+O347+R347,"")</f>
        <v/>
      </c>
      <c r="AH347" s="39" t="str">
        <f>IF(AND(E347&lt;&gt;'Povolené hodnoty'!$B$4,F347=10),J347+M347+P347+S347,"")</f>
        <v/>
      </c>
      <c r="AI347" s="40" t="str">
        <f>IF(AND(E347&lt;&gt;'Povolené hodnoty'!$B$4,F347=11),J347+M347+P347+S347,"")</f>
        <v/>
      </c>
      <c r="AJ347" s="40" t="str">
        <f>IF(AND(E347&lt;&gt;'Povolené hodnoty'!$B$4,F347=12),J347+M347+P347+S347,"")</f>
        <v/>
      </c>
      <c r="AK347" s="41" t="str">
        <f>IF(AND(E347&lt;&gt;'Povolené hodnoty'!$B$4,F347=13),J347+M347+P347+S347,"")</f>
        <v/>
      </c>
      <c r="AL347" s="39" t="str">
        <f>IF(AND($G347='Povolené hodnoty'!$B$13,$H347=AL$4),SUM($I347,$L347,$O347,$R347),"")</f>
        <v/>
      </c>
      <c r="AM347" s="458" t="str">
        <f>IF(AND($G347='Povolené hodnoty'!$B$13,$H347=AM$4),SUM($I347,$L347,$O347,$R347),"")</f>
        <v/>
      </c>
      <c r="AN347" s="458" t="str">
        <f>IF(AND($G347='Povolené hodnoty'!$B$13,$H347=AN$4),SUM($I347,$L347,$O347,$R347),"")</f>
        <v/>
      </c>
      <c r="AO347" s="458" t="str">
        <f>IF(AND($G347='Povolené hodnoty'!$B$13,$H347=AO$4),SUM($I347,$L347,$O347,$R347),"")</f>
        <v/>
      </c>
      <c r="AP347" s="458" t="str">
        <f>IF(AND($G347='Povolené hodnoty'!$B$13,$H347=AP$4),SUM($I347,$L347,$O347,$R347),"")</f>
        <v/>
      </c>
      <c r="AQ347" s="40" t="str">
        <f>IF(AND($G347='Povolené hodnoty'!$B$13,OR($H347=AQ$4,$H347='Povolené hodnoty'!$E$36)),SUM($I347,-$J347,$L347,-$M347,$O347,-$P347,$R347,-$S347),"")</f>
        <v/>
      </c>
      <c r="AR347" s="40" t="str">
        <f>IF(AND($G347='Povolené hodnoty'!$B$13,$H347=AR$4),SUM($I347,$L347,$O347,$R347),"")</f>
        <v/>
      </c>
      <c r="AS347" s="41" t="str">
        <f>IF(AND($G347='Povolené hodnoty'!$B$13,$H347=AS$4),SUM($I347,$L347,$O347,$R347),"")</f>
        <v/>
      </c>
      <c r="AT347" s="39" t="str">
        <f>IF(AND($G347='Povolené hodnoty'!$B$14,$H347=AT$4),SUM($I347,$L347,$O347,$R347),"")</f>
        <v/>
      </c>
      <c r="AU347" s="458" t="str">
        <f>IF(AND($G347='Povolené hodnoty'!$B$14,$H347=AU$4),SUM($I347,$L347,$O347,$R347),"")</f>
        <v/>
      </c>
      <c r="AV347" s="41" t="str">
        <f>IF(AND($G347='Povolené hodnoty'!$B$14,$H347=AV$4),SUM($I347,$L347,$O347,$R347),"")</f>
        <v/>
      </c>
      <c r="AW347" s="39" t="str">
        <f>IF(AND($G347='Povolené hodnoty'!$B$13,$H347=AW$4),SUM($J347,$M347,$P347,$S347),"")</f>
        <v/>
      </c>
      <c r="AX347" s="458" t="str">
        <f>IF(AND($G347='Povolené hodnoty'!$B$13,$H347=AX$4),SUM($J347,$M347,$P347,$S347),"")</f>
        <v/>
      </c>
      <c r="AY347" s="458" t="str">
        <f>IF(AND($G347='Povolené hodnoty'!$B$13,$H347=AY$4),SUM($J347,$M347,$P347,$S347),"")</f>
        <v/>
      </c>
      <c r="AZ347" s="458" t="str">
        <f>IF(AND($G347='Povolené hodnoty'!$B$13,$H347=AZ$4),SUM($J347,$M347,$P347,$S347),"")</f>
        <v/>
      </c>
      <c r="BA347" s="458" t="str">
        <f>IF(AND($G347='Povolené hodnoty'!$B$13,$H347=BA$4),SUM($J347,$M347,$P347,$S347),"")</f>
        <v/>
      </c>
      <c r="BB347" s="40" t="str">
        <f>IF(AND($G347='Povolené hodnoty'!$B$13,$H347=BB$4),SUM($J347,$M347,$P347,$S347),"")</f>
        <v/>
      </c>
      <c r="BC347" s="40" t="str">
        <f>IF(AND($G347='Povolené hodnoty'!$B$13,$H347=BC$4),SUM($J347,$M347,$P347,$S347),"")</f>
        <v/>
      </c>
      <c r="BD347" s="40" t="str">
        <f>IF(AND($G347='Povolené hodnoty'!$B$13,$H347=BD$4),SUM($J347,$M347,$P347,$S347),"")</f>
        <v/>
      </c>
      <c r="BE347" s="41" t="str">
        <f>IF(AND($G347='Povolené hodnoty'!$B$13,$H347=BE$4),SUM($J347,$M347,$P347,$S347),"")</f>
        <v/>
      </c>
      <c r="BF347" s="39" t="str">
        <f>IF(AND($G347='Povolené hodnoty'!$B$14,$H347=BF$4),SUM($J347,$M347,$P347,$S347),"")</f>
        <v/>
      </c>
      <c r="BG347" s="458" t="str">
        <f>IF(AND($G347='Povolené hodnoty'!$B$14,$H347=BG$4),SUM($J347,$M347,$P347,$S347),"")</f>
        <v/>
      </c>
      <c r="BH347" s="458" t="str">
        <f>IF(AND($G347='Povolené hodnoty'!$B$14,$H347=BH$4),SUM($J347,$M347,$P347,$S347),"")</f>
        <v/>
      </c>
      <c r="BI347" s="458" t="str">
        <f>IF(AND($G347='Povolené hodnoty'!$B$14,$H347=BI$4),SUM($J347,$M347,$P347,$S347),"")</f>
        <v/>
      </c>
      <c r="BJ347" s="458" t="str">
        <f>IF(AND($G347='Povolené hodnoty'!$B$14,$H347=BJ$4),SUM($J347,$M347,$P347,$S347),"")</f>
        <v/>
      </c>
      <c r="BK347" s="40" t="str">
        <f>IF(AND($G347='Povolené hodnoty'!$B$14,$H347=BK$4),SUM($J347,$M347,$P347,$S347),"")</f>
        <v/>
      </c>
      <c r="BL347" s="40" t="str">
        <f>IF(AND($G347='Povolené hodnoty'!$B$14,$H347=BL$4),SUM($J347,$M347,$P347,$S347),"")</f>
        <v/>
      </c>
      <c r="BM347" s="41" t="str">
        <f>IF(AND($G347='Povolené hodnoty'!$B$14,$H347=BM$4),SUM($J347,$M347,$P347,$S347),"")</f>
        <v/>
      </c>
      <c r="BO347" s="18" t="b">
        <f t="shared" si="211"/>
        <v>0</v>
      </c>
      <c r="BP347" s="18" t="b">
        <f t="shared" si="182"/>
        <v>0</v>
      </c>
      <c r="BQ347" s="18" t="b">
        <f>AND(E347&lt;&gt;'Povolené hodnoty'!$B$6,F347&lt;&gt;'Povolené hodnoty'!$D$7,F347&lt;&gt;'Povolené hodnoty'!$D$8,OR(SUM(I347,L347,O347,R347)&lt;&gt;SUM(W347:X347,AA347:AG347),SUM(J347,M347,P347,S347)&lt;&gt;SUM(Y347:Z347,AH347:AK347),COUNT(I347:J347,L347:M347,O347:P347,R347:S347)&lt;&gt;COUNT(W347:AK347)))</f>
        <v>0</v>
      </c>
      <c r="BR347" s="18" t="b">
        <f>OR(AND(E347='Povolené hodnoty'!$B$6,$BR$5),AND(E347='Povolené hodnoty'!$B$6,H347&lt;&gt;'Povolené hodnoty'!$E$26,H347&lt;&gt;'Povolené hodnoty'!$E$35),AND(E347&lt;&gt;'Povolené hodnoty'!$B$6,OR(H347='Povolené hodnoty'!$E$26,H347='Povolené hodnoty'!$E$35)))</f>
        <v>0</v>
      </c>
      <c r="BS347" s="18" t="b">
        <f>OR(AND(G347&lt;&gt;'Povolené hodnoty'!$B$13,OR(H347='Povolené hodnoty'!$E$21,H347='Povolené hodnoty'!$E$22,H347='Povolené hodnoty'!$E$23,H347='Povolené hodnoty'!$E$24,H347='Povolené hodnoty'!$E$26,H347='Povolené hodnoty'!$E$36)),COUNT(I347:J347,L347:M347,O347:P347,R347:S347)&lt;&gt;COUNT(AL347:BM347))</f>
        <v>0</v>
      </c>
      <c r="BT347" s="18" t="b">
        <f t="shared" si="183"/>
        <v>0</v>
      </c>
      <c r="BV347" s="39" t="str">
        <f t="shared" si="184"/>
        <v/>
      </c>
      <c r="BW347" s="458" t="str">
        <f t="shared" si="185"/>
        <v/>
      </c>
      <c r="BX347" s="458" t="str">
        <f t="shared" si="186"/>
        <v/>
      </c>
      <c r="BY347" s="458" t="str">
        <f t="shared" si="187"/>
        <v/>
      </c>
      <c r="BZ347" s="458" t="str">
        <f t="shared" si="188"/>
        <v/>
      </c>
      <c r="CA347" s="40" t="str">
        <f t="shared" si="189"/>
        <v/>
      </c>
      <c r="CB347" s="40" t="str">
        <f t="shared" si="190"/>
        <v/>
      </c>
      <c r="CC347" s="39" t="str">
        <f t="shared" si="191"/>
        <v/>
      </c>
      <c r="CD347" s="458" t="str">
        <f t="shared" si="192"/>
        <v/>
      </c>
      <c r="CE347" s="41" t="str">
        <f t="shared" si="193"/>
        <v/>
      </c>
      <c r="CF347" s="39" t="str">
        <f t="shared" si="194"/>
        <v/>
      </c>
      <c r="CG347" s="458" t="str">
        <f t="shared" si="195"/>
        <v/>
      </c>
      <c r="CH347" s="458" t="str">
        <f t="shared" si="196"/>
        <v/>
      </c>
      <c r="CI347" s="458" t="str">
        <f t="shared" si="197"/>
        <v/>
      </c>
      <c r="CJ347" s="458" t="str">
        <f t="shared" si="198"/>
        <v/>
      </c>
      <c r="CK347" s="40" t="str">
        <f t="shared" si="199"/>
        <v/>
      </c>
      <c r="CL347" s="40" t="str">
        <f t="shared" si="200"/>
        <v/>
      </c>
      <c r="CM347" s="40" t="str">
        <f t="shared" si="201"/>
        <v/>
      </c>
      <c r="CN347" s="39" t="str">
        <f t="shared" si="202"/>
        <v/>
      </c>
      <c r="CO347" s="458" t="str">
        <f t="shared" si="203"/>
        <v/>
      </c>
      <c r="CP347" s="458" t="str">
        <f t="shared" si="204"/>
        <v/>
      </c>
      <c r="CQ347" s="458" t="str">
        <f t="shared" si="205"/>
        <v/>
      </c>
      <c r="CR347" s="458" t="str">
        <f t="shared" si="206"/>
        <v/>
      </c>
      <c r="CS347" s="40" t="str">
        <f t="shared" si="207"/>
        <v/>
      </c>
      <c r="CT347" s="40" t="str">
        <f t="shared" si="208"/>
        <v/>
      </c>
      <c r="CU347" s="41" t="str">
        <f t="shared" si="209"/>
        <v/>
      </c>
    </row>
    <row r="348" spans="1:99" x14ac:dyDescent="0.2">
      <c r="A348" s="77">
        <f t="shared" si="210"/>
        <v>343</v>
      </c>
      <c r="B348" s="81"/>
      <c r="C348" s="82"/>
      <c r="D348" s="71"/>
      <c r="E348" s="72"/>
      <c r="F348" s="73"/>
      <c r="G348" s="443"/>
      <c r="H348" s="443"/>
      <c r="I348" s="74"/>
      <c r="J348" s="75"/>
      <c r="K348" s="41">
        <f t="shared" si="179"/>
        <v>3625</v>
      </c>
      <c r="L348" s="104"/>
      <c r="M348" s="105"/>
      <c r="N348" s="106">
        <f t="shared" si="180"/>
        <v>537.05999999999995</v>
      </c>
      <c r="O348" s="104"/>
      <c r="P348" s="105"/>
      <c r="Q348" s="106">
        <f t="shared" si="212"/>
        <v>10045.83</v>
      </c>
      <c r="R348" s="104"/>
      <c r="S348" s="105"/>
      <c r="T348" s="106">
        <f t="shared" si="213"/>
        <v>0</v>
      </c>
      <c r="U348" s="439"/>
      <c r="V348" s="42">
        <f t="shared" si="181"/>
        <v>343</v>
      </c>
      <c r="W348" s="39" t="str">
        <f>IF(AND(E348='Povolené hodnoty'!$B$4,F348=2),I348+L348+O348+R348,"")</f>
        <v/>
      </c>
      <c r="X348" s="41" t="str">
        <f>IF(AND(E348='Povolené hodnoty'!$B$4,F348=1),I348+L348+O348+R348,"")</f>
        <v/>
      </c>
      <c r="Y348" s="39" t="str">
        <f>IF(AND(E348='Povolené hodnoty'!$B$4,F348=10),J348+M348+P348+S348,"")</f>
        <v/>
      </c>
      <c r="Z348" s="41" t="str">
        <f>IF(AND(E348='Povolené hodnoty'!$B$4,F348=9),J348+M348+P348+S348,"")</f>
        <v/>
      </c>
      <c r="AA348" s="39" t="str">
        <f>IF(AND(E348&lt;&gt;'Povolené hodnoty'!$B$4,F348=2),I348+L348+O348+R348,"")</f>
        <v/>
      </c>
      <c r="AB348" s="40" t="str">
        <f>IF(AND(E348&lt;&gt;'Povolené hodnoty'!$B$4,F348=3),I348+L348+O348+R348,"")</f>
        <v/>
      </c>
      <c r="AC348" s="40" t="str">
        <f>IF(AND(E348&lt;&gt;'Povolené hodnoty'!$B$4,F348=4),I348+L348+O348+R348,"")</f>
        <v/>
      </c>
      <c r="AD348" s="40" t="str">
        <f>IF(AND(E348&lt;&gt;'Povolené hodnoty'!$B$4,F348="5a"),I348-J348+L348-M348+O348-P348+R348-S348,"")</f>
        <v/>
      </c>
      <c r="AE348" s="40" t="str">
        <f>IF(AND(E348&lt;&gt;'Povolené hodnoty'!$B$4,F348="5b"),I348-J348+L348-M348+O348-P348+R348-S348,"")</f>
        <v/>
      </c>
      <c r="AF348" s="40" t="str">
        <f>IF(AND(E348&lt;&gt;'Povolené hodnoty'!$B$4,F348=6),I348+L348+O348+R348,"")</f>
        <v/>
      </c>
      <c r="AG348" s="41" t="str">
        <f>IF(AND(E348&lt;&gt;'Povolené hodnoty'!$B$4,F348=7),I348+L348+O348+R348,"")</f>
        <v/>
      </c>
      <c r="AH348" s="39" t="str">
        <f>IF(AND(E348&lt;&gt;'Povolené hodnoty'!$B$4,F348=10),J348+M348+P348+S348,"")</f>
        <v/>
      </c>
      <c r="AI348" s="40" t="str">
        <f>IF(AND(E348&lt;&gt;'Povolené hodnoty'!$B$4,F348=11),J348+M348+P348+S348,"")</f>
        <v/>
      </c>
      <c r="AJ348" s="40" t="str">
        <f>IF(AND(E348&lt;&gt;'Povolené hodnoty'!$B$4,F348=12),J348+M348+P348+S348,"")</f>
        <v/>
      </c>
      <c r="AK348" s="41" t="str">
        <f>IF(AND(E348&lt;&gt;'Povolené hodnoty'!$B$4,F348=13),J348+M348+P348+S348,"")</f>
        <v/>
      </c>
      <c r="AL348" s="39" t="str">
        <f>IF(AND($G348='Povolené hodnoty'!$B$13,$H348=AL$4),SUM($I348,$L348,$O348,$R348),"")</f>
        <v/>
      </c>
      <c r="AM348" s="458" t="str">
        <f>IF(AND($G348='Povolené hodnoty'!$B$13,$H348=AM$4),SUM($I348,$L348,$O348,$R348),"")</f>
        <v/>
      </c>
      <c r="AN348" s="458" t="str">
        <f>IF(AND($G348='Povolené hodnoty'!$B$13,$H348=AN$4),SUM($I348,$L348,$O348,$R348),"")</f>
        <v/>
      </c>
      <c r="AO348" s="458" t="str">
        <f>IF(AND($G348='Povolené hodnoty'!$B$13,$H348=AO$4),SUM($I348,$L348,$O348,$R348),"")</f>
        <v/>
      </c>
      <c r="AP348" s="458" t="str">
        <f>IF(AND($G348='Povolené hodnoty'!$B$13,$H348=AP$4),SUM($I348,$L348,$O348,$R348),"")</f>
        <v/>
      </c>
      <c r="AQ348" s="40" t="str">
        <f>IF(AND($G348='Povolené hodnoty'!$B$13,OR($H348=AQ$4,$H348='Povolené hodnoty'!$E$36)),SUM($I348,-$J348,$L348,-$M348,$O348,-$P348,$R348,-$S348),"")</f>
        <v/>
      </c>
      <c r="AR348" s="40" t="str">
        <f>IF(AND($G348='Povolené hodnoty'!$B$13,$H348=AR$4),SUM($I348,$L348,$O348,$R348),"")</f>
        <v/>
      </c>
      <c r="AS348" s="41" t="str">
        <f>IF(AND($G348='Povolené hodnoty'!$B$13,$H348=AS$4),SUM($I348,$L348,$O348,$R348),"")</f>
        <v/>
      </c>
      <c r="AT348" s="39" t="str">
        <f>IF(AND($G348='Povolené hodnoty'!$B$14,$H348=AT$4),SUM($I348,$L348,$O348,$R348),"")</f>
        <v/>
      </c>
      <c r="AU348" s="458" t="str">
        <f>IF(AND($G348='Povolené hodnoty'!$B$14,$H348=AU$4),SUM($I348,$L348,$O348,$R348),"")</f>
        <v/>
      </c>
      <c r="AV348" s="41" t="str">
        <f>IF(AND($G348='Povolené hodnoty'!$B$14,$H348=AV$4),SUM($I348,$L348,$O348,$R348),"")</f>
        <v/>
      </c>
      <c r="AW348" s="39" t="str">
        <f>IF(AND($G348='Povolené hodnoty'!$B$13,$H348=AW$4),SUM($J348,$M348,$P348,$S348),"")</f>
        <v/>
      </c>
      <c r="AX348" s="458" t="str">
        <f>IF(AND($G348='Povolené hodnoty'!$B$13,$H348=AX$4),SUM($J348,$M348,$P348,$S348),"")</f>
        <v/>
      </c>
      <c r="AY348" s="458" t="str">
        <f>IF(AND($G348='Povolené hodnoty'!$B$13,$H348=AY$4),SUM($J348,$M348,$P348,$S348),"")</f>
        <v/>
      </c>
      <c r="AZ348" s="458" t="str">
        <f>IF(AND($G348='Povolené hodnoty'!$B$13,$H348=AZ$4),SUM($J348,$M348,$P348,$S348),"")</f>
        <v/>
      </c>
      <c r="BA348" s="458" t="str">
        <f>IF(AND($G348='Povolené hodnoty'!$B$13,$H348=BA$4),SUM($J348,$M348,$P348,$S348),"")</f>
        <v/>
      </c>
      <c r="BB348" s="40" t="str">
        <f>IF(AND($G348='Povolené hodnoty'!$B$13,$H348=BB$4),SUM($J348,$M348,$P348,$S348),"")</f>
        <v/>
      </c>
      <c r="BC348" s="40" t="str">
        <f>IF(AND($G348='Povolené hodnoty'!$B$13,$H348=BC$4),SUM($J348,$M348,$P348,$S348),"")</f>
        <v/>
      </c>
      <c r="BD348" s="40" t="str">
        <f>IF(AND($G348='Povolené hodnoty'!$B$13,$H348=BD$4),SUM($J348,$M348,$P348,$S348),"")</f>
        <v/>
      </c>
      <c r="BE348" s="41" t="str">
        <f>IF(AND($G348='Povolené hodnoty'!$B$13,$H348=BE$4),SUM($J348,$M348,$P348,$S348),"")</f>
        <v/>
      </c>
      <c r="BF348" s="39" t="str">
        <f>IF(AND($G348='Povolené hodnoty'!$B$14,$H348=BF$4),SUM($J348,$M348,$P348,$S348),"")</f>
        <v/>
      </c>
      <c r="BG348" s="458" t="str">
        <f>IF(AND($G348='Povolené hodnoty'!$B$14,$H348=BG$4),SUM($J348,$M348,$P348,$S348),"")</f>
        <v/>
      </c>
      <c r="BH348" s="458" t="str">
        <f>IF(AND($G348='Povolené hodnoty'!$B$14,$H348=BH$4),SUM($J348,$M348,$P348,$S348),"")</f>
        <v/>
      </c>
      <c r="BI348" s="458" t="str">
        <f>IF(AND($G348='Povolené hodnoty'!$B$14,$H348=BI$4),SUM($J348,$M348,$P348,$S348),"")</f>
        <v/>
      </c>
      <c r="BJ348" s="458" t="str">
        <f>IF(AND($G348='Povolené hodnoty'!$B$14,$H348=BJ$4),SUM($J348,$M348,$P348,$S348),"")</f>
        <v/>
      </c>
      <c r="BK348" s="40" t="str">
        <f>IF(AND($G348='Povolené hodnoty'!$B$14,$H348=BK$4),SUM($J348,$M348,$P348,$S348),"")</f>
        <v/>
      </c>
      <c r="BL348" s="40" t="str">
        <f>IF(AND($G348='Povolené hodnoty'!$B$14,$H348=BL$4),SUM($J348,$M348,$P348,$S348),"")</f>
        <v/>
      </c>
      <c r="BM348" s="41" t="str">
        <f>IF(AND($G348='Povolené hodnoty'!$B$14,$H348=BM$4),SUM($J348,$M348,$P348,$S348),"")</f>
        <v/>
      </c>
      <c r="BO348" s="18" t="b">
        <f t="shared" si="211"/>
        <v>0</v>
      </c>
      <c r="BP348" s="18" t="b">
        <f t="shared" si="182"/>
        <v>0</v>
      </c>
      <c r="BQ348" s="18" t="b">
        <f>AND(E348&lt;&gt;'Povolené hodnoty'!$B$6,F348&lt;&gt;'Povolené hodnoty'!$D$7,F348&lt;&gt;'Povolené hodnoty'!$D$8,OR(SUM(I348,L348,O348,R348)&lt;&gt;SUM(W348:X348,AA348:AG348),SUM(J348,M348,P348,S348)&lt;&gt;SUM(Y348:Z348,AH348:AK348),COUNT(I348:J348,L348:M348,O348:P348,R348:S348)&lt;&gt;COUNT(W348:AK348)))</f>
        <v>0</v>
      </c>
      <c r="BR348" s="18" t="b">
        <f>OR(AND(E348='Povolené hodnoty'!$B$6,$BR$5),AND(E348='Povolené hodnoty'!$B$6,H348&lt;&gt;'Povolené hodnoty'!$E$26,H348&lt;&gt;'Povolené hodnoty'!$E$35),AND(E348&lt;&gt;'Povolené hodnoty'!$B$6,OR(H348='Povolené hodnoty'!$E$26,H348='Povolené hodnoty'!$E$35)))</f>
        <v>0</v>
      </c>
      <c r="BS348" s="18" t="b">
        <f>OR(AND(G348&lt;&gt;'Povolené hodnoty'!$B$13,OR(H348='Povolené hodnoty'!$E$21,H348='Povolené hodnoty'!$E$22,H348='Povolené hodnoty'!$E$23,H348='Povolené hodnoty'!$E$24,H348='Povolené hodnoty'!$E$26,H348='Povolené hodnoty'!$E$36)),COUNT(I348:J348,L348:M348,O348:P348,R348:S348)&lt;&gt;COUNT(AL348:BM348))</f>
        <v>0</v>
      </c>
      <c r="BT348" s="18" t="b">
        <f t="shared" si="183"/>
        <v>0</v>
      </c>
      <c r="BV348" s="39" t="str">
        <f t="shared" si="184"/>
        <v/>
      </c>
      <c r="BW348" s="458" t="str">
        <f t="shared" si="185"/>
        <v/>
      </c>
      <c r="BX348" s="458" t="str">
        <f t="shared" si="186"/>
        <v/>
      </c>
      <c r="BY348" s="458" t="str">
        <f t="shared" si="187"/>
        <v/>
      </c>
      <c r="BZ348" s="458" t="str">
        <f t="shared" si="188"/>
        <v/>
      </c>
      <c r="CA348" s="40" t="str">
        <f t="shared" si="189"/>
        <v/>
      </c>
      <c r="CB348" s="40" t="str">
        <f t="shared" si="190"/>
        <v/>
      </c>
      <c r="CC348" s="39" t="str">
        <f t="shared" si="191"/>
        <v/>
      </c>
      <c r="CD348" s="458" t="str">
        <f t="shared" si="192"/>
        <v/>
      </c>
      <c r="CE348" s="41" t="str">
        <f t="shared" si="193"/>
        <v/>
      </c>
      <c r="CF348" s="39" t="str">
        <f t="shared" si="194"/>
        <v/>
      </c>
      <c r="CG348" s="458" t="str">
        <f t="shared" si="195"/>
        <v/>
      </c>
      <c r="CH348" s="458" t="str">
        <f t="shared" si="196"/>
        <v/>
      </c>
      <c r="CI348" s="458" t="str">
        <f t="shared" si="197"/>
        <v/>
      </c>
      <c r="CJ348" s="458" t="str">
        <f t="shared" si="198"/>
        <v/>
      </c>
      <c r="CK348" s="40" t="str">
        <f t="shared" si="199"/>
        <v/>
      </c>
      <c r="CL348" s="40" t="str">
        <f t="shared" si="200"/>
        <v/>
      </c>
      <c r="CM348" s="40" t="str">
        <f t="shared" si="201"/>
        <v/>
      </c>
      <c r="CN348" s="39" t="str">
        <f t="shared" si="202"/>
        <v/>
      </c>
      <c r="CO348" s="458" t="str">
        <f t="shared" si="203"/>
        <v/>
      </c>
      <c r="CP348" s="458" t="str">
        <f t="shared" si="204"/>
        <v/>
      </c>
      <c r="CQ348" s="458" t="str">
        <f t="shared" si="205"/>
        <v/>
      </c>
      <c r="CR348" s="458" t="str">
        <f t="shared" si="206"/>
        <v/>
      </c>
      <c r="CS348" s="40" t="str">
        <f t="shared" si="207"/>
        <v/>
      </c>
      <c r="CT348" s="40" t="str">
        <f t="shared" si="208"/>
        <v/>
      </c>
      <c r="CU348" s="41" t="str">
        <f t="shared" si="209"/>
        <v/>
      </c>
    </row>
    <row r="349" spans="1:99" x14ac:dyDescent="0.2">
      <c r="A349" s="77">
        <f t="shared" si="210"/>
        <v>344</v>
      </c>
      <c r="B349" s="81"/>
      <c r="C349" s="82"/>
      <c r="D349" s="71"/>
      <c r="E349" s="72"/>
      <c r="F349" s="73"/>
      <c r="G349" s="443"/>
      <c r="H349" s="443"/>
      <c r="I349" s="74"/>
      <c r="J349" s="75"/>
      <c r="K349" s="41">
        <f t="shared" si="179"/>
        <v>3625</v>
      </c>
      <c r="L349" s="104"/>
      <c r="M349" s="105"/>
      <c r="N349" s="106">
        <f t="shared" si="180"/>
        <v>537.05999999999995</v>
      </c>
      <c r="O349" s="104"/>
      <c r="P349" s="105"/>
      <c r="Q349" s="106">
        <f t="shared" si="212"/>
        <v>10045.83</v>
      </c>
      <c r="R349" s="104"/>
      <c r="S349" s="105"/>
      <c r="T349" s="106">
        <f t="shared" si="213"/>
        <v>0</v>
      </c>
      <c r="U349" s="439"/>
      <c r="V349" s="42">
        <f t="shared" si="181"/>
        <v>344</v>
      </c>
      <c r="W349" s="39" t="str">
        <f>IF(AND(E349='Povolené hodnoty'!$B$4,F349=2),I349+L349+O349+R349,"")</f>
        <v/>
      </c>
      <c r="X349" s="41" t="str">
        <f>IF(AND(E349='Povolené hodnoty'!$B$4,F349=1),I349+L349+O349+R349,"")</f>
        <v/>
      </c>
      <c r="Y349" s="39" t="str">
        <f>IF(AND(E349='Povolené hodnoty'!$B$4,F349=10),J349+M349+P349+S349,"")</f>
        <v/>
      </c>
      <c r="Z349" s="41" t="str">
        <f>IF(AND(E349='Povolené hodnoty'!$B$4,F349=9),J349+M349+P349+S349,"")</f>
        <v/>
      </c>
      <c r="AA349" s="39" t="str">
        <f>IF(AND(E349&lt;&gt;'Povolené hodnoty'!$B$4,F349=2),I349+L349+O349+R349,"")</f>
        <v/>
      </c>
      <c r="AB349" s="40" t="str">
        <f>IF(AND(E349&lt;&gt;'Povolené hodnoty'!$B$4,F349=3),I349+L349+O349+R349,"")</f>
        <v/>
      </c>
      <c r="AC349" s="40" t="str">
        <f>IF(AND(E349&lt;&gt;'Povolené hodnoty'!$B$4,F349=4),I349+L349+O349+R349,"")</f>
        <v/>
      </c>
      <c r="AD349" s="40" t="str">
        <f>IF(AND(E349&lt;&gt;'Povolené hodnoty'!$B$4,F349="5a"),I349-J349+L349-M349+O349-P349+R349-S349,"")</f>
        <v/>
      </c>
      <c r="AE349" s="40" t="str">
        <f>IF(AND(E349&lt;&gt;'Povolené hodnoty'!$B$4,F349="5b"),I349-J349+L349-M349+O349-P349+R349-S349,"")</f>
        <v/>
      </c>
      <c r="AF349" s="40" t="str">
        <f>IF(AND(E349&lt;&gt;'Povolené hodnoty'!$B$4,F349=6),I349+L349+O349+R349,"")</f>
        <v/>
      </c>
      <c r="AG349" s="41" t="str">
        <f>IF(AND(E349&lt;&gt;'Povolené hodnoty'!$B$4,F349=7),I349+L349+O349+R349,"")</f>
        <v/>
      </c>
      <c r="AH349" s="39" t="str">
        <f>IF(AND(E349&lt;&gt;'Povolené hodnoty'!$B$4,F349=10),J349+M349+P349+S349,"")</f>
        <v/>
      </c>
      <c r="AI349" s="40" t="str">
        <f>IF(AND(E349&lt;&gt;'Povolené hodnoty'!$B$4,F349=11),J349+M349+P349+S349,"")</f>
        <v/>
      </c>
      <c r="AJ349" s="40" t="str">
        <f>IF(AND(E349&lt;&gt;'Povolené hodnoty'!$B$4,F349=12),J349+M349+P349+S349,"")</f>
        <v/>
      </c>
      <c r="AK349" s="41" t="str">
        <f>IF(AND(E349&lt;&gt;'Povolené hodnoty'!$B$4,F349=13),J349+M349+P349+S349,"")</f>
        <v/>
      </c>
      <c r="AL349" s="39" t="str">
        <f>IF(AND($G349='Povolené hodnoty'!$B$13,$H349=AL$4),SUM($I349,$L349,$O349,$R349),"")</f>
        <v/>
      </c>
      <c r="AM349" s="458" t="str">
        <f>IF(AND($G349='Povolené hodnoty'!$B$13,$H349=AM$4),SUM($I349,$L349,$O349,$R349),"")</f>
        <v/>
      </c>
      <c r="AN349" s="458" t="str">
        <f>IF(AND($G349='Povolené hodnoty'!$B$13,$H349=AN$4),SUM($I349,$L349,$O349,$R349),"")</f>
        <v/>
      </c>
      <c r="AO349" s="458" t="str">
        <f>IF(AND($G349='Povolené hodnoty'!$B$13,$H349=AO$4),SUM($I349,$L349,$O349,$R349),"")</f>
        <v/>
      </c>
      <c r="AP349" s="458" t="str">
        <f>IF(AND($G349='Povolené hodnoty'!$B$13,$H349=AP$4),SUM($I349,$L349,$O349,$R349),"")</f>
        <v/>
      </c>
      <c r="AQ349" s="40" t="str">
        <f>IF(AND($G349='Povolené hodnoty'!$B$13,OR($H349=AQ$4,$H349='Povolené hodnoty'!$E$36)),SUM($I349,-$J349,$L349,-$M349,$O349,-$P349,$R349,-$S349),"")</f>
        <v/>
      </c>
      <c r="AR349" s="40" t="str">
        <f>IF(AND($G349='Povolené hodnoty'!$B$13,$H349=AR$4),SUM($I349,$L349,$O349,$R349),"")</f>
        <v/>
      </c>
      <c r="AS349" s="41" t="str">
        <f>IF(AND($G349='Povolené hodnoty'!$B$13,$H349=AS$4),SUM($I349,$L349,$O349,$R349),"")</f>
        <v/>
      </c>
      <c r="AT349" s="39" t="str">
        <f>IF(AND($G349='Povolené hodnoty'!$B$14,$H349=AT$4),SUM($I349,$L349,$O349,$R349),"")</f>
        <v/>
      </c>
      <c r="AU349" s="458" t="str">
        <f>IF(AND($G349='Povolené hodnoty'!$B$14,$H349=AU$4),SUM($I349,$L349,$O349,$R349),"")</f>
        <v/>
      </c>
      <c r="AV349" s="41" t="str">
        <f>IF(AND($G349='Povolené hodnoty'!$B$14,$H349=AV$4),SUM($I349,$L349,$O349,$R349),"")</f>
        <v/>
      </c>
      <c r="AW349" s="39" t="str">
        <f>IF(AND($G349='Povolené hodnoty'!$B$13,$H349=AW$4),SUM($J349,$M349,$P349,$S349),"")</f>
        <v/>
      </c>
      <c r="AX349" s="458" t="str">
        <f>IF(AND($G349='Povolené hodnoty'!$B$13,$H349=AX$4),SUM($J349,$M349,$P349,$S349),"")</f>
        <v/>
      </c>
      <c r="AY349" s="458" t="str">
        <f>IF(AND($G349='Povolené hodnoty'!$B$13,$H349=AY$4),SUM($J349,$M349,$P349,$S349),"")</f>
        <v/>
      </c>
      <c r="AZ349" s="458" t="str">
        <f>IF(AND($G349='Povolené hodnoty'!$B$13,$H349=AZ$4),SUM($J349,$M349,$P349,$S349),"")</f>
        <v/>
      </c>
      <c r="BA349" s="458" t="str">
        <f>IF(AND($G349='Povolené hodnoty'!$B$13,$H349=BA$4),SUM($J349,$M349,$P349,$S349),"")</f>
        <v/>
      </c>
      <c r="BB349" s="40" t="str">
        <f>IF(AND($G349='Povolené hodnoty'!$B$13,$H349=BB$4),SUM($J349,$M349,$P349,$S349),"")</f>
        <v/>
      </c>
      <c r="BC349" s="40" t="str">
        <f>IF(AND($G349='Povolené hodnoty'!$B$13,$H349=BC$4),SUM($J349,$M349,$P349,$S349),"")</f>
        <v/>
      </c>
      <c r="BD349" s="40" t="str">
        <f>IF(AND($G349='Povolené hodnoty'!$B$13,$H349=BD$4),SUM($J349,$M349,$P349,$S349),"")</f>
        <v/>
      </c>
      <c r="BE349" s="41" t="str">
        <f>IF(AND($G349='Povolené hodnoty'!$B$13,$H349=BE$4),SUM($J349,$M349,$P349,$S349),"")</f>
        <v/>
      </c>
      <c r="BF349" s="39" t="str">
        <f>IF(AND($G349='Povolené hodnoty'!$B$14,$H349=BF$4),SUM($J349,$M349,$P349,$S349),"")</f>
        <v/>
      </c>
      <c r="BG349" s="458" t="str">
        <f>IF(AND($G349='Povolené hodnoty'!$B$14,$H349=BG$4),SUM($J349,$M349,$P349,$S349),"")</f>
        <v/>
      </c>
      <c r="BH349" s="458" t="str">
        <f>IF(AND($G349='Povolené hodnoty'!$B$14,$H349=BH$4),SUM($J349,$M349,$P349,$S349),"")</f>
        <v/>
      </c>
      <c r="BI349" s="458" t="str">
        <f>IF(AND($G349='Povolené hodnoty'!$B$14,$H349=BI$4),SUM($J349,$M349,$P349,$S349),"")</f>
        <v/>
      </c>
      <c r="BJ349" s="458" t="str">
        <f>IF(AND($G349='Povolené hodnoty'!$B$14,$H349=BJ$4),SUM($J349,$M349,$P349,$S349),"")</f>
        <v/>
      </c>
      <c r="BK349" s="40" t="str">
        <f>IF(AND($G349='Povolené hodnoty'!$B$14,$H349=BK$4),SUM($J349,$M349,$P349,$S349),"")</f>
        <v/>
      </c>
      <c r="BL349" s="40" t="str">
        <f>IF(AND($G349='Povolené hodnoty'!$B$14,$H349=BL$4),SUM($J349,$M349,$P349,$S349),"")</f>
        <v/>
      </c>
      <c r="BM349" s="41" t="str">
        <f>IF(AND($G349='Povolené hodnoty'!$B$14,$H349=BM$4),SUM($J349,$M349,$P349,$S349),"")</f>
        <v/>
      </c>
      <c r="BO349" s="18" t="b">
        <f t="shared" si="211"/>
        <v>0</v>
      </c>
      <c r="BP349" s="18" t="b">
        <f t="shared" si="182"/>
        <v>0</v>
      </c>
      <c r="BQ349" s="18" t="b">
        <f>AND(E349&lt;&gt;'Povolené hodnoty'!$B$6,F349&lt;&gt;'Povolené hodnoty'!$D$7,F349&lt;&gt;'Povolené hodnoty'!$D$8,OR(SUM(I349,L349,O349,R349)&lt;&gt;SUM(W349:X349,AA349:AG349),SUM(J349,M349,P349,S349)&lt;&gt;SUM(Y349:Z349,AH349:AK349),COUNT(I349:J349,L349:M349,O349:P349,R349:S349)&lt;&gt;COUNT(W349:AK349)))</f>
        <v>0</v>
      </c>
      <c r="BR349" s="18" t="b">
        <f>OR(AND(E349='Povolené hodnoty'!$B$6,$BR$5),AND(E349='Povolené hodnoty'!$B$6,H349&lt;&gt;'Povolené hodnoty'!$E$26,H349&lt;&gt;'Povolené hodnoty'!$E$35),AND(E349&lt;&gt;'Povolené hodnoty'!$B$6,OR(H349='Povolené hodnoty'!$E$26,H349='Povolené hodnoty'!$E$35)))</f>
        <v>0</v>
      </c>
      <c r="BS349" s="18" t="b">
        <f>OR(AND(G349&lt;&gt;'Povolené hodnoty'!$B$13,OR(H349='Povolené hodnoty'!$E$21,H349='Povolené hodnoty'!$E$22,H349='Povolené hodnoty'!$E$23,H349='Povolené hodnoty'!$E$24,H349='Povolené hodnoty'!$E$26,H349='Povolené hodnoty'!$E$36)),COUNT(I349:J349,L349:M349,O349:P349,R349:S349)&lt;&gt;COUNT(AL349:BM349))</f>
        <v>0</v>
      </c>
      <c r="BT349" s="18" t="b">
        <f t="shared" si="183"/>
        <v>0</v>
      </c>
      <c r="BV349" s="39" t="str">
        <f t="shared" si="184"/>
        <v/>
      </c>
      <c r="BW349" s="458" t="str">
        <f t="shared" si="185"/>
        <v/>
      </c>
      <c r="BX349" s="458" t="str">
        <f t="shared" si="186"/>
        <v/>
      </c>
      <c r="BY349" s="458" t="str">
        <f t="shared" si="187"/>
        <v/>
      </c>
      <c r="BZ349" s="458" t="str">
        <f t="shared" si="188"/>
        <v/>
      </c>
      <c r="CA349" s="40" t="str">
        <f t="shared" si="189"/>
        <v/>
      </c>
      <c r="CB349" s="40" t="str">
        <f t="shared" si="190"/>
        <v/>
      </c>
      <c r="CC349" s="39" t="str">
        <f t="shared" si="191"/>
        <v/>
      </c>
      <c r="CD349" s="458" t="str">
        <f t="shared" si="192"/>
        <v/>
      </c>
      <c r="CE349" s="41" t="str">
        <f t="shared" si="193"/>
        <v/>
      </c>
      <c r="CF349" s="39" t="str">
        <f t="shared" si="194"/>
        <v/>
      </c>
      <c r="CG349" s="458" t="str">
        <f t="shared" si="195"/>
        <v/>
      </c>
      <c r="CH349" s="458" t="str">
        <f t="shared" si="196"/>
        <v/>
      </c>
      <c r="CI349" s="458" t="str">
        <f t="shared" si="197"/>
        <v/>
      </c>
      <c r="CJ349" s="458" t="str">
        <f t="shared" si="198"/>
        <v/>
      </c>
      <c r="CK349" s="40" t="str">
        <f t="shared" si="199"/>
        <v/>
      </c>
      <c r="CL349" s="40" t="str">
        <f t="shared" si="200"/>
        <v/>
      </c>
      <c r="CM349" s="40" t="str">
        <f t="shared" si="201"/>
        <v/>
      </c>
      <c r="CN349" s="39" t="str">
        <f t="shared" si="202"/>
        <v/>
      </c>
      <c r="CO349" s="458" t="str">
        <f t="shared" si="203"/>
        <v/>
      </c>
      <c r="CP349" s="458" t="str">
        <f t="shared" si="204"/>
        <v/>
      </c>
      <c r="CQ349" s="458" t="str">
        <f t="shared" si="205"/>
        <v/>
      </c>
      <c r="CR349" s="458" t="str">
        <f t="shared" si="206"/>
        <v/>
      </c>
      <c r="CS349" s="40" t="str">
        <f t="shared" si="207"/>
        <v/>
      </c>
      <c r="CT349" s="40" t="str">
        <f t="shared" si="208"/>
        <v/>
      </c>
      <c r="CU349" s="41" t="str">
        <f t="shared" si="209"/>
        <v/>
      </c>
    </row>
    <row r="350" spans="1:99" x14ac:dyDescent="0.2">
      <c r="A350" s="77">
        <f t="shared" si="210"/>
        <v>345</v>
      </c>
      <c r="B350" s="81"/>
      <c r="C350" s="82"/>
      <c r="D350" s="71"/>
      <c r="E350" s="72"/>
      <c r="F350" s="73"/>
      <c r="G350" s="443"/>
      <c r="H350" s="443"/>
      <c r="I350" s="74"/>
      <c r="J350" s="75"/>
      <c r="K350" s="41">
        <f t="shared" si="179"/>
        <v>3625</v>
      </c>
      <c r="L350" s="104"/>
      <c r="M350" s="105"/>
      <c r="N350" s="106">
        <f t="shared" si="180"/>
        <v>537.05999999999995</v>
      </c>
      <c r="O350" s="104"/>
      <c r="P350" s="105"/>
      <c r="Q350" s="106">
        <f t="shared" si="212"/>
        <v>10045.83</v>
      </c>
      <c r="R350" s="104"/>
      <c r="S350" s="105"/>
      <c r="T350" s="106">
        <f t="shared" si="213"/>
        <v>0</v>
      </c>
      <c r="U350" s="439"/>
      <c r="V350" s="42">
        <f t="shared" si="181"/>
        <v>345</v>
      </c>
      <c r="W350" s="39" t="str">
        <f>IF(AND(E350='Povolené hodnoty'!$B$4,F350=2),I350+L350+O350+R350,"")</f>
        <v/>
      </c>
      <c r="X350" s="41" t="str">
        <f>IF(AND(E350='Povolené hodnoty'!$B$4,F350=1),I350+L350+O350+R350,"")</f>
        <v/>
      </c>
      <c r="Y350" s="39" t="str">
        <f>IF(AND(E350='Povolené hodnoty'!$B$4,F350=10),J350+M350+P350+S350,"")</f>
        <v/>
      </c>
      <c r="Z350" s="41" t="str">
        <f>IF(AND(E350='Povolené hodnoty'!$B$4,F350=9),J350+M350+P350+S350,"")</f>
        <v/>
      </c>
      <c r="AA350" s="39" t="str">
        <f>IF(AND(E350&lt;&gt;'Povolené hodnoty'!$B$4,F350=2),I350+L350+O350+R350,"")</f>
        <v/>
      </c>
      <c r="AB350" s="40" t="str">
        <f>IF(AND(E350&lt;&gt;'Povolené hodnoty'!$B$4,F350=3),I350+L350+O350+R350,"")</f>
        <v/>
      </c>
      <c r="AC350" s="40" t="str">
        <f>IF(AND(E350&lt;&gt;'Povolené hodnoty'!$B$4,F350=4),I350+L350+O350+R350,"")</f>
        <v/>
      </c>
      <c r="AD350" s="40" t="str">
        <f>IF(AND(E350&lt;&gt;'Povolené hodnoty'!$B$4,F350="5a"),I350-J350+L350-M350+O350-P350+R350-S350,"")</f>
        <v/>
      </c>
      <c r="AE350" s="40" t="str">
        <f>IF(AND(E350&lt;&gt;'Povolené hodnoty'!$B$4,F350="5b"),I350-J350+L350-M350+O350-P350+R350-S350,"")</f>
        <v/>
      </c>
      <c r="AF350" s="40" t="str">
        <f>IF(AND(E350&lt;&gt;'Povolené hodnoty'!$B$4,F350=6),I350+L350+O350+R350,"")</f>
        <v/>
      </c>
      <c r="AG350" s="41" t="str">
        <f>IF(AND(E350&lt;&gt;'Povolené hodnoty'!$B$4,F350=7),I350+L350+O350+R350,"")</f>
        <v/>
      </c>
      <c r="AH350" s="39" t="str">
        <f>IF(AND(E350&lt;&gt;'Povolené hodnoty'!$B$4,F350=10),J350+M350+P350+S350,"")</f>
        <v/>
      </c>
      <c r="AI350" s="40" t="str">
        <f>IF(AND(E350&lt;&gt;'Povolené hodnoty'!$B$4,F350=11),J350+M350+P350+S350,"")</f>
        <v/>
      </c>
      <c r="AJ350" s="40" t="str">
        <f>IF(AND(E350&lt;&gt;'Povolené hodnoty'!$B$4,F350=12),J350+M350+P350+S350,"")</f>
        <v/>
      </c>
      <c r="AK350" s="41" t="str">
        <f>IF(AND(E350&lt;&gt;'Povolené hodnoty'!$B$4,F350=13),J350+M350+P350+S350,"")</f>
        <v/>
      </c>
      <c r="AL350" s="39" t="str">
        <f>IF(AND($G350='Povolené hodnoty'!$B$13,$H350=AL$4),SUM($I350,$L350,$O350,$R350),"")</f>
        <v/>
      </c>
      <c r="AM350" s="458" t="str">
        <f>IF(AND($G350='Povolené hodnoty'!$B$13,$H350=AM$4),SUM($I350,$L350,$O350,$R350),"")</f>
        <v/>
      </c>
      <c r="AN350" s="458" t="str">
        <f>IF(AND($G350='Povolené hodnoty'!$B$13,$H350=AN$4),SUM($I350,$L350,$O350,$R350),"")</f>
        <v/>
      </c>
      <c r="AO350" s="458" t="str">
        <f>IF(AND($G350='Povolené hodnoty'!$B$13,$H350=AO$4),SUM($I350,$L350,$O350,$R350),"")</f>
        <v/>
      </c>
      <c r="AP350" s="458" t="str">
        <f>IF(AND($G350='Povolené hodnoty'!$B$13,$H350=AP$4),SUM($I350,$L350,$O350,$R350),"")</f>
        <v/>
      </c>
      <c r="AQ350" s="40" t="str">
        <f>IF(AND($G350='Povolené hodnoty'!$B$13,OR($H350=AQ$4,$H350='Povolené hodnoty'!$E$36)),SUM($I350,-$J350,$L350,-$M350,$O350,-$P350,$R350,-$S350),"")</f>
        <v/>
      </c>
      <c r="AR350" s="40" t="str">
        <f>IF(AND($G350='Povolené hodnoty'!$B$13,$H350=AR$4),SUM($I350,$L350,$O350,$R350),"")</f>
        <v/>
      </c>
      <c r="AS350" s="41" t="str">
        <f>IF(AND($G350='Povolené hodnoty'!$B$13,$H350=AS$4),SUM($I350,$L350,$O350,$R350),"")</f>
        <v/>
      </c>
      <c r="AT350" s="39" t="str">
        <f>IF(AND($G350='Povolené hodnoty'!$B$14,$H350=AT$4),SUM($I350,$L350,$O350,$R350),"")</f>
        <v/>
      </c>
      <c r="AU350" s="458" t="str">
        <f>IF(AND($G350='Povolené hodnoty'!$B$14,$H350=AU$4),SUM($I350,$L350,$O350,$R350),"")</f>
        <v/>
      </c>
      <c r="AV350" s="41" t="str">
        <f>IF(AND($G350='Povolené hodnoty'!$B$14,$H350=AV$4),SUM($I350,$L350,$O350,$R350),"")</f>
        <v/>
      </c>
      <c r="AW350" s="39" t="str">
        <f>IF(AND($G350='Povolené hodnoty'!$B$13,$H350=AW$4),SUM($J350,$M350,$P350,$S350),"")</f>
        <v/>
      </c>
      <c r="AX350" s="458" t="str">
        <f>IF(AND($G350='Povolené hodnoty'!$B$13,$H350=AX$4),SUM($J350,$M350,$P350,$S350),"")</f>
        <v/>
      </c>
      <c r="AY350" s="458" t="str">
        <f>IF(AND($G350='Povolené hodnoty'!$B$13,$H350=AY$4),SUM($J350,$M350,$P350,$S350),"")</f>
        <v/>
      </c>
      <c r="AZ350" s="458" t="str">
        <f>IF(AND($G350='Povolené hodnoty'!$B$13,$H350=AZ$4),SUM($J350,$M350,$P350,$S350),"")</f>
        <v/>
      </c>
      <c r="BA350" s="458" t="str">
        <f>IF(AND($G350='Povolené hodnoty'!$B$13,$H350=BA$4),SUM($J350,$M350,$P350,$S350),"")</f>
        <v/>
      </c>
      <c r="BB350" s="40" t="str">
        <f>IF(AND($G350='Povolené hodnoty'!$B$13,$H350=BB$4),SUM($J350,$M350,$P350,$S350),"")</f>
        <v/>
      </c>
      <c r="BC350" s="40" t="str">
        <f>IF(AND($G350='Povolené hodnoty'!$B$13,$H350=BC$4),SUM($J350,$M350,$P350,$S350),"")</f>
        <v/>
      </c>
      <c r="BD350" s="40" t="str">
        <f>IF(AND($G350='Povolené hodnoty'!$B$13,$H350=BD$4),SUM($J350,$M350,$P350,$S350),"")</f>
        <v/>
      </c>
      <c r="BE350" s="41" t="str">
        <f>IF(AND($G350='Povolené hodnoty'!$B$13,$H350=BE$4),SUM($J350,$M350,$P350,$S350),"")</f>
        <v/>
      </c>
      <c r="BF350" s="39" t="str">
        <f>IF(AND($G350='Povolené hodnoty'!$B$14,$H350=BF$4),SUM($J350,$M350,$P350,$S350),"")</f>
        <v/>
      </c>
      <c r="BG350" s="458" t="str">
        <f>IF(AND($G350='Povolené hodnoty'!$B$14,$H350=BG$4),SUM($J350,$M350,$P350,$S350),"")</f>
        <v/>
      </c>
      <c r="BH350" s="458" t="str">
        <f>IF(AND($G350='Povolené hodnoty'!$B$14,$H350=BH$4),SUM($J350,$M350,$P350,$S350),"")</f>
        <v/>
      </c>
      <c r="BI350" s="458" t="str">
        <f>IF(AND($G350='Povolené hodnoty'!$B$14,$H350=BI$4),SUM($J350,$M350,$P350,$S350),"")</f>
        <v/>
      </c>
      <c r="BJ350" s="458" t="str">
        <f>IF(AND($G350='Povolené hodnoty'!$B$14,$H350=BJ$4),SUM($J350,$M350,$P350,$S350),"")</f>
        <v/>
      </c>
      <c r="BK350" s="40" t="str">
        <f>IF(AND($G350='Povolené hodnoty'!$B$14,$H350=BK$4),SUM($J350,$M350,$P350,$S350),"")</f>
        <v/>
      </c>
      <c r="BL350" s="40" t="str">
        <f>IF(AND($G350='Povolené hodnoty'!$B$14,$H350=BL$4),SUM($J350,$M350,$P350,$S350),"")</f>
        <v/>
      </c>
      <c r="BM350" s="41" t="str">
        <f>IF(AND($G350='Povolené hodnoty'!$B$14,$H350=BM$4),SUM($J350,$M350,$P350,$S350),"")</f>
        <v/>
      </c>
      <c r="BO350" s="18" t="b">
        <f t="shared" si="211"/>
        <v>0</v>
      </c>
      <c r="BP350" s="18" t="b">
        <f t="shared" si="182"/>
        <v>0</v>
      </c>
      <c r="BQ350" s="18" t="b">
        <f>AND(E350&lt;&gt;'Povolené hodnoty'!$B$6,F350&lt;&gt;'Povolené hodnoty'!$D$7,F350&lt;&gt;'Povolené hodnoty'!$D$8,OR(SUM(I350,L350,O350,R350)&lt;&gt;SUM(W350:X350,AA350:AG350),SUM(J350,M350,P350,S350)&lt;&gt;SUM(Y350:Z350,AH350:AK350),COUNT(I350:J350,L350:M350,O350:P350,R350:S350)&lt;&gt;COUNT(W350:AK350)))</f>
        <v>0</v>
      </c>
      <c r="BR350" s="18" t="b">
        <f>OR(AND(E350='Povolené hodnoty'!$B$6,$BR$5),AND(E350='Povolené hodnoty'!$B$6,H350&lt;&gt;'Povolené hodnoty'!$E$26,H350&lt;&gt;'Povolené hodnoty'!$E$35),AND(E350&lt;&gt;'Povolené hodnoty'!$B$6,OR(H350='Povolené hodnoty'!$E$26,H350='Povolené hodnoty'!$E$35)))</f>
        <v>0</v>
      </c>
      <c r="BS350" s="18" t="b">
        <f>OR(AND(G350&lt;&gt;'Povolené hodnoty'!$B$13,OR(H350='Povolené hodnoty'!$E$21,H350='Povolené hodnoty'!$E$22,H350='Povolené hodnoty'!$E$23,H350='Povolené hodnoty'!$E$24,H350='Povolené hodnoty'!$E$26,H350='Povolené hodnoty'!$E$36)),COUNT(I350:J350,L350:M350,O350:P350,R350:S350)&lt;&gt;COUNT(AL350:BM350))</f>
        <v>0</v>
      </c>
      <c r="BT350" s="18" t="b">
        <f t="shared" si="183"/>
        <v>0</v>
      </c>
      <c r="BV350" s="39" t="str">
        <f t="shared" si="184"/>
        <v/>
      </c>
      <c r="BW350" s="458" t="str">
        <f t="shared" si="185"/>
        <v/>
      </c>
      <c r="BX350" s="458" t="str">
        <f t="shared" si="186"/>
        <v/>
      </c>
      <c r="BY350" s="458" t="str">
        <f t="shared" si="187"/>
        <v/>
      </c>
      <c r="BZ350" s="458" t="str">
        <f t="shared" si="188"/>
        <v/>
      </c>
      <c r="CA350" s="40" t="str">
        <f t="shared" si="189"/>
        <v/>
      </c>
      <c r="CB350" s="40" t="str">
        <f t="shared" si="190"/>
        <v/>
      </c>
      <c r="CC350" s="39" t="str">
        <f t="shared" si="191"/>
        <v/>
      </c>
      <c r="CD350" s="458" t="str">
        <f t="shared" si="192"/>
        <v/>
      </c>
      <c r="CE350" s="41" t="str">
        <f t="shared" si="193"/>
        <v/>
      </c>
      <c r="CF350" s="39" t="str">
        <f t="shared" si="194"/>
        <v/>
      </c>
      <c r="CG350" s="458" t="str">
        <f t="shared" si="195"/>
        <v/>
      </c>
      <c r="CH350" s="458" t="str">
        <f t="shared" si="196"/>
        <v/>
      </c>
      <c r="CI350" s="458" t="str">
        <f t="shared" si="197"/>
        <v/>
      </c>
      <c r="CJ350" s="458" t="str">
        <f t="shared" si="198"/>
        <v/>
      </c>
      <c r="CK350" s="40" t="str">
        <f t="shared" si="199"/>
        <v/>
      </c>
      <c r="CL350" s="40" t="str">
        <f t="shared" si="200"/>
        <v/>
      </c>
      <c r="CM350" s="40" t="str">
        <f t="shared" si="201"/>
        <v/>
      </c>
      <c r="CN350" s="39" t="str">
        <f t="shared" si="202"/>
        <v/>
      </c>
      <c r="CO350" s="458" t="str">
        <f t="shared" si="203"/>
        <v/>
      </c>
      <c r="CP350" s="458" t="str">
        <f t="shared" si="204"/>
        <v/>
      </c>
      <c r="CQ350" s="458" t="str">
        <f t="shared" si="205"/>
        <v/>
      </c>
      <c r="CR350" s="458" t="str">
        <f t="shared" si="206"/>
        <v/>
      </c>
      <c r="CS350" s="40" t="str">
        <f t="shared" si="207"/>
        <v/>
      </c>
      <c r="CT350" s="40" t="str">
        <f t="shared" si="208"/>
        <v/>
      </c>
      <c r="CU350" s="41" t="str">
        <f t="shared" si="209"/>
        <v/>
      </c>
    </row>
    <row r="351" spans="1:99" x14ac:dyDescent="0.2">
      <c r="A351" s="77">
        <f t="shared" si="210"/>
        <v>346</v>
      </c>
      <c r="B351" s="81"/>
      <c r="C351" s="82"/>
      <c r="D351" s="71"/>
      <c r="E351" s="72"/>
      <c r="F351" s="73"/>
      <c r="G351" s="443"/>
      <c r="H351" s="443"/>
      <c r="I351" s="74"/>
      <c r="J351" s="75"/>
      <c r="K351" s="41">
        <f t="shared" si="179"/>
        <v>3625</v>
      </c>
      <c r="L351" s="104"/>
      <c r="M351" s="105"/>
      <c r="N351" s="106">
        <f t="shared" si="180"/>
        <v>537.05999999999995</v>
      </c>
      <c r="O351" s="104"/>
      <c r="P351" s="105"/>
      <c r="Q351" s="106">
        <f t="shared" si="212"/>
        <v>10045.83</v>
      </c>
      <c r="R351" s="104"/>
      <c r="S351" s="105"/>
      <c r="T351" s="106">
        <f t="shared" si="213"/>
        <v>0</v>
      </c>
      <c r="U351" s="439"/>
      <c r="V351" s="42">
        <f t="shared" si="181"/>
        <v>346</v>
      </c>
      <c r="W351" s="39" t="str">
        <f>IF(AND(E351='Povolené hodnoty'!$B$4,F351=2),I351+L351+O351+R351,"")</f>
        <v/>
      </c>
      <c r="X351" s="41" t="str">
        <f>IF(AND(E351='Povolené hodnoty'!$B$4,F351=1),I351+L351+O351+R351,"")</f>
        <v/>
      </c>
      <c r="Y351" s="39" t="str">
        <f>IF(AND(E351='Povolené hodnoty'!$B$4,F351=10),J351+M351+P351+S351,"")</f>
        <v/>
      </c>
      <c r="Z351" s="41" t="str">
        <f>IF(AND(E351='Povolené hodnoty'!$B$4,F351=9),J351+M351+P351+S351,"")</f>
        <v/>
      </c>
      <c r="AA351" s="39" t="str">
        <f>IF(AND(E351&lt;&gt;'Povolené hodnoty'!$B$4,F351=2),I351+L351+O351+R351,"")</f>
        <v/>
      </c>
      <c r="AB351" s="40" t="str">
        <f>IF(AND(E351&lt;&gt;'Povolené hodnoty'!$B$4,F351=3),I351+L351+O351+R351,"")</f>
        <v/>
      </c>
      <c r="AC351" s="40" t="str">
        <f>IF(AND(E351&lt;&gt;'Povolené hodnoty'!$B$4,F351=4),I351+L351+O351+R351,"")</f>
        <v/>
      </c>
      <c r="AD351" s="40" t="str">
        <f>IF(AND(E351&lt;&gt;'Povolené hodnoty'!$B$4,F351="5a"),I351-J351+L351-M351+O351-P351+R351-S351,"")</f>
        <v/>
      </c>
      <c r="AE351" s="40" t="str">
        <f>IF(AND(E351&lt;&gt;'Povolené hodnoty'!$B$4,F351="5b"),I351-J351+L351-M351+O351-P351+R351-S351,"")</f>
        <v/>
      </c>
      <c r="AF351" s="40" t="str">
        <f>IF(AND(E351&lt;&gt;'Povolené hodnoty'!$B$4,F351=6),I351+L351+O351+R351,"")</f>
        <v/>
      </c>
      <c r="AG351" s="41" t="str">
        <f>IF(AND(E351&lt;&gt;'Povolené hodnoty'!$B$4,F351=7),I351+L351+O351+R351,"")</f>
        <v/>
      </c>
      <c r="AH351" s="39" t="str">
        <f>IF(AND(E351&lt;&gt;'Povolené hodnoty'!$B$4,F351=10),J351+M351+P351+S351,"")</f>
        <v/>
      </c>
      <c r="AI351" s="40" t="str">
        <f>IF(AND(E351&lt;&gt;'Povolené hodnoty'!$B$4,F351=11),J351+M351+P351+S351,"")</f>
        <v/>
      </c>
      <c r="AJ351" s="40" t="str">
        <f>IF(AND(E351&lt;&gt;'Povolené hodnoty'!$B$4,F351=12),J351+M351+P351+S351,"")</f>
        <v/>
      </c>
      <c r="AK351" s="41" t="str">
        <f>IF(AND(E351&lt;&gt;'Povolené hodnoty'!$B$4,F351=13),J351+M351+P351+S351,"")</f>
        <v/>
      </c>
      <c r="AL351" s="39" t="str">
        <f>IF(AND($G351='Povolené hodnoty'!$B$13,$H351=AL$4),SUM($I351,$L351,$O351,$R351),"")</f>
        <v/>
      </c>
      <c r="AM351" s="458" t="str">
        <f>IF(AND($G351='Povolené hodnoty'!$B$13,$H351=AM$4),SUM($I351,$L351,$O351,$R351),"")</f>
        <v/>
      </c>
      <c r="AN351" s="458" t="str">
        <f>IF(AND($G351='Povolené hodnoty'!$B$13,$H351=AN$4),SUM($I351,$L351,$O351,$R351),"")</f>
        <v/>
      </c>
      <c r="AO351" s="458" t="str">
        <f>IF(AND($G351='Povolené hodnoty'!$B$13,$H351=AO$4),SUM($I351,$L351,$O351,$R351),"")</f>
        <v/>
      </c>
      <c r="AP351" s="458" t="str">
        <f>IF(AND($G351='Povolené hodnoty'!$B$13,$H351=AP$4),SUM($I351,$L351,$O351,$R351),"")</f>
        <v/>
      </c>
      <c r="AQ351" s="40" t="str">
        <f>IF(AND($G351='Povolené hodnoty'!$B$13,OR($H351=AQ$4,$H351='Povolené hodnoty'!$E$36)),SUM($I351,-$J351,$L351,-$M351,$O351,-$P351,$R351,-$S351),"")</f>
        <v/>
      </c>
      <c r="AR351" s="40" t="str">
        <f>IF(AND($G351='Povolené hodnoty'!$B$13,$H351=AR$4),SUM($I351,$L351,$O351,$R351),"")</f>
        <v/>
      </c>
      <c r="AS351" s="41" t="str">
        <f>IF(AND($G351='Povolené hodnoty'!$B$13,$H351=AS$4),SUM($I351,$L351,$O351,$R351),"")</f>
        <v/>
      </c>
      <c r="AT351" s="39" t="str">
        <f>IF(AND($G351='Povolené hodnoty'!$B$14,$H351=AT$4),SUM($I351,$L351,$O351,$R351),"")</f>
        <v/>
      </c>
      <c r="AU351" s="458" t="str">
        <f>IF(AND($G351='Povolené hodnoty'!$B$14,$H351=AU$4),SUM($I351,$L351,$O351,$R351),"")</f>
        <v/>
      </c>
      <c r="AV351" s="41" t="str">
        <f>IF(AND($G351='Povolené hodnoty'!$B$14,$H351=AV$4),SUM($I351,$L351,$O351,$R351),"")</f>
        <v/>
      </c>
      <c r="AW351" s="39" t="str">
        <f>IF(AND($G351='Povolené hodnoty'!$B$13,$H351=AW$4),SUM($J351,$M351,$P351,$S351),"")</f>
        <v/>
      </c>
      <c r="AX351" s="458" t="str">
        <f>IF(AND($G351='Povolené hodnoty'!$B$13,$H351=AX$4),SUM($J351,$M351,$P351,$S351),"")</f>
        <v/>
      </c>
      <c r="AY351" s="458" t="str">
        <f>IF(AND($G351='Povolené hodnoty'!$B$13,$H351=AY$4),SUM($J351,$M351,$P351,$S351),"")</f>
        <v/>
      </c>
      <c r="AZ351" s="458" t="str">
        <f>IF(AND($G351='Povolené hodnoty'!$B$13,$H351=AZ$4),SUM($J351,$M351,$P351,$S351),"")</f>
        <v/>
      </c>
      <c r="BA351" s="458" t="str">
        <f>IF(AND($G351='Povolené hodnoty'!$B$13,$H351=BA$4),SUM($J351,$M351,$P351,$S351),"")</f>
        <v/>
      </c>
      <c r="BB351" s="40" t="str">
        <f>IF(AND($G351='Povolené hodnoty'!$B$13,$H351=BB$4),SUM($J351,$M351,$P351,$S351),"")</f>
        <v/>
      </c>
      <c r="BC351" s="40" t="str">
        <f>IF(AND($G351='Povolené hodnoty'!$B$13,$H351=BC$4),SUM($J351,$M351,$P351,$S351),"")</f>
        <v/>
      </c>
      <c r="BD351" s="40" t="str">
        <f>IF(AND($G351='Povolené hodnoty'!$B$13,$H351=BD$4),SUM($J351,$M351,$P351,$S351),"")</f>
        <v/>
      </c>
      <c r="BE351" s="41" t="str">
        <f>IF(AND($G351='Povolené hodnoty'!$B$13,$H351=BE$4),SUM($J351,$M351,$P351,$S351),"")</f>
        <v/>
      </c>
      <c r="BF351" s="39" t="str">
        <f>IF(AND($G351='Povolené hodnoty'!$B$14,$H351=BF$4),SUM($J351,$M351,$P351,$S351),"")</f>
        <v/>
      </c>
      <c r="BG351" s="458" t="str">
        <f>IF(AND($G351='Povolené hodnoty'!$B$14,$H351=BG$4),SUM($J351,$M351,$P351,$S351),"")</f>
        <v/>
      </c>
      <c r="BH351" s="458" t="str">
        <f>IF(AND($G351='Povolené hodnoty'!$B$14,$H351=BH$4),SUM($J351,$M351,$P351,$S351),"")</f>
        <v/>
      </c>
      <c r="BI351" s="458" t="str">
        <f>IF(AND($G351='Povolené hodnoty'!$B$14,$H351=BI$4),SUM($J351,$M351,$P351,$S351),"")</f>
        <v/>
      </c>
      <c r="BJ351" s="458" t="str">
        <f>IF(AND($G351='Povolené hodnoty'!$B$14,$H351=BJ$4),SUM($J351,$M351,$P351,$S351),"")</f>
        <v/>
      </c>
      <c r="BK351" s="40" t="str">
        <f>IF(AND($G351='Povolené hodnoty'!$B$14,$H351=BK$4),SUM($J351,$M351,$P351,$S351),"")</f>
        <v/>
      </c>
      <c r="BL351" s="40" t="str">
        <f>IF(AND($G351='Povolené hodnoty'!$B$14,$H351=BL$4),SUM($J351,$M351,$P351,$S351),"")</f>
        <v/>
      </c>
      <c r="BM351" s="41" t="str">
        <f>IF(AND($G351='Povolené hodnoty'!$B$14,$H351=BM$4),SUM($J351,$M351,$P351,$S351),"")</f>
        <v/>
      </c>
      <c r="BO351" s="18" t="b">
        <f t="shared" si="211"/>
        <v>0</v>
      </c>
      <c r="BP351" s="18" t="b">
        <f t="shared" si="182"/>
        <v>0</v>
      </c>
      <c r="BQ351" s="18" t="b">
        <f>AND(E351&lt;&gt;'Povolené hodnoty'!$B$6,F351&lt;&gt;'Povolené hodnoty'!$D$7,F351&lt;&gt;'Povolené hodnoty'!$D$8,OR(SUM(I351,L351,O351,R351)&lt;&gt;SUM(W351:X351,AA351:AG351),SUM(J351,M351,P351,S351)&lt;&gt;SUM(Y351:Z351,AH351:AK351),COUNT(I351:J351,L351:M351,O351:P351,R351:S351)&lt;&gt;COUNT(W351:AK351)))</f>
        <v>0</v>
      </c>
      <c r="BR351" s="18" t="b">
        <f>OR(AND(E351='Povolené hodnoty'!$B$6,$BR$5),AND(E351='Povolené hodnoty'!$B$6,H351&lt;&gt;'Povolené hodnoty'!$E$26,H351&lt;&gt;'Povolené hodnoty'!$E$35),AND(E351&lt;&gt;'Povolené hodnoty'!$B$6,OR(H351='Povolené hodnoty'!$E$26,H351='Povolené hodnoty'!$E$35)))</f>
        <v>0</v>
      </c>
      <c r="BS351" s="18" t="b">
        <f>OR(AND(G351&lt;&gt;'Povolené hodnoty'!$B$13,OR(H351='Povolené hodnoty'!$E$21,H351='Povolené hodnoty'!$E$22,H351='Povolené hodnoty'!$E$23,H351='Povolené hodnoty'!$E$24,H351='Povolené hodnoty'!$E$26,H351='Povolené hodnoty'!$E$36)),COUNT(I351:J351,L351:M351,O351:P351,R351:S351)&lt;&gt;COUNT(AL351:BM351))</f>
        <v>0</v>
      </c>
      <c r="BT351" s="18" t="b">
        <f t="shared" si="183"/>
        <v>0</v>
      </c>
      <c r="BV351" s="39" t="str">
        <f t="shared" si="184"/>
        <v/>
      </c>
      <c r="BW351" s="458" t="str">
        <f t="shared" si="185"/>
        <v/>
      </c>
      <c r="BX351" s="458" t="str">
        <f t="shared" si="186"/>
        <v/>
      </c>
      <c r="BY351" s="458" t="str">
        <f t="shared" si="187"/>
        <v/>
      </c>
      <c r="BZ351" s="458" t="str">
        <f t="shared" si="188"/>
        <v/>
      </c>
      <c r="CA351" s="40" t="str">
        <f t="shared" si="189"/>
        <v/>
      </c>
      <c r="CB351" s="40" t="str">
        <f t="shared" si="190"/>
        <v/>
      </c>
      <c r="CC351" s="39" t="str">
        <f t="shared" si="191"/>
        <v/>
      </c>
      <c r="CD351" s="458" t="str">
        <f t="shared" si="192"/>
        <v/>
      </c>
      <c r="CE351" s="41" t="str">
        <f t="shared" si="193"/>
        <v/>
      </c>
      <c r="CF351" s="39" t="str">
        <f t="shared" si="194"/>
        <v/>
      </c>
      <c r="CG351" s="458" t="str">
        <f t="shared" si="195"/>
        <v/>
      </c>
      <c r="CH351" s="458" t="str">
        <f t="shared" si="196"/>
        <v/>
      </c>
      <c r="CI351" s="458" t="str">
        <f t="shared" si="197"/>
        <v/>
      </c>
      <c r="CJ351" s="458" t="str">
        <f t="shared" si="198"/>
        <v/>
      </c>
      <c r="CK351" s="40" t="str">
        <f t="shared" si="199"/>
        <v/>
      </c>
      <c r="CL351" s="40" t="str">
        <f t="shared" si="200"/>
        <v/>
      </c>
      <c r="CM351" s="40" t="str">
        <f t="shared" si="201"/>
        <v/>
      </c>
      <c r="CN351" s="39" t="str">
        <f t="shared" si="202"/>
        <v/>
      </c>
      <c r="CO351" s="458" t="str">
        <f t="shared" si="203"/>
        <v/>
      </c>
      <c r="CP351" s="458" t="str">
        <f t="shared" si="204"/>
        <v/>
      </c>
      <c r="CQ351" s="458" t="str">
        <f t="shared" si="205"/>
        <v/>
      </c>
      <c r="CR351" s="458" t="str">
        <f t="shared" si="206"/>
        <v/>
      </c>
      <c r="CS351" s="40" t="str">
        <f t="shared" si="207"/>
        <v/>
      </c>
      <c r="CT351" s="40" t="str">
        <f t="shared" si="208"/>
        <v/>
      </c>
      <c r="CU351" s="41" t="str">
        <f t="shared" si="209"/>
        <v/>
      </c>
    </row>
    <row r="352" spans="1:99" x14ac:dyDescent="0.2">
      <c r="A352" s="77">
        <f t="shared" si="210"/>
        <v>347</v>
      </c>
      <c r="B352" s="81"/>
      <c r="C352" s="82"/>
      <c r="D352" s="71"/>
      <c r="E352" s="72"/>
      <c r="F352" s="73"/>
      <c r="G352" s="443"/>
      <c r="H352" s="443"/>
      <c r="I352" s="74"/>
      <c r="J352" s="75"/>
      <c r="K352" s="41">
        <f t="shared" si="179"/>
        <v>3625</v>
      </c>
      <c r="L352" s="104"/>
      <c r="M352" s="105"/>
      <c r="N352" s="106">
        <f t="shared" si="180"/>
        <v>537.05999999999995</v>
      </c>
      <c r="O352" s="104"/>
      <c r="P352" s="105"/>
      <c r="Q352" s="106">
        <f t="shared" si="212"/>
        <v>10045.83</v>
      </c>
      <c r="R352" s="104"/>
      <c r="S352" s="105"/>
      <c r="T352" s="106">
        <f t="shared" si="213"/>
        <v>0</v>
      </c>
      <c r="U352" s="439"/>
      <c r="V352" s="42">
        <f t="shared" si="181"/>
        <v>347</v>
      </c>
      <c r="W352" s="39" t="str">
        <f>IF(AND(E352='Povolené hodnoty'!$B$4,F352=2),I352+L352+O352+R352,"")</f>
        <v/>
      </c>
      <c r="X352" s="41" t="str">
        <f>IF(AND(E352='Povolené hodnoty'!$B$4,F352=1),I352+L352+O352+R352,"")</f>
        <v/>
      </c>
      <c r="Y352" s="39" t="str">
        <f>IF(AND(E352='Povolené hodnoty'!$B$4,F352=10),J352+M352+P352+S352,"")</f>
        <v/>
      </c>
      <c r="Z352" s="41" t="str">
        <f>IF(AND(E352='Povolené hodnoty'!$B$4,F352=9),J352+M352+P352+S352,"")</f>
        <v/>
      </c>
      <c r="AA352" s="39" t="str">
        <f>IF(AND(E352&lt;&gt;'Povolené hodnoty'!$B$4,F352=2),I352+L352+O352+R352,"")</f>
        <v/>
      </c>
      <c r="AB352" s="40" t="str">
        <f>IF(AND(E352&lt;&gt;'Povolené hodnoty'!$B$4,F352=3),I352+L352+O352+R352,"")</f>
        <v/>
      </c>
      <c r="AC352" s="40" t="str">
        <f>IF(AND(E352&lt;&gt;'Povolené hodnoty'!$B$4,F352=4),I352+L352+O352+R352,"")</f>
        <v/>
      </c>
      <c r="AD352" s="40" t="str">
        <f>IF(AND(E352&lt;&gt;'Povolené hodnoty'!$B$4,F352="5a"),I352-J352+L352-M352+O352-P352+R352-S352,"")</f>
        <v/>
      </c>
      <c r="AE352" s="40" t="str">
        <f>IF(AND(E352&lt;&gt;'Povolené hodnoty'!$B$4,F352="5b"),I352-J352+L352-M352+O352-P352+R352-S352,"")</f>
        <v/>
      </c>
      <c r="AF352" s="40" t="str">
        <f>IF(AND(E352&lt;&gt;'Povolené hodnoty'!$B$4,F352=6),I352+L352+O352+R352,"")</f>
        <v/>
      </c>
      <c r="AG352" s="41" t="str">
        <f>IF(AND(E352&lt;&gt;'Povolené hodnoty'!$B$4,F352=7),I352+L352+O352+R352,"")</f>
        <v/>
      </c>
      <c r="AH352" s="39" t="str">
        <f>IF(AND(E352&lt;&gt;'Povolené hodnoty'!$B$4,F352=10),J352+M352+P352+S352,"")</f>
        <v/>
      </c>
      <c r="AI352" s="40" t="str">
        <f>IF(AND(E352&lt;&gt;'Povolené hodnoty'!$B$4,F352=11),J352+M352+P352+S352,"")</f>
        <v/>
      </c>
      <c r="AJ352" s="40" t="str">
        <f>IF(AND(E352&lt;&gt;'Povolené hodnoty'!$B$4,F352=12),J352+M352+P352+S352,"")</f>
        <v/>
      </c>
      <c r="AK352" s="41" t="str">
        <f>IF(AND(E352&lt;&gt;'Povolené hodnoty'!$B$4,F352=13),J352+M352+P352+S352,"")</f>
        <v/>
      </c>
      <c r="AL352" s="39" t="str">
        <f>IF(AND($G352='Povolené hodnoty'!$B$13,$H352=AL$4),SUM($I352,$L352,$O352,$R352),"")</f>
        <v/>
      </c>
      <c r="AM352" s="458" t="str">
        <f>IF(AND($G352='Povolené hodnoty'!$B$13,$H352=AM$4),SUM($I352,$L352,$O352,$R352),"")</f>
        <v/>
      </c>
      <c r="AN352" s="458" t="str">
        <f>IF(AND($G352='Povolené hodnoty'!$B$13,$H352=AN$4),SUM($I352,$L352,$O352,$R352),"")</f>
        <v/>
      </c>
      <c r="AO352" s="458" t="str">
        <f>IF(AND($G352='Povolené hodnoty'!$B$13,$H352=AO$4),SUM($I352,$L352,$O352,$R352),"")</f>
        <v/>
      </c>
      <c r="AP352" s="458" t="str">
        <f>IF(AND($G352='Povolené hodnoty'!$B$13,$H352=AP$4),SUM($I352,$L352,$O352,$R352),"")</f>
        <v/>
      </c>
      <c r="AQ352" s="40" t="str">
        <f>IF(AND($G352='Povolené hodnoty'!$B$13,OR($H352=AQ$4,$H352='Povolené hodnoty'!$E$36)),SUM($I352,-$J352,$L352,-$M352,$O352,-$P352,$R352,-$S352),"")</f>
        <v/>
      </c>
      <c r="AR352" s="40" t="str">
        <f>IF(AND($G352='Povolené hodnoty'!$B$13,$H352=AR$4),SUM($I352,$L352,$O352,$R352),"")</f>
        <v/>
      </c>
      <c r="AS352" s="41" t="str">
        <f>IF(AND($G352='Povolené hodnoty'!$B$13,$H352=AS$4),SUM($I352,$L352,$O352,$R352),"")</f>
        <v/>
      </c>
      <c r="AT352" s="39" t="str">
        <f>IF(AND($G352='Povolené hodnoty'!$B$14,$H352=AT$4),SUM($I352,$L352,$O352,$R352),"")</f>
        <v/>
      </c>
      <c r="AU352" s="458" t="str">
        <f>IF(AND($G352='Povolené hodnoty'!$B$14,$H352=AU$4),SUM($I352,$L352,$O352,$R352),"")</f>
        <v/>
      </c>
      <c r="AV352" s="41" t="str">
        <f>IF(AND($G352='Povolené hodnoty'!$B$14,$H352=AV$4),SUM($I352,$L352,$O352,$R352),"")</f>
        <v/>
      </c>
      <c r="AW352" s="39" t="str">
        <f>IF(AND($G352='Povolené hodnoty'!$B$13,$H352=AW$4),SUM($J352,$M352,$P352,$S352),"")</f>
        <v/>
      </c>
      <c r="AX352" s="458" t="str">
        <f>IF(AND($G352='Povolené hodnoty'!$B$13,$H352=AX$4),SUM($J352,$M352,$P352,$S352),"")</f>
        <v/>
      </c>
      <c r="AY352" s="458" t="str">
        <f>IF(AND($G352='Povolené hodnoty'!$B$13,$H352=AY$4),SUM($J352,$M352,$P352,$S352),"")</f>
        <v/>
      </c>
      <c r="AZ352" s="458" t="str">
        <f>IF(AND($G352='Povolené hodnoty'!$B$13,$H352=AZ$4),SUM($J352,$M352,$P352,$S352),"")</f>
        <v/>
      </c>
      <c r="BA352" s="458" t="str">
        <f>IF(AND($G352='Povolené hodnoty'!$B$13,$H352=BA$4),SUM($J352,$M352,$P352,$S352),"")</f>
        <v/>
      </c>
      <c r="BB352" s="40" t="str">
        <f>IF(AND($G352='Povolené hodnoty'!$B$13,$H352=BB$4),SUM($J352,$M352,$P352,$S352),"")</f>
        <v/>
      </c>
      <c r="BC352" s="40" t="str">
        <f>IF(AND($G352='Povolené hodnoty'!$B$13,$H352=BC$4),SUM($J352,$M352,$P352,$S352),"")</f>
        <v/>
      </c>
      <c r="BD352" s="40" t="str">
        <f>IF(AND($G352='Povolené hodnoty'!$B$13,$H352=BD$4),SUM($J352,$M352,$P352,$S352),"")</f>
        <v/>
      </c>
      <c r="BE352" s="41" t="str">
        <f>IF(AND($G352='Povolené hodnoty'!$B$13,$H352=BE$4),SUM($J352,$M352,$P352,$S352),"")</f>
        <v/>
      </c>
      <c r="BF352" s="39" t="str">
        <f>IF(AND($G352='Povolené hodnoty'!$B$14,$H352=BF$4),SUM($J352,$M352,$P352,$S352),"")</f>
        <v/>
      </c>
      <c r="BG352" s="458" t="str">
        <f>IF(AND($G352='Povolené hodnoty'!$B$14,$H352=BG$4),SUM($J352,$M352,$P352,$S352),"")</f>
        <v/>
      </c>
      <c r="BH352" s="458" t="str">
        <f>IF(AND($G352='Povolené hodnoty'!$B$14,$H352=BH$4),SUM($J352,$M352,$P352,$S352),"")</f>
        <v/>
      </c>
      <c r="BI352" s="458" t="str">
        <f>IF(AND($G352='Povolené hodnoty'!$B$14,$H352=BI$4),SUM($J352,$M352,$P352,$S352),"")</f>
        <v/>
      </c>
      <c r="BJ352" s="458" t="str">
        <f>IF(AND($G352='Povolené hodnoty'!$B$14,$H352=BJ$4),SUM($J352,$M352,$P352,$S352),"")</f>
        <v/>
      </c>
      <c r="BK352" s="40" t="str">
        <f>IF(AND($G352='Povolené hodnoty'!$B$14,$H352=BK$4),SUM($J352,$M352,$P352,$S352),"")</f>
        <v/>
      </c>
      <c r="BL352" s="40" t="str">
        <f>IF(AND($G352='Povolené hodnoty'!$B$14,$H352=BL$4),SUM($J352,$M352,$P352,$S352),"")</f>
        <v/>
      </c>
      <c r="BM352" s="41" t="str">
        <f>IF(AND($G352='Povolené hodnoty'!$B$14,$H352=BM$4),SUM($J352,$M352,$P352,$S352),"")</f>
        <v/>
      </c>
      <c r="BO352" s="18" t="b">
        <f t="shared" si="211"/>
        <v>0</v>
      </c>
      <c r="BP352" s="18" t="b">
        <f t="shared" si="182"/>
        <v>0</v>
      </c>
      <c r="BQ352" s="18" t="b">
        <f>AND(E352&lt;&gt;'Povolené hodnoty'!$B$6,F352&lt;&gt;'Povolené hodnoty'!$D$7,F352&lt;&gt;'Povolené hodnoty'!$D$8,OR(SUM(I352,L352,O352,R352)&lt;&gt;SUM(W352:X352,AA352:AG352),SUM(J352,M352,P352,S352)&lt;&gt;SUM(Y352:Z352,AH352:AK352),COUNT(I352:J352,L352:M352,O352:P352,R352:S352)&lt;&gt;COUNT(W352:AK352)))</f>
        <v>0</v>
      </c>
      <c r="BR352" s="18" t="b">
        <f>OR(AND(E352='Povolené hodnoty'!$B$6,$BR$5),AND(E352='Povolené hodnoty'!$B$6,H352&lt;&gt;'Povolené hodnoty'!$E$26,H352&lt;&gt;'Povolené hodnoty'!$E$35),AND(E352&lt;&gt;'Povolené hodnoty'!$B$6,OR(H352='Povolené hodnoty'!$E$26,H352='Povolené hodnoty'!$E$35)))</f>
        <v>0</v>
      </c>
      <c r="BS352" s="18" t="b">
        <f>OR(AND(G352&lt;&gt;'Povolené hodnoty'!$B$13,OR(H352='Povolené hodnoty'!$E$21,H352='Povolené hodnoty'!$E$22,H352='Povolené hodnoty'!$E$23,H352='Povolené hodnoty'!$E$24,H352='Povolené hodnoty'!$E$26,H352='Povolené hodnoty'!$E$36)),COUNT(I352:J352,L352:M352,O352:P352,R352:S352)&lt;&gt;COUNT(AL352:BM352))</f>
        <v>0</v>
      </c>
      <c r="BT352" s="18" t="b">
        <f t="shared" si="183"/>
        <v>0</v>
      </c>
      <c r="BV352" s="39" t="str">
        <f t="shared" si="184"/>
        <v/>
      </c>
      <c r="BW352" s="458" t="str">
        <f t="shared" si="185"/>
        <v/>
      </c>
      <c r="BX352" s="458" t="str">
        <f t="shared" si="186"/>
        <v/>
      </c>
      <c r="BY352" s="458" t="str">
        <f t="shared" si="187"/>
        <v/>
      </c>
      <c r="BZ352" s="458" t="str">
        <f t="shared" si="188"/>
        <v/>
      </c>
      <c r="CA352" s="40" t="str">
        <f t="shared" si="189"/>
        <v/>
      </c>
      <c r="CB352" s="40" t="str">
        <f t="shared" si="190"/>
        <v/>
      </c>
      <c r="CC352" s="39" t="str">
        <f t="shared" si="191"/>
        <v/>
      </c>
      <c r="CD352" s="458" t="str">
        <f t="shared" si="192"/>
        <v/>
      </c>
      <c r="CE352" s="41" t="str">
        <f t="shared" si="193"/>
        <v/>
      </c>
      <c r="CF352" s="39" t="str">
        <f t="shared" si="194"/>
        <v/>
      </c>
      <c r="CG352" s="458" t="str">
        <f t="shared" si="195"/>
        <v/>
      </c>
      <c r="CH352" s="458" t="str">
        <f t="shared" si="196"/>
        <v/>
      </c>
      <c r="CI352" s="458" t="str">
        <f t="shared" si="197"/>
        <v/>
      </c>
      <c r="CJ352" s="458" t="str">
        <f t="shared" si="198"/>
        <v/>
      </c>
      <c r="CK352" s="40" t="str">
        <f t="shared" si="199"/>
        <v/>
      </c>
      <c r="CL352" s="40" t="str">
        <f t="shared" si="200"/>
        <v/>
      </c>
      <c r="CM352" s="40" t="str">
        <f t="shared" si="201"/>
        <v/>
      </c>
      <c r="CN352" s="39" t="str">
        <f t="shared" si="202"/>
        <v/>
      </c>
      <c r="CO352" s="458" t="str">
        <f t="shared" si="203"/>
        <v/>
      </c>
      <c r="CP352" s="458" t="str">
        <f t="shared" si="204"/>
        <v/>
      </c>
      <c r="CQ352" s="458" t="str">
        <f t="shared" si="205"/>
        <v/>
      </c>
      <c r="CR352" s="458" t="str">
        <f t="shared" si="206"/>
        <v/>
      </c>
      <c r="CS352" s="40" t="str">
        <f t="shared" si="207"/>
        <v/>
      </c>
      <c r="CT352" s="40" t="str">
        <f t="shared" si="208"/>
        <v/>
      </c>
      <c r="CU352" s="41" t="str">
        <f t="shared" si="209"/>
        <v/>
      </c>
    </row>
    <row r="353" spans="1:99" x14ac:dyDescent="0.2">
      <c r="A353" s="77">
        <f t="shared" si="210"/>
        <v>348</v>
      </c>
      <c r="B353" s="81"/>
      <c r="C353" s="82"/>
      <c r="D353" s="71"/>
      <c r="E353" s="72"/>
      <c r="F353" s="73"/>
      <c r="G353" s="443"/>
      <c r="H353" s="443"/>
      <c r="I353" s="74"/>
      <c r="J353" s="75"/>
      <c r="K353" s="41">
        <f t="shared" si="179"/>
        <v>3625</v>
      </c>
      <c r="L353" s="104"/>
      <c r="M353" s="105"/>
      <c r="N353" s="106">
        <f t="shared" si="180"/>
        <v>537.05999999999995</v>
      </c>
      <c r="O353" s="104"/>
      <c r="P353" s="105"/>
      <c r="Q353" s="106">
        <f t="shared" si="212"/>
        <v>10045.83</v>
      </c>
      <c r="R353" s="104"/>
      <c r="S353" s="105"/>
      <c r="T353" s="106">
        <f t="shared" si="213"/>
        <v>0</v>
      </c>
      <c r="U353" s="439"/>
      <c r="V353" s="42">
        <f t="shared" si="181"/>
        <v>348</v>
      </c>
      <c r="W353" s="39" t="str">
        <f>IF(AND(E353='Povolené hodnoty'!$B$4,F353=2),I353+L353+O353+R353,"")</f>
        <v/>
      </c>
      <c r="X353" s="41" t="str">
        <f>IF(AND(E353='Povolené hodnoty'!$B$4,F353=1),I353+L353+O353+R353,"")</f>
        <v/>
      </c>
      <c r="Y353" s="39" t="str">
        <f>IF(AND(E353='Povolené hodnoty'!$B$4,F353=10),J353+M353+P353+S353,"")</f>
        <v/>
      </c>
      <c r="Z353" s="41" t="str">
        <f>IF(AND(E353='Povolené hodnoty'!$B$4,F353=9),J353+M353+P353+S353,"")</f>
        <v/>
      </c>
      <c r="AA353" s="39" t="str">
        <f>IF(AND(E353&lt;&gt;'Povolené hodnoty'!$B$4,F353=2),I353+L353+O353+R353,"")</f>
        <v/>
      </c>
      <c r="AB353" s="40" t="str">
        <f>IF(AND(E353&lt;&gt;'Povolené hodnoty'!$B$4,F353=3),I353+L353+O353+R353,"")</f>
        <v/>
      </c>
      <c r="AC353" s="40" t="str">
        <f>IF(AND(E353&lt;&gt;'Povolené hodnoty'!$B$4,F353=4),I353+L353+O353+R353,"")</f>
        <v/>
      </c>
      <c r="AD353" s="40" t="str">
        <f>IF(AND(E353&lt;&gt;'Povolené hodnoty'!$B$4,F353="5a"),I353-J353+L353-M353+O353-P353+R353-S353,"")</f>
        <v/>
      </c>
      <c r="AE353" s="40" t="str">
        <f>IF(AND(E353&lt;&gt;'Povolené hodnoty'!$B$4,F353="5b"),I353-J353+L353-M353+O353-P353+R353-S353,"")</f>
        <v/>
      </c>
      <c r="AF353" s="40" t="str">
        <f>IF(AND(E353&lt;&gt;'Povolené hodnoty'!$B$4,F353=6),I353+L353+O353+R353,"")</f>
        <v/>
      </c>
      <c r="AG353" s="41" t="str">
        <f>IF(AND(E353&lt;&gt;'Povolené hodnoty'!$B$4,F353=7),I353+L353+O353+R353,"")</f>
        <v/>
      </c>
      <c r="AH353" s="39" t="str">
        <f>IF(AND(E353&lt;&gt;'Povolené hodnoty'!$B$4,F353=10),J353+M353+P353+S353,"")</f>
        <v/>
      </c>
      <c r="AI353" s="40" t="str">
        <f>IF(AND(E353&lt;&gt;'Povolené hodnoty'!$B$4,F353=11),J353+M353+P353+S353,"")</f>
        <v/>
      </c>
      <c r="AJ353" s="40" t="str">
        <f>IF(AND(E353&lt;&gt;'Povolené hodnoty'!$B$4,F353=12),J353+M353+P353+S353,"")</f>
        <v/>
      </c>
      <c r="AK353" s="41" t="str">
        <f>IF(AND(E353&lt;&gt;'Povolené hodnoty'!$B$4,F353=13),J353+M353+P353+S353,"")</f>
        <v/>
      </c>
      <c r="AL353" s="39" t="str">
        <f>IF(AND($G353='Povolené hodnoty'!$B$13,$H353=AL$4),SUM($I353,$L353,$O353,$R353),"")</f>
        <v/>
      </c>
      <c r="AM353" s="458" t="str">
        <f>IF(AND($G353='Povolené hodnoty'!$B$13,$H353=AM$4),SUM($I353,$L353,$O353,$R353),"")</f>
        <v/>
      </c>
      <c r="AN353" s="458" t="str">
        <f>IF(AND($G353='Povolené hodnoty'!$B$13,$H353=AN$4),SUM($I353,$L353,$O353,$R353),"")</f>
        <v/>
      </c>
      <c r="AO353" s="458" t="str">
        <f>IF(AND($G353='Povolené hodnoty'!$B$13,$H353=AO$4),SUM($I353,$L353,$O353,$R353),"")</f>
        <v/>
      </c>
      <c r="AP353" s="458" t="str">
        <f>IF(AND($G353='Povolené hodnoty'!$B$13,$H353=AP$4),SUM($I353,$L353,$O353,$R353),"")</f>
        <v/>
      </c>
      <c r="AQ353" s="40" t="str">
        <f>IF(AND($G353='Povolené hodnoty'!$B$13,OR($H353=AQ$4,$H353='Povolené hodnoty'!$E$36)),SUM($I353,-$J353,$L353,-$M353,$O353,-$P353,$R353,-$S353),"")</f>
        <v/>
      </c>
      <c r="AR353" s="40" t="str">
        <f>IF(AND($G353='Povolené hodnoty'!$B$13,$H353=AR$4),SUM($I353,$L353,$O353,$R353),"")</f>
        <v/>
      </c>
      <c r="AS353" s="41" t="str">
        <f>IF(AND($G353='Povolené hodnoty'!$B$13,$H353=AS$4),SUM($I353,$L353,$O353,$R353),"")</f>
        <v/>
      </c>
      <c r="AT353" s="39" t="str">
        <f>IF(AND($G353='Povolené hodnoty'!$B$14,$H353=AT$4),SUM($I353,$L353,$O353,$R353),"")</f>
        <v/>
      </c>
      <c r="AU353" s="458" t="str">
        <f>IF(AND($G353='Povolené hodnoty'!$B$14,$H353=AU$4),SUM($I353,$L353,$O353,$R353),"")</f>
        <v/>
      </c>
      <c r="AV353" s="41" t="str">
        <f>IF(AND($G353='Povolené hodnoty'!$B$14,$H353=AV$4),SUM($I353,$L353,$O353,$R353),"")</f>
        <v/>
      </c>
      <c r="AW353" s="39" t="str">
        <f>IF(AND($G353='Povolené hodnoty'!$B$13,$H353=AW$4),SUM($J353,$M353,$P353,$S353),"")</f>
        <v/>
      </c>
      <c r="AX353" s="458" t="str">
        <f>IF(AND($G353='Povolené hodnoty'!$B$13,$H353=AX$4),SUM($J353,$M353,$P353,$S353),"")</f>
        <v/>
      </c>
      <c r="AY353" s="458" t="str">
        <f>IF(AND($G353='Povolené hodnoty'!$B$13,$H353=AY$4),SUM($J353,$M353,$P353,$S353),"")</f>
        <v/>
      </c>
      <c r="AZ353" s="458" t="str">
        <f>IF(AND($G353='Povolené hodnoty'!$B$13,$H353=AZ$4),SUM($J353,$M353,$P353,$S353),"")</f>
        <v/>
      </c>
      <c r="BA353" s="458" t="str">
        <f>IF(AND($G353='Povolené hodnoty'!$B$13,$H353=BA$4),SUM($J353,$M353,$P353,$S353),"")</f>
        <v/>
      </c>
      <c r="BB353" s="40" t="str">
        <f>IF(AND($G353='Povolené hodnoty'!$B$13,$H353=BB$4),SUM($J353,$M353,$P353,$S353),"")</f>
        <v/>
      </c>
      <c r="BC353" s="40" t="str">
        <f>IF(AND($G353='Povolené hodnoty'!$B$13,$H353=BC$4),SUM($J353,$M353,$P353,$S353),"")</f>
        <v/>
      </c>
      <c r="BD353" s="40" t="str">
        <f>IF(AND($G353='Povolené hodnoty'!$B$13,$H353=BD$4),SUM($J353,$M353,$P353,$S353),"")</f>
        <v/>
      </c>
      <c r="BE353" s="41" t="str">
        <f>IF(AND($G353='Povolené hodnoty'!$B$13,$H353=BE$4),SUM($J353,$M353,$P353,$S353),"")</f>
        <v/>
      </c>
      <c r="BF353" s="39" t="str">
        <f>IF(AND($G353='Povolené hodnoty'!$B$14,$H353=BF$4),SUM($J353,$M353,$P353,$S353),"")</f>
        <v/>
      </c>
      <c r="BG353" s="458" t="str">
        <f>IF(AND($G353='Povolené hodnoty'!$B$14,$H353=BG$4),SUM($J353,$M353,$P353,$S353),"")</f>
        <v/>
      </c>
      <c r="BH353" s="458" t="str">
        <f>IF(AND($G353='Povolené hodnoty'!$B$14,$H353=BH$4),SUM($J353,$M353,$P353,$S353),"")</f>
        <v/>
      </c>
      <c r="BI353" s="458" t="str">
        <f>IF(AND($G353='Povolené hodnoty'!$B$14,$H353=BI$4),SUM($J353,$M353,$P353,$S353),"")</f>
        <v/>
      </c>
      <c r="BJ353" s="458" t="str">
        <f>IF(AND($G353='Povolené hodnoty'!$B$14,$H353=BJ$4),SUM($J353,$M353,$P353,$S353),"")</f>
        <v/>
      </c>
      <c r="BK353" s="40" t="str">
        <f>IF(AND($G353='Povolené hodnoty'!$B$14,$H353=BK$4),SUM($J353,$M353,$P353,$S353),"")</f>
        <v/>
      </c>
      <c r="BL353" s="40" t="str">
        <f>IF(AND($G353='Povolené hodnoty'!$B$14,$H353=BL$4),SUM($J353,$M353,$P353,$S353),"")</f>
        <v/>
      </c>
      <c r="BM353" s="41" t="str">
        <f>IF(AND($G353='Povolené hodnoty'!$B$14,$H353=BM$4),SUM($J353,$M353,$P353,$S353),"")</f>
        <v/>
      </c>
      <c r="BO353" s="18" t="b">
        <f t="shared" si="211"/>
        <v>0</v>
      </c>
      <c r="BP353" s="18" t="b">
        <f t="shared" si="182"/>
        <v>0</v>
      </c>
      <c r="BQ353" s="18" t="b">
        <f>AND(E353&lt;&gt;'Povolené hodnoty'!$B$6,F353&lt;&gt;'Povolené hodnoty'!$D$7,F353&lt;&gt;'Povolené hodnoty'!$D$8,OR(SUM(I353,L353,O353,R353)&lt;&gt;SUM(W353:X353,AA353:AG353),SUM(J353,M353,P353,S353)&lt;&gt;SUM(Y353:Z353,AH353:AK353),COUNT(I353:J353,L353:M353,O353:P353,R353:S353)&lt;&gt;COUNT(W353:AK353)))</f>
        <v>0</v>
      </c>
      <c r="BR353" s="18" t="b">
        <f>OR(AND(E353='Povolené hodnoty'!$B$6,$BR$5),AND(E353='Povolené hodnoty'!$B$6,H353&lt;&gt;'Povolené hodnoty'!$E$26,H353&lt;&gt;'Povolené hodnoty'!$E$35),AND(E353&lt;&gt;'Povolené hodnoty'!$B$6,OR(H353='Povolené hodnoty'!$E$26,H353='Povolené hodnoty'!$E$35)))</f>
        <v>0</v>
      </c>
      <c r="BS353" s="18" t="b">
        <f>OR(AND(G353&lt;&gt;'Povolené hodnoty'!$B$13,OR(H353='Povolené hodnoty'!$E$21,H353='Povolené hodnoty'!$E$22,H353='Povolené hodnoty'!$E$23,H353='Povolené hodnoty'!$E$24,H353='Povolené hodnoty'!$E$26,H353='Povolené hodnoty'!$E$36)),COUNT(I353:J353,L353:M353,O353:P353,R353:S353)&lt;&gt;COUNT(AL353:BM353))</f>
        <v>0</v>
      </c>
      <c r="BT353" s="18" t="b">
        <f t="shared" si="183"/>
        <v>0</v>
      </c>
      <c r="BV353" s="39" t="str">
        <f t="shared" si="184"/>
        <v/>
      </c>
      <c r="BW353" s="458" t="str">
        <f t="shared" si="185"/>
        <v/>
      </c>
      <c r="BX353" s="458" t="str">
        <f t="shared" si="186"/>
        <v/>
      </c>
      <c r="BY353" s="458" t="str">
        <f t="shared" si="187"/>
        <v/>
      </c>
      <c r="BZ353" s="458" t="str">
        <f t="shared" si="188"/>
        <v/>
      </c>
      <c r="CA353" s="40" t="str">
        <f t="shared" si="189"/>
        <v/>
      </c>
      <c r="CB353" s="40" t="str">
        <f t="shared" si="190"/>
        <v/>
      </c>
      <c r="CC353" s="39" t="str">
        <f t="shared" si="191"/>
        <v/>
      </c>
      <c r="CD353" s="458" t="str">
        <f t="shared" si="192"/>
        <v/>
      </c>
      <c r="CE353" s="41" t="str">
        <f t="shared" si="193"/>
        <v/>
      </c>
      <c r="CF353" s="39" t="str">
        <f t="shared" si="194"/>
        <v/>
      </c>
      <c r="CG353" s="458" t="str">
        <f t="shared" si="195"/>
        <v/>
      </c>
      <c r="CH353" s="458" t="str">
        <f t="shared" si="196"/>
        <v/>
      </c>
      <c r="CI353" s="458" t="str">
        <f t="shared" si="197"/>
        <v/>
      </c>
      <c r="CJ353" s="458" t="str">
        <f t="shared" si="198"/>
        <v/>
      </c>
      <c r="CK353" s="40" t="str">
        <f t="shared" si="199"/>
        <v/>
      </c>
      <c r="CL353" s="40" t="str">
        <f t="shared" si="200"/>
        <v/>
      </c>
      <c r="CM353" s="40" t="str">
        <f t="shared" si="201"/>
        <v/>
      </c>
      <c r="CN353" s="39" t="str">
        <f t="shared" si="202"/>
        <v/>
      </c>
      <c r="CO353" s="458" t="str">
        <f t="shared" si="203"/>
        <v/>
      </c>
      <c r="CP353" s="458" t="str">
        <f t="shared" si="204"/>
        <v/>
      </c>
      <c r="CQ353" s="458" t="str">
        <f t="shared" si="205"/>
        <v/>
      </c>
      <c r="CR353" s="458" t="str">
        <f t="shared" si="206"/>
        <v/>
      </c>
      <c r="CS353" s="40" t="str">
        <f t="shared" si="207"/>
        <v/>
      </c>
      <c r="CT353" s="40" t="str">
        <f t="shared" si="208"/>
        <v/>
      </c>
      <c r="CU353" s="41" t="str">
        <f t="shared" si="209"/>
        <v/>
      </c>
    </row>
    <row r="354" spans="1:99" x14ac:dyDescent="0.2">
      <c r="A354" s="77">
        <f t="shared" si="210"/>
        <v>349</v>
      </c>
      <c r="B354" s="81"/>
      <c r="C354" s="82"/>
      <c r="D354" s="71"/>
      <c r="E354" s="72"/>
      <c r="F354" s="73"/>
      <c r="G354" s="443"/>
      <c r="H354" s="443"/>
      <c r="I354" s="74"/>
      <c r="J354" s="75"/>
      <c r="K354" s="41">
        <f t="shared" si="179"/>
        <v>3625</v>
      </c>
      <c r="L354" s="104"/>
      <c r="M354" s="105"/>
      <c r="N354" s="106">
        <f t="shared" si="180"/>
        <v>537.05999999999995</v>
      </c>
      <c r="O354" s="104"/>
      <c r="P354" s="105"/>
      <c r="Q354" s="106">
        <f t="shared" si="212"/>
        <v>10045.83</v>
      </c>
      <c r="R354" s="104"/>
      <c r="S354" s="105"/>
      <c r="T354" s="106">
        <f t="shared" si="213"/>
        <v>0</v>
      </c>
      <c r="U354" s="439"/>
      <c r="V354" s="42">
        <f t="shared" si="181"/>
        <v>349</v>
      </c>
      <c r="W354" s="39" t="str">
        <f>IF(AND(E354='Povolené hodnoty'!$B$4,F354=2),I354+L354+O354+R354,"")</f>
        <v/>
      </c>
      <c r="X354" s="41" t="str">
        <f>IF(AND(E354='Povolené hodnoty'!$B$4,F354=1),I354+L354+O354+R354,"")</f>
        <v/>
      </c>
      <c r="Y354" s="39" t="str">
        <f>IF(AND(E354='Povolené hodnoty'!$B$4,F354=10),J354+M354+P354+S354,"")</f>
        <v/>
      </c>
      <c r="Z354" s="41" t="str">
        <f>IF(AND(E354='Povolené hodnoty'!$B$4,F354=9),J354+M354+P354+S354,"")</f>
        <v/>
      </c>
      <c r="AA354" s="39" t="str">
        <f>IF(AND(E354&lt;&gt;'Povolené hodnoty'!$B$4,F354=2),I354+L354+O354+R354,"")</f>
        <v/>
      </c>
      <c r="AB354" s="40" t="str">
        <f>IF(AND(E354&lt;&gt;'Povolené hodnoty'!$B$4,F354=3),I354+L354+O354+R354,"")</f>
        <v/>
      </c>
      <c r="AC354" s="40" t="str">
        <f>IF(AND(E354&lt;&gt;'Povolené hodnoty'!$B$4,F354=4),I354+L354+O354+R354,"")</f>
        <v/>
      </c>
      <c r="AD354" s="40" t="str">
        <f>IF(AND(E354&lt;&gt;'Povolené hodnoty'!$B$4,F354="5a"),I354-J354+L354-M354+O354-P354+R354-S354,"")</f>
        <v/>
      </c>
      <c r="AE354" s="40" t="str">
        <f>IF(AND(E354&lt;&gt;'Povolené hodnoty'!$B$4,F354="5b"),I354-J354+L354-M354+O354-P354+R354-S354,"")</f>
        <v/>
      </c>
      <c r="AF354" s="40" t="str">
        <f>IF(AND(E354&lt;&gt;'Povolené hodnoty'!$B$4,F354=6),I354+L354+O354+R354,"")</f>
        <v/>
      </c>
      <c r="AG354" s="41" t="str">
        <f>IF(AND(E354&lt;&gt;'Povolené hodnoty'!$B$4,F354=7),I354+L354+O354+R354,"")</f>
        <v/>
      </c>
      <c r="AH354" s="39" t="str">
        <f>IF(AND(E354&lt;&gt;'Povolené hodnoty'!$B$4,F354=10),J354+M354+P354+S354,"")</f>
        <v/>
      </c>
      <c r="AI354" s="40" t="str">
        <f>IF(AND(E354&lt;&gt;'Povolené hodnoty'!$B$4,F354=11),J354+M354+P354+S354,"")</f>
        <v/>
      </c>
      <c r="AJ354" s="40" t="str">
        <f>IF(AND(E354&lt;&gt;'Povolené hodnoty'!$B$4,F354=12),J354+M354+P354+S354,"")</f>
        <v/>
      </c>
      <c r="AK354" s="41" t="str">
        <f>IF(AND(E354&lt;&gt;'Povolené hodnoty'!$B$4,F354=13),J354+M354+P354+S354,"")</f>
        <v/>
      </c>
      <c r="AL354" s="39" t="str">
        <f>IF(AND($G354='Povolené hodnoty'!$B$13,$H354=AL$4),SUM($I354,$L354,$O354,$R354),"")</f>
        <v/>
      </c>
      <c r="AM354" s="458" t="str">
        <f>IF(AND($G354='Povolené hodnoty'!$B$13,$H354=AM$4),SUM($I354,$L354,$O354,$R354),"")</f>
        <v/>
      </c>
      <c r="AN354" s="458" t="str">
        <f>IF(AND($G354='Povolené hodnoty'!$B$13,$H354=AN$4),SUM($I354,$L354,$O354,$R354),"")</f>
        <v/>
      </c>
      <c r="AO354" s="458" t="str">
        <f>IF(AND($G354='Povolené hodnoty'!$B$13,$H354=AO$4),SUM($I354,$L354,$O354,$R354),"")</f>
        <v/>
      </c>
      <c r="AP354" s="458" t="str">
        <f>IF(AND($G354='Povolené hodnoty'!$B$13,$H354=AP$4),SUM($I354,$L354,$O354,$R354),"")</f>
        <v/>
      </c>
      <c r="AQ354" s="40" t="str">
        <f>IF(AND($G354='Povolené hodnoty'!$B$13,OR($H354=AQ$4,$H354='Povolené hodnoty'!$E$36)),SUM($I354,-$J354,$L354,-$M354,$O354,-$P354,$R354,-$S354),"")</f>
        <v/>
      </c>
      <c r="AR354" s="40" t="str">
        <f>IF(AND($G354='Povolené hodnoty'!$B$13,$H354=AR$4),SUM($I354,$L354,$O354,$R354),"")</f>
        <v/>
      </c>
      <c r="AS354" s="41" t="str">
        <f>IF(AND($G354='Povolené hodnoty'!$B$13,$H354=AS$4),SUM($I354,$L354,$O354,$R354),"")</f>
        <v/>
      </c>
      <c r="AT354" s="39" t="str">
        <f>IF(AND($G354='Povolené hodnoty'!$B$14,$H354=AT$4),SUM($I354,$L354,$O354,$R354),"")</f>
        <v/>
      </c>
      <c r="AU354" s="458" t="str">
        <f>IF(AND($G354='Povolené hodnoty'!$B$14,$H354=AU$4),SUM($I354,$L354,$O354,$R354),"")</f>
        <v/>
      </c>
      <c r="AV354" s="41" t="str">
        <f>IF(AND($G354='Povolené hodnoty'!$B$14,$H354=AV$4),SUM($I354,$L354,$O354,$R354),"")</f>
        <v/>
      </c>
      <c r="AW354" s="39" t="str">
        <f>IF(AND($G354='Povolené hodnoty'!$B$13,$H354=AW$4),SUM($J354,$M354,$P354,$S354),"")</f>
        <v/>
      </c>
      <c r="AX354" s="458" t="str">
        <f>IF(AND($G354='Povolené hodnoty'!$B$13,$H354=AX$4),SUM($J354,$M354,$P354,$S354),"")</f>
        <v/>
      </c>
      <c r="AY354" s="458" t="str">
        <f>IF(AND($G354='Povolené hodnoty'!$B$13,$H354=AY$4),SUM($J354,$M354,$P354,$S354),"")</f>
        <v/>
      </c>
      <c r="AZ354" s="458" t="str">
        <f>IF(AND($G354='Povolené hodnoty'!$B$13,$H354=AZ$4),SUM($J354,$M354,$P354,$S354),"")</f>
        <v/>
      </c>
      <c r="BA354" s="458" t="str">
        <f>IF(AND($G354='Povolené hodnoty'!$B$13,$H354=BA$4),SUM($J354,$M354,$P354,$S354),"")</f>
        <v/>
      </c>
      <c r="BB354" s="40" t="str">
        <f>IF(AND($G354='Povolené hodnoty'!$B$13,$H354=BB$4),SUM($J354,$M354,$P354,$S354),"")</f>
        <v/>
      </c>
      <c r="BC354" s="40" t="str">
        <f>IF(AND($G354='Povolené hodnoty'!$B$13,$H354=BC$4),SUM($J354,$M354,$P354,$S354),"")</f>
        <v/>
      </c>
      <c r="BD354" s="40" t="str">
        <f>IF(AND($G354='Povolené hodnoty'!$B$13,$H354=BD$4),SUM($J354,$M354,$P354,$S354),"")</f>
        <v/>
      </c>
      <c r="BE354" s="41" t="str">
        <f>IF(AND($G354='Povolené hodnoty'!$B$13,$H354=BE$4),SUM($J354,$M354,$P354,$S354),"")</f>
        <v/>
      </c>
      <c r="BF354" s="39" t="str">
        <f>IF(AND($G354='Povolené hodnoty'!$B$14,$H354=BF$4),SUM($J354,$M354,$P354,$S354),"")</f>
        <v/>
      </c>
      <c r="BG354" s="458" t="str">
        <f>IF(AND($G354='Povolené hodnoty'!$B$14,$H354=BG$4),SUM($J354,$M354,$P354,$S354),"")</f>
        <v/>
      </c>
      <c r="BH354" s="458" t="str">
        <f>IF(AND($G354='Povolené hodnoty'!$B$14,$H354=BH$4),SUM($J354,$M354,$P354,$S354),"")</f>
        <v/>
      </c>
      <c r="BI354" s="458" t="str">
        <f>IF(AND($G354='Povolené hodnoty'!$B$14,$H354=BI$4),SUM($J354,$M354,$P354,$S354),"")</f>
        <v/>
      </c>
      <c r="BJ354" s="458" t="str">
        <f>IF(AND($G354='Povolené hodnoty'!$B$14,$H354=BJ$4),SUM($J354,$M354,$P354,$S354),"")</f>
        <v/>
      </c>
      <c r="BK354" s="40" t="str">
        <f>IF(AND($G354='Povolené hodnoty'!$B$14,$H354=BK$4),SUM($J354,$M354,$P354,$S354),"")</f>
        <v/>
      </c>
      <c r="BL354" s="40" t="str">
        <f>IF(AND($G354='Povolené hodnoty'!$B$14,$H354=BL$4),SUM($J354,$M354,$P354,$S354),"")</f>
        <v/>
      </c>
      <c r="BM354" s="41" t="str">
        <f>IF(AND($G354='Povolené hodnoty'!$B$14,$H354=BM$4),SUM($J354,$M354,$P354,$S354),"")</f>
        <v/>
      </c>
      <c r="BO354" s="18" t="b">
        <f t="shared" si="211"/>
        <v>0</v>
      </c>
      <c r="BP354" s="18" t="b">
        <f t="shared" si="182"/>
        <v>0</v>
      </c>
      <c r="BQ354" s="18" t="b">
        <f>AND(E354&lt;&gt;'Povolené hodnoty'!$B$6,F354&lt;&gt;'Povolené hodnoty'!$D$7,F354&lt;&gt;'Povolené hodnoty'!$D$8,OR(SUM(I354,L354,O354,R354)&lt;&gt;SUM(W354:X354,AA354:AG354),SUM(J354,M354,P354,S354)&lt;&gt;SUM(Y354:Z354,AH354:AK354),COUNT(I354:J354,L354:M354,O354:P354,R354:S354)&lt;&gt;COUNT(W354:AK354)))</f>
        <v>0</v>
      </c>
      <c r="BR354" s="18" t="b">
        <f>OR(AND(E354='Povolené hodnoty'!$B$6,$BR$5),AND(E354='Povolené hodnoty'!$B$6,H354&lt;&gt;'Povolené hodnoty'!$E$26,H354&lt;&gt;'Povolené hodnoty'!$E$35),AND(E354&lt;&gt;'Povolené hodnoty'!$B$6,OR(H354='Povolené hodnoty'!$E$26,H354='Povolené hodnoty'!$E$35)))</f>
        <v>0</v>
      </c>
      <c r="BS354" s="18" t="b">
        <f>OR(AND(G354&lt;&gt;'Povolené hodnoty'!$B$13,OR(H354='Povolené hodnoty'!$E$21,H354='Povolené hodnoty'!$E$22,H354='Povolené hodnoty'!$E$23,H354='Povolené hodnoty'!$E$24,H354='Povolené hodnoty'!$E$26,H354='Povolené hodnoty'!$E$36)),COUNT(I354:J354,L354:M354,O354:P354,R354:S354)&lt;&gt;COUNT(AL354:BM354))</f>
        <v>0</v>
      </c>
      <c r="BT354" s="18" t="b">
        <f t="shared" si="183"/>
        <v>0</v>
      </c>
      <c r="BV354" s="39" t="str">
        <f t="shared" si="184"/>
        <v/>
      </c>
      <c r="BW354" s="458" t="str">
        <f t="shared" si="185"/>
        <v/>
      </c>
      <c r="BX354" s="458" t="str">
        <f t="shared" si="186"/>
        <v/>
      </c>
      <c r="BY354" s="458" t="str">
        <f t="shared" si="187"/>
        <v/>
      </c>
      <c r="BZ354" s="458" t="str">
        <f t="shared" si="188"/>
        <v/>
      </c>
      <c r="CA354" s="40" t="str">
        <f t="shared" si="189"/>
        <v/>
      </c>
      <c r="CB354" s="40" t="str">
        <f t="shared" si="190"/>
        <v/>
      </c>
      <c r="CC354" s="39" t="str">
        <f t="shared" si="191"/>
        <v/>
      </c>
      <c r="CD354" s="458" t="str">
        <f t="shared" si="192"/>
        <v/>
      </c>
      <c r="CE354" s="41" t="str">
        <f t="shared" si="193"/>
        <v/>
      </c>
      <c r="CF354" s="39" t="str">
        <f t="shared" si="194"/>
        <v/>
      </c>
      <c r="CG354" s="458" t="str">
        <f t="shared" si="195"/>
        <v/>
      </c>
      <c r="CH354" s="458" t="str">
        <f t="shared" si="196"/>
        <v/>
      </c>
      <c r="CI354" s="458" t="str">
        <f t="shared" si="197"/>
        <v/>
      </c>
      <c r="CJ354" s="458" t="str">
        <f t="shared" si="198"/>
        <v/>
      </c>
      <c r="CK354" s="40" t="str">
        <f t="shared" si="199"/>
        <v/>
      </c>
      <c r="CL354" s="40" t="str">
        <f t="shared" si="200"/>
        <v/>
      </c>
      <c r="CM354" s="40" t="str">
        <f t="shared" si="201"/>
        <v/>
      </c>
      <c r="CN354" s="39" t="str">
        <f t="shared" si="202"/>
        <v/>
      </c>
      <c r="CO354" s="458" t="str">
        <f t="shared" si="203"/>
        <v/>
      </c>
      <c r="CP354" s="458" t="str">
        <f t="shared" si="204"/>
        <v/>
      </c>
      <c r="CQ354" s="458" t="str">
        <f t="shared" si="205"/>
        <v/>
      </c>
      <c r="CR354" s="458" t="str">
        <f t="shared" si="206"/>
        <v/>
      </c>
      <c r="CS354" s="40" t="str">
        <f t="shared" si="207"/>
        <v/>
      </c>
      <c r="CT354" s="40" t="str">
        <f t="shared" si="208"/>
        <v/>
      </c>
      <c r="CU354" s="41" t="str">
        <f t="shared" si="209"/>
        <v/>
      </c>
    </row>
    <row r="355" spans="1:99" x14ac:dyDescent="0.2">
      <c r="A355" s="77">
        <f t="shared" si="210"/>
        <v>350</v>
      </c>
      <c r="B355" s="81"/>
      <c r="C355" s="82"/>
      <c r="D355" s="71"/>
      <c r="E355" s="72"/>
      <c r="F355" s="73"/>
      <c r="G355" s="443"/>
      <c r="H355" s="443"/>
      <c r="I355" s="74"/>
      <c r="J355" s="75"/>
      <c r="K355" s="41">
        <f t="shared" si="179"/>
        <v>3625</v>
      </c>
      <c r="L355" s="104"/>
      <c r="M355" s="105"/>
      <c r="N355" s="106">
        <f t="shared" si="180"/>
        <v>537.05999999999995</v>
      </c>
      <c r="O355" s="104"/>
      <c r="P355" s="105"/>
      <c r="Q355" s="106">
        <f t="shared" si="212"/>
        <v>10045.83</v>
      </c>
      <c r="R355" s="104"/>
      <c r="S355" s="105"/>
      <c r="T355" s="106">
        <f t="shared" si="213"/>
        <v>0</v>
      </c>
      <c r="U355" s="439"/>
      <c r="V355" s="42">
        <f t="shared" si="181"/>
        <v>350</v>
      </c>
      <c r="W355" s="39" t="str">
        <f>IF(AND(E355='Povolené hodnoty'!$B$4,F355=2),I355+L355+O355+R355,"")</f>
        <v/>
      </c>
      <c r="X355" s="41" t="str">
        <f>IF(AND(E355='Povolené hodnoty'!$B$4,F355=1),I355+L355+O355+R355,"")</f>
        <v/>
      </c>
      <c r="Y355" s="39" t="str">
        <f>IF(AND(E355='Povolené hodnoty'!$B$4,F355=10),J355+M355+P355+S355,"")</f>
        <v/>
      </c>
      <c r="Z355" s="41" t="str">
        <f>IF(AND(E355='Povolené hodnoty'!$B$4,F355=9),J355+M355+P355+S355,"")</f>
        <v/>
      </c>
      <c r="AA355" s="39" t="str">
        <f>IF(AND(E355&lt;&gt;'Povolené hodnoty'!$B$4,F355=2),I355+L355+O355+R355,"")</f>
        <v/>
      </c>
      <c r="AB355" s="40" t="str">
        <f>IF(AND(E355&lt;&gt;'Povolené hodnoty'!$B$4,F355=3),I355+L355+O355+R355,"")</f>
        <v/>
      </c>
      <c r="AC355" s="40" t="str">
        <f>IF(AND(E355&lt;&gt;'Povolené hodnoty'!$B$4,F355=4),I355+L355+O355+R355,"")</f>
        <v/>
      </c>
      <c r="AD355" s="40" t="str">
        <f>IF(AND(E355&lt;&gt;'Povolené hodnoty'!$B$4,F355="5a"),I355-J355+L355-M355+O355-P355+R355-S355,"")</f>
        <v/>
      </c>
      <c r="AE355" s="40" t="str">
        <f>IF(AND(E355&lt;&gt;'Povolené hodnoty'!$B$4,F355="5b"),I355-J355+L355-M355+O355-P355+R355-S355,"")</f>
        <v/>
      </c>
      <c r="AF355" s="40" t="str">
        <f>IF(AND(E355&lt;&gt;'Povolené hodnoty'!$B$4,F355=6),I355+L355+O355+R355,"")</f>
        <v/>
      </c>
      <c r="AG355" s="41" t="str">
        <f>IF(AND(E355&lt;&gt;'Povolené hodnoty'!$B$4,F355=7),I355+L355+O355+R355,"")</f>
        <v/>
      </c>
      <c r="AH355" s="39" t="str">
        <f>IF(AND(E355&lt;&gt;'Povolené hodnoty'!$B$4,F355=10),J355+M355+P355+S355,"")</f>
        <v/>
      </c>
      <c r="AI355" s="40" t="str">
        <f>IF(AND(E355&lt;&gt;'Povolené hodnoty'!$B$4,F355=11),J355+M355+P355+S355,"")</f>
        <v/>
      </c>
      <c r="AJ355" s="40" t="str">
        <f>IF(AND(E355&lt;&gt;'Povolené hodnoty'!$B$4,F355=12),J355+M355+P355+S355,"")</f>
        <v/>
      </c>
      <c r="AK355" s="41" t="str">
        <f>IF(AND(E355&lt;&gt;'Povolené hodnoty'!$B$4,F355=13),J355+M355+P355+S355,"")</f>
        <v/>
      </c>
      <c r="AL355" s="39" t="str">
        <f>IF(AND($G355='Povolené hodnoty'!$B$13,$H355=AL$4),SUM($I355,$L355,$O355,$R355),"")</f>
        <v/>
      </c>
      <c r="AM355" s="458" t="str">
        <f>IF(AND($G355='Povolené hodnoty'!$B$13,$H355=AM$4),SUM($I355,$L355,$O355,$R355),"")</f>
        <v/>
      </c>
      <c r="AN355" s="458" t="str">
        <f>IF(AND($G355='Povolené hodnoty'!$B$13,$H355=AN$4),SUM($I355,$L355,$O355,$R355),"")</f>
        <v/>
      </c>
      <c r="AO355" s="458" t="str">
        <f>IF(AND($G355='Povolené hodnoty'!$B$13,$H355=AO$4),SUM($I355,$L355,$O355,$R355),"")</f>
        <v/>
      </c>
      <c r="AP355" s="458" t="str">
        <f>IF(AND($G355='Povolené hodnoty'!$B$13,$H355=AP$4),SUM($I355,$L355,$O355,$R355),"")</f>
        <v/>
      </c>
      <c r="AQ355" s="40" t="str">
        <f>IF(AND($G355='Povolené hodnoty'!$B$13,OR($H355=AQ$4,$H355='Povolené hodnoty'!$E$36)),SUM($I355,-$J355,$L355,-$M355,$O355,-$P355,$R355,-$S355),"")</f>
        <v/>
      </c>
      <c r="AR355" s="40" t="str">
        <f>IF(AND($G355='Povolené hodnoty'!$B$13,$H355=AR$4),SUM($I355,$L355,$O355,$R355),"")</f>
        <v/>
      </c>
      <c r="AS355" s="41" t="str">
        <f>IF(AND($G355='Povolené hodnoty'!$B$13,$H355=AS$4),SUM($I355,$L355,$O355,$R355),"")</f>
        <v/>
      </c>
      <c r="AT355" s="39" t="str">
        <f>IF(AND($G355='Povolené hodnoty'!$B$14,$H355=AT$4),SUM($I355,$L355,$O355,$R355),"")</f>
        <v/>
      </c>
      <c r="AU355" s="458" t="str">
        <f>IF(AND($G355='Povolené hodnoty'!$B$14,$H355=AU$4),SUM($I355,$L355,$O355,$R355),"")</f>
        <v/>
      </c>
      <c r="AV355" s="41" t="str">
        <f>IF(AND($G355='Povolené hodnoty'!$B$14,$H355=AV$4),SUM($I355,$L355,$O355,$R355),"")</f>
        <v/>
      </c>
      <c r="AW355" s="39" t="str">
        <f>IF(AND($G355='Povolené hodnoty'!$B$13,$H355=AW$4),SUM($J355,$M355,$P355,$S355),"")</f>
        <v/>
      </c>
      <c r="AX355" s="458" t="str">
        <f>IF(AND($G355='Povolené hodnoty'!$B$13,$H355=AX$4),SUM($J355,$M355,$P355,$S355),"")</f>
        <v/>
      </c>
      <c r="AY355" s="458" t="str">
        <f>IF(AND($G355='Povolené hodnoty'!$B$13,$H355=AY$4),SUM($J355,$M355,$P355,$S355),"")</f>
        <v/>
      </c>
      <c r="AZ355" s="458" t="str">
        <f>IF(AND($G355='Povolené hodnoty'!$B$13,$H355=AZ$4),SUM($J355,$M355,$P355,$S355),"")</f>
        <v/>
      </c>
      <c r="BA355" s="458" t="str">
        <f>IF(AND($G355='Povolené hodnoty'!$B$13,$H355=BA$4),SUM($J355,$M355,$P355,$S355),"")</f>
        <v/>
      </c>
      <c r="BB355" s="40" t="str">
        <f>IF(AND($G355='Povolené hodnoty'!$B$13,$H355=BB$4),SUM($J355,$M355,$P355,$S355),"")</f>
        <v/>
      </c>
      <c r="BC355" s="40" t="str">
        <f>IF(AND($G355='Povolené hodnoty'!$B$13,$H355=BC$4),SUM($J355,$M355,$P355,$S355),"")</f>
        <v/>
      </c>
      <c r="BD355" s="40" t="str">
        <f>IF(AND($G355='Povolené hodnoty'!$B$13,$H355=BD$4),SUM($J355,$M355,$P355,$S355),"")</f>
        <v/>
      </c>
      <c r="BE355" s="41" t="str">
        <f>IF(AND($G355='Povolené hodnoty'!$B$13,$H355=BE$4),SUM($J355,$M355,$P355,$S355),"")</f>
        <v/>
      </c>
      <c r="BF355" s="39" t="str">
        <f>IF(AND($G355='Povolené hodnoty'!$B$14,$H355=BF$4),SUM($J355,$M355,$P355,$S355),"")</f>
        <v/>
      </c>
      <c r="BG355" s="458" t="str">
        <f>IF(AND($G355='Povolené hodnoty'!$B$14,$H355=BG$4),SUM($J355,$M355,$P355,$S355),"")</f>
        <v/>
      </c>
      <c r="BH355" s="458" t="str">
        <f>IF(AND($G355='Povolené hodnoty'!$B$14,$H355=BH$4),SUM($J355,$M355,$P355,$S355),"")</f>
        <v/>
      </c>
      <c r="BI355" s="458" t="str">
        <f>IF(AND($G355='Povolené hodnoty'!$B$14,$H355=BI$4),SUM($J355,$M355,$P355,$S355),"")</f>
        <v/>
      </c>
      <c r="BJ355" s="458" t="str">
        <f>IF(AND($G355='Povolené hodnoty'!$B$14,$H355=BJ$4),SUM($J355,$M355,$P355,$S355),"")</f>
        <v/>
      </c>
      <c r="BK355" s="40" t="str">
        <f>IF(AND($G355='Povolené hodnoty'!$B$14,$H355=BK$4),SUM($J355,$M355,$P355,$S355),"")</f>
        <v/>
      </c>
      <c r="BL355" s="40" t="str">
        <f>IF(AND($G355='Povolené hodnoty'!$B$14,$H355=BL$4),SUM($J355,$M355,$P355,$S355),"")</f>
        <v/>
      </c>
      <c r="BM355" s="41" t="str">
        <f>IF(AND($G355='Povolené hodnoty'!$B$14,$H355=BM$4),SUM($J355,$M355,$P355,$S355),"")</f>
        <v/>
      </c>
      <c r="BO355" s="18" t="b">
        <f t="shared" si="211"/>
        <v>0</v>
      </c>
      <c r="BP355" s="18" t="b">
        <f t="shared" si="182"/>
        <v>0</v>
      </c>
      <c r="BQ355" s="18" t="b">
        <f>AND(E355&lt;&gt;'Povolené hodnoty'!$B$6,F355&lt;&gt;'Povolené hodnoty'!$D$7,F355&lt;&gt;'Povolené hodnoty'!$D$8,OR(SUM(I355,L355,O355,R355)&lt;&gt;SUM(W355:X355,AA355:AG355),SUM(J355,M355,P355,S355)&lt;&gt;SUM(Y355:Z355,AH355:AK355),COUNT(I355:J355,L355:M355,O355:P355,R355:S355)&lt;&gt;COUNT(W355:AK355)))</f>
        <v>0</v>
      </c>
      <c r="BR355" s="18" t="b">
        <f>OR(AND(E355='Povolené hodnoty'!$B$6,$BR$5),AND(E355='Povolené hodnoty'!$B$6,H355&lt;&gt;'Povolené hodnoty'!$E$26,H355&lt;&gt;'Povolené hodnoty'!$E$35),AND(E355&lt;&gt;'Povolené hodnoty'!$B$6,OR(H355='Povolené hodnoty'!$E$26,H355='Povolené hodnoty'!$E$35)))</f>
        <v>0</v>
      </c>
      <c r="BS355" s="18" t="b">
        <f>OR(AND(G355&lt;&gt;'Povolené hodnoty'!$B$13,OR(H355='Povolené hodnoty'!$E$21,H355='Povolené hodnoty'!$E$22,H355='Povolené hodnoty'!$E$23,H355='Povolené hodnoty'!$E$24,H355='Povolené hodnoty'!$E$26,H355='Povolené hodnoty'!$E$36)),COUNT(I355:J355,L355:M355,O355:P355,R355:S355)&lt;&gt;COUNT(AL355:BM355))</f>
        <v>0</v>
      </c>
      <c r="BT355" s="18" t="b">
        <f t="shared" si="183"/>
        <v>0</v>
      </c>
      <c r="BV355" s="39" t="str">
        <f t="shared" si="184"/>
        <v/>
      </c>
      <c r="BW355" s="458" t="str">
        <f t="shared" si="185"/>
        <v/>
      </c>
      <c r="BX355" s="458" t="str">
        <f t="shared" si="186"/>
        <v/>
      </c>
      <c r="BY355" s="458" t="str">
        <f t="shared" si="187"/>
        <v/>
      </c>
      <c r="BZ355" s="458" t="str">
        <f t="shared" si="188"/>
        <v/>
      </c>
      <c r="CA355" s="40" t="str">
        <f t="shared" si="189"/>
        <v/>
      </c>
      <c r="CB355" s="40" t="str">
        <f t="shared" si="190"/>
        <v/>
      </c>
      <c r="CC355" s="39" t="str">
        <f t="shared" si="191"/>
        <v/>
      </c>
      <c r="CD355" s="458" t="str">
        <f t="shared" si="192"/>
        <v/>
      </c>
      <c r="CE355" s="41" t="str">
        <f t="shared" si="193"/>
        <v/>
      </c>
      <c r="CF355" s="39" t="str">
        <f t="shared" si="194"/>
        <v/>
      </c>
      <c r="CG355" s="458" t="str">
        <f t="shared" si="195"/>
        <v/>
      </c>
      <c r="CH355" s="458" t="str">
        <f t="shared" si="196"/>
        <v/>
      </c>
      <c r="CI355" s="458" t="str">
        <f t="shared" si="197"/>
        <v/>
      </c>
      <c r="CJ355" s="458" t="str">
        <f t="shared" si="198"/>
        <v/>
      </c>
      <c r="CK355" s="40" t="str">
        <f t="shared" si="199"/>
        <v/>
      </c>
      <c r="CL355" s="40" t="str">
        <f t="shared" si="200"/>
        <v/>
      </c>
      <c r="CM355" s="40" t="str">
        <f t="shared" si="201"/>
        <v/>
      </c>
      <c r="CN355" s="39" t="str">
        <f t="shared" si="202"/>
        <v/>
      </c>
      <c r="CO355" s="458" t="str">
        <f t="shared" si="203"/>
        <v/>
      </c>
      <c r="CP355" s="458" t="str">
        <f t="shared" si="204"/>
        <v/>
      </c>
      <c r="CQ355" s="458" t="str">
        <f t="shared" si="205"/>
        <v/>
      </c>
      <c r="CR355" s="458" t="str">
        <f t="shared" si="206"/>
        <v/>
      </c>
      <c r="CS355" s="40" t="str">
        <f t="shared" si="207"/>
        <v/>
      </c>
      <c r="CT355" s="40" t="str">
        <f t="shared" si="208"/>
        <v/>
      </c>
      <c r="CU355" s="41" t="str">
        <f t="shared" si="209"/>
        <v/>
      </c>
    </row>
    <row r="356" spans="1:99" x14ac:dyDescent="0.2">
      <c r="A356" s="77">
        <f t="shared" si="210"/>
        <v>351</v>
      </c>
      <c r="B356" s="81"/>
      <c r="C356" s="82"/>
      <c r="D356" s="71"/>
      <c r="E356" s="72"/>
      <c r="F356" s="73"/>
      <c r="G356" s="443"/>
      <c r="H356" s="443"/>
      <c r="I356" s="74"/>
      <c r="J356" s="75"/>
      <c r="K356" s="41">
        <f t="shared" si="179"/>
        <v>3625</v>
      </c>
      <c r="L356" s="104"/>
      <c r="M356" s="105"/>
      <c r="N356" s="106">
        <f t="shared" si="180"/>
        <v>537.05999999999995</v>
      </c>
      <c r="O356" s="104"/>
      <c r="P356" s="105"/>
      <c r="Q356" s="106">
        <f t="shared" si="212"/>
        <v>10045.83</v>
      </c>
      <c r="R356" s="104"/>
      <c r="S356" s="105"/>
      <c r="T356" s="106">
        <f t="shared" si="213"/>
        <v>0</v>
      </c>
      <c r="U356" s="439"/>
      <c r="V356" s="42">
        <f t="shared" si="181"/>
        <v>351</v>
      </c>
      <c r="W356" s="39" t="str">
        <f>IF(AND(E356='Povolené hodnoty'!$B$4,F356=2),I356+L356+O356+R356,"")</f>
        <v/>
      </c>
      <c r="X356" s="41" t="str">
        <f>IF(AND(E356='Povolené hodnoty'!$B$4,F356=1),I356+L356+O356+R356,"")</f>
        <v/>
      </c>
      <c r="Y356" s="39" t="str">
        <f>IF(AND(E356='Povolené hodnoty'!$B$4,F356=10),J356+M356+P356+S356,"")</f>
        <v/>
      </c>
      <c r="Z356" s="41" t="str">
        <f>IF(AND(E356='Povolené hodnoty'!$B$4,F356=9),J356+M356+P356+S356,"")</f>
        <v/>
      </c>
      <c r="AA356" s="39" t="str">
        <f>IF(AND(E356&lt;&gt;'Povolené hodnoty'!$B$4,F356=2),I356+L356+O356+R356,"")</f>
        <v/>
      </c>
      <c r="AB356" s="40" t="str">
        <f>IF(AND(E356&lt;&gt;'Povolené hodnoty'!$B$4,F356=3),I356+L356+O356+R356,"")</f>
        <v/>
      </c>
      <c r="AC356" s="40" t="str">
        <f>IF(AND(E356&lt;&gt;'Povolené hodnoty'!$B$4,F356=4),I356+L356+O356+R356,"")</f>
        <v/>
      </c>
      <c r="AD356" s="40" t="str">
        <f>IF(AND(E356&lt;&gt;'Povolené hodnoty'!$B$4,F356="5a"),I356-J356+L356-M356+O356-P356+R356-S356,"")</f>
        <v/>
      </c>
      <c r="AE356" s="40" t="str">
        <f>IF(AND(E356&lt;&gt;'Povolené hodnoty'!$B$4,F356="5b"),I356-J356+L356-M356+O356-P356+R356-S356,"")</f>
        <v/>
      </c>
      <c r="AF356" s="40" t="str">
        <f>IF(AND(E356&lt;&gt;'Povolené hodnoty'!$B$4,F356=6),I356+L356+O356+R356,"")</f>
        <v/>
      </c>
      <c r="AG356" s="41" t="str">
        <f>IF(AND(E356&lt;&gt;'Povolené hodnoty'!$B$4,F356=7),I356+L356+O356+R356,"")</f>
        <v/>
      </c>
      <c r="AH356" s="39" t="str">
        <f>IF(AND(E356&lt;&gt;'Povolené hodnoty'!$B$4,F356=10),J356+M356+P356+S356,"")</f>
        <v/>
      </c>
      <c r="AI356" s="40" t="str">
        <f>IF(AND(E356&lt;&gt;'Povolené hodnoty'!$B$4,F356=11),J356+M356+P356+S356,"")</f>
        <v/>
      </c>
      <c r="AJ356" s="40" t="str">
        <f>IF(AND(E356&lt;&gt;'Povolené hodnoty'!$B$4,F356=12),J356+M356+P356+S356,"")</f>
        <v/>
      </c>
      <c r="AK356" s="41" t="str">
        <f>IF(AND(E356&lt;&gt;'Povolené hodnoty'!$B$4,F356=13),J356+M356+P356+S356,"")</f>
        <v/>
      </c>
      <c r="AL356" s="39" t="str">
        <f>IF(AND($G356='Povolené hodnoty'!$B$13,$H356=AL$4),SUM($I356,$L356,$O356,$R356),"")</f>
        <v/>
      </c>
      <c r="AM356" s="458" t="str">
        <f>IF(AND($G356='Povolené hodnoty'!$B$13,$H356=AM$4),SUM($I356,$L356,$O356,$R356),"")</f>
        <v/>
      </c>
      <c r="AN356" s="458" t="str">
        <f>IF(AND($G356='Povolené hodnoty'!$B$13,$H356=AN$4),SUM($I356,$L356,$O356,$R356),"")</f>
        <v/>
      </c>
      <c r="AO356" s="458" t="str">
        <f>IF(AND($G356='Povolené hodnoty'!$B$13,$H356=AO$4),SUM($I356,$L356,$O356,$R356),"")</f>
        <v/>
      </c>
      <c r="AP356" s="458" t="str">
        <f>IF(AND($G356='Povolené hodnoty'!$B$13,$H356=AP$4),SUM($I356,$L356,$O356,$R356),"")</f>
        <v/>
      </c>
      <c r="AQ356" s="40" t="str">
        <f>IF(AND($G356='Povolené hodnoty'!$B$13,OR($H356=AQ$4,$H356='Povolené hodnoty'!$E$36)),SUM($I356,-$J356,$L356,-$M356,$O356,-$P356,$R356,-$S356),"")</f>
        <v/>
      </c>
      <c r="AR356" s="40" t="str">
        <f>IF(AND($G356='Povolené hodnoty'!$B$13,$H356=AR$4),SUM($I356,$L356,$O356,$R356),"")</f>
        <v/>
      </c>
      <c r="AS356" s="41" t="str">
        <f>IF(AND($G356='Povolené hodnoty'!$B$13,$H356=AS$4),SUM($I356,$L356,$O356,$R356),"")</f>
        <v/>
      </c>
      <c r="AT356" s="39" t="str">
        <f>IF(AND($G356='Povolené hodnoty'!$B$14,$H356=AT$4),SUM($I356,$L356,$O356,$R356),"")</f>
        <v/>
      </c>
      <c r="AU356" s="458" t="str">
        <f>IF(AND($G356='Povolené hodnoty'!$B$14,$H356=AU$4),SUM($I356,$L356,$O356,$R356),"")</f>
        <v/>
      </c>
      <c r="AV356" s="41" t="str">
        <f>IF(AND($G356='Povolené hodnoty'!$B$14,$H356=AV$4),SUM($I356,$L356,$O356,$R356),"")</f>
        <v/>
      </c>
      <c r="AW356" s="39" t="str">
        <f>IF(AND($G356='Povolené hodnoty'!$B$13,$H356=AW$4),SUM($J356,$M356,$P356,$S356),"")</f>
        <v/>
      </c>
      <c r="AX356" s="458" t="str">
        <f>IF(AND($G356='Povolené hodnoty'!$B$13,$H356=AX$4),SUM($J356,$M356,$P356,$S356),"")</f>
        <v/>
      </c>
      <c r="AY356" s="458" t="str">
        <f>IF(AND($G356='Povolené hodnoty'!$B$13,$H356=AY$4),SUM($J356,$M356,$P356,$S356),"")</f>
        <v/>
      </c>
      <c r="AZ356" s="458" t="str">
        <f>IF(AND($G356='Povolené hodnoty'!$B$13,$H356=AZ$4),SUM($J356,$M356,$P356,$S356),"")</f>
        <v/>
      </c>
      <c r="BA356" s="458" t="str">
        <f>IF(AND($G356='Povolené hodnoty'!$B$13,$H356=BA$4),SUM($J356,$M356,$P356,$S356),"")</f>
        <v/>
      </c>
      <c r="BB356" s="40" t="str">
        <f>IF(AND($G356='Povolené hodnoty'!$B$13,$H356=BB$4),SUM($J356,$M356,$P356,$S356),"")</f>
        <v/>
      </c>
      <c r="BC356" s="40" t="str">
        <f>IF(AND($G356='Povolené hodnoty'!$B$13,$H356=BC$4),SUM($J356,$M356,$P356,$S356),"")</f>
        <v/>
      </c>
      <c r="BD356" s="40" t="str">
        <f>IF(AND($G356='Povolené hodnoty'!$B$13,$H356=BD$4),SUM($J356,$M356,$P356,$S356),"")</f>
        <v/>
      </c>
      <c r="BE356" s="41" t="str">
        <f>IF(AND($G356='Povolené hodnoty'!$B$13,$H356=BE$4),SUM($J356,$M356,$P356,$S356),"")</f>
        <v/>
      </c>
      <c r="BF356" s="39" t="str">
        <f>IF(AND($G356='Povolené hodnoty'!$B$14,$H356=BF$4),SUM($J356,$M356,$P356,$S356),"")</f>
        <v/>
      </c>
      <c r="BG356" s="458" t="str">
        <f>IF(AND($G356='Povolené hodnoty'!$B$14,$H356=BG$4),SUM($J356,$M356,$P356,$S356),"")</f>
        <v/>
      </c>
      <c r="BH356" s="458" t="str">
        <f>IF(AND($G356='Povolené hodnoty'!$B$14,$H356=BH$4),SUM($J356,$M356,$P356,$S356),"")</f>
        <v/>
      </c>
      <c r="BI356" s="458" t="str">
        <f>IF(AND($G356='Povolené hodnoty'!$B$14,$H356=BI$4),SUM($J356,$M356,$P356,$S356),"")</f>
        <v/>
      </c>
      <c r="BJ356" s="458" t="str">
        <f>IF(AND($G356='Povolené hodnoty'!$B$14,$H356=BJ$4),SUM($J356,$M356,$P356,$S356),"")</f>
        <v/>
      </c>
      <c r="BK356" s="40" t="str">
        <f>IF(AND($G356='Povolené hodnoty'!$B$14,$H356=BK$4),SUM($J356,$M356,$P356,$S356),"")</f>
        <v/>
      </c>
      <c r="BL356" s="40" t="str">
        <f>IF(AND($G356='Povolené hodnoty'!$B$14,$H356=BL$4),SUM($J356,$M356,$P356,$S356),"")</f>
        <v/>
      </c>
      <c r="BM356" s="41" t="str">
        <f>IF(AND($G356='Povolené hodnoty'!$B$14,$H356=BM$4),SUM($J356,$M356,$P356,$S356),"")</f>
        <v/>
      </c>
      <c r="BO356" s="18" t="b">
        <f t="shared" si="211"/>
        <v>0</v>
      </c>
      <c r="BP356" s="18" t="b">
        <f t="shared" si="182"/>
        <v>0</v>
      </c>
      <c r="BQ356" s="18" t="b">
        <f>AND(E356&lt;&gt;'Povolené hodnoty'!$B$6,F356&lt;&gt;'Povolené hodnoty'!$D$7,F356&lt;&gt;'Povolené hodnoty'!$D$8,OR(SUM(I356,L356,O356,R356)&lt;&gt;SUM(W356:X356,AA356:AG356),SUM(J356,M356,P356,S356)&lt;&gt;SUM(Y356:Z356,AH356:AK356),COUNT(I356:J356,L356:M356,O356:P356,R356:S356)&lt;&gt;COUNT(W356:AK356)))</f>
        <v>0</v>
      </c>
      <c r="BR356" s="18" t="b">
        <f>OR(AND(E356='Povolené hodnoty'!$B$6,$BR$5),AND(E356='Povolené hodnoty'!$B$6,H356&lt;&gt;'Povolené hodnoty'!$E$26,H356&lt;&gt;'Povolené hodnoty'!$E$35),AND(E356&lt;&gt;'Povolené hodnoty'!$B$6,OR(H356='Povolené hodnoty'!$E$26,H356='Povolené hodnoty'!$E$35)))</f>
        <v>0</v>
      </c>
      <c r="BS356" s="18" t="b">
        <f>OR(AND(G356&lt;&gt;'Povolené hodnoty'!$B$13,OR(H356='Povolené hodnoty'!$E$21,H356='Povolené hodnoty'!$E$22,H356='Povolené hodnoty'!$E$23,H356='Povolené hodnoty'!$E$24,H356='Povolené hodnoty'!$E$26,H356='Povolené hodnoty'!$E$36)),COUNT(I356:J356,L356:M356,O356:P356,R356:S356)&lt;&gt;COUNT(AL356:BM356))</f>
        <v>0</v>
      </c>
      <c r="BT356" s="18" t="b">
        <f t="shared" si="183"/>
        <v>0</v>
      </c>
      <c r="BV356" s="39" t="str">
        <f t="shared" si="184"/>
        <v/>
      </c>
      <c r="BW356" s="458" t="str">
        <f t="shared" si="185"/>
        <v/>
      </c>
      <c r="BX356" s="458" t="str">
        <f t="shared" si="186"/>
        <v/>
      </c>
      <c r="BY356" s="458" t="str">
        <f t="shared" si="187"/>
        <v/>
      </c>
      <c r="BZ356" s="458" t="str">
        <f t="shared" si="188"/>
        <v/>
      </c>
      <c r="CA356" s="40" t="str">
        <f t="shared" si="189"/>
        <v/>
      </c>
      <c r="CB356" s="40" t="str">
        <f t="shared" si="190"/>
        <v/>
      </c>
      <c r="CC356" s="39" t="str">
        <f t="shared" si="191"/>
        <v/>
      </c>
      <c r="CD356" s="458" t="str">
        <f t="shared" si="192"/>
        <v/>
      </c>
      <c r="CE356" s="41" t="str">
        <f t="shared" si="193"/>
        <v/>
      </c>
      <c r="CF356" s="39" t="str">
        <f t="shared" si="194"/>
        <v/>
      </c>
      <c r="CG356" s="458" t="str">
        <f t="shared" si="195"/>
        <v/>
      </c>
      <c r="CH356" s="458" t="str">
        <f t="shared" si="196"/>
        <v/>
      </c>
      <c r="CI356" s="458" t="str">
        <f t="shared" si="197"/>
        <v/>
      </c>
      <c r="CJ356" s="458" t="str">
        <f t="shared" si="198"/>
        <v/>
      </c>
      <c r="CK356" s="40" t="str">
        <f t="shared" si="199"/>
        <v/>
      </c>
      <c r="CL356" s="40" t="str">
        <f t="shared" si="200"/>
        <v/>
      </c>
      <c r="CM356" s="40" t="str">
        <f t="shared" si="201"/>
        <v/>
      </c>
      <c r="CN356" s="39" t="str">
        <f t="shared" si="202"/>
        <v/>
      </c>
      <c r="CO356" s="458" t="str">
        <f t="shared" si="203"/>
        <v/>
      </c>
      <c r="CP356" s="458" t="str">
        <f t="shared" si="204"/>
        <v/>
      </c>
      <c r="CQ356" s="458" t="str">
        <f t="shared" si="205"/>
        <v/>
      </c>
      <c r="CR356" s="458" t="str">
        <f t="shared" si="206"/>
        <v/>
      </c>
      <c r="CS356" s="40" t="str">
        <f t="shared" si="207"/>
        <v/>
      </c>
      <c r="CT356" s="40" t="str">
        <f t="shared" si="208"/>
        <v/>
      </c>
      <c r="CU356" s="41" t="str">
        <f t="shared" si="209"/>
        <v/>
      </c>
    </row>
    <row r="357" spans="1:99" x14ac:dyDescent="0.2">
      <c r="A357" s="77">
        <f t="shared" si="210"/>
        <v>352</v>
      </c>
      <c r="B357" s="81"/>
      <c r="C357" s="82"/>
      <c r="D357" s="71"/>
      <c r="E357" s="72"/>
      <c r="F357" s="73"/>
      <c r="G357" s="443"/>
      <c r="H357" s="443"/>
      <c r="I357" s="74"/>
      <c r="J357" s="75"/>
      <c r="K357" s="41">
        <f t="shared" si="179"/>
        <v>3625</v>
      </c>
      <c r="L357" s="104"/>
      <c r="M357" s="105"/>
      <c r="N357" s="106">
        <f t="shared" si="180"/>
        <v>537.05999999999995</v>
      </c>
      <c r="O357" s="104"/>
      <c r="P357" s="105"/>
      <c r="Q357" s="106">
        <f t="shared" si="212"/>
        <v>10045.83</v>
      </c>
      <c r="R357" s="104"/>
      <c r="S357" s="105"/>
      <c r="T357" s="106">
        <f t="shared" si="213"/>
        <v>0</v>
      </c>
      <c r="U357" s="439"/>
      <c r="V357" s="42">
        <f t="shared" si="181"/>
        <v>352</v>
      </c>
      <c r="W357" s="39" t="str">
        <f>IF(AND(E357='Povolené hodnoty'!$B$4,F357=2),I357+L357+O357+R357,"")</f>
        <v/>
      </c>
      <c r="X357" s="41" t="str">
        <f>IF(AND(E357='Povolené hodnoty'!$B$4,F357=1),I357+L357+O357+R357,"")</f>
        <v/>
      </c>
      <c r="Y357" s="39" t="str">
        <f>IF(AND(E357='Povolené hodnoty'!$B$4,F357=10),J357+M357+P357+S357,"")</f>
        <v/>
      </c>
      <c r="Z357" s="41" t="str">
        <f>IF(AND(E357='Povolené hodnoty'!$B$4,F357=9),J357+M357+P357+S357,"")</f>
        <v/>
      </c>
      <c r="AA357" s="39" t="str">
        <f>IF(AND(E357&lt;&gt;'Povolené hodnoty'!$B$4,F357=2),I357+L357+O357+R357,"")</f>
        <v/>
      </c>
      <c r="AB357" s="40" t="str">
        <f>IF(AND(E357&lt;&gt;'Povolené hodnoty'!$B$4,F357=3),I357+L357+O357+R357,"")</f>
        <v/>
      </c>
      <c r="AC357" s="40" t="str">
        <f>IF(AND(E357&lt;&gt;'Povolené hodnoty'!$B$4,F357=4),I357+L357+O357+R357,"")</f>
        <v/>
      </c>
      <c r="AD357" s="40" t="str">
        <f>IF(AND(E357&lt;&gt;'Povolené hodnoty'!$B$4,F357="5a"),I357-J357+L357-M357+O357-P357+R357-S357,"")</f>
        <v/>
      </c>
      <c r="AE357" s="40" t="str">
        <f>IF(AND(E357&lt;&gt;'Povolené hodnoty'!$B$4,F357="5b"),I357-J357+L357-M357+O357-P357+R357-S357,"")</f>
        <v/>
      </c>
      <c r="AF357" s="40" t="str">
        <f>IF(AND(E357&lt;&gt;'Povolené hodnoty'!$B$4,F357=6),I357+L357+O357+R357,"")</f>
        <v/>
      </c>
      <c r="AG357" s="41" t="str">
        <f>IF(AND(E357&lt;&gt;'Povolené hodnoty'!$B$4,F357=7),I357+L357+O357+R357,"")</f>
        <v/>
      </c>
      <c r="AH357" s="39" t="str">
        <f>IF(AND(E357&lt;&gt;'Povolené hodnoty'!$B$4,F357=10),J357+M357+P357+S357,"")</f>
        <v/>
      </c>
      <c r="AI357" s="40" t="str">
        <f>IF(AND(E357&lt;&gt;'Povolené hodnoty'!$B$4,F357=11),J357+M357+P357+S357,"")</f>
        <v/>
      </c>
      <c r="AJ357" s="40" t="str">
        <f>IF(AND(E357&lt;&gt;'Povolené hodnoty'!$B$4,F357=12),J357+M357+P357+S357,"")</f>
        <v/>
      </c>
      <c r="AK357" s="41" t="str">
        <f>IF(AND(E357&lt;&gt;'Povolené hodnoty'!$B$4,F357=13),J357+M357+P357+S357,"")</f>
        <v/>
      </c>
      <c r="AL357" s="39" t="str">
        <f>IF(AND($G357='Povolené hodnoty'!$B$13,$H357=AL$4),SUM($I357,$L357,$O357,$R357),"")</f>
        <v/>
      </c>
      <c r="AM357" s="458" t="str">
        <f>IF(AND($G357='Povolené hodnoty'!$B$13,$H357=AM$4),SUM($I357,$L357,$O357,$R357),"")</f>
        <v/>
      </c>
      <c r="AN357" s="458" t="str">
        <f>IF(AND($G357='Povolené hodnoty'!$B$13,$H357=AN$4),SUM($I357,$L357,$O357,$R357),"")</f>
        <v/>
      </c>
      <c r="AO357" s="458" t="str">
        <f>IF(AND($G357='Povolené hodnoty'!$B$13,$H357=AO$4),SUM($I357,$L357,$O357,$R357),"")</f>
        <v/>
      </c>
      <c r="AP357" s="458" t="str">
        <f>IF(AND($G357='Povolené hodnoty'!$B$13,$H357=AP$4),SUM($I357,$L357,$O357,$R357),"")</f>
        <v/>
      </c>
      <c r="AQ357" s="40" t="str">
        <f>IF(AND($G357='Povolené hodnoty'!$B$13,OR($H357=AQ$4,$H357='Povolené hodnoty'!$E$36)),SUM($I357,-$J357,$L357,-$M357,$O357,-$P357,$R357,-$S357),"")</f>
        <v/>
      </c>
      <c r="AR357" s="40" t="str">
        <f>IF(AND($G357='Povolené hodnoty'!$B$13,$H357=AR$4),SUM($I357,$L357,$O357,$R357),"")</f>
        <v/>
      </c>
      <c r="AS357" s="41" t="str">
        <f>IF(AND($G357='Povolené hodnoty'!$B$13,$H357=AS$4),SUM($I357,$L357,$O357,$R357),"")</f>
        <v/>
      </c>
      <c r="AT357" s="39" t="str">
        <f>IF(AND($G357='Povolené hodnoty'!$B$14,$H357=AT$4),SUM($I357,$L357,$O357,$R357),"")</f>
        <v/>
      </c>
      <c r="AU357" s="458" t="str">
        <f>IF(AND($G357='Povolené hodnoty'!$B$14,$H357=AU$4),SUM($I357,$L357,$O357,$R357),"")</f>
        <v/>
      </c>
      <c r="AV357" s="41" t="str">
        <f>IF(AND($G357='Povolené hodnoty'!$B$14,$H357=AV$4),SUM($I357,$L357,$O357,$R357),"")</f>
        <v/>
      </c>
      <c r="AW357" s="39" t="str">
        <f>IF(AND($G357='Povolené hodnoty'!$B$13,$H357=AW$4),SUM($J357,$M357,$P357,$S357),"")</f>
        <v/>
      </c>
      <c r="AX357" s="458" t="str">
        <f>IF(AND($G357='Povolené hodnoty'!$B$13,$H357=AX$4),SUM($J357,$M357,$P357,$S357),"")</f>
        <v/>
      </c>
      <c r="AY357" s="458" t="str">
        <f>IF(AND($G357='Povolené hodnoty'!$B$13,$H357=AY$4),SUM($J357,$M357,$P357,$S357),"")</f>
        <v/>
      </c>
      <c r="AZ357" s="458" t="str">
        <f>IF(AND($G357='Povolené hodnoty'!$B$13,$H357=AZ$4),SUM($J357,$M357,$P357,$S357),"")</f>
        <v/>
      </c>
      <c r="BA357" s="458" t="str">
        <f>IF(AND($G357='Povolené hodnoty'!$B$13,$H357=BA$4),SUM($J357,$M357,$P357,$S357),"")</f>
        <v/>
      </c>
      <c r="BB357" s="40" t="str">
        <f>IF(AND($G357='Povolené hodnoty'!$B$13,$H357=BB$4),SUM($J357,$M357,$P357,$S357),"")</f>
        <v/>
      </c>
      <c r="BC357" s="40" t="str">
        <f>IF(AND($G357='Povolené hodnoty'!$B$13,$H357=BC$4),SUM($J357,$M357,$P357,$S357),"")</f>
        <v/>
      </c>
      <c r="BD357" s="40" t="str">
        <f>IF(AND($G357='Povolené hodnoty'!$B$13,$H357=BD$4),SUM($J357,$M357,$P357,$S357),"")</f>
        <v/>
      </c>
      <c r="BE357" s="41" t="str">
        <f>IF(AND($G357='Povolené hodnoty'!$B$13,$H357=BE$4),SUM($J357,$M357,$P357,$S357),"")</f>
        <v/>
      </c>
      <c r="BF357" s="39" t="str">
        <f>IF(AND($G357='Povolené hodnoty'!$B$14,$H357=BF$4),SUM($J357,$M357,$P357,$S357),"")</f>
        <v/>
      </c>
      <c r="BG357" s="458" t="str">
        <f>IF(AND($G357='Povolené hodnoty'!$B$14,$H357=BG$4),SUM($J357,$M357,$P357,$S357),"")</f>
        <v/>
      </c>
      <c r="BH357" s="458" t="str">
        <f>IF(AND($G357='Povolené hodnoty'!$B$14,$H357=BH$4),SUM($J357,$M357,$P357,$S357),"")</f>
        <v/>
      </c>
      <c r="BI357" s="458" t="str">
        <f>IF(AND($G357='Povolené hodnoty'!$B$14,$H357=BI$4),SUM($J357,$M357,$P357,$S357),"")</f>
        <v/>
      </c>
      <c r="BJ357" s="458" t="str">
        <f>IF(AND($G357='Povolené hodnoty'!$B$14,$H357=BJ$4),SUM($J357,$M357,$P357,$S357),"")</f>
        <v/>
      </c>
      <c r="BK357" s="40" t="str">
        <f>IF(AND($G357='Povolené hodnoty'!$B$14,$H357=BK$4),SUM($J357,$M357,$P357,$S357),"")</f>
        <v/>
      </c>
      <c r="BL357" s="40" t="str">
        <f>IF(AND($G357='Povolené hodnoty'!$B$14,$H357=BL$4),SUM($J357,$M357,$P357,$S357),"")</f>
        <v/>
      </c>
      <c r="BM357" s="41" t="str">
        <f>IF(AND($G357='Povolené hodnoty'!$B$14,$H357=BM$4),SUM($J357,$M357,$P357,$S357),"")</f>
        <v/>
      </c>
      <c r="BO357" s="18" t="b">
        <f t="shared" si="211"/>
        <v>0</v>
      </c>
      <c r="BP357" s="18" t="b">
        <f t="shared" si="182"/>
        <v>0</v>
      </c>
      <c r="BQ357" s="18" t="b">
        <f>AND(E357&lt;&gt;'Povolené hodnoty'!$B$6,F357&lt;&gt;'Povolené hodnoty'!$D$7,F357&lt;&gt;'Povolené hodnoty'!$D$8,OR(SUM(I357,L357,O357,R357)&lt;&gt;SUM(W357:X357,AA357:AG357),SUM(J357,M357,P357,S357)&lt;&gt;SUM(Y357:Z357,AH357:AK357),COUNT(I357:J357,L357:M357,O357:P357,R357:S357)&lt;&gt;COUNT(W357:AK357)))</f>
        <v>0</v>
      </c>
      <c r="BR357" s="18" t="b">
        <f>OR(AND(E357='Povolené hodnoty'!$B$6,$BR$5),AND(E357='Povolené hodnoty'!$B$6,H357&lt;&gt;'Povolené hodnoty'!$E$26,H357&lt;&gt;'Povolené hodnoty'!$E$35),AND(E357&lt;&gt;'Povolené hodnoty'!$B$6,OR(H357='Povolené hodnoty'!$E$26,H357='Povolené hodnoty'!$E$35)))</f>
        <v>0</v>
      </c>
      <c r="BS357" s="18" t="b">
        <f>OR(AND(G357&lt;&gt;'Povolené hodnoty'!$B$13,OR(H357='Povolené hodnoty'!$E$21,H357='Povolené hodnoty'!$E$22,H357='Povolené hodnoty'!$E$23,H357='Povolené hodnoty'!$E$24,H357='Povolené hodnoty'!$E$26,H357='Povolené hodnoty'!$E$36)),COUNT(I357:J357,L357:M357,O357:P357,R357:S357)&lt;&gt;COUNT(AL357:BM357))</f>
        <v>0</v>
      </c>
      <c r="BT357" s="18" t="b">
        <f t="shared" si="183"/>
        <v>0</v>
      </c>
      <c r="BV357" s="39" t="str">
        <f t="shared" si="184"/>
        <v/>
      </c>
      <c r="BW357" s="458" t="str">
        <f t="shared" si="185"/>
        <v/>
      </c>
      <c r="BX357" s="458" t="str">
        <f t="shared" si="186"/>
        <v/>
      </c>
      <c r="BY357" s="458" t="str">
        <f t="shared" si="187"/>
        <v/>
      </c>
      <c r="BZ357" s="458" t="str">
        <f t="shared" si="188"/>
        <v/>
      </c>
      <c r="CA357" s="40" t="str">
        <f t="shared" si="189"/>
        <v/>
      </c>
      <c r="CB357" s="40" t="str">
        <f t="shared" si="190"/>
        <v/>
      </c>
      <c r="CC357" s="39" t="str">
        <f t="shared" si="191"/>
        <v/>
      </c>
      <c r="CD357" s="458" t="str">
        <f t="shared" si="192"/>
        <v/>
      </c>
      <c r="CE357" s="41" t="str">
        <f t="shared" si="193"/>
        <v/>
      </c>
      <c r="CF357" s="39" t="str">
        <f t="shared" si="194"/>
        <v/>
      </c>
      <c r="CG357" s="458" t="str">
        <f t="shared" si="195"/>
        <v/>
      </c>
      <c r="CH357" s="458" t="str">
        <f t="shared" si="196"/>
        <v/>
      </c>
      <c r="CI357" s="458" t="str">
        <f t="shared" si="197"/>
        <v/>
      </c>
      <c r="CJ357" s="458" t="str">
        <f t="shared" si="198"/>
        <v/>
      </c>
      <c r="CK357" s="40" t="str">
        <f t="shared" si="199"/>
        <v/>
      </c>
      <c r="CL357" s="40" t="str">
        <f t="shared" si="200"/>
        <v/>
      </c>
      <c r="CM357" s="40" t="str">
        <f t="shared" si="201"/>
        <v/>
      </c>
      <c r="CN357" s="39" t="str">
        <f t="shared" si="202"/>
        <v/>
      </c>
      <c r="CO357" s="458" t="str">
        <f t="shared" si="203"/>
        <v/>
      </c>
      <c r="CP357" s="458" t="str">
        <f t="shared" si="204"/>
        <v/>
      </c>
      <c r="CQ357" s="458" t="str">
        <f t="shared" si="205"/>
        <v/>
      </c>
      <c r="CR357" s="458" t="str">
        <f t="shared" si="206"/>
        <v/>
      </c>
      <c r="CS357" s="40" t="str">
        <f t="shared" si="207"/>
        <v/>
      </c>
      <c r="CT357" s="40" t="str">
        <f t="shared" si="208"/>
        <v/>
      </c>
      <c r="CU357" s="41" t="str">
        <f t="shared" si="209"/>
        <v/>
      </c>
    </row>
    <row r="358" spans="1:99" x14ac:dyDescent="0.2">
      <c r="A358" s="77">
        <f t="shared" si="210"/>
        <v>353</v>
      </c>
      <c r="B358" s="81"/>
      <c r="C358" s="82"/>
      <c r="D358" s="71"/>
      <c r="E358" s="72"/>
      <c r="F358" s="73"/>
      <c r="G358" s="443"/>
      <c r="H358" s="443"/>
      <c r="I358" s="74"/>
      <c r="J358" s="75"/>
      <c r="K358" s="41">
        <f t="shared" si="179"/>
        <v>3625</v>
      </c>
      <c r="L358" s="104"/>
      <c r="M358" s="105"/>
      <c r="N358" s="106">
        <f t="shared" si="180"/>
        <v>537.05999999999995</v>
      </c>
      <c r="O358" s="104"/>
      <c r="P358" s="105"/>
      <c r="Q358" s="106">
        <f t="shared" si="212"/>
        <v>10045.83</v>
      </c>
      <c r="R358" s="104"/>
      <c r="S358" s="105"/>
      <c r="T358" s="106">
        <f t="shared" si="213"/>
        <v>0</v>
      </c>
      <c r="U358" s="439"/>
      <c r="V358" s="42">
        <f t="shared" si="181"/>
        <v>353</v>
      </c>
      <c r="W358" s="39" t="str">
        <f>IF(AND(E358='Povolené hodnoty'!$B$4,F358=2),I358+L358+O358+R358,"")</f>
        <v/>
      </c>
      <c r="X358" s="41" t="str">
        <f>IF(AND(E358='Povolené hodnoty'!$B$4,F358=1),I358+L358+O358+R358,"")</f>
        <v/>
      </c>
      <c r="Y358" s="39" t="str">
        <f>IF(AND(E358='Povolené hodnoty'!$B$4,F358=10),J358+M358+P358+S358,"")</f>
        <v/>
      </c>
      <c r="Z358" s="41" t="str">
        <f>IF(AND(E358='Povolené hodnoty'!$B$4,F358=9),J358+M358+P358+S358,"")</f>
        <v/>
      </c>
      <c r="AA358" s="39" t="str">
        <f>IF(AND(E358&lt;&gt;'Povolené hodnoty'!$B$4,F358=2),I358+L358+O358+R358,"")</f>
        <v/>
      </c>
      <c r="AB358" s="40" t="str">
        <f>IF(AND(E358&lt;&gt;'Povolené hodnoty'!$B$4,F358=3),I358+L358+O358+R358,"")</f>
        <v/>
      </c>
      <c r="AC358" s="40" t="str">
        <f>IF(AND(E358&lt;&gt;'Povolené hodnoty'!$B$4,F358=4),I358+L358+O358+R358,"")</f>
        <v/>
      </c>
      <c r="AD358" s="40" t="str">
        <f>IF(AND(E358&lt;&gt;'Povolené hodnoty'!$B$4,F358="5a"),I358-J358+L358-M358+O358-P358+R358-S358,"")</f>
        <v/>
      </c>
      <c r="AE358" s="40" t="str">
        <f>IF(AND(E358&lt;&gt;'Povolené hodnoty'!$B$4,F358="5b"),I358-J358+L358-M358+O358-P358+R358-S358,"")</f>
        <v/>
      </c>
      <c r="AF358" s="40" t="str">
        <f>IF(AND(E358&lt;&gt;'Povolené hodnoty'!$B$4,F358=6),I358+L358+O358+R358,"")</f>
        <v/>
      </c>
      <c r="AG358" s="41" t="str">
        <f>IF(AND(E358&lt;&gt;'Povolené hodnoty'!$B$4,F358=7),I358+L358+O358+R358,"")</f>
        <v/>
      </c>
      <c r="AH358" s="39" t="str">
        <f>IF(AND(E358&lt;&gt;'Povolené hodnoty'!$B$4,F358=10),J358+M358+P358+S358,"")</f>
        <v/>
      </c>
      <c r="AI358" s="40" t="str">
        <f>IF(AND(E358&lt;&gt;'Povolené hodnoty'!$B$4,F358=11),J358+M358+P358+S358,"")</f>
        <v/>
      </c>
      <c r="AJ358" s="40" t="str">
        <f>IF(AND(E358&lt;&gt;'Povolené hodnoty'!$B$4,F358=12),J358+M358+P358+S358,"")</f>
        <v/>
      </c>
      <c r="AK358" s="41" t="str">
        <f>IF(AND(E358&lt;&gt;'Povolené hodnoty'!$B$4,F358=13),J358+M358+P358+S358,"")</f>
        <v/>
      </c>
      <c r="AL358" s="39" t="str">
        <f>IF(AND($G358='Povolené hodnoty'!$B$13,$H358=AL$4),SUM($I358,$L358,$O358,$R358),"")</f>
        <v/>
      </c>
      <c r="AM358" s="458" t="str">
        <f>IF(AND($G358='Povolené hodnoty'!$B$13,$H358=AM$4),SUM($I358,$L358,$O358,$R358),"")</f>
        <v/>
      </c>
      <c r="AN358" s="458" t="str">
        <f>IF(AND($G358='Povolené hodnoty'!$B$13,$H358=AN$4),SUM($I358,$L358,$O358,$R358),"")</f>
        <v/>
      </c>
      <c r="AO358" s="458" t="str">
        <f>IF(AND($G358='Povolené hodnoty'!$B$13,$H358=AO$4),SUM($I358,$L358,$O358,$R358),"")</f>
        <v/>
      </c>
      <c r="AP358" s="458" t="str">
        <f>IF(AND($G358='Povolené hodnoty'!$B$13,$H358=AP$4),SUM($I358,$L358,$O358,$R358),"")</f>
        <v/>
      </c>
      <c r="AQ358" s="40" t="str">
        <f>IF(AND($G358='Povolené hodnoty'!$B$13,OR($H358=AQ$4,$H358='Povolené hodnoty'!$E$36)),SUM($I358,-$J358,$L358,-$M358,$O358,-$P358,$R358,-$S358),"")</f>
        <v/>
      </c>
      <c r="AR358" s="40" t="str">
        <f>IF(AND($G358='Povolené hodnoty'!$B$13,$H358=AR$4),SUM($I358,$L358,$O358,$R358),"")</f>
        <v/>
      </c>
      <c r="AS358" s="41" t="str">
        <f>IF(AND($G358='Povolené hodnoty'!$B$13,$H358=AS$4),SUM($I358,$L358,$O358,$R358),"")</f>
        <v/>
      </c>
      <c r="AT358" s="39" t="str">
        <f>IF(AND($G358='Povolené hodnoty'!$B$14,$H358=AT$4),SUM($I358,$L358,$O358,$R358),"")</f>
        <v/>
      </c>
      <c r="AU358" s="458" t="str">
        <f>IF(AND($G358='Povolené hodnoty'!$B$14,$H358=AU$4),SUM($I358,$L358,$O358,$R358),"")</f>
        <v/>
      </c>
      <c r="AV358" s="41" t="str">
        <f>IF(AND($G358='Povolené hodnoty'!$B$14,$H358=AV$4),SUM($I358,$L358,$O358,$R358),"")</f>
        <v/>
      </c>
      <c r="AW358" s="39" t="str">
        <f>IF(AND($G358='Povolené hodnoty'!$B$13,$H358=AW$4),SUM($J358,$M358,$P358,$S358),"")</f>
        <v/>
      </c>
      <c r="AX358" s="458" t="str">
        <f>IF(AND($G358='Povolené hodnoty'!$B$13,$H358=AX$4),SUM($J358,$M358,$P358,$S358),"")</f>
        <v/>
      </c>
      <c r="AY358" s="458" t="str">
        <f>IF(AND($G358='Povolené hodnoty'!$B$13,$H358=AY$4),SUM($J358,$M358,$P358,$S358),"")</f>
        <v/>
      </c>
      <c r="AZ358" s="458" t="str">
        <f>IF(AND($G358='Povolené hodnoty'!$B$13,$H358=AZ$4),SUM($J358,$M358,$P358,$S358),"")</f>
        <v/>
      </c>
      <c r="BA358" s="458" t="str">
        <f>IF(AND($G358='Povolené hodnoty'!$B$13,$H358=BA$4),SUM($J358,$M358,$P358,$S358),"")</f>
        <v/>
      </c>
      <c r="BB358" s="40" t="str">
        <f>IF(AND($G358='Povolené hodnoty'!$B$13,$H358=BB$4),SUM($J358,$M358,$P358,$S358),"")</f>
        <v/>
      </c>
      <c r="BC358" s="40" t="str">
        <f>IF(AND($G358='Povolené hodnoty'!$B$13,$H358=BC$4),SUM($J358,$M358,$P358,$S358),"")</f>
        <v/>
      </c>
      <c r="BD358" s="40" t="str">
        <f>IF(AND($G358='Povolené hodnoty'!$B$13,$H358=BD$4),SUM($J358,$M358,$P358,$S358),"")</f>
        <v/>
      </c>
      <c r="BE358" s="41" t="str">
        <f>IF(AND($G358='Povolené hodnoty'!$B$13,$H358=BE$4),SUM($J358,$M358,$P358,$S358),"")</f>
        <v/>
      </c>
      <c r="BF358" s="39" t="str">
        <f>IF(AND($G358='Povolené hodnoty'!$B$14,$H358=BF$4),SUM($J358,$M358,$P358,$S358),"")</f>
        <v/>
      </c>
      <c r="BG358" s="458" t="str">
        <f>IF(AND($G358='Povolené hodnoty'!$B$14,$H358=BG$4),SUM($J358,$M358,$P358,$S358),"")</f>
        <v/>
      </c>
      <c r="BH358" s="458" t="str">
        <f>IF(AND($G358='Povolené hodnoty'!$B$14,$H358=BH$4),SUM($J358,$M358,$P358,$S358),"")</f>
        <v/>
      </c>
      <c r="BI358" s="458" t="str">
        <f>IF(AND($G358='Povolené hodnoty'!$B$14,$H358=BI$4),SUM($J358,$M358,$P358,$S358),"")</f>
        <v/>
      </c>
      <c r="BJ358" s="458" t="str">
        <f>IF(AND($G358='Povolené hodnoty'!$B$14,$H358=BJ$4),SUM($J358,$M358,$P358,$S358),"")</f>
        <v/>
      </c>
      <c r="BK358" s="40" t="str">
        <f>IF(AND($G358='Povolené hodnoty'!$B$14,$H358=BK$4),SUM($J358,$M358,$P358,$S358),"")</f>
        <v/>
      </c>
      <c r="BL358" s="40" t="str">
        <f>IF(AND($G358='Povolené hodnoty'!$B$14,$H358=BL$4),SUM($J358,$M358,$P358,$S358),"")</f>
        <v/>
      </c>
      <c r="BM358" s="41" t="str">
        <f>IF(AND($G358='Povolené hodnoty'!$B$14,$H358=BM$4),SUM($J358,$M358,$P358,$S358),"")</f>
        <v/>
      </c>
      <c r="BO358" s="18" t="b">
        <f t="shared" si="211"/>
        <v>0</v>
      </c>
      <c r="BP358" s="18" t="b">
        <f t="shared" si="182"/>
        <v>0</v>
      </c>
      <c r="BQ358" s="18" t="b">
        <f>AND(E358&lt;&gt;'Povolené hodnoty'!$B$6,F358&lt;&gt;'Povolené hodnoty'!$D$7,F358&lt;&gt;'Povolené hodnoty'!$D$8,OR(SUM(I358,L358,O358,R358)&lt;&gt;SUM(W358:X358,AA358:AG358),SUM(J358,M358,P358,S358)&lt;&gt;SUM(Y358:Z358,AH358:AK358),COUNT(I358:J358,L358:M358,O358:P358,R358:S358)&lt;&gt;COUNT(W358:AK358)))</f>
        <v>0</v>
      </c>
      <c r="BR358" s="18" t="b">
        <f>OR(AND(E358='Povolené hodnoty'!$B$6,$BR$5),AND(E358='Povolené hodnoty'!$B$6,H358&lt;&gt;'Povolené hodnoty'!$E$26,H358&lt;&gt;'Povolené hodnoty'!$E$35),AND(E358&lt;&gt;'Povolené hodnoty'!$B$6,OR(H358='Povolené hodnoty'!$E$26,H358='Povolené hodnoty'!$E$35)))</f>
        <v>0</v>
      </c>
      <c r="BS358" s="18" t="b">
        <f>OR(AND(G358&lt;&gt;'Povolené hodnoty'!$B$13,OR(H358='Povolené hodnoty'!$E$21,H358='Povolené hodnoty'!$E$22,H358='Povolené hodnoty'!$E$23,H358='Povolené hodnoty'!$E$24,H358='Povolené hodnoty'!$E$26,H358='Povolené hodnoty'!$E$36)),COUNT(I358:J358,L358:M358,O358:P358,R358:S358)&lt;&gt;COUNT(AL358:BM358))</f>
        <v>0</v>
      </c>
      <c r="BT358" s="18" t="b">
        <f t="shared" si="183"/>
        <v>0</v>
      </c>
      <c r="BV358" s="39" t="str">
        <f t="shared" si="184"/>
        <v/>
      </c>
      <c r="BW358" s="458" t="str">
        <f t="shared" si="185"/>
        <v/>
      </c>
      <c r="BX358" s="458" t="str">
        <f t="shared" si="186"/>
        <v/>
      </c>
      <c r="BY358" s="458" t="str">
        <f t="shared" si="187"/>
        <v/>
      </c>
      <c r="BZ358" s="458" t="str">
        <f t="shared" si="188"/>
        <v/>
      </c>
      <c r="CA358" s="40" t="str">
        <f t="shared" si="189"/>
        <v/>
      </c>
      <c r="CB358" s="40" t="str">
        <f t="shared" si="190"/>
        <v/>
      </c>
      <c r="CC358" s="39" t="str">
        <f t="shared" si="191"/>
        <v/>
      </c>
      <c r="CD358" s="458" t="str">
        <f t="shared" si="192"/>
        <v/>
      </c>
      <c r="CE358" s="41" t="str">
        <f t="shared" si="193"/>
        <v/>
      </c>
      <c r="CF358" s="39" t="str">
        <f t="shared" si="194"/>
        <v/>
      </c>
      <c r="CG358" s="458" t="str">
        <f t="shared" si="195"/>
        <v/>
      </c>
      <c r="CH358" s="458" t="str">
        <f t="shared" si="196"/>
        <v/>
      </c>
      <c r="CI358" s="458" t="str">
        <f t="shared" si="197"/>
        <v/>
      </c>
      <c r="CJ358" s="458" t="str">
        <f t="shared" si="198"/>
        <v/>
      </c>
      <c r="CK358" s="40" t="str">
        <f t="shared" si="199"/>
        <v/>
      </c>
      <c r="CL358" s="40" t="str">
        <f t="shared" si="200"/>
        <v/>
      </c>
      <c r="CM358" s="40" t="str">
        <f t="shared" si="201"/>
        <v/>
      </c>
      <c r="CN358" s="39" t="str">
        <f t="shared" si="202"/>
        <v/>
      </c>
      <c r="CO358" s="458" t="str">
        <f t="shared" si="203"/>
        <v/>
      </c>
      <c r="CP358" s="458" t="str">
        <f t="shared" si="204"/>
        <v/>
      </c>
      <c r="CQ358" s="458" t="str">
        <f t="shared" si="205"/>
        <v/>
      </c>
      <c r="CR358" s="458" t="str">
        <f t="shared" si="206"/>
        <v/>
      </c>
      <c r="CS358" s="40" t="str">
        <f t="shared" si="207"/>
        <v/>
      </c>
      <c r="CT358" s="40" t="str">
        <f t="shared" si="208"/>
        <v/>
      </c>
      <c r="CU358" s="41" t="str">
        <f t="shared" si="209"/>
        <v/>
      </c>
    </row>
    <row r="359" spans="1:99" x14ac:dyDescent="0.2">
      <c r="A359" s="77">
        <f t="shared" si="210"/>
        <v>354</v>
      </c>
      <c r="B359" s="81"/>
      <c r="C359" s="82"/>
      <c r="D359" s="71"/>
      <c r="E359" s="72"/>
      <c r="F359" s="73"/>
      <c r="G359" s="443"/>
      <c r="H359" s="443"/>
      <c r="I359" s="74"/>
      <c r="J359" s="75"/>
      <c r="K359" s="41">
        <f t="shared" si="179"/>
        <v>3625</v>
      </c>
      <c r="L359" s="104"/>
      <c r="M359" s="105"/>
      <c r="N359" s="106">
        <f t="shared" si="180"/>
        <v>537.05999999999995</v>
      </c>
      <c r="O359" s="104"/>
      <c r="P359" s="105"/>
      <c r="Q359" s="106">
        <f t="shared" si="212"/>
        <v>10045.83</v>
      </c>
      <c r="R359" s="104"/>
      <c r="S359" s="105"/>
      <c r="T359" s="106">
        <f t="shared" si="213"/>
        <v>0</v>
      </c>
      <c r="U359" s="439"/>
      <c r="V359" s="42">
        <f t="shared" si="181"/>
        <v>354</v>
      </c>
      <c r="W359" s="39" t="str">
        <f>IF(AND(E359='Povolené hodnoty'!$B$4,F359=2),I359+L359+O359+R359,"")</f>
        <v/>
      </c>
      <c r="X359" s="41" t="str">
        <f>IF(AND(E359='Povolené hodnoty'!$B$4,F359=1),I359+L359+O359+R359,"")</f>
        <v/>
      </c>
      <c r="Y359" s="39" t="str">
        <f>IF(AND(E359='Povolené hodnoty'!$B$4,F359=10),J359+M359+P359+S359,"")</f>
        <v/>
      </c>
      <c r="Z359" s="41" t="str">
        <f>IF(AND(E359='Povolené hodnoty'!$B$4,F359=9),J359+M359+P359+S359,"")</f>
        <v/>
      </c>
      <c r="AA359" s="39" t="str">
        <f>IF(AND(E359&lt;&gt;'Povolené hodnoty'!$B$4,F359=2),I359+L359+O359+R359,"")</f>
        <v/>
      </c>
      <c r="AB359" s="40" t="str">
        <f>IF(AND(E359&lt;&gt;'Povolené hodnoty'!$B$4,F359=3),I359+L359+O359+R359,"")</f>
        <v/>
      </c>
      <c r="AC359" s="40" t="str">
        <f>IF(AND(E359&lt;&gt;'Povolené hodnoty'!$B$4,F359=4),I359+L359+O359+R359,"")</f>
        <v/>
      </c>
      <c r="AD359" s="40" t="str">
        <f>IF(AND(E359&lt;&gt;'Povolené hodnoty'!$B$4,F359="5a"),I359-J359+L359-M359+O359-P359+R359-S359,"")</f>
        <v/>
      </c>
      <c r="AE359" s="40" t="str">
        <f>IF(AND(E359&lt;&gt;'Povolené hodnoty'!$B$4,F359="5b"),I359-J359+L359-M359+O359-P359+R359-S359,"")</f>
        <v/>
      </c>
      <c r="AF359" s="40" t="str">
        <f>IF(AND(E359&lt;&gt;'Povolené hodnoty'!$B$4,F359=6),I359+L359+O359+R359,"")</f>
        <v/>
      </c>
      <c r="AG359" s="41" t="str">
        <f>IF(AND(E359&lt;&gt;'Povolené hodnoty'!$B$4,F359=7),I359+L359+O359+R359,"")</f>
        <v/>
      </c>
      <c r="AH359" s="39" t="str">
        <f>IF(AND(E359&lt;&gt;'Povolené hodnoty'!$B$4,F359=10),J359+M359+P359+S359,"")</f>
        <v/>
      </c>
      <c r="AI359" s="40" t="str">
        <f>IF(AND(E359&lt;&gt;'Povolené hodnoty'!$B$4,F359=11),J359+M359+P359+S359,"")</f>
        <v/>
      </c>
      <c r="AJ359" s="40" t="str">
        <f>IF(AND(E359&lt;&gt;'Povolené hodnoty'!$B$4,F359=12),J359+M359+P359+S359,"")</f>
        <v/>
      </c>
      <c r="AK359" s="41" t="str">
        <f>IF(AND(E359&lt;&gt;'Povolené hodnoty'!$B$4,F359=13),J359+M359+P359+S359,"")</f>
        <v/>
      </c>
      <c r="AL359" s="39" t="str">
        <f>IF(AND($G359='Povolené hodnoty'!$B$13,$H359=AL$4),SUM($I359,$L359,$O359,$R359),"")</f>
        <v/>
      </c>
      <c r="AM359" s="458" t="str">
        <f>IF(AND($G359='Povolené hodnoty'!$B$13,$H359=AM$4),SUM($I359,$L359,$O359,$R359),"")</f>
        <v/>
      </c>
      <c r="AN359" s="458" t="str">
        <f>IF(AND($G359='Povolené hodnoty'!$B$13,$H359=AN$4),SUM($I359,$L359,$O359,$R359),"")</f>
        <v/>
      </c>
      <c r="AO359" s="458" t="str">
        <f>IF(AND($G359='Povolené hodnoty'!$B$13,$H359=AO$4),SUM($I359,$L359,$O359,$R359),"")</f>
        <v/>
      </c>
      <c r="AP359" s="458" t="str">
        <f>IF(AND($G359='Povolené hodnoty'!$B$13,$H359=AP$4),SUM($I359,$L359,$O359,$R359),"")</f>
        <v/>
      </c>
      <c r="AQ359" s="40" t="str">
        <f>IF(AND($G359='Povolené hodnoty'!$B$13,OR($H359=AQ$4,$H359='Povolené hodnoty'!$E$36)),SUM($I359,-$J359,$L359,-$M359,$O359,-$P359,$R359,-$S359),"")</f>
        <v/>
      </c>
      <c r="AR359" s="40" t="str">
        <f>IF(AND($G359='Povolené hodnoty'!$B$13,$H359=AR$4),SUM($I359,$L359,$O359,$R359),"")</f>
        <v/>
      </c>
      <c r="AS359" s="41" t="str">
        <f>IF(AND($G359='Povolené hodnoty'!$B$13,$H359=AS$4),SUM($I359,$L359,$O359,$R359),"")</f>
        <v/>
      </c>
      <c r="AT359" s="39" t="str">
        <f>IF(AND($G359='Povolené hodnoty'!$B$14,$H359=AT$4),SUM($I359,$L359,$O359,$R359),"")</f>
        <v/>
      </c>
      <c r="AU359" s="458" t="str">
        <f>IF(AND($G359='Povolené hodnoty'!$B$14,$H359=AU$4),SUM($I359,$L359,$O359,$R359),"")</f>
        <v/>
      </c>
      <c r="AV359" s="41" t="str">
        <f>IF(AND($G359='Povolené hodnoty'!$B$14,$H359=AV$4),SUM($I359,$L359,$O359,$R359),"")</f>
        <v/>
      </c>
      <c r="AW359" s="39" t="str">
        <f>IF(AND($G359='Povolené hodnoty'!$B$13,$H359=AW$4),SUM($J359,$M359,$P359,$S359),"")</f>
        <v/>
      </c>
      <c r="AX359" s="458" t="str">
        <f>IF(AND($G359='Povolené hodnoty'!$B$13,$H359=AX$4),SUM($J359,$M359,$P359,$S359),"")</f>
        <v/>
      </c>
      <c r="AY359" s="458" t="str">
        <f>IF(AND($G359='Povolené hodnoty'!$B$13,$H359=AY$4),SUM($J359,$M359,$P359,$S359),"")</f>
        <v/>
      </c>
      <c r="AZ359" s="458" t="str">
        <f>IF(AND($G359='Povolené hodnoty'!$B$13,$H359=AZ$4),SUM($J359,$M359,$P359,$S359),"")</f>
        <v/>
      </c>
      <c r="BA359" s="458" t="str">
        <f>IF(AND($G359='Povolené hodnoty'!$B$13,$H359=BA$4),SUM($J359,$M359,$P359,$S359),"")</f>
        <v/>
      </c>
      <c r="BB359" s="40" t="str">
        <f>IF(AND($G359='Povolené hodnoty'!$B$13,$H359=BB$4),SUM($J359,$M359,$P359,$S359),"")</f>
        <v/>
      </c>
      <c r="BC359" s="40" t="str">
        <f>IF(AND($G359='Povolené hodnoty'!$B$13,$H359=BC$4),SUM($J359,$M359,$P359,$S359),"")</f>
        <v/>
      </c>
      <c r="BD359" s="40" t="str">
        <f>IF(AND($G359='Povolené hodnoty'!$B$13,$H359=BD$4),SUM($J359,$M359,$P359,$S359),"")</f>
        <v/>
      </c>
      <c r="BE359" s="41" t="str">
        <f>IF(AND($G359='Povolené hodnoty'!$B$13,$H359=BE$4),SUM($J359,$M359,$P359,$S359),"")</f>
        <v/>
      </c>
      <c r="BF359" s="39" t="str">
        <f>IF(AND($G359='Povolené hodnoty'!$B$14,$H359=BF$4),SUM($J359,$M359,$P359,$S359),"")</f>
        <v/>
      </c>
      <c r="BG359" s="458" t="str">
        <f>IF(AND($G359='Povolené hodnoty'!$B$14,$H359=BG$4),SUM($J359,$M359,$P359,$S359),"")</f>
        <v/>
      </c>
      <c r="BH359" s="458" t="str">
        <f>IF(AND($G359='Povolené hodnoty'!$B$14,$H359=BH$4),SUM($J359,$M359,$P359,$S359),"")</f>
        <v/>
      </c>
      <c r="BI359" s="458" t="str">
        <f>IF(AND($G359='Povolené hodnoty'!$B$14,$H359=BI$4),SUM($J359,$M359,$P359,$S359),"")</f>
        <v/>
      </c>
      <c r="BJ359" s="458" t="str">
        <f>IF(AND($G359='Povolené hodnoty'!$B$14,$H359=BJ$4),SUM($J359,$M359,$P359,$S359),"")</f>
        <v/>
      </c>
      <c r="BK359" s="40" t="str">
        <f>IF(AND($G359='Povolené hodnoty'!$B$14,$H359=BK$4),SUM($J359,$M359,$P359,$S359),"")</f>
        <v/>
      </c>
      <c r="BL359" s="40" t="str">
        <f>IF(AND($G359='Povolené hodnoty'!$B$14,$H359=BL$4),SUM($J359,$M359,$P359,$S359),"")</f>
        <v/>
      </c>
      <c r="BM359" s="41" t="str">
        <f>IF(AND($G359='Povolené hodnoty'!$B$14,$H359=BM$4),SUM($J359,$M359,$P359,$S359),"")</f>
        <v/>
      </c>
      <c r="BO359" s="18" t="b">
        <f t="shared" si="211"/>
        <v>0</v>
      </c>
      <c r="BP359" s="18" t="b">
        <f t="shared" si="182"/>
        <v>0</v>
      </c>
      <c r="BQ359" s="18" t="b">
        <f>AND(E359&lt;&gt;'Povolené hodnoty'!$B$6,F359&lt;&gt;'Povolené hodnoty'!$D$7,F359&lt;&gt;'Povolené hodnoty'!$D$8,OR(SUM(I359,L359,O359,R359)&lt;&gt;SUM(W359:X359,AA359:AG359),SUM(J359,M359,P359,S359)&lt;&gt;SUM(Y359:Z359,AH359:AK359),COUNT(I359:J359,L359:M359,O359:P359,R359:S359)&lt;&gt;COUNT(W359:AK359)))</f>
        <v>0</v>
      </c>
      <c r="BR359" s="18" t="b">
        <f>OR(AND(E359='Povolené hodnoty'!$B$6,$BR$5),AND(E359='Povolené hodnoty'!$B$6,H359&lt;&gt;'Povolené hodnoty'!$E$26,H359&lt;&gt;'Povolené hodnoty'!$E$35),AND(E359&lt;&gt;'Povolené hodnoty'!$B$6,OR(H359='Povolené hodnoty'!$E$26,H359='Povolené hodnoty'!$E$35)))</f>
        <v>0</v>
      </c>
      <c r="BS359" s="18" t="b">
        <f>OR(AND(G359&lt;&gt;'Povolené hodnoty'!$B$13,OR(H359='Povolené hodnoty'!$E$21,H359='Povolené hodnoty'!$E$22,H359='Povolené hodnoty'!$E$23,H359='Povolené hodnoty'!$E$24,H359='Povolené hodnoty'!$E$26,H359='Povolené hodnoty'!$E$36)),COUNT(I359:J359,L359:M359,O359:P359,R359:S359)&lt;&gt;COUNT(AL359:BM359))</f>
        <v>0</v>
      </c>
      <c r="BT359" s="18" t="b">
        <f t="shared" si="183"/>
        <v>0</v>
      </c>
      <c r="BV359" s="39" t="str">
        <f t="shared" si="184"/>
        <v/>
      </c>
      <c r="BW359" s="458" t="str">
        <f t="shared" si="185"/>
        <v/>
      </c>
      <c r="BX359" s="458" t="str">
        <f t="shared" si="186"/>
        <v/>
      </c>
      <c r="BY359" s="458" t="str">
        <f t="shared" si="187"/>
        <v/>
      </c>
      <c r="BZ359" s="458" t="str">
        <f t="shared" si="188"/>
        <v/>
      </c>
      <c r="CA359" s="40" t="str">
        <f t="shared" si="189"/>
        <v/>
      </c>
      <c r="CB359" s="40" t="str">
        <f t="shared" si="190"/>
        <v/>
      </c>
      <c r="CC359" s="39" t="str">
        <f t="shared" si="191"/>
        <v/>
      </c>
      <c r="CD359" s="458" t="str">
        <f t="shared" si="192"/>
        <v/>
      </c>
      <c r="CE359" s="41" t="str">
        <f t="shared" si="193"/>
        <v/>
      </c>
      <c r="CF359" s="39" t="str">
        <f t="shared" si="194"/>
        <v/>
      </c>
      <c r="CG359" s="458" t="str">
        <f t="shared" si="195"/>
        <v/>
      </c>
      <c r="CH359" s="458" t="str">
        <f t="shared" si="196"/>
        <v/>
      </c>
      <c r="CI359" s="458" t="str">
        <f t="shared" si="197"/>
        <v/>
      </c>
      <c r="CJ359" s="458" t="str">
        <f t="shared" si="198"/>
        <v/>
      </c>
      <c r="CK359" s="40" t="str">
        <f t="shared" si="199"/>
        <v/>
      </c>
      <c r="CL359" s="40" t="str">
        <f t="shared" si="200"/>
        <v/>
      </c>
      <c r="CM359" s="40" t="str">
        <f t="shared" si="201"/>
        <v/>
      </c>
      <c r="CN359" s="39" t="str">
        <f t="shared" si="202"/>
        <v/>
      </c>
      <c r="CO359" s="458" t="str">
        <f t="shared" si="203"/>
        <v/>
      </c>
      <c r="CP359" s="458" t="str">
        <f t="shared" si="204"/>
        <v/>
      </c>
      <c r="CQ359" s="458" t="str">
        <f t="shared" si="205"/>
        <v/>
      </c>
      <c r="CR359" s="458" t="str">
        <f t="shared" si="206"/>
        <v/>
      </c>
      <c r="CS359" s="40" t="str">
        <f t="shared" si="207"/>
        <v/>
      </c>
      <c r="CT359" s="40" t="str">
        <f t="shared" si="208"/>
        <v/>
      </c>
      <c r="CU359" s="41" t="str">
        <f t="shared" si="209"/>
        <v/>
      </c>
    </row>
    <row r="360" spans="1:99" x14ac:dyDescent="0.2">
      <c r="A360" s="77">
        <f t="shared" si="210"/>
        <v>355</v>
      </c>
      <c r="B360" s="81"/>
      <c r="C360" s="82"/>
      <c r="D360" s="71"/>
      <c r="E360" s="72"/>
      <c r="F360" s="73"/>
      <c r="G360" s="443"/>
      <c r="H360" s="443"/>
      <c r="I360" s="74"/>
      <c r="J360" s="75"/>
      <c r="K360" s="41">
        <f t="shared" si="179"/>
        <v>3625</v>
      </c>
      <c r="L360" s="104"/>
      <c r="M360" s="105"/>
      <c r="N360" s="106">
        <f t="shared" si="180"/>
        <v>537.05999999999995</v>
      </c>
      <c r="O360" s="104"/>
      <c r="P360" s="105"/>
      <c r="Q360" s="106">
        <f t="shared" si="212"/>
        <v>10045.83</v>
      </c>
      <c r="R360" s="104"/>
      <c r="S360" s="105"/>
      <c r="T360" s="106">
        <f t="shared" si="213"/>
        <v>0</v>
      </c>
      <c r="U360" s="439"/>
      <c r="V360" s="42">
        <f t="shared" si="181"/>
        <v>355</v>
      </c>
      <c r="W360" s="39" t="str">
        <f>IF(AND(E360='Povolené hodnoty'!$B$4,F360=2),I360+L360+O360+R360,"")</f>
        <v/>
      </c>
      <c r="X360" s="41" t="str">
        <f>IF(AND(E360='Povolené hodnoty'!$B$4,F360=1),I360+L360+O360+R360,"")</f>
        <v/>
      </c>
      <c r="Y360" s="39" t="str">
        <f>IF(AND(E360='Povolené hodnoty'!$B$4,F360=10),J360+M360+P360+S360,"")</f>
        <v/>
      </c>
      <c r="Z360" s="41" t="str">
        <f>IF(AND(E360='Povolené hodnoty'!$B$4,F360=9),J360+M360+P360+S360,"")</f>
        <v/>
      </c>
      <c r="AA360" s="39" t="str">
        <f>IF(AND(E360&lt;&gt;'Povolené hodnoty'!$B$4,F360=2),I360+L360+O360+R360,"")</f>
        <v/>
      </c>
      <c r="AB360" s="40" t="str">
        <f>IF(AND(E360&lt;&gt;'Povolené hodnoty'!$B$4,F360=3),I360+L360+O360+R360,"")</f>
        <v/>
      </c>
      <c r="AC360" s="40" t="str">
        <f>IF(AND(E360&lt;&gt;'Povolené hodnoty'!$B$4,F360=4),I360+L360+O360+R360,"")</f>
        <v/>
      </c>
      <c r="AD360" s="40" t="str">
        <f>IF(AND(E360&lt;&gt;'Povolené hodnoty'!$B$4,F360="5a"),I360-J360+L360-M360+O360-P360+R360-S360,"")</f>
        <v/>
      </c>
      <c r="AE360" s="40" t="str">
        <f>IF(AND(E360&lt;&gt;'Povolené hodnoty'!$B$4,F360="5b"),I360-J360+L360-M360+O360-P360+R360-S360,"")</f>
        <v/>
      </c>
      <c r="AF360" s="40" t="str">
        <f>IF(AND(E360&lt;&gt;'Povolené hodnoty'!$B$4,F360=6),I360+L360+O360+R360,"")</f>
        <v/>
      </c>
      <c r="AG360" s="41" t="str">
        <f>IF(AND(E360&lt;&gt;'Povolené hodnoty'!$B$4,F360=7),I360+L360+O360+R360,"")</f>
        <v/>
      </c>
      <c r="AH360" s="39" t="str">
        <f>IF(AND(E360&lt;&gt;'Povolené hodnoty'!$B$4,F360=10),J360+M360+P360+S360,"")</f>
        <v/>
      </c>
      <c r="AI360" s="40" t="str">
        <f>IF(AND(E360&lt;&gt;'Povolené hodnoty'!$B$4,F360=11),J360+M360+P360+S360,"")</f>
        <v/>
      </c>
      <c r="AJ360" s="40" t="str">
        <f>IF(AND(E360&lt;&gt;'Povolené hodnoty'!$B$4,F360=12),J360+M360+P360+S360,"")</f>
        <v/>
      </c>
      <c r="AK360" s="41" t="str">
        <f>IF(AND(E360&lt;&gt;'Povolené hodnoty'!$B$4,F360=13),J360+M360+P360+S360,"")</f>
        <v/>
      </c>
      <c r="AL360" s="39" t="str">
        <f>IF(AND($G360='Povolené hodnoty'!$B$13,$H360=AL$4),SUM($I360,$L360,$O360,$R360),"")</f>
        <v/>
      </c>
      <c r="AM360" s="458" t="str">
        <f>IF(AND($G360='Povolené hodnoty'!$B$13,$H360=AM$4),SUM($I360,$L360,$O360,$R360),"")</f>
        <v/>
      </c>
      <c r="AN360" s="458" t="str">
        <f>IF(AND($G360='Povolené hodnoty'!$B$13,$H360=AN$4),SUM($I360,$L360,$O360,$R360),"")</f>
        <v/>
      </c>
      <c r="AO360" s="458" t="str">
        <f>IF(AND($G360='Povolené hodnoty'!$B$13,$H360=AO$4),SUM($I360,$L360,$O360,$R360),"")</f>
        <v/>
      </c>
      <c r="AP360" s="458" t="str">
        <f>IF(AND($G360='Povolené hodnoty'!$B$13,$H360=AP$4),SUM($I360,$L360,$O360,$R360),"")</f>
        <v/>
      </c>
      <c r="AQ360" s="40" t="str">
        <f>IF(AND($G360='Povolené hodnoty'!$B$13,OR($H360=AQ$4,$H360='Povolené hodnoty'!$E$36)),SUM($I360,-$J360,$L360,-$M360,$O360,-$P360,$R360,-$S360),"")</f>
        <v/>
      </c>
      <c r="AR360" s="40" t="str">
        <f>IF(AND($G360='Povolené hodnoty'!$B$13,$H360=AR$4),SUM($I360,$L360,$O360,$R360),"")</f>
        <v/>
      </c>
      <c r="AS360" s="41" t="str">
        <f>IF(AND($G360='Povolené hodnoty'!$B$13,$H360=AS$4),SUM($I360,$L360,$O360,$R360),"")</f>
        <v/>
      </c>
      <c r="AT360" s="39" t="str">
        <f>IF(AND($G360='Povolené hodnoty'!$B$14,$H360=AT$4),SUM($I360,$L360,$O360,$R360),"")</f>
        <v/>
      </c>
      <c r="AU360" s="458" t="str">
        <f>IF(AND($G360='Povolené hodnoty'!$B$14,$H360=AU$4),SUM($I360,$L360,$O360,$R360),"")</f>
        <v/>
      </c>
      <c r="AV360" s="41" t="str">
        <f>IF(AND($G360='Povolené hodnoty'!$B$14,$H360=AV$4),SUM($I360,$L360,$O360,$R360),"")</f>
        <v/>
      </c>
      <c r="AW360" s="39" t="str">
        <f>IF(AND($G360='Povolené hodnoty'!$B$13,$H360=AW$4),SUM($J360,$M360,$P360,$S360),"")</f>
        <v/>
      </c>
      <c r="AX360" s="458" t="str">
        <f>IF(AND($G360='Povolené hodnoty'!$B$13,$H360=AX$4),SUM($J360,$M360,$P360,$S360),"")</f>
        <v/>
      </c>
      <c r="AY360" s="458" t="str">
        <f>IF(AND($G360='Povolené hodnoty'!$B$13,$H360=AY$4),SUM($J360,$M360,$P360,$S360),"")</f>
        <v/>
      </c>
      <c r="AZ360" s="458" t="str">
        <f>IF(AND($G360='Povolené hodnoty'!$B$13,$H360=AZ$4),SUM($J360,$M360,$P360,$S360),"")</f>
        <v/>
      </c>
      <c r="BA360" s="458" t="str">
        <f>IF(AND($G360='Povolené hodnoty'!$B$13,$H360=BA$4),SUM($J360,$M360,$P360,$S360),"")</f>
        <v/>
      </c>
      <c r="BB360" s="40" t="str">
        <f>IF(AND($G360='Povolené hodnoty'!$B$13,$H360=BB$4),SUM($J360,$M360,$P360,$S360),"")</f>
        <v/>
      </c>
      <c r="BC360" s="40" t="str">
        <f>IF(AND($G360='Povolené hodnoty'!$B$13,$H360=BC$4),SUM($J360,$M360,$P360,$S360),"")</f>
        <v/>
      </c>
      <c r="BD360" s="40" t="str">
        <f>IF(AND($G360='Povolené hodnoty'!$B$13,$H360=BD$4),SUM($J360,$M360,$P360,$S360),"")</f>
        <v/>
      </c>
      <c r="BE360" s="41" t="str">
        <f>IF(AND($G360='Povolené hodnoty'!$B$13,$H360=BE$4),SUM($J360,$M360,$P360,$S360),"")</f>
        <v/>
      </c>
      <c r="BF360" s="39" t="str">
        <f>IF(AND($G360='Povolené hodnoty'!$B$14,$H360=BF$4),SUM($J360,$M360,$P360,$S360),"")</f>
        <v/>
      </c>
      <c r="BG360" s="458" t="str">
        <f>IF(AND($G360='Povolené hodnoty'!$B$14,$H360=BG$4),SUM($J360,$M360,$P360,$S360),"")</f>
        <v/>
      </c>
      <c r="BH360" s="458" t="str">
        <f>IF(AND($G360='Povolené hodnoty'!$B$14,$H360=BH$4),SUM($J360,$M360,$P360,$S360),"")</f>
        <v/>
      </c>
      <c r="BI360" s="458" t="str">
        <f>IF(AND($G360='Povolené hodnoty'!$B$14,$H360=BI$4),SUM($J360,$M360,$P360,$S360),"")</f>
        <v/>
      </c>
      <c r="BJ360" s="458" t="str">
        <f>IF(AND($G360='Povolené hodnoty'!$B$14,$H360=BJ$4),SUM($J360,$M360,$P360,$S360),"")</f>
        <v/>
      </c>
      <c r="BK360" s="40" t="str">
        <f>IF(AND($G360='Povolené hodnoty'!$B$14,$H360=BK$4),SUM($J360,$M360,$P360,$S360),"")</f>
        <v/>
      </c>
      <c r="BL360" s="40" t="str">
        <f>IF(AND($G360='Povolené hodnoty'!$B$14,$H360=BL$4),SUM($J360,$M360,$P360,$S360),"")</f>
        <v/>
      </c>
      <c r="BM360" s="41" t="str">
        <f>IF(AND($G360='Povolené hodnoty'!$B$14,$H360=BM$4),SUM($J360,$M360,$P360,$S360),"")</f>
        <v/>
      </c>
      <c r="BO360" s="18" t="b">
        <f t="shared" si="211"/>
        <v>0</v>
      </c>
      <c r="BP360" s="18" t="b">
        <f t="shared" si="182"/>
        <v>0</v>
      </c>
      <c r="BQ360" s="18" t="b">
        <f>AND(E360&lt;&gt;'Povolené hodnoty'!$B$6,F360&lt;&gt;'Povolené hodnoty'!$D$7,F360&lt;&gt;'Povolené hodnoty'!$D$8,OR(SUM(I360,L360,O360,R360)&lt;&gt;SUM(W360:X360,AA360:AG360),SUM(J360,M360,P360,S360)&lt;&gt;SUM(Y360:Z360,AH360:AK360),COUNT(I360:J360,L360:M360,O360:P360,R360:S360)&lt;&gt;COUNT(W360:AK360)))</f>
        <v>0</v>
      </c>
      <c r="BR360" s="18" t="b">
        <f>OR(AND(E360='Povolené hodnoty'!$B$6,$BR$5),AND(E360='Povolené hodnoty'!$B$6,H360&lt;&gt;'Povolené hodnoty'!$E$26,H360&lt;&gt;'Povolené hodnoty'!$E$35),AND(E360&lt;&gt;'Povolené hodnoty'!$B$6,OR(H360='Povolené hodnoty'!$E$26,H360='Povolené hodnoty'!$E$35)))</f>
        <v>0</v>
      </c>
      <c r="BS360" s="18" t="b">
        <f>OR(AND(G360&lt;&gt;'Povolené hodnoty'!$B$13,OR(H360='Povolené hodnoty'!$E$21,H360='Povolené hodnoty'!$E$22,H360='Povolené hodnoty'!$E$23,H360='Povolené hodnoty'!$E$24,H360='Povolené hodnoty'!$E$26,H360='Povolené hodnoty'!$E$36)),COUNT(I360:J360,L360:M360,O360:P360,R360:S360)&lt;&gt;COUNT(AL360:BM360))</f>
        <v>0</v>
      </c>
      <c r="BT360" s="18" t="b">
        <f t="shared" si="183"/>
        <v>0</v>
      </c>
      <c r="BV360" s="39" t="str">
        <f t="shared" si="184"/>
        <v/>
      </c>
      <c r="BW360" s="458" t="str">
        <f t="shared" si="185"/>
        <v/>
      </c>
      <c r="BX360" s="458" t="str">
        <f t="shared" si="186"/>
        <v/>
      </c>
      <c r="BY360" s="458" t="str">
        <f t="shared" si="187"/>
        <v/>
      </c>
      <c r="BZ360" s="458" t="str">
        <f t="shared" si="188"/>
        <v/>
      </c>
      <c r="CA360" s="40" t="str">
        <f t="shared" si="189"/>
        <v/>
      </c>
      <c r="CB360" s="40" t="str">
        <f t="shared" si="190"/>
        <v/>
      </c>
      <c r="CC360" s="39" t="str">
        <f t="shared" si="191"/>
        <v/>
      </c>
      <c r="CD360" s="458" t="str">
        <f t="shared" si="192"/>
        <v/>
      </c>
      <c r="CE360" s="41" t="str">
        <f t="shared" si="193"/>
        <v/>
      </c>
      <c r="CF360" s="39" t="str">
        <f t="shared" si="194"/>
        <v/>
      </c>
      <c r="CG360" s="458" t="str">
        <f t="shared" si="195"/>
        <v/>
      </c>
      <c r="CH360" s="458" t="str">
        <f t="shared" si="196"/>
        <v/>
      </c>
      <c r="CI360" s="458" t="str">
        <f t="shared" si="197"/>
        <v/>
      </c>
      <c r="CJ360" s="458" t="str">
        <f t="shared" si="198"/>
        <v/>
      </c>
      <c r="CK360" s="40" t="str">
        <f t="shared" si="199"/>
        <v/>
      </c>
      <c r="CL360" s="40" t="str">
        <f t="shared" si="200"/>
        <v/>
      </c>
      <c r="CM360" s="40" t="str">
        <f t="shared" si="201"/>
        <v/>
      </c>
      <c r="CN360" s="39" t="str">
        <f t="shared" si="202"/>
        <v/>
      </c>
      <c r="CO360" s="458" t="str">
        <f t="shared" si="203"/>
        <v/>
      </c>
      <c r="CP360" s="458" t="str">
        <f t="shared" si="204"/>
        <v/>
      </c>
      <c r="CQ360" s="458" t="str">
        <f t="shared" si="205"/>
        <v/>
      </c>
      <c r="CR360" s="458" t="str">
        <f t="shared" si="206"/>
        <v/>
      </c>
      <c r="CS360" s="40" t="str">
        <f t="shared" si="207"/>
        <v/>
      </c>
      <c r="CT360" s="40" t="str">
        <f t="shared" si="208"/>
        <v/>
      </c>
      <c r="CU360" s="41" t="str">
        <f t="shared" si="209"/>
        <v/>
      </c>
    </row>
    <row r="361" spans="1:99" x14ac:dyDescent="0.2">
      <c r="A361" s="77">
        <f t="shared" si="210"/>
        <v>356</v>
      </c>
      <c r="B361" s="81"/>
      <c r="C361" s="82"/>
      <c r="D361" s="71"/>
      <c r="E361" s="72"/>
      <c r="F361" s="73"/>
      <c r="G361" s="443"/>
      <c r="H361" s="443"/>
      <c r="I361" s="74"/>
      <c r="J361" s="75"/>
      <c r="K361" s="41">
        <f t="shared" si="179"/>
        <v>3625</v>
      </c>
      <c r="L361" s="104"/>
      <c r="M361" s="105"/>
      <c r="N361" s="106">
        <f t="shared" si="180"/>
        <v>537.05999999999995</v>
      </c>
      <c r="O361" s="104"/>
      <c r="P361" s="105"/>
      <c r="Q361" s="106">
        <f t="shared" si="212"/>
        <v>10045.83</v>
      </c>
      <c r="R361" s="104"/>
      <c r="S361" s="105"/>
      <c r="T361" s="106">
        <f t="shared" si="213"/>
        <v>0</v>
      </c>
      <c r="U361" s="439"/>
      <c r="V361" s="42">
        <f t="shared" si="181"/>
        <v>356</v>
      </c>
      <c r="W361" s="39" t="str">
        <f>IF(AND(E361='Povolené hodnoty'!$B$4,F361=2),I361+L361+O361+R361,"")</f>
        <v/>
      </c>
      <c r="X361" s="41" t="str">
        <f>IF(AND(E361='Povolené hodnoty'!$B$4,F361=1),I361+L361+O361+R361,"")</f>
        <v/>
      </c>
      <c r="Y361" s="39" t="str">
        <f>IF(AND(E361='Povolené hodnoty'!$B$4,F361=10),J361+M361+P361+S361,"")</f>
        <v/>
      </c>
      <c r="Z361" s="41" t="str">
        <f>IF(AND(E361='Povolené hodnoty'!$B$4,F361=9),J361+M361+P361+S361,"")</f>
        <v/>
      </c>
      <c r="AA361" s="39" t="str">
        <f>IF(AND(E361&lt;&gt;'Povolené hodnoty'!$B$4,F361=2),I361+L361+O361+R361,"")</f>
        <v/>
      </c>
      <c r="AB361" s="40" t="str">
        <f>IF(AND(E361&lt;&gt;'Povolené hodnoty'!$B$4,F361=3),I361+L361+O361+R361,"")</f>
        <v/>
      </c>
      <c r="AC361" s="40" t="str">
        <f>IF(AND(E361&lt;&gt;'Povolené hodnoty'!$B$4,F361=4),I361+L361+O361+R361,"")</f>
        <v/>
      </c>
      <c r="AD361" s="40" t="str">
        <f>IF(AND(E361&lt;&gt;'Povolené hodnoty'!$B$4,F361="5a"),I361-J361+L361-M361+O361-P361+R361-S361,"")</f>
        <v/>
      </c>
      <c r="AE361" s="40" t="str">
        <f>IF(AND(E361&lt;&gt;'Povolené hodnoty'!$B$4,F361="5b"),I361-J361+L361-M361+O361-P361+R361-S361,"")</f>
        <v/>
      </c>
      <c r="AF361" s="40" t="str">
        <f>IF(AND(E361&lt;&gt;'Povolené hodnoty'!$B$4,F361=6),I361+L361+O361+R361,"")</f>
        <v/>
      </c>
      <c r="AG361" s="41" t="str">
        <f>IF(AND(E361&lt;&gt;'Povolené hodnoty'!$B$4,F361=7),I361+L361+O361+R361,"")</f>
        <v/>
      </c>
      <c r="AH361" s="39" t="str">
        <f>IF(AND(E361&lt;&gt;'Povolené hodnoty'!$B$4,F361=10),J361+M361+P361+S361,"")</f>
        <v/>
      </c>
      <c r="AI361" s="40" t="str">
        <f>IF(AND(E361&lt;&gt;'Povolené hodnoty'!$B$4,F361=11),J361+M361+P361+S361,"")</f>
        <v/>
      </c>
      <c r="AJ361" s="40" t="str">
        <f>IF(AND(E361&lt;&gt;'Povolené hodnoty'!$B$4,F361=12),J361+M361+P361+S361,"")</f>
        <v/>
      </c>
      <c r="AK361" s="41" t="str">
        <f>IF(AND(E361&lt;&gt;'Povolené hodnoty'!$B$4,F361=13),J361+M361+P361+S361,"")</f>
        <v/>
      </c>
      <c r="AL361" s="39" t="str">
        <f>IF(AND($G361='Povolené hodnoty'!$B$13,$H361=AL$4),SUM($I361,$L361,$O361,$R361),"")</f>
        <v/>
      </c>
      <c r="AM361" s="458" t="str">
        <f>IF(AND($G361='Povolené hodnoty'!$B$13,$H361=AM$4),SUM($I361,$L361,$O361,$R361),"")</f>
        <v/>
      </c>
      <c r="AN361" s="458" t="str">
        <f>IF(AND($G361='Povolené hodnoty'!$B$13,$H361=AN$4),SUM($I361,$L361,$O361,$R361),"")</f>
        <v/>
      </c>
      <c r="AO361" s="458" t="str">
        <f>IF(AND($G361='Povolené hodnoty'!$B$13,$H361=AO$4),SUM($I361,$L361,$O361,$R361),"")</f>
        <v/>
      </c>
      <c r="AP361" s="458" t="str">
        <f>IF(AND($G361='Povolené hodnoty'!$B$13,$H361=AP$4),SUM($I361,$L361,$O361,$R361),"")</f>
        <v/>
      </c>
      <c r="AQ361" s="40" t="str">
        <f>IF(AND($G361='Povolené hodnoty'!$B$13,OR($H361=AQ$4,$H361='Povolené hodnoty'!$E$36)),SUM($I361,-$J361,$L361,-$M361,$O361,-$P361,$R361,-$S361),"")</f>
        <v/>
      </c>
      <c r="AR361" s="40" t="str">
        <f>IF(AND($G361='Povolené hodnoty'!$B$13,$H361=AR$4),SUM($I361,$L361,$O361,$R361),"")</f>
        <v/>
      </c>
      <c r="AS361" s="41" t="str">
        <f>IF(AND($G361='Povolené hodnoty'!$B$13,$H361=AS$4),SUM($I361,$L361,$O361,$R361),"")</f>
        <v/>
      </c>
      <c r="AT361" s="39" t="str">
        <f>IF(AND($G361='Povolené hodnoty'!$B$14,$H361=AT$4),SUM($I361,$L361,$O361,$R361),"")</f>
        <v/>
      </c>
      <c r="AU361" s="458" t="str">
        <f>IF(AND($G361='Povolené hodnoty'!$B$14,$H361=AU$4),SUM($I361,$L361,$O361,$R361),"")</f>
        <v/>
      </c>
      <c r="AV361" s="41" t="str">
        <f>IF(AND($G361='Povolené hodnoty'!$B$14,$H361=AV$4),SUM($I361,$L361,$O361,$R361),"")</f>
        <v/>
      </c>
      <c r="AW361" s="39" t="str">
        <f>IF(AND($G361='Povolené hodnoty'!$B$13,$H361=AW$4),SUM($J361,$M361,$P361,$S361),"")</f>
        <v/>
      </c>
      <c r="AX361" s="458" t="str">
        <f>IF(AND($G361='Povolené hodnoty'!$B$13,$H361=AX$4),SUM($J361,$M361,$P361,$S361),"")</f>
        <v/>
      </c>
      <c r="AY361" s="458" t="str">
        <f>IF(AND($G361='Povolené hodnoty'!$B$13,$H361=AY$4),SUM($J361,$M361,$P361,$S361),"")</f>
        <v/>
      </c>
      <c r="AZ361" s="458" t="str">
        <f>IF(AND($G361='Povolené hodnoty'!$B$13,$H361=AZ$4),SUM($J361,$M361,$P361,$S361),"")</f>
        <v/>
      </c>
      <c r="BA361" s="458" t="str">
        <f>IF(AND($G361='Povolené hodnoty'!$B$13,$H361=BA$4),SUM($J361,$M361,$P361,$S361),"")</f>
        <v/>
      </c>
      <c r="BB361" s="40" t="str">
        <f>IF(AND($G361='Povolené hodnoty'!$B$13,$H361=BB$4),SUM($J361,$M361,$P361,$S361),"")</f>
        <v/>
      </c>
      <c r="BC361" s="40" t="str">
        <f>IF(AND($G361='Povolené hodnoty'!$B$13,$H361=BC$4),SUM($J361,$M361,$P361,$S361),"")</f>
        <v/>
      </c>
      <c r="BD361" s="40" t="str">
        <f>IF(AND($G361='Povolené hodnoty'!$B$13,$H361=BD$4),SUM($J361,$M361,$P361,$S361),"")</f>
        <v/>
      </c>
      <c r="BE361" s="41" t="str">
        <f>IF(AND($G361='Povolené hodnoty'!$B$13,$H361=BE$4),SUM($J361,$M361,$P361,$S361),"")</f>
        <v/>
      </c>
      <c r="BF361" s="39" t="str">
        <f>IF(AND($G361='Povolené hodnoty'!$B$14,$H361=BF$4),SUM($J361,$M361,$P361,$S361),"")</f>
        <v/>
      </c>
      <c r="BG361" s="458" t="str">
        <f>IF(AND($G361='Povolené hodnoty'!$B$14,$H361=BG$4),SUM($J361,$M361,$P361,$S361),"")</f>
        <v/>
      </c>
      <c r="BH361" s="458" t="str">
        <f>IF(AND($G361='Povolené hodnoty'!$B$14,$H361=BH$4),SUM($J361,$M361,$P361,$S361),"")</f>
        <v/>
      </c>
      <c r="BI361" s="458" t="str">
        <f>IF(AND($G361='Povolené hodnoty'!$B$14,$H361=BI$4),SUM($J361,$M361,$P361,$S361),"")</f>
        <v/>
      </c>
      <c r="BJ361" s="458" t="str">
        <f>IF(AND($G361='Povolené hodnoty'!$B$14,$H361=BJ$4),SUM($J361,$M361,$P361,$S361),"")</f>
        <v/>
      </c>
      <c r="BK361" s="40" t="str">
        <f>IF(AND($G361='Povolené hodnoty'!$B$14,$H361=BK$4),SUM($J361,$M361,$P361,$S361),"")</f>
        <v/>
      </c>
      <c r="BL361" s="40" t="str">
        <f>IF(AND($G361='Povolené hodnoty'!$B$14,$H361=BL$4),SUM($J361,$M361,$P361,$S361),"")</f>
        <v/>
      </c>
      <c r="BM361" s="41" t="str">
        <f>IF(AND($G361='Povolené hodnoty'!$B$14,$H361=BM$4),SUM($J361,$M361,$P361,$S361),"")</f>
        <v/>
      </c>
      <c r="BO361" s="18" t="b">
        <f t="shared" si="211"/>
        <v>0</v>
      </c>
      <c r="BP361" s="18" t="b">
        <f t="shared" si="182"/>
        <v>0</v>
      </c>
      <c r="BQ361" s="18" t="b">
        <f>AND(E361&lt;&gt;'Povolené hodnoty'!$B$6,F361&lt;&gt;'Povolené hodnoty'!$D$7,F361&lt;&gt;'Povolené hodnoty'!$D$8,OR(SUM(I361,L361,O361,R361)&lt;&gt;SUM(W361:X361,AA361:AG361),SUM(J361,M361,P361,S361)&lt;&gt;SUM(Y361:Z361,AH361:AK361),COUNT(I361:J361,L361:M361,O361:P361,R361:S361)&lt;&gt;COUNT(W361:AK361)))</f>
        <v>0</v>
      </c>
      <c r="BR361" s="18" t="b">
        <f>OR(AND(E361='Povolené hodnoty'!$B$6,$BR$5),AND(E361='Povolené hodnoty'!$B$6,H361&lt;&gt;'Povolené hodnoty'!$E$26,H361&lt;&gt;'Povolené hodnoty'!$E$35),AND(E361&lt;&gt;'Povolené hodnoty'!$B$6,OR(H361='Povolené hodnoty'!$E$26,H361='Povolené hodnoty'!$E$35)))</f>
        <v>0</v>
      </c>
      <c r="BS361" s="18" t="b">
        <f>OR(AND(G361&lt;&gt;'Povolené hodnoty'!$B$13,OR(H361='Povolené hodnoty'!$E$21,H361='Povolené hodnoty'!$E$22,H361='Povolené hodnoty'!$E$23,H361='Povolené hodnoty'!$E$24,H361='Povolené hodnoty'!$E$26,H361='Povolené hodnoty'!$E$36)),COUNT(I361:J361,L361:M361,O361:P361,R361:S361)&lt;&gt;COUNT(AL361:BM361))</f>
        <v>0</v>
      </c>
      <c r="BT361" s="18" t="b">
        <f t="shared" si="183"/>
        <v>0</v>
      </c>
      <c r="BV361" s="39" t="str">
        <f t="shared" si="184"/>
        <v/>
      </c>
      <c r="BW361" s="458" t="str">
        <f t="shared" si="185"/>
        <v/>
      </c>
      <c r="BX361" s="458" t="str">
        <f t="shared" si="186"/>
        <v/>
      </c>
      <c r="BY361" s="458" t="str">
        <f t="shared" si="187"/>
        <v/>
      </c>
      <c r="BZ361" s="458" t="str">
        <f t="shared" si="188"/>
        <v/>
      </c>
      <c r="CA361" s="40" t="str">
        <f t="shared" si="189"/>
        <v/>
      </c>
      <c r="CB361" s="40" t="str">
        <f t="shared" si="190"/>
        <v/>
      </c>
      <c r="CC361" s="39" t="str">
        <f t="shared" si="191"/>
        <v/>
      </c>
      <c r="CD361" s="458" t="str">
        <f t="shared" si="192"/>
        <v/>
      </c>
      <c r="CE361" s="41" t="str">
        <f t="shared" si="193"/>
        <v/>
      </c>
      <c r="CF361" s="39" t="str">
        <f t="shared" si="194"/>
        <v/>
      </c>
      <c r="CG361" s="458" t="str">
        <f t="shared" si="195"/>
        <v/>
      </c>
      <c r="CH361" s="458" t="str">
        <f t="shared" si="196"/>
        <v/>
      </c>
      <c r="CI361" s="458" t="str">
        <f t="shared" si="197"/>
        <v/>
      </c>
      <c r="CJ361" s="458" t="str">
        <f t="shared" si="198"/>
        <v/>
      </c>
      <c r="CK361" s="40" t="str">
        <f t="shared" si="199"/>
        <v/>
      </c>
      <c r="CL361" s="40" t="str">
        <f t="shared" si="200"/>
        <v/>
      </c>
      <c r="CM361" s="40" t="str">
        <f t="shared" si="201"/>
        <v/>
      </c>
      <c r="CN361" s="39" t="str">
        <f t="shared" si="202"/>
        <v/>
      </c>
      <c r="CO361" s="458" t="str">
        <f t="shared" si="203"/>
        <v/>
      </c>
      <c r="CP361" s="458" t="str">
        <f t="shared" si="204"/>
        <v/>
      </c>
      <c r="CQ361" s="458" t="str">
        <f t="shared" si="205"/>
        <v/>
      </c>
      <c r="CR361" s="458" t="str">
        <f t="shared" si="206"/>
        <v/>
      </c>
      <c r="CS361" s="40" t="str">
        <f t="shared" si="207"/>
        <v/>
      </c>
      <c r="CT361" s="40" t="str">
        <f t="shared" si="208"/>
        <v/>
      </c>
      <c r="CU361" s="41" t="str">
        <f t="shared" si="209"/>
        <v/>
      </c>
    </row>
    <row r="362" spans="1:99" x14ac:dyDescent="0.2">
      <c r="A362" s="77">
        <f t="shared" si="210"/>
        <v>357</v>
      </c>
      <c r="B362" s="81"/>
      <c r="C362" s="82"/>
      <c r="D362" s="71"/>
      <c r="E362" s="72"/>
      <c r="F362" s="73"/>
      <c r="G362" s="443"/>
      <c r="H362" s="443"/>
      <c r="I362" s="74"/>
      <c r="J362" s="75"/>
      <c r="K362" s="41">
        <f t="shared" si="179"/>
        <v>3625</v>
      </c>
      <c r="L362" s="104"/>
      <c r="M362" s="105"/>
      <c r="N362" s="106">
        <f t="shared" si="180"/>
        <v>537.05999999999995</v>
      </c>
      <c r="O362" s="104"/>
      <c r="P362" s="105"/>
      <c r="Q362" s="106">
        <f t="shared" si="212"/>
        <v>10045.83</v>
      </c>
      <c r="R362" s="104"/>
      <c r="S362" s="105"/>
      <c r="T362" s="106">
        <f t="shared" si="213"/>
        <v>0</v>
      </c>
      <c r="U362" s="439"/>
      <c r="V362" s="42">
        <f t="shared" si="181"/>
        <v>357</v>
      </c>
      <c r="W362" s="39" t="str">
        <f>IF(AND(E362='Povolené hodnoty'!$B$4,F362=2),I362+L362+O362+R362,"")</f>
        <v/>
      </c>
      <c r="X362" s="41" t="str">
        <f>IF(AND(E362='Povolené hodnoty'!$B$4,F362=1),I362+L362+O362+R362,"")</f>
        <v/>
      </c>
      <c r="Y362" s="39" t="str">
        <f>IF(AND(E362='Povolené hodnoty'!$B$4,F362=10),J362+M362+P362+S362,"")</f>
        <v/>
      </c>
      <c r="Z362" s="41" t="str">
        <f>IF(AND(E362='Povolené hodnoty'!$B$4,F362=9),J362+M362+P362+S362,"")</f>
        <v/>
      </c>
      <c r="AA362" s="39" t="str">
        <f>IF(AND(E362&lt;&gt;'Povolené hodnoty'!$B$4,F362=2),I362+L362+O362+R362,"")</f>
        <v/>
      </c>
      <c r="AB362" s="40" t="str">
        <f>IF(AND(E362&lt;&gt;'Povolené hodnoty'!$B$4,F362=3),I362+L362+O362+R362,"")</f>
        <v/>
      </c>
      <c r="AC362" s="40" t="str">
        <f>IF(AND(E362&lt;&gt;'Povolené hodnoty'!$B$4,F362=4),I362+L362+O362+R362,"")</f>
        <v/>
      </c>
      <c r="AD362" s="40" t="str">
        <f>IF(AND(E362&lt;&gt;'Povolené hodnoty'!$B$4,F362="5a"),I362-J362+L362-M362+O362-P362+R362-S362,"")</f>
        <v/>
      </c>
      <c r="AE362" s="40" t="str">
        <f>IF(AND(E362&lt;&gt;'Povolené hodnoty'!$B$4,F362="5b"),I362-J362+L362-M362+O362-P362+R362-S362,"")</f>
        <v/>
      </c>
      <c r="AF362" s="40" t="str">
        <f>IF(AND(E362&lt;&gt;'Povolené hodnoty'!$B$4,F362=6),I362+L362+O362+R362,"")</f>
        <v/>
      </c>
      <c r="AG362" s="41" t="str">
        <f>IF(AND(E362&lt;&gt;'Povolené hodnoty'!$B$4,F362=7),I362+L362+O362+R362,"")</f>
        <v/>
      </c>
      <c r="AH362" s="39" t="str">
        <f>IF(AND(E362&lt;&gt;'Povolené hodnoty'!$B$4,F362=10),J362+M362+P362+S362,"")</f>
        <v/>
      </c>
      <c r="AI362" s="40" t="str">
        <f>IF(AND(E362&lt;&gt;'Povolené hodnoty'!$B$4,F362=11),J362+M362+P362+S362,"")</f>
        <v/>
      </c>
      <c r="AJ362" s="40" t="str">
        <f>IF(AND(E362&lt;&gt;'Povolené hodnoty'!$B$4,F362=12),J362+M362+P362+S362,"")</f>
        <v/>
      </c>
      <c r="AK362" s="41" t="str">
        <f>IF(AND(E362&lt;&gt;'Povolené hodnoty'!$B$4,F362=13),J362+M362+P362+S362,"")</f>
        <v/>
      </c>
      <c r="AL362" s="39" t="str">
        <f>IF(AND($G362='Povolené hodnoty'!$B$13,$H362=AL$4),SUM($I362,$L362,$O362,$R362),"")</f>
        <v/>
      </c>
      <c r="AM362" s="458" t="str">
        <f>IF(AND($G362='Povolené hodnoty'!$B$13,$H362=AM$4),SUM($I362,$L362,$O362,$R362),"")</f>
        <v/>
      </c>
      <c r="AN362" s="458" t="str">
        <f>IF(AND($G362='Povolené hodnoty'!$B$13,$H362=AN$4),SUM($I362,$L362,$O362,$R362),"")</f>
        <v/>
      </c>
      <c r="AO362" s="458" t="str">
        <f>IF(AND($G362='Povolené hodnoty'!$B$13,$H362=AO$4),SUM($I362,$L362,$O362,$R362),"")</f>
        <v/>
      </c>
      <c r="AP362" s="458" t="str">
        <f>IF(AND($G362='Povolené hodnoty'!$B$13,$H362=AP$4),SUM($I362,$L362,$O362,$R362),"")</f>
        <v/>
      </c>
      <c r="AQ362" s="40" t="str">
        <f>IF(AND($G362='Povolené hodnoty'!$B$13,OR($H362=AQ$4,$H362='Povolené hodnoty'!$E$36)),SUM($I362,-$J362,$L362,-$M362,$O362,-$P362,$R362,-$S362),"")</f>
        <v/>
      </c>
      <c r="AR362" s="40" t="str">
        <f>IF(AND($G362='Povolené hodnoty'!$B$13,$H362=AR$4),SUM($I362,$L362,$O362,$R362),"")</f>
        <v/>
      </c>
      <c r="AS362" s="41" t="str">
        <f>IF(AND($G362='Povolené hodnoty'!$B$13,$H362=AS$4),SUM($I362,$L362,$O362,$R362),"")</f>
        <v/>
      </c>
      <c r="AT362" s="39" t="str">
        <f>IF(AND($G362='Povolené hodnoty'!$B$14,$H362=AT$4),SUM($I362,$L362,$O362,$R362),"")</f>
        <v/>
      </c>
      <c r="AU362" s="458" t="str">
        <f>IF(AND($G362='Povolené hodnoty'!$B$14,$H362=AU$4),SUM($I362,$L362,$O362,$R362),"")</f>
        <v/>
      </c>
      <c r="AV362" s="41" t="str">
        <f>IF(AND($G362='Povolené hodnoty'!$B$14,$H362=AV$4),SUM($I362,$L362,$O362,$R362),"")</f>
        <v/>
      </c>
      <c r="AW362" s="39" t="str">
        <f>IF(AND($G362='Povolené hodnoty'!$B$13,$H362=AW$4),SUM($J362,$M362,$P362,$S362),"")</f>
        <v/>
      </c>
      <c r="AX362" s="458" t="str">
        <f>IF(AND($G362='Povolené hodnoty'!$B$13,$H362=AX$4),SUM($J362,$M362,$P362,$S362),"")</f>
        <v/>
      </c>
      <c r="AY362" s="458" t="str">
        <f>IF(AND($G362='Povolené hodnoty'!$B$13,$H362=AY$4),SUM($J362,$M362,$P362,$S362),"")</f>
        <v/>
      </c>
      <c r="AZ362" s="458" t="str">
        <f>IF(AND($G362='Povolené hodnoty'!$B$13,$H362=AZ$4),SUM($J362,$M362,$P362,$S362),"")</f>
        <v/>
      </c>
      <c r="BA362" s="458" t="str">
        <f>IF(AND($G362='Povolené hodnoty'!$B$13,$H362=BA$4),SUM($J362,$M362,$P362,$S362),"")</f>
        <v/>
      </c>
      <c r="BB362" s="40" t="str">
        <f>IF(AND($G362='Povolené hodnoty'!$B$13,$H362=BB$4),SUM($J362,$M362,$P362,$S362),"")</f>
        <v/>
      </c>
      <c r="BC362" s="40" t="str">
        <f>IF(AND($G362='Povolené hodnoty'!$B$13,$H362=BC$4),SUM($J362,$M362,$P362,$S362),"")</f>
        <v/>
      </c>
      <c r="BD362" s="40" t="str">
        <f>IF(AND($G362='Povolené hodnoty'!$B$13,$H362=BD$4),SUM($J362,$M362,$P362,$S362),"")</f>
        <v/>
      </c>
      <c r="BE362" s="41" t="str">
        <f>IF(AND($G362='Povolené hodnoty'!$B$13,$H362=BE$4),SUM($J362,$M362,$P362,$S362),"")</f>
        <v/>
      </c>
      <c r="BF362" s="39" t="str">
        <f>IF(AND($G362='Povolené hodnoty'!$B$14,$H362=BF$4),SUM($J362,$M362,$P362,$S362),"")</f>
        <v/>
      </c>
      <c r="BG362" s="458" t="str">
        <f>IF(AND($G362='Povolené hodnoty'!$B$14,$H362=BG$4),SUM($J362,$M362,$P362,$S362),"")</f>
        <v/>
      </c>
      <c r="BH362" s="458" t="str">
        <f>IF(AND($G362='Povolené hodnoty'!$B$14,$H362=BH$4),SUM($J362,$M362,$P362,$S362),"")</f>
        <v/>
      </c>
      <c r="BI362" s="458" t="str">
        <f>IF(AND($G362='Povolené hodnoty'!$B$14,$H362=BI$4),SUM($J362,$M362,$P362,$S362),"")</f>
        <v/>
      </c>
      <c r="BJ362" s="458" t="str">
        <f>IF(AND($G362='Povolené hodnoty'!$B$14,$H362=BJ$4),SUM($J362,$M362,$P362,$S362),"")</f>
        <v/>
      </c>
      <c r="BK362" s="40" t="str">
        <f>IF(AND($G362='Povolené hodnoty'!$B$14,$H362=BK$4),SUM($J362,$M362,$P362,$S362),"")</f>
        <v/>
      </c>
      <c r="BL362" s="40" t="str">
        <f>IF(AND($G362='Povolené hodnoty'!$B$14,$H362=BL$4),SUM($J362,$M362,$P362,$S362),"")</f>
        <v/>
      </c>
      <c r="BM362" s="41" t="str">
        <f>IF(AND($G362='Povolené hodnoty'!$B$14,$H362=BM$4),SUM($J362,$M362,$P362,$S362),"")</f>
        <v/>
      </c>
      <c r="BO362" s="18" t="b">
        <f t="shared" si="211"/>
        <v>0</v>
      </c>
      <c r="BP362" s="18" t="b">
        <f t="shared" si="182"/>
        <v>0</v>
      </c>
      <c r="BQ362" s="18" t="b">
        <f>AND(E362&lt;&gt;'Povolené hodnoty'!$B$6,F362&lt;&gt;'Povolené hodnoty'!$D$7,F362&lt;&gt;'Povolené hodnoty'!$D$8,OR(SUM(I362,L362,O362,R362)&lt;&gt;SUM(W362:X362,AA362:AG362),SUM(J362,M362,P362,S362)&lt;&gt;SUM(Y362:Z362,AH362:AK362),COUNT(I362:J362,L362:M362,O362:P362,R362:S362)&lt;&gt;COUNT(W362:AK362)))</f>
        <v>0</v>
      </c>
      <c r="BR362" s="18" t="b">
        <f>OR(AND(E362='Povolené hodnoty'!$B$6,$BR$5),AND(E362='Povolené hodnoty'!$B$6,H362&lt;&gt;'Povolené hodnoty'!$E$26,H362&lt;&gt;'Povolené hodnoty'!$E$35),AND(E362&lt;&gt;'Povolené hodnoty'!$B$6,OR(H362='Povolené hodnoty'!$E$26,H362='Povolené hodnoty'!$E$35)))</f>
        <v>0</v>
      </c>
      <c r="BS362" s="18" t="b">
        <f>OR(AND(G362&lt;&gt;'Povolené hodnoty'!$B$13,OR(H362='Povolené hodnoty'!$E$21,H362='Povolené hodnoty'!$E$22,H362='Povolené hodnoty'!$E$23,H362='Povolené hodnoty'!$E$24,H362='Povolené hodnoty'!$E$26,H362='Povolené hodnoty'!$E$36)),COUNT(I362:J362,L362:M362,O362:P362,R362:S362)&lt;&gt;COUNT(AL362:BM362))</f>
        <v>0</v>
      </c>
      <c r="BT362" s="18" t="b">
        <f t="shared" si="183"/>
        <v>0</v>
      </c>
      <c r="BV362" s="39" t="str">
        <f t="shared" si="184"/>
        <v/>
      </c>
      <c r="BW362" s="458" t="str">
        <f t="shared" si="185"/>
        <v/>
      </c>
      <c r="BX362" s="458" t="str">
        <f t="shared" si="186"/>
        <v/>
      </c>
      <c r="BY362" s="458" t="str">
        <f t="shared" si="187"/>
        <v/>
      </c>
      <c r="BZ362" s="458" t="str">
        <f t="shared" si="188"/>
        <v/>
      </c>
      <c r="CA362" s="40" t="str">
        <f t="shared" si="189"/>
        <v/>
      </c>
      <c r="CB362" s="40" t="str">
        <f t="shared" si="190"/>
        <v/>
      </c>
      <c r="CC362" s="39" t="str">
        <f t="shared" si="191"/>
        <v/>
      </c>
      <c r="CD362" s="458" t="str">
        <f t="shared" si="192"/>
        <v/>
      </c>
      <c r="CE362" s="41" t="str">
        <f t="shared" si="193"/>
        <v/>
      </c>
      <c r="CF362" s="39" t="str">
        <f t="shared" si="194"/>
        <v/>
      </c>
      <c r="CG362" s="458" t="str">
        <f t="shared" si="195"/>
        <v/>
      </c>
      <c r="CH362" s="458" t="str">
        <f t="shared" si="196"/>
        <v/>
      </c>
      <c r="CI362" s="458" t="str">
        <f t="shared" si="197"/>
        <v/>
      </c>
      <c r="CJ362" s="458" t="str">
        <f t="shared" si="198"/>
        <v/>
      </c>
      <c r="CK362" s="40" t="str">
        <f t="shared" si="199"/>
        <v/>
      </c>
      <c r="CL362" s="40" t="str">
        <f t="shared" si="200"/>
        <v/>
      </c>
      <c r="CM362" s="40" t="str">
        <f t="shared" si="201"/>
        <v/>
      </c>
      <c r="CN362" s="39" t="str">
        <f t="shared" si="202"/>
        <v/>
      </c>
      <c r="CO362" s="458" t="str">
        <f t="shared" si="203"/>
        <v/>
      </c>
      <c r="CP362" s="458" t="str">
        <f t="shared" si="204"/>
        <v/>
      </c>
      <c r="CQ362" s="458" t="str">
        <f t="shared" si="205"/>
        <v/>
      </c>
      <c r="CR362" s="458" t="str">
        <f t="shared" si="206"/>
        <v/>
      </c>
      <c r="CS362" s="40" t="str">
        <f t="shared" si="207"/>
        <v/>
      </c>
      <c r="CT362" s="40" t="str">
        <f t="shared" si="208"/>
        <v/>
      </c>
      <c r="CU362" s="41" t="str">
        <f t="shared" si="209"/>
        <v/>
      </c>
    </row>
    <row r="363" spans="1:99" x14ac:dyDescent="0.2">
      <c r="A363" s="77">
        <f t="shared" si="210"/>
        <v>358</v>
      </c>
      <c r="B363" s="81"/>
      <c r="C363" s="82"/>
      <c r="D363" s="71"/>
      <c r="E363" s="72"/>
      <c r="F363" s="73"/>
      <c r="G363" s="443"/>
      <c r="H363" s="443"/>
      <c r="I363" s="74"/>
      <c r="J363" s="75"/>
      <c r="K363" s="41">
        <f t="shared" si="179"/>
        <v>3625</v>
      </c>
      <c r="L363" s="104"/>
      <c r="M363" s="105"/>
      <c r="N363" s="106">
        <f t="shared" si="180"/>
        <v>537.05999999999995</v>
      </c>
      <c r="O363" s="104"/>
      <c r="P363" s="105"/>
      <c r="Q363" s="106">
        <f t="shared" si="212"/>
        <v>10045.83</v>
      </c>
      <c r="R363" s="104"/>
      <c r="S363" s="105"/>
      <c r="T363" s="106">
        <f t="shared" si="213"/>
        <v>0</v>
      </c>
      <c r="U363" s="439"/>
      <c r="V363" s="42">
        <f t="shared" si="181"/>
        <v>358</v>
      </c>
      <c r="W363" s="39" t="str">
        <f>IF(AND(E363='Povolené hodnoty'!$B$4,F363=2),I363+L363+O363+R363,"")</f>
        <v/>
      </c>
      <c r="X363" s="41" t="str">
        <f>IF(AND(E363='Povolené hodnoty'!$B$4,F363=1),I363+L363+O363+R363,"")</f>
        <v/>
      </c>
      <c r="Y363" s="39" t="str">
        <f>IF(AND(E363='Povolené hodnoty'!$B$4,F363=10),J363+M363+P363+S363,"")</f>
        <v/>
      </c>
      <c r="Z363" s="41" t="str">
        <f>IF(AND(E363='Povolené hodnoty'!$B$4,F363=9),J363+M363+P363+S363,"")</f>
        <v/>
      </c>
      <c r="AA363" s="39" t="str">
        <f>IF(AND(E363&lt;&gt;'Povolené hodnoty'!$B$4,F363=2),I363+L363+O363+R363,"")</f>
        <v/>
      </c>
      <c r="AB363" s="40" t="str">
        <f>IF(AND(E363&lt;&gt;'Povolené hodnoty'!$B$4,F363=3),I363+L363+O363+R363,"")</f>
        <v/>
      </c>
      <c r="AC363" s="40" t="str">
        <f>IF(AND(E363&lt;&gt;'Povolené hodnoty'!$B$4,F363=4),I363+L363+O363+R363,"")</f>
        <v/>
      </c>
      <c r="AD363" s="40" t="str">
        <f>IF(AND(E363&lt;&gt;'Povolené hodnoty'!$B$4,F363="5a"),I363-J363+L363-M363+O363-P363+R363-S363,"")</f>
        <v/>
      </c>
      <c r="AE363" s="40" t="str">
        <f>IF(AND(E363&lt;&gt;'Povolené hodnoty'!$B$4,F363="5b"),I363-J363+L363-M363+O363-P363+R363-S363,"")</f>
        <v/>
      </c>
      <c r="AF363" s="40" t="str">
        <f>IF(AND(E363&lt;&gt;'Povolené hodnoty'!$B$4,F363=6),I363+L363+O363+R363,"")</f>
        <v/>
      </c>
      <c r="AG363" s="41" t="str">
        <f>IF(AND(E363&lt;&gt;'Povolené hodnoty'!$B$4,F363=7),I363+L363+O363+R363,"")</f>
        <v/>
      </c>
      <c r="AH363" s="39" t="str">
        <f>IF(AND(E363&lt;&gt;'Povolené hodnoty'!$B$4,F363=10),J363+M363+P363+S363,"")</f>
        <v/>
      </c>
      <c r="AI363" s="40" t="str">
        <f>IF(AND(E363&lt;&gt;'Povolené hodnoty'!$B$4,F363=11),J363+M363+P363+S363,"")</f>
        <v/>
      </c>
      <c r="AJ363" s="40" t="str">
        <f>IF(AND(E363&lt;&gt;'Povolené hodnoty'!$B$4,F363=12),J363+M363+P363+S363,"")</f>
        <v/>
      </c>
      <c r="AK363" s="41" t="str">
        <f>IF(AND(E363&lt;&gt;'Povolené hodnoty'!$B$4,F363=13),J363+M363+P363+S363,"")</f>
        <v/>
      </c>
      <c r="AL363" s="39" t="str">
        <f>IF(AND($G363='Povolené hodnoty'!$B$13,$H363=AL$4),SUM($I363,$L363,$O363,$R363),"")</f>
        <v/>
      </c>
      <c r="AM363" s="458" t="str">
        <f>IF(AND($G363='Povolené hodnoty'!$B$13,$H363=AM$4),SUM($I363,$L363,$O363,$R363),"")</f>
        <v/>
      </c>
      <c r="AN363" s="458" t="str">
        <f>IF(AND($G363='Povolené hodnoty'!$B$13,$H363=AN$4),SUM($I363,$L363,$O363,$R363),"")</f>
        <v/>
      </c>
      <c r="AO363" s="458" t="str">
        <f>IF(AND($G363='Povolené hodnoty'!$B$13,$H363=AO$4),SUM($I363,$L363,$O363,$R363),"")</f>
        <v/>
      </c>
      <c r="AP363" s="458" t="str">
        <f>IF(AND($G363='Povolené hodnoty'!$B$13,$H363=AP$4),SUM($I363,$L363,$O363,$R363),"")</f>
        <v/>
      </c>
      <c r="AQ363" s="40" t="str">
        <f>IF(AND($G363='Povolené hodnoty'!$B$13,OR($H363=AQ$4,$H363='Povolené hodnoty'!$E$36)),SUM($I363,-$J363,$L363,-$M363,$O363,-$P363,$R363,-$S363),"")</f>
        <v/>
      </c>
      <c r="AR363" s="40" t="str">
        <f>IF(AND($G363='Povolené hodnoty'!$B$13,$H363=AR$4),SUM($I363,$L363,$O363,$R363),"")</f>
        <v/>
      </c>
      <c r="AS363" s="41" t="str">
        <f>IF(AND($G363='Povolené hodnoty'!$B$13,$H363=AS$4),SUM($I363,$L363,$O363,$R363),"")</f>
        <v/>
      </c>
      <c r="AT363" s="39" t="str">
        <f>IF(AND($G363='Povolené hodnoty'!$B$14,$H363=AT$4),SUM($I363,$L363,$O363,$R363),"")</f>
        <v/>
      </c>
      <c r="AU363" s="458" t="str">
        <f>IF(AND($G363='Povolené hodnoty'!$B$14,$H363=AU$4),SUM($I363,$L363,$O363,$R363),"")</f>
        <v/>
      </c>
      <c r="AV363" s="41" t="str">
        <f>IF(AND($G363='Povolené hodnoty'!$B$14,$H363=AV$4),SUM($I363,$L363,$O363,$R363),"")</f>
        <v/>
      </c>
      <c r="AW363" s="39" t="str">
        <f>IF(AND($G363='Povolené hodnoty'!$B$13,$H363=AW$4),SUM($J363,$M363,$P363,$S363),"")</f>
        <v/>
      </c>
      <c r="AX363" s="458" t="str">
        <f>IF(AND($G363='Povolené hodnoty'!$B$13,$H363=AX$4),SUM($J363,$M363,$P363,$S363),"")</f>
        <v/>
      </c>
      <c r="AY363" s="458" t="str">
        <f>IF(AND($G363='Povolené hodnoty'!$B$13,$H363=AY$4),SUM($J363,$M363,$P363,$S363),"")</f>
        <v/>
      </c>
      <c r="AZ363" s="458" t="str">
        <f>IF(AND($G363='Povolené hodnoty'!$B$13,$H363=AZ$4),SUM($J363,$M363,$P363,$S363),"")</f>
        <v/>
      </c>
      <c r="BA363" s="458" t="str">
        <f>IF(AND($G363='Povolené hodnoty'!$B$13,$H363=BA$4),SUM($J363,$M363,$P363,$S363),"")</f>
        <v/>
      </c>
      <c r="BB363" s="40" t="str">
        <f>IF(AND($G363='Povolené hodnoty'!$B$13,$H363=BB$4),SUM($J363,$M363,$P363,$S363),"")</f>
        <v/>
      </c>
      <c r="BC363" s="40" t="str">
        <f>IF(AND($G363='Povolené hodnoty'!$B$13,$H363=BC$4),SUM($J363,$M363,$P363,$S363),"")</f>
        <v/>
      </c>
      <c r="BD363" s="40" t="str">
        <f>IF(AND($G363='Povolené hodnoty'!$B$13,$H363=BD$4),SUM($J363,$M363,$P363,$S363),"")</f>
        <v/>
      </c>
      <c r="BE363" s="41" t="str">
        <f>IF(AND($G363='Povolené hodnoty'!$B$13,$H363=BE$4),SUM($J363,$M363,$P363,$S363),"")</f>
        <v/>
      </c>
      <c r="BF363" s="39" t="str">
        <f>IF(AND($G363='Povolené hodnoty'!$B$14,$H363=BF$4),SUM($J363,$M363,$P363,$S363),"")</f>
        <v/>
      </c>
      <c r="BG363" s="458" t="str">
        <f>IF(AND($G363='Povolené hodnoty'!$B$14,$H363=BG$4),SUM($J363,$M363,$P363,$S363),"")</f>
        <v/>
      </c>
      <c r="BH363" s="458" t="str">
        <f>IF(AND($G363='Povolené hodnoty'!$B$14,$H363=BH$4),SUM($J363,$M363,$P363,$S363),"")</f>
        <v/>
      </c>
      <c r="BI363" s="458" t="str">
        <f>IF(AND($G363='Povolené hodnoty'!$B$14,$H363=BI$4),SUM($J363,$M363,$P363,$S363),"")</f>
        <v/>
      </c>
      <c r="BJ363" s="458" t="str">
        <f>IF(AND($G363='Povolené hodnoty'!$B$14,$H363=BJ$4),SUM($J363,$M363,$P363,$S363),"")</f>
        <v/>
      </c>
      <c r="BK363" s="40" t="str">
        <f>IF(AND($G363='Povolené hodnoty'!$B$14,$H363=BK$4),SUM($J363,$M363,$P363,$S363),"")</f>
        <v/>
      </c>
      <c r="BL363" s="40" t="str">
        <f>IF(AND($G363='Povolené hodnoty'!$B$14,$H363=BL$4),SUM($J363,$M363,$P363,$S363),"")</f>
        <v/>
      </c>
      <c r="BM363" s="41" t="str">
        <f>IF(AND($G363='Povolené hodnoty'!$B$14,$H363=BM$4),SUM($J363,$M363,$P363,$S363),"")</f>
        <v/>
      </c>
      <c r="BO363" s="18" t="b">
        <f t="shared" si="211"/>
        <v>0</v>
      </c>
      <c r="BP363" s="18" t="b">
        <f t="shared" si="182"/>
        <v>0</v>
      </c>
      <c r="BQ363" s="18" t="b">
        <f>AND(E363&lt;&gt;'Povolené hodnoty'!$B$6,F363&lt;&gt;'Povolené hodnoty'!$D$7,F363&lt;&gt;'Povolené hodnoty'!$D$8,OR(SUM(I363,L363,O363,R363)&lt;&gt;SUM(W363:X363,AA363:AG363),SUM(J363,M363,P363,S363)&lt;&gt;SUM(Y363:Z363,AH363:AK363),COUNT(I363:J363,L363:M363,O363:P363,R363:S363)&lt;&gt;COUNT(W363:AK363)))</f>
        <v>0</v>
      </c>
      <c r="BR363" s="18" t="b">
        <f>OR(AND(E363='Povolené hodnoty'!$B$6,$BR$5),AND(E363='Povolené hodnoty'!$B$6,H363&lt;&gt;'Povolené hodnoty'!$E$26,H363&lt;&gt;'Povolené hodnoty'!$E$35),AND(E363&lt;&gt;'Povolené hodnoty'!$B$6,OR(H363='Povolené hodnoty'!$E$26,H363='Povolené hodnoty'!$E$35)))</f>
        <v>0</v>
      </c>
      <c r="BS363" s="18" t="b">
        <f>OR(AND(G363&lt;&gt;'Povolené hodnoty'!$B$13,OR(H363='Povolené hodnoty'!$E$21,H363='Povolené hodnoty'!$E$22,H363='Povolené hodnoty'!$E$23,H363='Povolené hodnoty'!$E$24,H363='Povolené hodnoty'!$E$26,H363='Povolené hodnoty'!$E$36)),COUNT(I363:J363,L363:M363,O363:P363,R363:S363)&lt;&gt;COUNT(AL363:BM363))</f>
        <v>0</v>
      </c>
      <c r="BT363" s="18" t="b">
        <f t="shared" si="183"/>
        <v>0</v>
      </c>
      <c r="BV363" s="39" t="str">
        <f t="shared" si="184"/>
        <v/>
      </c>
      <c r="BW363" s="458" t="str">
        <f t="shared" si="185"/>
        <v/>
      </c>
      <c r="BX363" s="458" t="str">
        <f t="shared" si="186"/>
        <v/>
      </c>
      <c r="BY363" s="458" t="str">
        <f t="shared" si="187"/>
        <v/>
      </c>
      <c r="BZ363" s="458" t="str">
        <f t="shared" si="188"/>
        <v/>
      </c>
      <c r="CA363" s="40" t="str">
        <f t="shared" si="189"/>
        <v/>
      </c>
      <c r="CB363" s="40" t="str">
        <f t="shared" si="190"/>
        <v/>
      </c>
      <c r="CC363" s="39" t="str">
        <f t="shared" si="191"/>
        <v/>
      </c>
      <c r="CD363" s="458" t="str">
        <f t="shared" si="192"/>
        <v/>
      </c>
      <c r="CE363" s="41" t="str">
        <f t="shared" si="193"/>
        <v/>
      </c>
      <c r="CF363" s="39" t="str">
        <f t="shared" si="194"/>
        <v/>
      </c>
      <c r="CG363" s="458" t="str">
        <f t="shared" si="195"/>
        <v/>
      </c>
      <c r="CH363" s="458" t="str">
        <f t="shared" si="196"/>
        <v/>
      </c>
      <c r="CI363" s="458" t="str">
        <f t="shared" si="197"/>
        <v/>
      </c>
      <c r="CJ363" s="458" t="str">
        <f t="shared" si="198"/>
        <v/>
      </c>
      <c r="CK363" s="40" t="str">
        <f t="shared" si="199"/>
        <v/>
      </c>
      <c r="CL363" s="40" t="str">
        <f t="shared" si="200"/>
        <v/>
      </c>
      <c r="CM363" s="40" t="str">
        <f t="shared" si="201"/>
        <v/>
      </c>
      <c r="CN363" s="39" t="str">
        <f t="shared" si="202"/>
        <v/>
      </c>
      <c r="CO363" s="458" t="str">
        <f t="shared" si="203"/>
        <v/>
      </c>
      <c r="CP363" s="458" t="str">
        <f t="shared" si="204"/>
        <v/>
      </c>
      <c r="CQ363" s="458" t="str">
        <f t="shared" si="205"/>
        <v/>
      </c>
      <c r="CR363" s="458" t="str">
        <f t="shared" si="206"/>
        <v/>
      </c>
      <c r="CS363" s="40" t="str">
        <f t="shared" si="207"/>
        <v/>
      </c>
      <c r="CT363" s="40" t="str">
        <f t="shared" si="208"/>
        <v/>
      </c>
      <c r="CU363" s="41" t="str">
        <f t="shared" si="209"/>
        <v/>
      </c>
    </row>
    <row r="364" spans="1:99" x14ac:dyDescent="0.2">
      <c r="A364" s="77">
        <f t="shared" si="210"/>
        <v>359</v>
      </c>
      <c r="B364" s="81"/>
      <c r="C364" s="82"/>
      <c r="D364" s="71"/>
      <c r="E364" s="72"/>
      <c r="F364" s="73"/>
      <c r="G364" s="443"/>
      <c r="H364" s="443"/>
      <c r="I364" s="74"/>
      <c r="J364" s="75"/>
      <c r="K364" s="41">
        <f t="shared" si="179"/>
        <v>3625</v>
      </c>
      <c r="L364" s="104"/>
      <c r="M364" s="105"/>
      <c r="N364" s="106">
        <f t="shared" si="180"/>
        <v>537.05999999999995</v>
      </c>
      <c r="O364" s="104"/>
      <c r="P364" s="105"/>
      <c r="Q364" s="106">
        <f t="shared" si="212"/>
        <v>10045.83</v>
      </c>
      <c r="R364" s="104"/>
      <c r="S364" s="105"/>
      <c r="T364" s="106">
        <f t="shared" si="213"/>
        <v>0</v>
      </c>
      <c r="U364" s="439"/>
      <c r="V364" s="42">
        <f t="shared" si="181"/>
        <v>359</v>
      </c>
      <c r="W364" s="39" t="str">
        <f>IF(AND(E364='Povolené hodnoty'!$B$4,F364=2),I364+L364+O364+R364,"")</f>
        <v/>
      </c>
      <c r="X364" s="41" t="str">
        <f>IF(AND(E364='Povolené hodnoty'!$B$4,F364=1),I364+L364+O364+R364,"")</f>
        <v/>
      </c>
      <c r="Y364" s="39" t="str">
        <f>IF(AND(E364='Povolené hodnoty'!$B$4,F364=10),J364+M364+P364+S364,"")</f>
        <v/>
      </c>
      <c r="Z364" s="41" t="str">
        <f>IF(AND(E364='Povolené hodnoty'!$B$4,F364=9),J364+M364+P364+S364,"")</f>
        <v/>
      </c>
      <c r="AA364" s="39" t="str">
        <f>IF(AND(E364&lt;&gt;'Povolené hodnoty'!$B$4,F364=2),I364+L364+O364+R364,"")</f>
        <v/>
      </c>
      <c r="AB364" s="40" t="str">
        <f>IF(AND(E364&lt;&gt;'Povolené hodnoty'!$B$4,F364=3),I364+L364+O364+R364,"")</f>
        <v/>
      </c>
      <c r="AC364" s="40" t="str">
        <f>IF(AND(E364&lt;&gt;'Povolené hodnoty'!$B$4,F364=4),I364+L364+O364+R364,"")</f>
        <v/>
      </c>
      <c r="AD364" s="40" t="str">
        <f>IF(AND(E364&lt;&gt;'Povolené hodnoty'!$B$4,F364="5a"),I364-J364+L364-M364+O364-P364+R364-S364,"")</f>
        <v/>
      </c>
      <c r="AE364" s="40" t="str">
        <f>IF(AND(E364&lt;&gt;'Povolené hodnoty'!$B$4,F364="5b"),I364-J364+L364-M364+O364-P364+R364-S364,"")</f>
        <v/>
      </c>
      <c r="AF364" s="40" t="str">
        <f>IF(AND(E364&lt;&gt;'Povolené hodnoty'!$B$4,F364=6),I364+L364+O364+R364,"")</f>
        <v/>
      </c>
      <c r="AG364" s="41" t="str">
        <f>IF(AND(E364&lt;&gt;'Povolené hodnoty'!$B$4,F364=7),I364+L364+O364+R364,"")</f>
        <v/>
      </c>
      <c r="AH364" s="39" t="str">
        <f>IF(AND(E364&lt;&gt;'Povolené hodnoty'!$B$4,F364=10),J364+M364+P364+S364,"")</f>
        <v/>
      </c>
      <c r="AI364" s="40" t="str">
        <f>IF(AND(E364&lt;&gt;'Povolené hodnoty'!$B$4,F364=11),J364+M364+P364+S364,"")</f>
        <v/>
      </c>
      <c r="AJ364" s="40" t="str">
        <f>IF(AND(E364&lt;&gt;'Povolené hodnoty'!$B$4,F364=12),J364+M364+P364+S364,"")</f>
        <v/>
      </c>
      <c r="AK364" s="41" t="str">
        <f>IF(AND(E364&lt;&gt;'Povolené hodnoty'!$B$4,F364=13),J364+M364+P364+S364,"")</f>
        <v/>
      </c>
      <c r="AL364" s="39" t="str">
        <f>IF(AND($G364='Povolené hodnoty'!$B$13,$H364=AL$4),SUM($I364,$L364,$O364,$R364),"")</f>
        <v/>
      </c>
      <c r="AM364" s="458" t="str">
        <f>IF(AND($G364='Povolené hodnoty'!$B$13,$H364=AM$4),SUM($I364,$L364,$O364,$R364),"")</f>
        <v/>
      </c>
      <c r="AN364" s="458" t="str">
        <f>IF(AND($G364='Povolené hodnoty'!$B$13,$H364=AN$4),SUM($I364,$L364,$O364,$R364),"")</f>
        <v/>
      </c>
      <c r="AO364" s="458" t="str">
        <f>IF(AND($G364='Povolené hodnoty'!$B$13,$H364=AO$4),SUM($I364,$L364,$O364,$R364),"")</f>
        <v/>
      </c>
      <c r="AP364" s="458" t="str">
        <f>IF(AND($G364='Povolené hodnoty'!$B$13,$H364=AP$4),SUM($I364,$L364,$O364,$R364),"")</f>
        <v/>
      </c>
      <c r="AQ364" s="40" t="str">
        <f>IF(AND($G364='Povolené hodnoty'!$B$13,OR($H364=AQ$4,$H364='Povolené hodnoty'!$E$36)),SUM($I364,-$J364,$L364,-$M364,$O364,-$P364,$R364,-$S364),"")</f>
        <v/>
      </c>
      <c r="AR364" s="40" t="str">
        <f>IF(AND($G364='Povolené hodnoty'!$B$13,$H364=AR$4),SUM($I364,$L364,$O364,$R364),"")</f>
        <v/>
      </c>
      <c r="AS364" s="41" t="str">
        <f>IF(AND($G364='Povolené hodnoty'!$B$13,$H364=AS$4),SUM($I364,$L364,$O364,$R364),"")</f>
        <v/>
      </c>
      <c r="AT364" s="39" t="str">
        <f>IF(AND($G364='Povolené hodnoty'!$B$14,$H364=AT$4),SUM($I364,$L364,$O364,$R364),"")</f>
        <v/>
      </c>
      <c r="AU364" s="458" t="str">
        <f>IF(AND($G364='Povolené hodnoty'!$B$14,$H364=AU$4),SUM($I364,$L364,$O364,$R364),"")</f>
        <v/>
      </c>
      <c r="AV364" s="41" t="str">
        <f>IF(AND($G364='Povolené hodnoty'!$B$14,$H364=AV$4),SUM($I364,$L364,$O364,$R364),"")</f>
        <v/>
      </c>
      <c r="AW364" s="39" t="str">
        <f>IF(AND($G364='Povolené hodnoty'!$B$13,$H364=AW$4),SUM($J364,$M364,$P364,$S364),"")</f>
        <v/>
      </c>
      <c r="AX364" s="458" t="str">
        <f>IF(AND($G364='Povolené hodnoty'!$B$13,$H364=AX$4),SUM($J364,$M364,$P364,$S364),"")</f>
        <v/>
      </c>
      <c r="AY364" s="458" t="str">
        <f>IF(AND($G364='Povolené hodnoty'!$B$13,$H364=AY$4),SUM($J364,$M364,$P364,$S364),"")</f>
        <v/>
      </c>
      <c r="AZ364" s="458" t="str">
        <f>IF(AND($G364='Povolené hodnoty'!$B$13,$H364=AZ$4),SUM($J364,$M364,$P364,$S364),"")</f>
        <v/>
      </c>
      <c r="BA364" s="458" t="str">
        <f>IF(AND($G364='Povolené hodnoty'!$B$13,$H364=BA$4),SUM($J364,$M364,$P364,$S364),"")</f>
        <v/>
      </c>
      <c r="BB364" s="40" t="str">
        <f>IF(AND($G364='Povolené hodnoty'!$B$13,$H364=BB$4),SUM($J364,$M364,$P364,$S364),"")</f>
        <v/>
      </c>
      <c r="BC364" s="40" t="str">
        <f>IF(AND($G364='Povolené hodnoty'!$B$13,$H364=BC$4),SUM($J364,$M364,$P364,$S364),"")</f>
        <v/>
      </c>
      <c r="BD364" s="40" t="str">
        <f>IF(AND($G364='Povolené hodnoty'!$B$13,$H364=BD$4),SUM($J364,$M364,$P364,$S364),"")</f>
        <v/>
      </c>
      <c r="BE364" s="41" t="str">
        <f>IF(AND($G364='Povolené hodnoty'!$B$13,$H364=BE$4),SUM($J364,$M364,$P364,$S364),"")</f>
        <v/>
      </c>
      <c r="BF364" s="39" t="str">
        <f>IF(AND($G364='Povolené hodnoty'!$B$14,$H364=BF$4),SUM($J364,$M364,$P364,$S364),"")</f>
        <v/>
      </c>
      <c r="BG364" s="458" t="str">
        <f>IF(AND($G364='Povolené hodnoty'!$B$14,$H364=BG$4),SUM($J364,$M364,$P364,$S364),"")</f>
        <v/>
      </c>
      <c r="BH364" s="458" t="str">
        <f>IF(AND($G364='Povolené hodnoty'!$B$14,$H364=BH$4),SUM($J364,$M364,$P364,$S364),"")</f>
        <v/>
      </c>
      <c r="BI364" s="458" t="str">
        <f>IF(AND($G364='Povolené hodnoty'!$B$14,$H364=BI$4),SUM($J364,$M364,$P364,$S364),"")</f>
        <v/>
      </c>
      <c r="BJ364" s="458" t="str">
        <f>IF(AND($G364='Povolené hodnoty'!$B$14,$H364=BJ$4),SUM($J364,$M364,$P364,$S364),"")</f>
        <v/>
      </c>
      <c r="BK364" s="40" t="str">
        <f>IF(AND($G364='Povolené hodnoty'!$B$14,$H364=BK$4),SUM($J364,$M364,$P364,$S364),"")</f>
        <v/>
      </c>
      <c r="BL364" s="40" t="str">
        <f>IF(AND($G364='Povolené hodnoty'!$B$14,$H364=BL$4),SUM($J364,$M364,$P364,$S364),"")</f>
        <v/>
      </c>
      <c r="BM364" s="41" t="str">
        <f>IF(AND($G364='Povolené hodnoty'!$B$14,$H364=BM$4),SUM($J364,$M364,$P364,$S364),"")</f>
        <v/>
      </c>
      <c r="BO364" s="18" t="b">
        <f t="shared" si="211"/>
        <v>0</v>
      </c>
      <c r="BP364" s="18" t="b">
        <f t="shared" si="182"/>
        <v>0</v>
      </c>
      <c r="BQ364" s="18" t="b">
        <f>AND(E364&lt;&gt;'Povolené hodnoty'!$B$6,F364&lt;&gt;'Povolené hodnoty'!$D$7,F364&lt;&gt;'Povolené hodnoty'!$D$8,OR(SUM(I364,L364,O364,R364)&lt;&gt;SUM(W364:X364,AA364:AG364),SUM(J364,M364,P364,S364)&lt;&gt;SUM(Y364:Z364,AH364:AK364),COUNT(I364:J364,L364:M364,O364:P364,R364:S364)&lt;&gt;COUNT(W364:AK364)))</f>
        <v>0</v>
      </c>
      <c r="BR364" s="18" t="b">
        <f>OR(AND(E364='Povolené hodnoty'!$B$6,$BR$5),AND(E364='Povolené hodnoty'!$B$6,H364&lt;&gt;'Povolené hodnoty'!$E$26,H364&lt;&gt;'Povolené hodnoty'!$E$35),AND(E364&lt;&gt;'Povolené hodnoty'!$B$6,OR(H364='Povolené hodnoty'!$E$26,H364='Povolené hodnoty'!$E$35)))</f>
        <v>0</v>
      </c>
      <c r="BS364" s="18" t="b">
        <f>OR(AND(G364&lt;&gt;'Povolené hodnoty'!$B$13,OR(H364='Povolené hodnoty'!$E$21,H364='Povolené hodnoty'!$E$22,H364='Povolené hodnoty'!$E$23,H364='Povolené hodnoty'!$E$24,H364='Povolené hodnoty'!$E$26,H364='Povolené hodnoty'!$E$36)),COUNT(I364:J364,L364:M364,O364:P364,R364:S364)&lt;&gt;COUNT(AL364:BM364))</f>
        <v>0</v>
      </c>
      <c r="BT364" s="18" t="b">
        <f t="shared" si="183"/>
        <v>0</v>
      </c>
      <c r="BV364" s="39" t="str">
        <f t="shared" si="184"/>
        <v/>
      </c>
      <c r="BW364" s="458" t="str">
        <f t="shared" si="185"/>
        <v/>
      </c>
      <c r="BX364" s="458" t="str">
        <f t="shared" si="186"/>
        <v/>
      </c>
      <c r="BY364" s="458" t="str">
        <f t="shared" si="187"/>
        <v/>
      </c>
      <c r="BZ364" s="458" t="str">
        <f t="shared" si="188"/>
        <v/>
      </c>
      <c r="CA364" s="40" t="str">
        <f t="shared" si="189"/>
        <v/>
      </c>
      <c r="CB364" s="40" t="str">
        <f t="shared" si="190"/>
        <v/>
      </c>
      <c r="CC364" s="39" t="str">
        <f t="shared" si="191"/>
        <v/>
      </c>
      <c r="CD364" s="458" t="str">
        <f t="shared" si="192"/>
        <v/>
      </c>
      <c r="CE364" s="41" t="str">
        <f t="shared" si="193"/>
        <v/>
      </c>
      <c r="CF364" s="39" t="str">
        <f t="shared" si="194"/>
        <v/>
      </c>
      <c r="CG364" s="458" t="str">
        <f t="shared" si="195"/>
        <v/>
      </c>
      <c r="CH364" s="458" t="str">
        <f t="shared" si="196"/>
        <v/>
      </c>
      <c r="CI364" s="458" t="str">
        <f t="shared" si="197"/>
        <v/>
      </c>
      <c r="CJ364" s="458" t="str">
        <f t="shared" si="198"/>
        <v/>
      </c>
      <c r="CK364" s="40" t="str">
        <f t="shared" si="199"/>
        <v/>
      </c>
      <c r="CL364" s="40" t="str">
        <f t="shared" si="200"/>
        <v/>
      </c>
      <c r="CM364" s="40" t="str">
        <f t="shared" si="201"/>
        <v/>
      </c>
      <c r="CN364" s="39" t="str">
        <f t="shared" si="202"/>
        <v/>
      </c>
      <c r="CO364" s="458" t="str">
        <f t="shared" si="203"/>
        <v/>
      </c>
      <c r="CP364" s="458" t="str">
        <f t="shared" si="204"/>
        <v/>
      </c>
      <c r="CQ364" s="458" t="str">
        <f t="shared" si="205"/>
        <v/>
      </c>
      <c r="CR364" s="458" t="str">
        <f t="shared" si="206"/>
        <v/>
      </c>
      <c r="CS364" s="40" t="str">
        <f t="shared" si="207"/>
        <v/>
      </c>
      <c r="CT364" s="40" t="str">
        <f t="shared" si="208"/>
        <v/>
      </c>
      <c r="CU364" s="41" t="str">
        <f t="shared" si="209"/>
        <v/>
      </c>
    </row>
    <row r="365" spans="1:99" x14ac:dyDescent="0.2">
      <c r="A365" s="77">
        <f t="shared" si="210"/>
        <v>360</v>
      </c>
      <c r="B365" s="81"/>
      <c r="C365" s="82"/>
      <c r="D365" s="71"/>
      <c r="E365" s="72"/>
      <c r="F365" s="73"/>
      <c r="G365" s="443"/>
      <c r="H365" s="443"/>
      <c r="I365" s="74"/>
      <c r="J365" s="75"/>
      <c r="K365" s="41">
        <f t="shared" ref="K365:K428" si="214">K364+I365-J365</f>
        <v>3625</v>
      </c>
      <c r="L365" s="104"/>
      <c r="M365" s="105"/>
      <c r="N365" s="106">
        <f t="shared" ref="N365:N428" si="215">N364+L365-M365</f>
        <v>537.05999999999995</v>
      </c>
      <c r="O365" s="104"/>
      <c r="P365" s="105"/>
      <c r="Q365" s="106">
        <f t="shared" si="212"/>
        <v>10045.83</v>
      </c>
      <c r="R365" s="104"/>
      <c r="S365" s="105"/>
      <c r="T365" s="106">
        <f t="shared" si="213"/>
        <v>0</v>
      </c>
      <c r="U365" s="439"/>
      <c r="V365" s="42">
        <f t="shared" si="181"/>
        <v>360</v>
      </c>
      <c r="W365" s="39" t="str">
        <f>IF(AND(E365='Povolené hodnoty'!$B$4,F365=2),I365+L365+O365+R365,"")</f>
        <v/>
      </c>
      <c r="X365" s="41" t="str">
        <f>IF(AND(E365='Povolené hodnoty'!$B$4,F365=1),I365+L365+O365+R365,"")</f>
        <v/>
      </c>
      <c r="Y365" s="39" t="str">
        <f>IF(AND(E365='Povolené hodnoty'!$B$4,F365=10),J365+M365+P365+S365,"")</f>
        <v/>
      </c>
      <c r="Z365" s="41" t="str">
        <f>IF(AND(E365='Povolené hodnoty'!$B$4,F365=9),J365+M365+P365+S365,"")</f>
        <v/>
      </c>
      <c r="AA365" s="39" t="str">
        <f>IF(AND(E365&lt;&gt;'Povolené hodnoty'!$B$4,F365=2),I365+L365+O365+R365,"")</f>
        <v/>
      </c>
      <c r="AB365" s="40" t="str">
        <f>IF(AND(E365&lt;&gt;'Povolené hodnoty'!$B$4,F365=3),I365+L365+O365+R365,"")</f>
        <v/>
      </c>
      <c r="AC365" s="40" t="str">
        <f>IF(AND(E365&lt;&gt;'Povolené hodnoty'!$B$4,F365=4),I365+L365+O365+R365,"")</f>
        <v/>
      </c>
      <c r="AD365" s="40" t="str">
        <f>IF(AND(E365&lt;&gt;'Povolené hodnoty'!$B$4,F365="5a"),I365-J365+L365-M365+O365-P365+R365-S365,"")</f>
        <v/>
      </c>
      <c r="AE365" s="40" t="str">
        <f>IF(AND(E365&lt;&gt;'Povolené hodnoty'!$B$4,F365="5b"),I365-J365+L365-M365+O365-P365+R365-S365,"")</f>
        <v/>
      </c>
      <c r="AF365" s="40" t="str">
        <f>IF(AND(E365&lt;&gt;'Povolené hodnoty'!$B$4,F365=6),I365+L365+O365+R365,"")</f>
        <v/>
      </c>
      <c r="AG365" s="41" t="str">
        <f>IF(AND(E365&lt;&gt;'Povolené hodnoty'!$B$4,F365=7),I365+L365+O365+R365,"")</f>
        <v/>
      </c>
      <c r="AH365" s="39" t="str">
        <f>IF(AND(E365&lt;&gt;'Povolené hodnoty'!$B$4,F365=10),J365+M365+P365+S365,"")</f>
        <v/>
      </c>
      <c r="AI365" s="40" t="str">
        <f>IF(AND(E365&lt;&gt;'Povolené hodnoty'!$B$4,F365=11),J365+M365+P365+S365,"")</f>
        <v/>
      </c>
      <c r="AJ365" s="40" t="str">
        <f>IF(AND(E365&lt;&gt;'Povolené hodnoty'!$B$4,F365=12),J365+M365+P365+S365,"")</f>
        <v/>
      </c>
      <c r="AK365" s="41" t="str">
        <f>IF(AND(E365&lt;&gt;'Povolené hodnoty'!$B$4,F365=13),J365+M365+P365+S365,"")</f>
        <v/>
      </c>
      <c r="AL365" s="39" t="str">
        <f>IF(AND($G365='Povolené hodnoty'!$B$13,$H365=AL$4),SUM($I365,$L365,$O365,$R365),"")</f>
        <v/>
      </c>
      <c r="AM365" s="458" t="str">
        <f>IF(AND($G365='Povolené hodnoty'!$B$13,$H365=AM$4),SUM($I365,$L365,$O365,$R365),"")</f>
        <v/>
      </c>
      <c r="AN365" s="458" t="str">
        <f>IF(AND($G365='Povolené hodnoty'!$B$13,$H365=AN$4),SUM($I365,$L365,$O365,$R365),"")</f>
        <v/>
      </c>
      <c r="AO365" s="458" t="str">
        <f>IF(AND($G365='Povolené hodnoty'!$B$13,$H365=AO$4),SUM($I365,$L365,$O365,$R365),"")</f>
        <v/>
      </c>
      <c r="AP365" s="458" t="str">
        <f>IF(AND($G365='Povolené hodnoty'!$B$13,$H365=AP$4),SUM($I365,$L365,$O365,$R365),"")</f>
        <v/>
      </c>
      <c r="AQ365" s="40" t="str">
        <f>IF(AND($G365='Povolené hodnoty'!$B$13,OR($H365=AQ$4,$H365='Povolené hodnoty'!$E$36)),SUM($I365,-$J365,$L365,-$M365,$O365,-$P365,$R365,-$S365),"")</f>
        <v/>
      </c>
      <c r="AR365" s="40" t="str">
        <f>IF(AND($G365='Povolené hodnoty'!$B$13,$H365=AR$4),SUM($I365,$L365,$O365,$R365),"")</f>
        <v/>
      </c>
      <c r="AS365" s="41" t="str">
        <f>IF(AND($G365='Povolené hodnoty'!$B$13,$H365=AS$4),SUM($I365,$L365,$O365,$R365),"")</f>
        <v/>
      </c>
      <c r="AT365" s="39" t="str">
        <f>IF(AND($G365='Povolené hodnoty'!$B$14,$H365=AT$4),SUM($I365,$L365,$O365,$R365),"")</f>
        <v/>
      </c>
      <c r="AU365" s="458" t="str">
        <f>IF(AND($G365='Povolené hodnoty'!$B$14,$H365=AU$4),SUM($I365,$L365,$O365,$R365),"")</f>
        <v/>
      </c>
      <c r="AV365" s="41" t="str">
        <f>IF(AND($G365='Povolené hodnoty'!$B$14,$H365=AV$4),SUM($I365,$L365,$O365,$R365),"")</f>
        <v/>
      </c>
      <c r="AW365" s="39" t="str">
        <f>IF(AND($G365='Povolené hodnoty'!$B$13,$H365=AW$4),SUM($J365,$M365,$P365,$S365),"")</f>
        <v/>
      </c>
      <c r="AX365" s="458" t="str">
        <f>IF(AND($G365='Povolené hodnoty'!$B$13,$H365=AX$4),SUM($J365,$M365,$P365,$S365),"")</f>
        <v/>
      </c>
      <c r="AY365" s="458" t="str">
        <f>IF(AND($G365='Povolené hodnoty'!$B$13,$H365=AY$4),SUM($J365,$M365,$P365,$S365),"")</f>
        <v/>
      </c>
      <c r="AZ365" s="458" t="str">
        <f>IF(AND($G365='Povolené hodnoty'!$B$13,$H365=AZ$4),SUM($J365,$M365,$P365,$S365),"")</f>
        <v/>
      </c>
      <c r="BA365" s="458" t="str">
        <f>IF(AND($G365='Povolené hodnoty'!$B$13,$H365=BA$4),SUM($J365,$M365,$P365,$S365),"")</f>
        <v/>
      </c>
      <c r="BB365" s="40" t="str">
        <f>IF(AND($G365='Povolené hodnoty'!$B$13,$H365=BB$4),SUM($J365,$M365,$P365,$S365),"")</f>
        <v/>
      </c>
      <c r="BC365" s="40" t="str">
        <f>IF(AND($G365='Povolené hodnoty'!$B$13,$H365=BC$4),SUM($J365,$M365,$P365,$S365),"")</f>
        <v/>
      </c>
      <c r="BD365" s="40" t="str">
        <f>IF(AND($G365='Povolené hodnoty'!$B$13,$H365=BD$4),SUM($J365,$M365,$P365,$S365),"")</f>
        <v/>
      </c>
      <c r="BE365" s="41" t="str">
        <f>IF(AND($G365='Povolené hodnoty'!$B$13,$H365=BE$4),SUM($J365,$M365,$P365,$S365),"")</f>
        <v/>
      </c>
      <c r="BF365" s="39" t="str">
        <f>IF(AND($G365='Povolené hodnoty'!$B$14,$H365=BF$4),SUM($J365,$M365,$P365,$S365),"")</f>
        <v/>
      </c>
      <c r="BG365" s="458" t="str">
        <f>IF(AND($G365='Povolené hodnoty'!$B$14,$H365=BG$4),SUM($J365,$M365,$P365,$S365),"")</f>
        <v/>
      </c>
      <c r="BH365" s="458" t="str">
        <f>IF(AND($G365='Povolené hodnoty'!$B$14,$H365=BH$4),SUM($J365,$M365,$P365,$S365),"")</f>
        <v/>
      </c>
      <c r="BI365" s="458" t="str">
        <f>IF(AND($G365='Povolené hodnoty'!$B$14,$H365=BI$4),SUM($J365,$M365,$P365,$S365),"")</f>
        <v/>
      </c>
      <c r="BJ365" s="458" t="str">
        <f>IF(AND($G365='Povolené hodnoty'!$B$14,$H365=BJ$4),SUM($J365,$M365,$P365,$S365),"")</f>
        <v/>
      </c>
      <c r="BK365" s="40" t="str">
        <f>IF(AND($G365='Povolené hodnoty'!$B$14,$H365=BK$4),SUM($J365,$M365,$P365,$S365),"")</f>
        <v/>
      </c>
      <c r="BL365" s="40" t="str">
        <f>IF(AND($G365='Povolené hodnoty'!$B$14,$H365=BL$4),SUM($J365,$M365,$P365,$S365),"")</f>
        <v/>
      </c>
      <c r="BM365" s="41" t="str">
        <f>IF(AND($G365='Povolené hodnoty'!$B$14,$H365=BM$4),SUM($J365,$M365,$P365,$S365),"")</f>
        <v/>
      </c>
      <c r="BO365" s="18" t="b">
        <f t="shared" si="211"/>
        <v>0</v>
      </c>
      <c r="BP365" s="18" t="b">
        <f t="shared" si="182"/>
        <v>0</v>
      </c>
      <c r="BQ365" s="18" t="b">
        <f>AND(E365&lt;&gt;'Povolené hodnoty'!$B$6,F365&lt;&gt;'Povolené hodnoty'!$D$7,F365&lt;&gt;'Povolené hodnoty'!$D$8,OR(SUM(I365,L365,O365,R365)&lt;&gt;SUM(W365:X365,AA365:AG365),SUM(J365,M365,P365,S365)&lt;&gt;SUM(Y365:Z365,AH365:AK365),COUNT(I365:J365,L365:M365,O365:P365,R365:S365)&lt;&gt;COUNT(W365:AK365)))</f>
        <v>0</v>
      </c>
      <c r="BR365" s="18" t="b">
        <f>OR(AND(E365='Povolené hodnoty'!$B$6,$BR$5),AND(E365='Povolené hodnoty'!$B$6,H365&lt;&gt;'Povolené hodnoty'!$E$26,H365&lt;&gt;'Povolené hodnoty'!$E$35),AND(E365&lt;&gt;'Povolené hodnoty'!$B$6,OR(H365='Povolené hodnoty'!$E$26,H365='Povolené hodnoty'!$E$35)))</f>
        <v>0</v>
      </c>
      <c r="BS365" s="18" t="b">
        <f>OR(AND(G365&lt;&gt;'Povolené hodnoty'!$B$13,OR(H365='Povolené hodnoty'!$E$21,H365='Povolené hodnoty'!$E$22,H365='Povolené hodnoty'!$E$23,H365='Povolené hodnoty'!$E$24,H365='Povolené hodnoty'!$E$26,H365='Povolené hodnoty'!$E$36)),COUNT(I365:J365,L365:M365,O365:P365,R365:S365)&lt;&gt;COUNT(AL365:BM365))</f>
        <v>0</v>
      </c>
      <c r="BT365" s="18" t="b">
        <f t="shared" si="183"/>
        <v>0</v>
      </c>
      <c r="BV365" s="39" t="str">
        <f t="shared" si="184"/>
        <v/>
      </c>
      <c r="BW365" s="458" t="str">
        <f t="shared" si="185"/>
        <v/>
      </c>
      <c r="BX365" s="458" t="str">
        <f t="shared" si="186"/>
        <v/>
      </c>
      <c r="BY365" s="458" t="str">
        <f t="shared" si="187"/>
        <v/>
      </c>
      <c r="BZ365" s="458" t="str">
        <f t="shared" si="188"/>
        <v/>
      </c>
      <c r="CA365" s="40" t="str">
        <f t="shared" si="189"/>
        <v/>
      </c>
      <c r="CB365" s="40" t="str">
        <f t="shared" si="190"/>
        <v/>
      </c>
      <c r="CC365" s="39" t="str">
        <f t="shared" si="191"/>
        <v/>
      </c>
      <c r="CD365" s="458" t="str">
        <f t="shared" si="192"/>
        <v/>
      </c>
      <c r="CE365" s="41" t="str">
        <f t="shared" si="193"/>
        <v/>
      </c>
      <c r="CF365" s="39" t="str">
        <f t="shared" si="194"/>
        <v/>
      </c>
      <c r="CG365" s="458" t="str">
        <f t="shared" si="195"/>
        <v/>
      </c>
      <c r="CH365" s="458" t="str">
        <f t="shared" si="196"/>
        <v/>
      </c>
      <c r="CI365" s="458" t="str">
        <f t="shared" si="197"/>
        <v/>
      </c>
      <c r="CJ365" s="458" t="str">
        <f t="shared" si="198"/>
        <v/>
      </c>
      <c r="CK365" s="40" t="str">
        <f t="shared" si="199"/>
        <v/>
      </c>
      <c r="CL365" s="40" t="str">
        <f t="shared" si="200"/>
        <v/>
      </c>
      <c r="CM365" s="40" t="str">
        <f t="shared" si="201"/>
        <v/>
      </c>
      <c r="CN365" s="39" t="str">
        <f t="shared" si="202"/>
        <v/>
      </c>
      <c r="CO365" s="458" t="str">
        <f t="shared" si="203"/>
        <v/>
      </c>
      <c r="CP365" s="458" t="str">
        <f t="shared" si="204"/>
        <v/>
      </c>
      <c r="CQ365" s="458" t="str">
        <f t="shared" si="205"/>
        <v/>
      </c>
      <c r="CR365" s="458" t="str">
        <f t="shared" si="206"/>
        <v/>
      </c>
      <c r="CS365" s="40" t="str">
        <f t="shared" si="207"/>
        <v/>
      </c>
      <c r="CT365" s="40" t="str">
        <f t="shared" si="208"/>
        <v/>
      </c>
      <c r="CU365" s="41" t="str">
        <f t="shared" si="209"/>
        <v/>
      </c>
    </row>
    <row r="366" spans="1:99" x14ac:dyDescent="0.2">
      <c r="A366" s="77">
        <f t="shared" si="210"/>
        <v>361</v>
      </c>
      <c r="B366" s="81"/>
      <c r="C366" s="82"/>
      <c r="D366" s="71"/>
      <c r="E366" s="72"/>
      <c r="F366" s="73"/>
      <c r="G366" s="443"/>
      <c r="H366" s="443"/>
      <c r="I366" s="74"/>
      <c r="J366" s="75"/>
      <c r="K366" s="41">
        <f t="shared" si="214"/>
        <v>3625</v>
      </c>
      <c r="L366" s="104"/>
      <c r="M366" s="105"/>
      <c r="N366" s="106">
        <f t="shared" si="215"/>
        <v>537.05999999999995</v>
      </c>
      <c r="O366" s="104"/>
      <c r="P366" s="105"/>
      <c r="Q366" s="106">
        <f t="shared" si="212"/>
        <v>10045.83</v>
      </c>
      <c r="R366" s="104"/>
      <c r="S366" s="105"/>
      <c r="T366" s="106">
        <f t="shared" si="213"/>
        <v>0</v>
      </c>
      <c r="U366" s="439"/>
      <c r="V366" s="42">
        <f t="shared" si="181"/>
        <v>361</v>
      </c>
      <c r="W366" s="39" t="str">
        <f>IF(AND(E366='Povolené hodnoty'!$B$4,F366=2),I366+L366+O366+R366,"")</f>
        <v/>
      </c>
      <c r="X366" s="41" t="str">
        <f>IF(AND(E366='Povolené hodnoty'!$B$4,F366=1),I366+L366+O366+R366,"")</f>
        <v/>
      </c>
      <c r="Y366" s="39" t="str">
        <f>IF(AND(E366='Povolené hodnoty'!$B$4,F366=10),J366+M366+P366+S366,"")</f>
        <v/>
      </c>
      <c r="Z366" s="41" t="str">
        <f>IF(AND(E366='Povolené hodnoty'!$B$4,F366=9),J366+M366+P366+S366,"")</f>
        <v/>
      </c>
      <c r="AA366" s="39" t="str">
        <f>IF(AND(E366&lt;&gt;'Povolené hodnoty'!$B$4,F366=2),I366+L366+O366+R366,"")</f>
        <v/>
      </c>
      <c r="AB366" s="40" t="str">
        <f>IF(AND(E366&lt;&gt;'Povolené hodnoty'!$B$4,F366=3),I366+L366+O366+R366,"")</f>
        <v/>
      </c>
      <c r="AC366" s="40" t="str">
        <f>IF(AND(E366&lt;&gt;'Povolené hodnoty'!$B$4,F366=4),I366+L366+O366+R366,"")</f>
        <v/>
      </c>
      <c r="AD366" s="40" t="str">
        <f>IF(AND(E366&lt;&gt;'Povolené hodnoty'!$B$4,F366="5a"),I366-J366+L366-M366+O366-P366+R366-S366,"")</f>
        <v/>
      </c>
      <c r="AE366" s="40" t="str">
        <f>IF(AND(E366&lt;&gt;'Povolené hodnoty'!$B$4,F366="5b"),I366-J366+L366-M366+O366-P366+R366-S366,"")</f>
        <v/>
      </c>
      <c r="AF366" s="40" t="str">
        <f>IF(AND(E366&lt;&gt;'Povolené hodnoty'!$B$4,F366=6),I366+L366+O366+R366,"")</f>
        <v/>
      </c>
      <c r="AG366" s="41" t="str">
        <f>IF(AND(E366&lt;&gt;'Povolené hodnoty'!$B$4,F366=7),I366+L366+O366+R366,"")</f>
        <v/>
      </c>
      <c r="AH366" s="39" t="str">
        <f>IF(AND(E366&lt;&gt;'Povolené hodnoty'!$B$4,F366=10),J366+M366+P366+S366,"")</f>
        <v/>
      </c>
      <c r="AI366" s="40" t="str">
        <f>IF(AND(E366&lt;&gt;'Povolené hodnoty'!$B$4,F366=11),J366+M366+P366+S366,"")</f>
        <v/>
      </c>
      <c r="AJ366" s="40" t="str">
        <f>IF(AND(E366&lt;&gt;'Povolené hodnoty'!$B$4,F366=12),J366+M366+P366+S366,"")</f>
        <v/>
      </c>
      <c r="AK366" s="41" t="str">
        <f>IF(AND(E366&lt;&gt;'Povolené hodnoty'!$B$4,F366=13),J366+M366+P366+S366,"")</f>
        <v/>
      </c>
      <c r="AL366" s="39" t="str">
        <f>IF(AND($G366='Povolené hodnoty'!$B$13,$H366=AL$4),SUM($I366,$L366,$O366,$R366),"")</f>
        <v/>
      </c>
      <c r="AM366" s="458" t="str">
        <f>IF(AND($G366='Povolené hodnoty'!$B$13,$H366=AM$4),SUM($I366,$L366,$O366,$R366),"")</f>
        <v/>
      </c>
      <c r="AN366" s="458" t="str">
        <f>IF(AND($G366='Povolené hodnoty'!$B$13,$H366=AN$4),SUM($I366,$L366,$O366,$R366),"")</f>
        <v/>
      </c>
      <c r="AO366" s="458" t="str">
        <f>IF(AND($G366='Povolené hodnoty'!$B$13,$H366=AO$4),SUM($I366,$L366,$O366,$R366),"")</f>
        <v/>
      </c>
      <c r="AP366" s="458" t="str">
        <f>IF(AND($G366='Povolené hodnoty'!$B$13,$H366=AP$4),SUM($I366,$L366,$O366,$R366),"")</f>
        <v/>
      </c>
      <c r="AQ366" s="40" t="str">
        <f>IF(AND($G366='Povolené hodnoty'!$B$13,OR($H366=AQ$4,$H366='Povolené hodnoty'!$E$36)),SUM($I366,-$J366,$L366,-$M366,$O366,-$P366,$R366,-$S366),"")</f>
        <v/>
      </c>
      <c r="AR366" s="40" t="str">
        <f>IF(AND($G366='Povolené hodnoty'!$B$13,$H366=AR$4),SUM($I366,$L366,$O366,$R366),"")</f>
        <v/>
      </c>
      <c r="AS366" s="41" t="str">
        <f>IF(AND($G366='Povolené hodnoty'!$B$13,$H366=AS$4),SUM($I366,$L366,$O366,$R366),"")</f>
        <v/>
      </c>
      <c r="AT366" s="39" t="str">
        <f>IF(AND($G366='Povolené hodnoty'!$B$14,$H366=AT$4),SUM($I366,$L366,$O366,$R366),"")</f>
        <v/>
      </c>
      <c r="AU366" s="458" t="str">
        <f>IF(AND($G366='Povolené hodnoty'!$B$14,$H366=AU$4),SUM($I366,$L366,$O366,$R366),"")</f>
        <v/>
      </c>
      <c r="AV366" s="41" t="str">
        <f>IF(AND($G366='Povolené hodnoty'!$B$14,$H366=AV$4),SUM($I366,$L366,$O366,$R366),"")</f>
        <v/>
      </c>
      <c r="AW366" s="39" t="str">
        <f>IF(AND($G366='Povolené hodnoty'!$B$13,$H366=AW$4),SUM($J366,$M366,$P366,$S366),"")</f>
        <v/>
      </c>
      <c r="AX366" s="458" t="str">
        <f>IF(AND($G366='Povolené hodnoty'!$B$13,$H366=AX$4),SUM($J366,$M366,$P366,$S366),"")</f>
        <v/>
      </c>
      <c r="AY366" s="458" t="str">
        <f>IF(AND($G366='Povolené hodnoty'!$B$13,$H366=AY$4),SUM($J366,$M366,$P366,$S366),"")</f>
        <v/>
      </c>
      <c r="AZ366" s="458" t="str">
        <f>IF(AND($G366='Povolené hodnoty'!$B$13,$H366=AZ$4),SUM($J366,$M366,$P366,$S366),"")</f>
        <v/>
      </c>
      <c r="BA366" s="458" t="str">
        <f>IF(AND($G366='Povolené hodnoty'!$B$13,$H366=BA$4),SUM($J366,$M366,$P366,$S366),"")</f>
        <v/>
      </c>
      <c r="BB366" s="40" t="str">
        <f>IF(AND($G366='Povolené hodnoty'!$B$13,$H366=BB$4),SUM($J366,$M366,$P366,$S366),"")</f>
        <v/>
      </c>
      <c r="BC366" s="40" t="str">
        <f>IF(AND($G366='Povolené hodnoty'!$B$13,$H366=BC$4),SUM($J366,$M366,$P366,$S366),"")</f>
        <v/>
      </c>
      <c r="BD366" s="40" t="str">
        <f>IF(AND($G366='Povolené hodnoty'!$B$13,$H366=BD$4),SUM($J366,$M366,$P366,$S366),"")</f>
        <v/>
      </c>
      <c r="BE366" s="41" t="str">
        <f>IF(AND($G366='Povolené hodnoty'!$B$13,$H366=BE$4),SUM($J366,$M366,$P366,$S366),"")</f>
        <v/>
      </c>
      <c r="BF366" s="39" t="str">
        <f>IF(AND($G366='Povolené hodnoty'!$B$14,$H366=BF$4),SUM($J366,$M366,$P366,$S366),"")</f>
        <v/>
      </c>
      <c r="BG366" s="458" t="str">
        <f>IF(AND($G366='Povolené hodnoty'!$B$14,$H366=BG$4),SUM($J366,$M366,$P366,$S366),"")</f>
        <v/>
      </c>
      <c r="BH366" s="458" t="str">
        <f>IF(AND($G366='Povolené hodnoty'!$B$14,$H366=BH$4),SUM($J366,$M366,$P366,$S366),"")</f>
        <v/>
      </c>
      <c r="BI366" s="458" t="str">
        <f>IF(AND($G366='Povolené hodnoty'!$B$14,$H366=BI$4),SUM($J366,$M366,$P366,$S366),"")</f>
        <v/>
      </c>
      <c r="BJ366" s="458" t="str">
        <f>IF(AND($G366='Povolené hodnoty'!$B$14,$H366=BJ$4),SUM($J366,$M366,$P366,$S366),"")</f>
        <v/>
      </c>
      <c r="BK366" s="40" t="str">
        <f>IF(AND($G366='Povolené hodnoty'!$B$14,$H366=BK$4),SUM($J366,$M366,$P366,$S366),"")</f>
        <v/>
      </c>
      <c r="BL366" s="40" t="str">
        <f>IF(AND($G366='Povolené hodnoty'!$B$14,$H366=BL$4),SUM($J366,$M366,$P366,$S366),"")</f>
        <v/>
      </c>
      <c r="BM366" s="41" t="str">
        <f>IF(AND($G366='Povolené hodnoty'!$B$14,$H366=BM$4),SUM($J366,$M366,$P366,$S366),"")</f>
        <v/>
      </c>
      <c r="BO366" s="18" t="b">
        <f t="shared" si="211"/>
        <v>0</v>
      </c>
      <c r="BP366" s="18" t="b">
        <f t="shared" si="182"/>
        <v>0</v>
      </c>
      <c r="BQ366" s="18" t="b">
        <f>AND(E366&lt;&gt;'Povolené hodnoty'!$B$6,F366&lt;&gt;'Povolené hodnoty'!$D$7,F366&lt;&gt;'Povolené hodnoty'!$D$8,OR(SUM(I366,L366,O366,R366)&lt;&gt;SUM(W366:X366,AA366:AG366),SUM(J366,M366,P366,S366)&lt;&gt;SUM(Y366:Z366,AH366:AK366),COUNT(I366:J366,L366:M366,O366:P366,R366:S366)&lt;&gt;COUNT(W366:AK366)))</f>
        <v>0</v>
      </c>
      <c r="BR366" s="18" t="b">
        <f>OR(AND(E366='Povolené hodnoty'!$B$6,$BR$5),AND(E366='Povolené hodnoty'!$B$6,H366&lt;&gt;'Povolené hodnoty'!$E$26,H366&lt;&gt;'Povolené hodnoty'!$E$35),AND(E366&lt;&gt;'Povolené hodnoty'!$B$6,OR(H366='Povolené hodnoty'!$E$26,H366='Povolené hodnoty'!$E$35)))</f>
        <v>0</v>
      </c>
      <c r="BS366" s="18" t="b">
        <f>OR(AND(G366&lt;&gt;'Povolené hodnoty'!$B$13,OR(H366='Povolené hodnoty'!$E$21,H366='Povolené hodnoty'!$E$22,H366='Povolené hodnoty'!$E$23,H366='Povolené hodnoty'!$E$24,H366='Povolené hodnoty'!$E$26,H366='Povolené hodnoty'!$E$36)),COUNT(I366:J366,L366:M366,O366:P366,R366:S366)&lt;&gt;COUNT(AL366:BM366))</f>
        <v>0</v>
      </c>
      <c r="BT366" s="18" t="b">
        <f t="shared" si="183"/>
        <v>0</v>
      </c>
      <c r="BV366" s="39" t="str">
        <f t="shared" si="184"/>
        <v/>
      </c>
      <c r="BW366" s="458" t="str">
        <f t="shared" si="185"/>
        <v/>
      </c>
      <c r="BX366" s="458" t="str">
        <f t="shared" si="186"/>
        <v/>
      </c>
      <c r="BY366" s="458" t="str">
        <f t="shared" si="187"/>
        <v/>
      </c>
      <c r="BZ366" s="458" t="str">
        <f t="shared" si="188"/>
        <v/>
      </c>
      <c r="CA366" s="40" t="str">
        <f t="shared" si="189"/>
        <v/>
      </c>
      <c r="CB366" s="40" t="str">
        <f t="shared" si="190"/>
        <v/>
      </c>
      <c r="CC366" s="39" t="str">
        <f t="shared" si="191"/>
        <v/>
      </c>
      <c r="CD366" s="458" t="str">
        <f t="shared" si="192"/>
        <v/>
      </c>
      <c r="CE366" s="41" t="str">
        <f t="shared" si="193"/>
        <v/>
      </c>
      <c r="CF366" s="39" t="str">
        <f t="shared" si="194"/>
        <v/>
      </c>
      <c r="CG366" s="458" t="str">
        <f t="shared" si="195"/>
        <v/>
      </c>
      <c r="CH366" s="458" t="str">
        <f t="shared" si="196"/>
        <v/>
      </c>
      <c r="CI366" s="458" t="str">
        <f t="shared" si="197"/>
        <v/>
      </c>
      <c r="CJ366" s="458" t="str">
        <f t="shared" si="198"/>
        <v/>
      </c>
      <c r="CK366" s="40" t="str">
        <f t="shared" si="199"/>
        <v/>
      </c>
      <c r="CL366" s="40" t="str">
        <f t="shared" si="200"/>
        <v/>
      </c>
      <c r="CM366" s="40" t="str">
        <f t="shared" si="201"/>
        <v/>
      </c>
      <c r="CN366" s="39" t="str">
        <f t="shared" si="202"/>
        <v/>
      </c>
      <c r="CO366" s="458" t="str">
        <f t="shared" si="203"/>
        <v/>
      </c>
      <c r="CP366" s="458" t="str">
        <f t="shared" si="204"/>
        <v/>
      </c>
      <c r="CQ366" s="458" t="str">
        <f t="shared" si="205"/>
        <v/>
      </c>
      <c r="CR366" s="458" t="str">
        <f t="shared" si="206"/>
        <v/>
      </c>
      <c r="CS366" s="40" t="str">
        <f t="shared" si="207"/>
        <v/>
      </c>
      <c r="CT366" s="40" t="str">
        <f t="shared" si="208"/>
        <v/>
      </c>
      <c r="CU366" s="41" t="str">
        <f t="shared" si="209"/>
        <v/>
      </c>
    </row>
    <row r="367" spans="1:99" x14ac:dyDescent="0.2">
      <c r="A367" s="77">
        <f t="shared" si="210"/>
        <v>362</v>
      </c>
      <c r="B367" s="81"/>
      <c r="C367" s="82"/>
      <c r="D367" s="71"/>
      <c r="E367" s="72"/>
      <c r="F367" s="73"/>
      <c r="G367" s="443"/>
      <c r="H367" s="443"/>
      <c r="I367" s="74"/>
      <c r="J367" s="75"/>
      <c r="K367" s="41">
        <f t="shared" si="214"/>
        <v>3625</v>
      </c>
      <c r="L367" s="104"/>
      <c r="M367" s="105"/>
      <c r="N367" s="106">
        <f t="shared" si="215"/>
        <v>537.05999999999995</v>
      </c>
      <c r="O367" s="104"/>
      <c r="P367" s="105"/>
      <c r="Q367" s="106">
        <f t="shared" si="212"/>
        <v>10045.83</v>
      </c>
      <c r="R367" s="104"/>
      <c r="S367" s="105"/>
      <c r="T367" s="106">
        <f t="shared" si="213"/>
        <v>0</v>
      </c>
      <c r="U367" s="439"/>
      <c r="V367" s="42">
        <f t="shared" si="181"/>
        <v>362</v>
      </c>
      <c r="W367" s="39" t="str">
        <f>IF(AND(E367='Povolené hodnoty'!$B$4,F367=2),I367+L367+O367+R367,"")</f>
        <v/>
      </c>
      <c r="X367" s="41" t="str">
        <f>IF(AND(E367='Povolené hodnoty'!$B$4,F367=1),I367+L367+O367+R367,"")</f>
        <v/>
      </c>
      <c r="Y367" s="39" t="str">
        <f>IF(AND(E367='Povolené hodnoty'!$B$4,F367=10),J367+M367+P367+S367,"")</f>
        <v/>
      </c>
      <c r="Z367" s="41" t="str">
        <f>IF(AND(E367='Povolené hodnoty'!$B$4,F367=9),J367+M367+P367+S367,"")</f>
        <v/>
      </c>
      <c r="AA367" s="39" t="str">
        <f>IF(AND(E367&lt;&gt;'Povolené hodnoty'!$B$4,F367=2),I367+L367+O367+R367,"")</f>
        <v/>
      </c>
      <c r="AB367" s="40" t="str">
        <f>IF(AND(E367&lt;&gt;'Povolené hodnoty'!$B$4,F367=3),I367+L367+O367+R367,"")</f>
        <v/>
      </c>
      <c r="AC367" s="40" t="str">
        <f>IF(AND(E367&lt;&gt;'Povolené hodnoty'!$B$4,F367=4),I367+L367+O367+R367,"")</f>
        <v/>
      </c>
      <c r="AD367" s="40" t="str">
        <f>IF(AND(E367&lt;&gt;'Povolené hodnoty'!$B$4,F367="5a"),I367-J367+L367-M367+O367-P367+R367-S367,"")</f>
        <v/>
      </c>
      <c r="AE367" s="40" t="str">
        <f>IF(AND(E367&lt;&gt;'Povolené hodnoty'!$B$4,F367="5b"),I367-J367+L367-M367+O367-P367+R367-S367,"")</f>
        <v/>
      </c>
      <c r="AF367" s="40" t="str">
        <f>IF(AND(E367&lt;&gt;'Povolené hodnoty'!$B$4,F367=6),I367+L367+O367+R367,"")</f>
        <v/>
      </c>
      <c r="AG367" s="41" t="str">
        <f>IF(AND(E367&lt;&gt;'Povolené hodnoty'!$B$4,F367=7),I367+L367+O367+R367,"")</f>
        <v/>
      </c>
      <c r="AH367" s="39" t="str">
        <f>IF(AND(E367&lt;&gt;'Povolené hodnoty'!$B$4,F367=10),J367+M367+P367+S367,"")</f>
        <v/>
      </c>
      <c r="AI367" s="40" t="str">
        <f>IF(AND(E367&lt;&gt;'Povolené hodnoty'!$B$4,F367=11),J367+M367+P367+S367,"")</f>
        <v/>
      </c>
      <c r="AJ367" s="40" t="str">
        <f>IF(AND(E367&lt;&gt;'Povolené hodnoty'!$B$4,F367=12),J367+M367+P367+S367,"")</f>
        <v/>
      </c>
      <c r="AK367" s="41" t="str">
        <f>IF(AND(E367&lt;&gt;'Povolené hodnoty'!$B$4,F367=13),J367+M367+P367+S367,"")</f>
        <v/>
      </c>
      <c r="AL367" s="39" t="str">
        <f>IF(AND($G367='Povolené hodnoty'!$B$13,$H367=AL$4),SUM($I367,$L367,$O367,$R367),"")</f>
        <v/>
      </c>
      <c r="AM367" s="458" t="str">
        <f>IF(AND($G367='Povolené hodnoty'!$B$13,$H367=AM$4),SUM($I367,$L367,$O367,$R367),"")</f>
        <v/>
      </c>
      <c r="AN367" s="458" t="str">
        <f>IF(AND($G367='Povolené hodnoty'!$B$13,$H367=AN$4),SUM($I367,$L367,$O367,$R367),"")</f>
        <v/>
      </c>
      <c r="AO367" s="458" t="str">
        <f>IF(AND($G367='Povolené hodnoty'!$B$13,$H367=AO$4),SUM($I367,$L367,$O367,$R367),"")</f>
        <v/>
      </c>
      <c r="AP367" s="458" t="str">
        <f>IF(AND($G367='Povolené hodnoty'!$B$13,$H367=AP$4),SUM($I367,$L367,$O367,$R367),"")</f>
        <v/>
      </c>
      <c r="AQ367" s="40" t="str">
        <f>IF(AND($G367='Povolené hodnoty'!$B$13,OR($H367=AQ$4,$H367='Povolené hodnoty'!$E$36)),SUM($I367,-$J367,$L367,-$M367,$O367,-$P367,$R367,-$S367),"")</f>
        <v/>
      </c>
      <c r="AR367" s="40" t="str">
        <f>IF(AND($G367='Povolené hodnoty'!$B$13,$H367=AR$4),SUM($I367,$L367,$O367,$R367),"")</f>
        <v/>
      </c>
      <c r="AS367" s="41" t="str">
        <f>IF(AND($G367='Povolené hodnoty'!$B$13,$H367=AS$4),SUM($I367,$L367,$O367,$R367),"")</f>
        <v/>
      </c>
      <c r="AT367" s="39" t="str">
        <f>IF(AND($G367='Povolené hodnoty'!$B$14,$H367=AT$4),SUM($I367,$L367,$O367,$R367),"")</f>
        <v/>
      </c>
      <c r="AU367" s="458" t="str">
        <f>IF(AND($G367='Povolené hodnoty'!$B$14,$H367=AU$4),SUM($I367,$L367,$O367,$R367),"")</f>
        <v/>
      </c>
      <c r="AV367" s="41" t="str">
        <f>IF(AND($G367='Povolené hodnoty'!$B$14,$H367=AV$4),SUM($I367,$L367,$O367,$R367),"")</f>
        <v/>
      </c>
      <c r="AW367" s="39" t="str">
        <f>IF(AND($G367='Povolené hodnoty'!$B$13,$H367=AW$4),SUM($J367,$M367,$P367,$S367),"")</f>
        <v/>
      </c>
      <c r="AX367" s="458" t="str">
        <f>IF(AND($G367='Povolené hodnoty'!$B$13,$H367=AX$4),SUM($J367,$M367,$P367,$S367),"")</f>
        <v/>
      </c>
      <c r="AY367" s="458" t="str">
        <f>IF(AND($G367='Povolené hodnoty'!$B$13,$H367=AY$4),SUM($J367,$M367,$P367,$S367),"")</f>
        <v/>
      </c>
      <c r="AZ367" s="458" t="str">
        <f>IF(AND($G367='Povolené hodnoty'!$B$13,$H367=AZ$4),SUM($J367,$M367,$P367,$S367),"")</f>
        <v/>
      </c>
      <c r="BA367" s="458" t="str">
        <f>IF(AND($G367='Povolené hodnoty'!$B$13,$H367=BA$4),SUM($J367,$M367,$P367,$S367),"")</f>
        <v/>
      </c>
      <c r="BB367" s="40" t="str">
        <f>IF(AND($G367='Povolené hodnoty'!$B$13,$H367=BB$4),SUM($J367,$M367,$P367,$S367),"")</f>
        <v/>
      </c>
      <c r="BC367" s="40" t="str">
        <f>IF(AND($G367='Povolené hodnoty'!$B$13,$H367=BC$4),SUM($J367,$M367,$P367,$S367),"")</f>
        <v/>
      </c>
      <c r="BD367" s="40" t="str">
        <f>IF(AND($G367='Povolené hodnoty'!$B$13,$H367=BD$4),SUM($J367,$M367,$P367,$S367),"")</f>
        <v/>
      </c>
      <c r="BE367" s="41" t="str">
        <f>IF(AND($G367='Povolené hodnoty'!$B$13,$H367=BE$4),SUM($J367,$M367,$P367,$S367),"")</f>
        <v/>
      </c>
      <c r="BF367" s="39" t="str">
        <f>IF(AND($G367='Povolené hodnoty'!$B$14,$H367=BF$4),SUM($J367,$M367,$P367,$S367),"")</f>
        <v/>
      </c>
      <c r="BG367" s="458" t="str">
        <f>IF(AND($G367='Povolené hodnoty'!$B$14,$H367=BG$4),SUM($J367,$M367,$P367,$S367),"")</f>
        <v/>
      </c>
      <c r="BH367" s="458" t="str">
        <f>IF(AND($G367='Povolené hodnoty'!$B$14,$H367=BH$4),SUM($J367,$M367,$P367,$S367),"")</f>
        <v/>
      </c>
      <c r="BI367" s="458" t="str">
        <f>IF(AND($G367='Povolené hodnoty'!$B$14,$H367=BI$4),SUM($J367,$M367,$P367,$S367),"")</f>
        <v/>
      </c>
      <c r="BJ367" s="458" t="str">
        <f>IF(AND($G367='Povolené hodnoty'!$B$14,$H367=BJ$4),SUM($J367,$M367,$P367,$S367),"")</f>
        <v/>
      </c>
      <c r="BK367" s="40" t="str">
        <f>IF(AND($G367='Povolené hodnoty'!$B$14,$H367=BK$4),SUM($J367,$M367,$P367,$S367),"")</f>
        <v/>
      </c>
      <c r="BL367" s="40" t="str">
        <f>IF(AND($G367='Povolené hodnoty'!$B$14,$H367=BL$4),SUM($J367,$M367,$P367,$S367),"")</f>
        <v/>
      </c>
      <c r="BM367" s="41" t="str">
        <f>IF(AND($G367='Povolené hodnoty'!$B$14,$H367=BM$4),SUM($J367,$M367,$P367,$S367),"")</f>
        <v/>
      </c>
      <c r="BO367" s="18" t="b">
        <f t="shared" si="211"/>
        <v>0</v>
      </c>
      <c r="BP367" s="18" t="b">
        <f t="shared" si="182"/>
        <v>0</v>
      </c>
      <c r="BQ367" s="18" t="b">
        <f>AND(E367&lt;&gt;'Povolené hodnoty'!$B$6,F367&lt;&gt;'Povolené hodnoty'!$D$7,F367&lt;&gt;'Povolené hodnoty'!$D$8,OR(SUM(I367,L367,O367,R367)&lt;&gt;SUM(W367:X367,AA367:AG367),SUM(J367,M367,P367,S367)&lt;&gt;SUM(Y367:Z367,AH367:AK367),COUNT(I367:J367,L367:M367,O367:P367,R367:S367)&lt;&gt;COUNT(W367:AK367)))</f>
        <v>0</v>
      </c>
      <c r="BR367" s="18" t="b">
        <f>OR(AND(E367='Povolené hodnoty'!$B$6,$BR$5),AND(E367='Povolené hodnoty'!$B$6,H367&lt;&gt;'Povolené hodnoty'!$E$26,H367&lt;&gt;'Povolené hodnoty'!$E$35),AND(E367&lt;&gt;'Povolené hodnoty'!$B$6,OR(H367='Povolené hodnoty'!$E$26,H367='Povolené hodnoty'!$E$35)))</f>
        <v>0</v>
      </c>
      <c r="BS367" s="18" t="b">
        <f>OR(AND(G367&lt;&gt;'Povolené hodnoty'!$B$13,OR(H367='Povolené hodnoty'!$E$21,H367='Povolené hodnoty'!$E$22,H367='Povolené hodnoty'!$E$23,H367='Povolené hodnoty'!$E$24,H367='Povolené hodnoty'!$E$26,H367='Povolené hodnoty'!$E$36)),COUNT(I367:J367,L367:M367,O367:P367,R367:S367)&lt;&gt;COUNT(AL367:BM367))</f>
        <v>0</v>
      </c>
      <c r="BT367" s="18" t="b">
        <f t="shared" si="183"/>
        <v>0</v>
      </c>
      <c r="BV367" s="39" t="str">
        <f t="shared" si="184"/>
        <v/>
      </c>
      <c r="BW367" s="458" t="str">
        <f t="shared" si="185"/>
        <v/>
      </c>
      <c r="BX367" s="458" t="str">
        <f t="shared" si="186"/>
        <v/>
      </c>
      <c r="BY367" s="458" t="str">
        <f t="shared" si="187"/>
        <v/>
      </c>
      <c r="BZ367" s="458" t="str">
        <f t="shared" si="188"/>
        <v/>
      </c>
      <c r="CA367" s="40" t="str">
        <f t="shared" si="189"/>
        <v/>
      </c>
      <c r="CB367" s="40" t="str">
        <f t="shared" si="190"/>
        <v/>
      </c>
      <c r="CC367" s="39" t="str">
        <f t="shared" si="191"/>
        <v/>
      </c>
      <c r="CD367" s="458" t="str">
        <f t="shared" si="192"/>
        <v/>
      </c>
      <c r="CE367" s="41" t="str">
        <f t="shared" si="193"/>
        <v/>
      </c>
      <c r="CF367" s="39" t="str">
        <f t="shared" si="194"/>
        <v/>
      </c>
      <c r="CG367" s="458" t="str">
        <f t="shared" si="195"/>
        <v/>
      </c>
      <c r="CH367" s="458" t="str">
        <f t="shared" si="196"/>
        <v/>
      </c>
      <c r="CI367" s="458" t="str">
        <f t="shared" si="197"/>
        <v/>
      </c>
      <c r="CJ367" s="458" t="str">
        <f t="shared" si="198"/>
        <v/>
      </c>
      <c r="CK367" s="40" t="str">
        <f t="shared" si="199"/>
        <v/>
      </c>
      <c r="CL367" s="40" t="str">
        <f t="shared" si="200"/>
        <v/>
      </c>
      <c r="CM367" s="40" t="str">
        <f t="shared" si="201"/>
        <v/>
      </c>
      <c r="CN367" s="39" t="str">
        <f t="shared" si="202"/>
        <v/>
      </c>
      <c r="CO367" s="458" t="str">
        <f t="shared" si="203"/>
        <v/>
      </c>
      <c r="CP367" s="458" t="str">
        <f t="shared" si="204"/>
        <v/>
      </c>
      <c r="CQ367" s="458" t="str">
        <f t="shared" si="205"/>
        <v/>
      </c>
      <c r="CR367" s="458" t="str">
        <f t="shared" si="206"/>
        <v/>
      </c>
      <c r="CS367" s="40" t="str">
        <f t="shared" si="207"/>
        <v/>
      </c>
      <c r="CT367" s="40" t="str">
        <f t="shared" si="208"/>
        <v/>
      </c>
      <c r="CU367" s="41" t="str">
        <f t="shared" si="209"/>
        <v/>
      </c>
    </row>
    <row r="368" spans="1:99" x14ac:dyDescent="0.2">
      <c r="A368" s="77">
        <f t="shared" si="210"/>
        <v>363</v>
      </c>
      <c r="B368" s="81"/>
      <c r="C368" s="82"/>
      <c r="D368" s="71"/>
      <c r="E368" s="72"/>
      <c r="F368" s="73"/>
      <c r="G368" s="443"/>
      <c r="H368" s="443"/>
      <c r="I368" s="74"/>
      <c r="J368" s="75"/>
      <c r="K368" s="41">
        <f t="shared" si="214"/>
        <v>3625</v>
      </c>
      <c r="L368" s="104"/>
      <c r="M368" s="105"/>
      <c r="N368" s="106">
        <f t="shared" si="215"/>
        <v>537.05999999999995</v>
      </c>
      <c r="O368" s="104"/>
      <c r="P368" s="105"/>
      <c r="Q368" s="106">
        <f t="shared" si="212"/>
        <v>10045.83</v>
      </c>
      <c r="R368" s="104"/>
      <c r="S368" s="105"/>
      <c r="T368" s="106">
        <f t="shared" si="213"/>
        <v>0</v>
      </c>
      <c r="U368" s="439"/>
      <c r="V368" s="42">
        <f t="shared" si="181"/>
        <v>363</v>
      </c>
      <c r="W368" s="39" t="str">
        <f>IF(AND(E368='Povolené hodnoty'!$B$4,F368=2),I368+L368+O368+R368,"")</f>
        <v/>
      </c>
      <c r="X368" s="41" t="str">
        <f>IF(AND(E368='Povolené hodnoty'!$B$4,F368=1),I368+L368+O368+R368,"")</f>
        <v/>
      </c>
      <c r="Y368" s="39" t="str">
        <f>IF(AND(E368='Povolené hodnoty'!$B$4,F368=10),J368+M368+P368+S368,"")</f>
        <v/>
      </c>
      <c r="Z368" s="41" t="str">
        <f>IF(AND(E368='Povolené hodnoty'!$B$4,F368=9),J368+M368+P368+S368,"")</f>
        <v/>
      </c>
      <c r="AA368" s="39" t="str">
        <f>IF(AND(E368&lt;&gt;'Povolené hodnoty'!$B$4,F368=2),I368+L368+O368+R368,"")</f>
        <v/>
      </c>
      <c r="AB368" s="40" t="str">
        <f>IF(AND(E368&lt;&gt;'Povolené hodnoty'!$B$4,F368=3),I368+L368+O368+R368,"")</f>
        <v/>
      </c>
      <c r="AC368" s="40" t="str">
        <f>IF(AND(E368&lt;&gt;'Povolené hodnoty'!$B$4,F368=4),I368+L368+O368+R368,"")</f>
        <v/>
      </c>
      <c r="AD368" s="40" t="str">
        <f>IF(AND(E368&lt;&gt;'Povolené hodnoty'!$B$4,F368="5a"),I368-J368+L368-M368+O368-P368+R368-S368,"")</f>
        <v/>
      </c>
      <c r="AE368" s="40" t="str">
        <f>IF(AND(E368&lt;&gt;'Povolené hodnoty'!$B$4,F368="5b"),I368-J368+L368-M368+O368-P368+R368-S368,"")</f>
        <v/>
      </c>
      <c r="AF368" s="40" t="str">
        <f>IF(AND(E368&lt;&gt;'Povolené hodnoty'!$B$4,F368=6),I368+L368+O368+R368,"")</f>
        <v/>
      </c>
      <c r="AG368" s="41" t="str">
        <f>IF(AND(E368&lt;&gt;'Povolené hodnoty'!$B$4,F368=7),I368+L368+O368+R368,"")</f>
        <v/>
      </c>
      <c r="AH368" s="39" t="str">
        <f>IF(AND(E368&lt;&gt;'Povolené hodnoty'!$B$4,F368=10),J368+M368+P368+S368,"")</f>
        <v/>
      </c>
      <c r="AI368" s="40" t="str">
        <f>IF(AND(E368&lt;&gt;'Povolené hodnoty'!$B$4,F368=11),J368+M368+P368+S368,"")</f>
        <v/>
      </c>
      <c r="AJ368" s="40" t="str">
        <f>IF(AND(E368&lt;&gt;'Povolené hodnoty'!$B$4,F368=12),J368+M368+P368+S368,"")</f>
        <v/>
      </c>
      <c r="AK368" s="41" t="str">
        <f>IF(AND(E368&lt;&gt;'Povolené hodnoty'!$B$4,F368=13),J368+M368+P368+S368,"")</f>
        <v/>
      </c>
      <c r="AL368" s="39" t="str">
        <f>IF(AND($G368='Povolené hodnoty'!$B$13,$H368=AL$4),SUM($I368,$L368,$O368,$R368),"")</f>
        <v/>
      </c>
      <c r="AM368" s="458" t="str">
        <f>IF(AND($G368='Povolené hodnoty'!$B$13,$H368=AM$4),SUM($I368,$L368,$O368,$R368),"")</f>
        <v/>
      </c>
      <c r="AN368" s="458" t="str">
        <f>IF(AND($G368='Povolené hodnoty'!$B$13,$H368=AN$4),SUM($I368,$L368,$O368,$R368),"")</f>
        <v/>
      </c>
      <c r="AO368" s="458" t="str">
        <f>IF(AND($G368='Povolené hodnoty'!$B$13,$H368=AO$4),SUM($I368,$L368,$O368,$R368),"")</f>
        <v/>
      </c>
      <c r="AP368" s="458" t="str">
        <f>IF(AND($G368='Povolené hodnoty'!$B$13,$H368=AP$4),SUM($I368,$L368,$O368,$R368),"")</f>
        <v/>
      </c>
      <c r="AQ368" s="40" t="str">
        <f>IF(AND($G368='Povolené hodnoty'!$B$13,OR($H368=AQ$4,$H368='Povolené hodnoty'!$E$36)),SUM($I368,-$J368,$L368,-$M368,$O368,-$P368,$R368,-$S368),"")</f>
        <v/>
      </c>
      <c r="AR368" s="40" t="str">
        <f>IF(AND($G368='Povolené hodnoty'!$B$13,$H368=AR$4),SUM($I368,$L368,$O368,$R368),"")</f>
        <v/>
      </c>
      <c r="AS368" s="41" t="str">
        <f>IF(AND($G368='Povolené hodnoty'!$B$13,$H368=AS$4),SUM($I368,$L368,$O368,$R368),"")</f>
        <v/>
      </c>
      <c r="AT368" s="39" t="str">
        <f>IF(AND($G368='Povolené hodnoty'!$B$14,$H368=AT$4),SUM($I368,$L368,$O368,$R368),"")</f>
        <v/>
      </c>
      <c r="AU368" s="458" t="str">
        <f>IF(AND($G368='Povolené hodnoty'!$B$14,$H368=AU$4),SUM($I368,$L368,$O368,$R368),"")</f>
        <v/>
      </c>
      <c r="AV368" s="41" t="str">
        <f>IF(AND($G368='Povolené hodnoty'!$B$14,$H368=AV$4),SUM($I368,$L368,$O368,$R368),"")</f>
        <v/>
      </c>
      <c r="AW368" s="39" t="str">
        <f>IF(AND($G368='Povolené hodnoty'!$B$13,$H368=AW$4),SUM($J368,$M368,$P368,$S368),"")</f>
        <v/>
      </c>
      <c r="AX368" s="458" t="str">
        <f>IF(AND($G368='Povolené hodnoty'!$B$13,$H368=AX$4),SUM($J368,$M368,$P368,$S368),"")</f>
        <v/>
      </c>
      <c r="AY368" s="458" t="str">
        <f>IF(AND($G368='Povolené hodnoty'!$B$13,$H368=AY$4),SUM($J368,$M368,$P368,$S368),"")</f>
        <v/>
      </c>
      <c r="AZ368" s="458" t="str">
        <f>IF(AND($G368='Povolené hodnoty'!$B$13,$H368=AZ$4),SUM($J368,$M368,$P368,$S368),"")</f>
        <v/>
      </c>
      <c r="BA368" s="458" t="str">
        <f>IF(AND($G368='Povolené hodnoty'!$B$13,$H368=BA$4),SUM($J368,$M368,$P368,$S368),"")</f>
        <v/>
      </c>
      <c r="BB368" s="40" t="str">
        <f>IF(AND($G368='Povolené hodnoty'!$B$13,$H368=BB$4),SUM($J368,$M368,$P368,$S368),"")</f>
        <v/>
      </c>
      <c r="BC368" s="40" t="str">
        <f>IF(AND($G368='Povolené hodnoty'!$B$13,$H368=BC$4),SUM($J368,$M368,$P368,$S368),"")</f>
        <v/>
      </c>
      <c r="BD368" s="40" t="str">
        <f>IF(AND($G368='Povolené hodnoty'!$B$13,$H368=BD$4),SUM($J368,$M368,$P368,$S368),"")</f>
        <v/>
      </c>
      <c r="BE368" s="41" t="str">
        <f>IF(AND($G368='Povolené hodnoty'!$B$13,$H368=BE$4),SUM($J368,$M368,$P368,$S368),"")</f>
        <v/>
      </c>
      <c r="BF368" s="39" t="str">
        <f>IF(AND($G368='Povolené hodnoty'!$B$14,$H368=BF$4),SUM($J368,$M368,$P368,$S368),"")</f>
        <v/>
      </c>
      <c r="BG368" s="458" t="str">
        <f>IF(AND($G368='Povolené hodnoty'!$B$14,$H368=BG$4),SUM($J368,$M368,$P368,$S368),"")</f>
        <v/>
      </c>
      <c r="BH368" s="458" t="str">
        <f>IF(AND($G368='Povolené hodnoty'!$B$14,$H368=BH$4),SUM($J368,$M368,$P368,$S368),"")</f>
        <v/>
      </c>
      <c r="BI368" s="458" t="str">
        <f>IF(AND($G368='Povolené hodnoty'!$B$14,$H368=BI$4),SUM($J368,$M368,$P368,$S368),"")</f>
        <v/>
      </c>
      <c r="BJ368" s="458" t="str">
        <f>IF(AND($G368='Povolené hodnoty'!$B$14,$H368=BJ$4),SUM($J368,$M368,$P368,$S368),"")</f>
        <v/>
      </c>
      <c r="BK368" s="40" t="str">
        <f>IF(AND($G368='Povolené hodnoty'!$B$14,$H368=BK$4),SUM($J368,$M368,$P368,$S368),"")</f>
        <v/>
      </c>
      <c r="BL368" s="40" t="str">
        <f>IF(AND($G368='Povolené hodnoty'!$B$14,$H368=BL$4),SUM($J368,$M368,$P368,$S368),"")</f>
        <v/>
      </c>
      <c r="BM368" s="41" t="str">
        <f>IF(AND($G368='Povolené hodnoty'!$B$14,$H368=BM$4),SUM($J368,$M368,$P368,$S368),"")</f>
        <v/>
      </c>
      <c r="BO368" s="18" t="b">
        <f t="shared" si="211"/>
        <v>0</v>
      </c>
      <c r="BP368" s="18" t="b">
        <f t="shared" si="182"/>
        <v>0</v>
      </c>
      <c r="BQ368" s="18" t="b">
        <f>AND(E368&lt;&gt;'Povolené hodnoty'!$B$6,F368&lt;&gt;'Povolené hodnoty'!$D$7,F368&lt;&gt;'Povolené hodnoty'!$D$8,OR(SUM(I368,L368,O368,R368)&lt;&gt;SUM(W368:X368,AA368:AG368),SUM(J368,M368,P368,S368)&lt;&gt;SUM(Y368:Z368,AH368:AK368),COUNT(I368:J368,L368:M368,O368:P368,R368:S368)&lt;&gt;COUNT(W368:AK368)))</f>
        <v>0</v>
      </c>
      <c r="BR368" s="18" t="b">
        <f>OR(AND(E368='Povolené hodnoty'!$B$6,$BR$5),AND(E368='Povolené hodnoty'!$B$6,H368&lt;&gt;'Povolené hodnoty'!$E$26,H368&lt;&gt;'Povolené hodnoty'!$E$35),AND(E368&lt;&gt;'Povolené hodnoty'!$B$6,OR(H368='Povolené hodnoty'!$E$26,H368='Povolené hodnoty'!$E$35)))</f>
        <v>0</v>
      </c>
      <c r="BS368" s="18" t="b">
        <f>OR(AND(G368&lt;&gt;'Povolené hodnoty'!$B$13,OR(H368='Povolené hodnoty'!$E$21,H368='Povolené hodnoty'!$E$22,H368='Povolené hodnoty'!$E$23,H368='Povolené hodnoty'!$E$24,H368='Povolené hodnoty'!$E$26,H368='Povolené hodnoty'!$E$36)),COUNT(I368:J368,L368:M368,O368:P368,R368:S368)&lt;&gt;COUNT(AL368:BM368))</f>
        <v>0</v>
      </c>
      <c r="BT368" s="18" t="b">
        <f t="shared" si="183"/>
        <v>0</v>
      </c>
      <c r="BV368" s="39" t="str">
        <f t="shared" si="184"/>
        <v/>
      </c>
      <c r="BW368" s="458" t="str">
        <f t="shared" si="185"/>
        <v/>
      </c>
      <c r="BX368" s="458" t="str">
        <f t="shared" si="186"/>
        <v/>
      </c>
      <c r="BY368" s="458" t="str">
        <f t="shared" si="187"/>
        <v/>
      </c>
      <c r="BZ368" s="458" t="str">
        <f t="shared" si="188"/>
        <v/>
      </c>
      <c r="CA368" s="40" t="str">
        <f t="shared" si="189"/>
        <v/>
      </c>
      <c r="CB368" s="40" t="str">
        <f t="shared" si="190"/>
        <v/>
      </c>
      <c r="CC368" s="39" t="str">
        <f t="shared" si="191"/>
        <v/>
      </c>
      <c r="CD368" s="458" t="str">
        <f t="shared" si="192"/>
        <v/>
      </c>
      <c r="CE368" s="41" t="str">
        <f t="shared" si="193"/>
        <v/>
      </c>
      <c r="CF368" s="39" t="str">
        <f t="shared" si="194"/>
        <v/>
      </c>
      <c r="CG368" s="458" t="str">
        <f t="shared" si="195"/>
        <v/>
      </c>
      <c r="CH368" s="458" t="str">
        <f t="shared" si="196"/>
        <v/>
      </c>
      <c r="CI368" s="458" t="str">
        <f t="shared" si="197"/>
        <v/>
      </c>
      <c r="CJ368" s="458" t="str">
        <f t="shared" si="198"/>
        <v/>
      </c>
      <c r="CK368" s="40" t="str">
        <f t="shared" si="199"/>
        <v/>
      </c>
      <c r="CL368" s="40" t="str">
        <f t="shared" si="200"/>
        <v/>
      </c>
      <c r="CM368" s="40" t="str">
        <f t="shared" si="201"/>
        <v/>
      </c>
      <c r="CN368" s="39" t="str">
        <f t="shared" si="202"/>
        <v/>
      </c>
      <c r="CO368" s="458" t="str">
        <f t="shared" si="203"/>
        <v/>
      </c>
      <c r="CP368" s="458" t="str">
        <f t="shared" si="204"/>
        <v/>
      </c>
      <c r="CQ368" s="458" t="str">
        <f t="shared" si="205"/>
        <v/>
      </c>
      <c r="CR368" s="458" t="str">
        <f t="shared" si="206"/>
        <v/>
      </c>
      <c r="CS368" s="40" t="str">
        <f t="shared" si="207"/>
        <v/>
      </c>
      <c r="CT368" s="40" t="str">
        <f t="shared" si="208"/>
        <v/>
      </c>
      <c r="CU368" s="41" t="str">
        <f t="shared" si="209"/>
        <v/>
      </c>
    </row>
    <row r="369" spans="1:99" x14ac:dyDescent="0.2">
      <c r="A369" s="77">
        <f t="shared" si="210"/>
        <v>364</v>
      </c>
      <c r="B369" s="81"/>
      <c r="C369" s="82"/>
      <c r="D369" s="71"/>
      <c r="E369" s="72"/>
      <c r="F369" s="73"/>
      <c r="G369" s="443"/>
      <c r="H369" s="443"/>
      <c r="I369" s="74"/>
      <c r="J369" s="75"/>
      <c r="K369" s="41">
        <f t="shared" si="214"/>
        <v>3625</v>
      </c>
      <c r="L369" s="104"/>
      <c r="M369" s="105"/>
      <c r="N369" s="106">
        <f t="shared" si="215"/>
        <v>537.05999999999995</v>
      </c>
      <c r="O369" s="104"/>
      <c r="P369" s="105"/>
      <c r="Q369" s="106">
        <f t="shared" si="212"/>
        <v>10045.83</v>
      </c>
      <c r="R369" s="104"/>
      <c r="S369" s="105"/>
      <c r="T369" s="106">
        <f t="shared" si="213"/>
        <v>0</v>
      </c>
      <c r="U369" s="439"/>
      <c r="V369" s="42">
        <f t="shared" si="181"/>
        <v>364</v>
      </c>
      <c r="W369" s="39" t="str">
        <f>IF(AND(E369='Povolené hodnoty'!$B$4,F369=2),I369+L369+O369+R369,"")</f>
        <v/>
      </c>
      <c r="X369" s="41" t="str">
        <f>IF(AND(E369='Povolené hodnoty'!$B$4,F369=1),I369+L369+O369+R369,"")</f>
        <v/>
      </c>
      <c r="Y369" s="39" t="str">
        <f>IF(AND(E369='Povolené hodnoty'!$B$4,F369=10),J369+M369+P369+S369,"")</f>
        <v/>
      </c>
      <c r="Z369" s="41" t="str">
        <f>IF(AND(E369='Povolené hodnoty'!$B$4,F369=9),J369+M369+P369+S369,"")</f>
        <v/>
      </c>
      <c r="AA369" s="39" t="str">
        <f>IF(AND(E369&lt;&gt;'Povolené hodnoty'!$B$4,F369=2),I369+L369+O369+R369,"")</f>
        <v/>
      </c>
      <c r="AB369" s="40" t="str">
        <f>IF(AND(E369&lt;&gt;'Povolené hodnoty'!$B$4,F369=3),I369+L369+O369+R369,"")</f>
        <v/>
      </c>
      <c r="AC369" s="40" t="str">
        <f>IF(AND(E369&lt;&gt;'Povolené hodnoty'!$B$4,F369=4),I369+L369+O369+R369,"")</f>
        <v/>
      </c>
      <c r="AD369" s="40" t="str">
        <f>IF(AND(E369&lt;&gt;'Povolené hodnoty'!$B$4,F369="5a"),I369-J369+L369-M369+O369-P369+R369-S369,"")</f>
        <v/>
      </c>
      <c r="AE369" s="40" t="str">
        <f>IF(AND(E369&lt;&gt;'Povolené hodnoty'!$B$4,F369="5b"),I369-J369+L369-M369+O369-P369+R369-S369,"")</f>
        <v/>
      </c>
      <c r="AF369" s="40" t="str">
        <f>IF(AND(E369&lt;&gt;'Povolené hodnoty'!$B$4,F369=6),I369+L369+O369+R369,"")</f>
        <v/>
      </c>
      <c r="AG369" s="41" t="str">
        <f>IF(AND(E369&lt;&gt;'Povolené hodnoty'!$B$4,F369=7),I369+L369+O369+R369,"")</f>
        <v/>
      </c>
      <c r="AH369" s="39" t="str">
        <f>IF(AND(E369&lt;&gt;'Povolené hodnoty'!$B$4,F369=10),J369+M369+P369+S369,"")</f>
        <v/>
      </c>
      <c r="AI369" s="40" t="str">
        <f>IF(AND(E369&lt;&gt;'Povolené hodnoty'!$B$4,F369=11),J369+M369+P369+S369,"")</f>
        <v/>
      </c>
      <c r="AJ369" s="40" t="str">
        <f>IF(AND(E369&lt;&gt;'Povolené hodnoty'!$B$4,F369=12),J369+M369+P369+S369,"")</f>
        <v/>
      </c>
      <c r="AK369" s="41" t="str">
        <f>IF(AND(E369&lt;&gt;'Povolené hodnoty'!$B$4,F369=13),J369+M369+P369+S369,"")</f>
        <v/>
      </c>
      <c r="AL369" s="39" t="str">
        <f>IF(AND($G369='Povolené hodnoty'!$B$13,$H369=AL$4),SUM($I369,$L369,$O369,$R369),"")</f>
        <v/>
      </c>
      <c r="AM369" s="458" t="str">
        <f>IF(AND($G369='Povolené hodnoty'!$B$13,$H369=AM$4),SUM($I369,$L369,$O369,$R369),"")</f>
        <v/>
      </c>
      <c r="AN369" s="458" t="str">
        <f>IF(AND($G369='Povolené hodnoty'!$B$13,$H369=AN$4),SUM($I369,$L369,$O369,$R369),"")</f>
        <v/>
      </c>
      <c r="AO369" s="458" t="str">
        <f>IF(AND($G369='Povolené hodnoty'!$B$13,$H369=AO$4),SUM($I369,$L369,$O369,$R369),"")</f>
        <v/>
      </c>
      <c r="AP369" s="458" t="str">
        <f>IF(AND($G369='Povolené hodnoty'!$B$13,$H369=AP$4),SUM($I369,$L369,$O369,$R369),"")</f>
        <v/>
      </c>
      <c r="AQ369" s="40" t="str">
        <f>IF(AND($G369='Povolené hodnoty'!$B$13,OR($H369=AQ$4,$H369='Povolené hodnoty'!$E$36)),SUM($I369,-$J369,$L369,-$M369,$O369,-$P369,$R369,-$S369),"")</f>
        <v/>
      </c>
      <c r="AR369" s="40" t="str">
        <f>IF(AND($G369='Povolené hodnoty'!$B$13,$H369=AR$4),SUM($I369,$L369,$O369,$R369),"")</f>
        <v/>
      </c>
      <c r="AS369" s="41" t="str">
        <f>IF(AND($G369='Povolené hodnoty'!$B$13,$H369=AS$4),SUM($I369,$L369,$O369,$R369),"")</f>
        <v/>
      </c>
      <c r="AT369" s="39" t="str">
        <f>IF(AND($G369='Povolené hodnoty'!$B$14,$H369=AT$4),SUM($I369,$L369,$O369,$R369),"")</f>
        <v/>
      </c>
      <c r="AU369" s="458" t="str">
        <f>IF(AND($G369='Povolené hodnoty'!$B$14,$H369=AU$4),SUM($I369,$L369,$O369,$R369),"")</f>
        <v/>
      </c>
      <c r="AV369" s="41" t="str">
        <f>IF(AND($G369='Povolené hodnoty'!$B$14,$H369=AV$4),SUM($I369,$L369,$O369,$R369),"")</f>
        <v/>
      </c>
      <c r="AW369" s="39" t="str">
        <f>IF(AND($G369='Povolené hodnoty'!$B$13,$H369=AW$4),SUM($J369,$M369,$P369,$S369),"")</f>
        <v/>
      </c>
      <c r="AX369" s="458" t="str">
        <f>IF(AND($G369='Povolené hodnoty'!$B$13,$H369=AX$4),SUM($J369,$M369,$P369,$S369),"")</f>
        <v/>
      </c>
      <c r="AY369" s="458" t="str">
        <f>IF(AND($G369='Povolené hodnoty'!$B$13,$H369=AY$4),SUM($J369,$M369,$P369,$S369),"")</f>
        <v/>
      </c>
      <c r="AZ369" s="458" t="str">
        <f>IF(AND($G369='Povolené hodnoty'!$B$13,$H369=AZ$4),SUM($J369,$M369,$P369,$S369),"")</f>
        <v/>
      </c>
      <c r="BA369" s="458" t="str">
        <f>IF(AND($G369='Povolené hodnoty'!$B$13,$H369=BA$4),SUM($J369,$M369,$P369,$S369),"")</f>
        <v/>
      </c>
      <c r="BB369" s="40" t="str">
        <f>IF(AND($G369='Povolené hodnoty'!$B$13,$H369=BB$4),SUM($J369,$M369,$P369,$S369),"")</f>
        <v/>
      </c>
      <c r="BC369" s="40" t="str">
        <f>IF(AND($G369='Povolené hodnoty'!$B$13,$H369=BC$4),SUM($J369,$M369,$P369,$S369),"")</f>
        <v/>
      </c>
      <c r="BD369" s="40" t="str">
        <f>IF(AND($G369='Povolené hodnoty'!$B$13,$H369=BD$4),SUM($J369,$M369,$P369,$S369),"")</f>
        <v/>
      </c>
      <c r="BE369" s="41" t="str">
        <f>IF(AND($G369='Povolené hodnoty'!$B$13,$H369=BE$4),SUM($J369,$M369,$P369,$S369),"")</f>
        <v/>
      </c>
      <c r="BF369" s="39" t="str">
        <f>IF(AND($G369='Povolené hodnoty'!$B$14,$H369=BF$4),SUM($J369,$M369,$P369,$S369),"")</f>
        <v/>
      </c>
      <c r="BG369" s="458" t="str">
        <f>IF(AND($G369='Povolené hodnoty'!$B$14,$H369=BG$4),SUM($J369,$M369,$P369,$S369),"")</f>
        <v/>
      </c>
      <c r="BH369" s="458" t="str">
        <f>IF(AND($G369='Povolené hodnoty'!$B$14,$H369=BH$4),SUM($J369,$M369,$P369,$S369),"")</f>
        <v/>
      </c>
      <c r="BI369" s="458" t="str">
        <f>IF(AND($G369='Povolené hodnoty'!$B$14,$H369=BI$4),SUM($J369,$M369,$P369,$S369),"")</f>
        <v/>
      </c>
      <c r="BJ369" s="458" t="str">
        <f>IF(AND($G369='Povolené hodnoty'!$B$14,$H369=BJ$4),SUM($J369,$M369,$P369,$S369),"")</f>
        <v/>
      </c>
      <c r="BK369" s="40" t="str">
        <f>IF(AND($G369='Povolené hodnoty'!$B$14,$H369=BK$4),SUM($J369,$M369,$P369,$S369),"")</f>
        <v/>
      </c>
      <c r="BL369" s="40" t="str">
        <f>IF(AND($G369='Povolené hodnoty'!$B$14,$H369=BL$4),SUM($J369,$M369,$P369,$S369),"")</f>
        <v/>
      </c>
      <c r="BM369" s="41" t="str">
        <f>IF(AND($G369='Povolené hodnoty'!$B$14,$H369=BM$4),SUM($J369,$M369,$P369,$S369),"")</f>
        <v/>
      </c>
      <c r="BO369" s="18" t="b">
        <f t="shared" si="211"/>
        <v>0</v>
      </c>
      <c r="BP369" s="18" t="b">
        <f t="shared" si="182"/>
        <v>0</v>
      </c>
      <c r="BQ369" s="18" t="b">
        <f>AND(E369&lt;&gt;'Povolené hodnoty'!$B$6,F369&lt;&gt;'Povolené hodnoty'!$D$7,F369&lt;&gt;'Povolené hodnoty'!$D$8,OR(SUM(I369,L369,O369,R369)&lt;&gt;SUM(W369:X369,AA369:AG369),SUM(J369,M369,P369,S369)&lt;&gt;SUM(Y369:Z369,AH369:AK369),COUNT(I369:J369,L369:M369,O369:P369,R369:S369)&lt;&gt;COUNT(W369:AK369)))</f>
        <v>0</v>
      </c>
      <c r="BR369" s="18" t="b">
        <f>OR(AND(E369='Povolené hodnoty'!$B$6,$BR$5),AND(E369='Povolené hodnoty'!$B$6,H369&lt;&gt;'Povolené hodnoty'!$E$26,H369&lt;&gt;'Povolené hodnoty'!$E$35),AND(E369&lt;&gt;'Povolené hodnoty'!$B$6,OR(H369='Povolené hodnoty'!$E$26,H369='Povolené hodnoty'!$E$35)))</f>
        <v>0</v>
      </c>
      <c r="BS369" s="18" t="b">
        <f>OR(AND(G369&lt;&gt;'Povolené hodnoty'!$B$13,OR(H369='Povolené hodnoty'!$E$21,H369='Povolené hodnoty'!$E$22,H369='Povolené hodnoty'!$E$23,H369='Povolené hodnoty'!$E$24,H369='Povolené hodnoty'!$E$26,H369='Povolené hodnoty'!$E$36)),COUNT(I369:J369,L369:M369,O369:P369,R369:S369)&lt;&gt;COUNT(AL369:BM369))</f>
        <v>0</v>
      </c>
      <c r="BT369" s="18" t="b">
        <f t="shared" si="183"/>
        <v>0</v>
      </c>
      <c r="BV369" s="39" t="str">
        <f t="shared" si="184"/>
        <v/>
      </c>
      <c r="BW369" s="458" t="str">
        <f t="shared" si="185"/>
        <v/>
      </c>
      <c r="BX369" s="458" t="str">
        <f t="shared" si="186"/>
        <v/>
      </c>
      <c r="BY369" s="458" t="str">
        <f t="shared" si="187"/>
        <v/>
      </c>
      <c r="BZ369" s="458" t="str">
        <f t="shared" si="188"/>
        <v/>
      </c>
      <c r="CA369" s="40" t="str">
        <f t="shared" si="189"/>
        <v/>
      </c>
      <c r="CB369" s="40" t="str">
        <f t="shared" si="190"/>
        <v/>
      </c>
      <c r="CC369" s="39" t="str">
        <f t="shared" si="191"/>
        <v/>
      </c>
      <c r="CD369" s="458" t="str">
        <f t="shared" si="192"/>
        <v/>
      </c>
      <c r="CE369" s="41" t="str">
        <f t="shared" si="193"/>
        <v/>
      </c>
      <c r="CF369" s="39" t="str">
        <f t="shared" si="194"/>
        <v/>
      </c>
      <c r="CG369" s="458" t="str">
        <f t="shared" si="195"/>
        <v/>
      </c>
      <c r="CH369" s="458" t="str">
        <f t="shared" si="196"/>
        <v/>
      </c>
      <c r="CI369" s="458" t="str">
        <f t="shared" si="197"/>
        <v/>
      </c>
      <c r="CJ369" s="458" t="str">
        <f t="shared" si="198"/>
        <v/>
      </c>
      <c r="CK369" s="40" t="str">
        <f t="shared" si="199"/>
        <v/>
      </c>
      <c r="CL369" s="40" t="str">
        <f t="shared" si="200"/>
        <v/>
      </c>
      <c r="CM369" s="40" t="str">
        <f t="shared" si="201"/>
        <v/>
      </c>
      <c r="CN369" s="39" t="str">
        <f t="shared" si="202"/>
        <v/>
      </c>
      <c r="CO369" s="458" t="str">
        <f t="shared" si="203"/>
        <v/>
      </c>
      <c r="CP369" s="458" t="str">
        <f t="shared" si="204"/>
        <v/>
      </c>
      <c r="CQ369" s="458" t="str">
        <f t="shared" si="205"/>
        <v/>
      </c>
      <c r="CR369" s="458" t="str">
        <f t="shared" si="206"/>
        <v/>
      </c>
      <c r="CS369" s="40" t="str">
        <f t="shared" si="207"/>
        <v/>
      </c>
      <c r="CT369" s="40" t="str">
        <f t="shared" si="208"/>
        <v/>
      </c>
      <c r="CU369" s="41" t="str">
        <f t="shared" si="209"/>
        <v/>
      </c>
    </row>
    <row r="370" spans="1:99" x14ac:dyDescent="0.2">
      <c r="A370" s="77">
        <f t="shared" si="210"/>
        <v>365</v>
      </c>
      <c r="B370" s="81"/>
      <c r="C370" s="82"/>
      <c r="D370" s="71"/>
      <c r="E370" s="72"/>
      <c r="F370" s="73"/>
      <c r="G370" s="443"/>
      <c r="H370" s="443"/>
      <c r="I370" s="74"/>
      <c r="J370" s="75"/>
      <c r="K370" s="41">
        <f t="shared" si="214"/>
        <v>3625</v>
      </c>
      <c r="L370" s="104"/>
      <c r="M370" s="105"/>
      <c r="N370" s="106">
        <f t="shared" si="215"/>
        <v>537.05999999999995</v>
      </c>
      <c r="O370" s="104"/>
      <c r="P370" s="105"/>
      <c r="Q370" s="106">
        <f t="shared" si="212"/>
        <v>10045.83</v>
      </c>
      <c r="R370" s="104"/>
      <c r="S370" s="105"/>
      <c r="T370" s="106">
        <f t="shared" si="213"/>
        <v>0</v>
      </c>
      <c r="U370" s="439"/>
      <c r="V370" s="42">
        <f t="shared" si="181"/>
        <v>365</v>
      </c>
      <c r="W370" s="39" t="str">
        <f>IF(AND(E370='Povolené hodnoty'!$B$4,F370=2),I370+L370+O370+R370,"")</f>
        <v/>
      </c>
      <c r="X370" s="41" t="str">
        <f>IF(AND(E370='Povolené hodnoty'!$B$4,F370=1),I370+L370+O370+R370,"")</f>
        <v/>
      </c>
      <c r="Y370" s="39" t="str">
        <f>IF(AND(E370='Povolené hodnoty'!$B$4,F370=10),J370+M370+P370+S370,"")</f>
        <v/>
      </c>
      <c r="Z370" s="41" t="str">
        <f>IF(AND(E370='Povolené hodnoty'!$B$4,F370=9),J370+M370+P370+S370,"")</f>
        <v/>
      </c>
      <c r="AA370" s="39" t="str">
        <f>IF(AND(E370&lt;&gt;'Povolené hodnoty'!$B$4,F370=2),I370+L370+O370+R370,"")</f>
        <v/>
      </c>
      <c r="AB370" s="40" t="str">
        <f>IF(AND(E370&lt;&gt;'Povolené hodnoty'!$B$4,F370=3),I370+L370+O370+R370,"")</f>
        <v/>
      </c>
      <c r="AC370" s="40" t="str">
        <f>IF(AND(E370&lt;&gt;'Povolené hodnoty'!$B$4,F370=4),I370+L370+O370+R370,"")</f>
        <v/>
      </c>
      <c r="AD370" s="40" t="str">
        <f>IF(AND(E370&lt;&gt;'Povolené hodnoty'!$B$4,F370="5a"),I370-J370+L370-M370+O370-P370+R370-S370,"")</f>
        <v/>
      </c>
      <c r="AE370" s="40" t="str">
        <f>IF(AND(E370&lt;&gt;'Povolené hodnoty'!$B$4,F370="5b"),I370-J370+L370-M370+O370-P370+R370-S370,"")</f>
        <v/>
      </c>
      <c r="AF370" s="40" t="str">
        <f>IF(AND(E370&lt;&gt;'Povolené hodnoty'!$B$4,F370=6),I370+L370+O370+R370,"")</f>
        <v/>
      </c>
      <c r="AG370" s="41" t="str">
        <f>IF(AND(E370&lt;&gt;'Povolené hodnoty'!$B$4,F370=7),I370+L370+O370+R370,"")</f>
        <v/>
      </c>
      <c r="AH370" s="39" t="str">
        <f>IF(AND(E370&lt;&gt;'Povolené hodnoty'!$B$4,F370=10),J370+M370+P370+S370,"")</f>
        <v/>
      </c>
      <c r="AI370" s="40" t="str">
        <f>IF(AND(E370&lt;&gt;'Povolené hodnoty'!$B$4,F370=11),J370+M370+P370+S370,"")</f>
        <v/>
      </c>
      <c r="AJ370" s="40" t="str">
        <f>IF(AND(E370&lt;&gt;'Povolené hodnoty'!$B$4,F370=12),J370+M370+P370+S370,"")</f>
        <v/>
      </c>
      <c r="AK370" s="41" t="str">
        <f>IF(AND(E370&lt;&gt;'Povolené hodnoty'!$B$4,F370=13),J370+M370+P370+S370,"")</f>
        <v/>
      </c>
      <c r="AL370" s="39" t="str">
        <f>IF(AND($G370='Povolené hodnoty'!$B$13,$H370=AL$4),SUM($I370,$L370,$O370,$R370),"")</f>
        <v/>
      </c>
      <c r="AM370" s="458" t="str">
        <f>IF(AND($G370='Povolené hodnoty'!$B$13,$H370=AM$4),SUM($I370,$L370,$O370,$R370),"")</f>
        <v/>
      </c>
      <c r="AN370" s="458" t="str">
        <f>IF(AND($G370='Povolené hodnoty'!$B$13,$H370=AN$4),SUM($I370,$L370,$O370,$R370),"")</f>
        <v/>
      </c>
      <c r="AO370" s="458" t="str">
        <f>IF(AND($G370='Povolené hodnoty'!$B$13,$H370=AO$4),SUM($I370,$L370,$O370,$R370),"")</f>
        <v/>
      </c>
      <c r="AP370" s="458" t="str">
        <f>IF(AND($G370='Povolené hodnoty'!$B$13,$H370=AP$4),SUM($I370,$L370,$O370,$R370),"")</f>
        <v/>
      </c>
      <c r="AQ370" s="40" t="str">
        <f>IF(AND($G370='Povolené hodnoty'!$B$13,OR($H370=AQ$4,$H370='Povolené hodnoty'!$E$36)),SUM($I370,-$J370,$L370,-$M370,$O370,-$P370,$R370,-$S370),"")</f>
        <v/>
      </c>
      <c r="AR370" s="40" t="str">
        <f>IF(AND($G370='Povolené hodnoty'!$B$13,$H370=AR$4),SUM($I370,$L370,$O370,$R370),"")</f>
        <v/>
      </c>
      <c r="AS370" s="41" t="str">
        <f>IF(AND($G370='Povolené hodnoty'!$B$13,$H370=AS$4),SUM($I370,$L370,$O370,$R370),"")</f>
        <v/>
      </c>
      <c r="AT370" s="39" t="str">
        <f>IF(AND($G370='Povolené hodnoty'!$B$14,$H370=AT$4),SUM($I370,$L370,$O370,$R370),"")</f>
        <v/>
      </c>
      <c r="AU370" s="458" t="str">
        <f>IF(AND($G370='Povolené hodnoty'!$B$14,$H370=AU$4),SUM($I370,$L370,$O370,$R370),"")</f>
        <v/>
      </c>
      <c r="AV370" s="41" t="str">
        <f>IF(AND($G370='Povolené hodnoty'!$B$14,$H370=AV$4),SUM($I370,$L370,$O370,$R370),"")</f>
        <v/>
      </c>
      <c r="AW370" s="39" t="str">
        <f>IF(AND($G370='Povolené hodnoty'!$B$13,$H370=AW$4),SUM($J370,$M370,$P370,$S370),"")</f>
        <v/>
      </c>
      <c r="AX370" s="458" t="str">
        <f>IF(AND($G370='Povolené hodnoty'!$B$13,$H370=AX$4),SUM($J370,$M370,$P370,$S370),"")</f>
        <v/>
      </c>
      <c r="AY370" s="458" t="str">
        <f>IF(AND($G370='Povolené hodnoty'!$B$13,$H370=AY$4),SUM($J370,$M370,$P370,$S370),"")</f>
        <v/>
      </c>
      <c r="AZ370" s="458" t="str">
        <f>IF(AND($G370='Povolené hodnoty'!$B$13,$H370=AZ$4),SUM($J370,$M370,$P370,$S370),"")</f>
        <v/>
      </c>
      <c r="BA370" s="458" t="str">
        <f>IF(AND($G370='Povolené hodnoty'!$B$13,$H370=BA$4),SUM($J370,$M370,$P370,$S370),"")</f>
        <v/>
      </c>
      <c r="BB370" s="40" t="str">
        <f>IF(AND($G370='Povolené hodnoty'!$B$13,$H370=BB$4),SUM($J370,$M370,$P370,$S370),"")</f>
        <v/>
      </c>
      <c r="BC370" s="40" t="str">
        <f>IF(AND($G370='Povolené hodnoty'!$B$13,$H370=BC$4),SUM($J370,$M370,$P370,$S370),"")</f>
        <v/>
      </c>
      <c r="BD370" s="40" t="str">
        <f>IF(AND($G370='Povolené hodnoty'!$B$13,$H370=BD$4),SUM($J370,$M370,$P370,$S370),"")</f>
        <v/>
      </c>
      <c r="BE370" s="41" t="str">
        <f>IF(AND($G370='Povolené hodnoty'!$B$13,$H370=BE$4),SUM($J370,$M370,$P370,$S370),"")</f>
        <v/>
      </c>
      <c r="BF370" s="39" t="str">
        <f>IF(AND($G370='Povolené hodnoty'!$B$14,$H370=BF$4),SUM($J370,$M370,$P370,$S370),"")</f>
        <v/>
      </c>
      <c r="BG370" s="458" t="str">
        <f>IF(AND($G370='Povolené hodnoty'!$B$14,$H370=BG$4),SUM($J370,$M370,$P370,$S370),"")</f>
        <v/>
      </c>
      <c r="BH370" s="458" t="str">
        <f>IF(AND($G370='Povolené hodnoty'!$B$14,$H370=BH$4),SUM($J370,$M370,$P370,$S370),"")</f>
        <v/>
      </c>
      <c r="BI370" s="458" t="str">
        <f>IF(AND($G370='Povolené hodnoty'!$B$14,$H370=BI$4),SUM($J370,$M370,$P370,$S370),"")</f>
        <v/>
      </c>
      <c r="BJ370" s="458" t="str">
        <f>IF(AND($G370='Povolené hodnoty'!$B$14,$H370=BJ$4),SUM($J370,$M370,$P370,$S370),"")</f>
        <v/>
      </c>
      <c r="BK370" s="40" t="str">
        <f>IF(AND($G370='Povolené hodnoty'!$B$14,$H370=BK$4),SUM($J370,$M370,$P370,$S370),"")</f>
        <v/>
      </c>
      <c r="BL370" s="40" t="str">
        <f>IF(AND($G370='Povolené hodnoty'!$B$14,$H370=BL$4),SUM($J370,$M370,$P370,$S370),"")</f>
        <v/>
      </c>
      <c r="BM370" s="41" t="str">
        <f>IF(AND($G370='Povolené hodnoty'!$B$14,$H370=BM$4),SUM($J370,$M370,$P370,$S370),"")</f>
        <v/>
      </c>
      <c r="BO370" s="18" t="b">
        <f t="shared" si="211"/>
        <v>0</v>
      </c>
      <c r="BP370" s="18" t="b">
        <f t="shared" si="182"/>
        <v>0</v>
      </c>
      <c r="BQ370" s="18" t="b">
        <f>AND(E370&lt;&gt;'Povolené hodnoty'!$B$6,F370&lt;&gt;'Povolené hodnoty'!$D$7,F370&lt;&gt;'Povolené hodnoty'!$D$8,OR(SUM(I370,L370,O370,R370)&lt;&gt;SUM(W370:X370,AA370:AG370),SUM(J370,M370,P370,S370)&lt;&gt;SUM(Y370:Z370,AH370:AK370),COUNT(I370:J370,L370:M370,O370:P370,R370:S370)&lt;&gt;COUNT(W370:AK370)))</f>
        <v>0</v>
      </c>
      <c r="BR370" s="18" t="b">
        <f>OR(AND(E370='Povolené hodnoty'!$B$6,$BR$5),AND(E370='Povolené hodnoty'!$B$6,H370&lt;&gt;'Povolené hodnoty'!$E$26,H370&lt;&gt;'Povolené hodnoty'!$E$35),AND(E370&lt;&gt;'Povolené hodnoty'!$B$6,OR(H370='Povolené hodnoty'!$E$26,H370='Povolené hodnoty'!$E$35)))</f>
        <v>0</v>
      </c>
      <c r="BS370" s="18" t="b">
        <f>OR(AND(G370&lt;&gt;'Povolené hodnoty'!$B$13,OR(H370='Povolené hodnoty'!$E$21,H370='Povolené hodnoty'!$E$22,H370='Povolené hodnoty'!$E$23,H370='Povolené hodnoty'!$E$24,H370='Povolené hodnoty'!$E$26,H370='Povolené hodnoty'!$E$36)),COUNT(I370:J370,L370:M370,O370:P370,R370:S370)&lt;&gt;COUNT(AL370:BM370))</f>
        <v>0</v>
      </c>
      <c r="BT370" s="18" t="b">
        <f t="shared" si="183"/>
        <v>0</v>
      </c>
      <c r="BV370" s="39" t="str">
        <f t="shared" si="184"/>
        <v/>
      </c>
      <c r="BW370" s="458" t="str">
        <f t="shared" si="185"/>
        <v/>
      </c>
      <c r="BX370" s="458" t="str">
        <f t="shared" si="186"/>
        <v/>
      </c>
      <c r="BY370" s="458" t="str">
        <f t="shared" si="187"/>
        <v/>
      </c>
      <c r="BZ370" s="458" t="str">
        <f t="shared" si="188"/>
        <v/>
      </c>
      <c r="CA370" s="40" t="str">
        <f t="shared" si="189"/>
        <v/>
      </c>
      <c r="CB370" s="40" t="str">
        <f t="shared" si="190"/>
        <v/>
      </c>
      <c r="CC370" s="39" t="str">
        <f t="shared" si="191"/>
        <v/>
      </c>
      <c r="CD370" s="458" t="str">
        <f t="shared" si="192"/>
        <v/>
      </c>
      <c r="CE370" s="41" t="str">
        <f t="shared" si="193"/>
        <v/>
      </c>
      <c r="CF370" s="39" t="str">
        <f t="shared" si="194"/>
        <v/>
      </c>
      <c r="CG370" s="458" t="str">
        <f t="shared" si="195"/>
        <v/>
      </c>
      <c r="CH370" s="458" t="str">
        <f t="shared" si="196"/>
        <v/>
      </c>
      <c r="CI370" s="458" t="str">
        <f t="shared" si="197"/>
        <v/>
      </c>
      <c r="CJ370" s="458" t="str">
        <f t="shared" si="198"/>
        <v/>
      </c>
      <c r="CK370" s="40" t="str">
        <f t="shared" si="199"/>
        <v/>
      </c>
      <c r="CL370" s="40" t="str">
        <f t="shared" si="200"/>
        <v/>
      </c>
      <c r="CM370" s="40" t="str">
        <f t="shared" si="201"/>
        <v/>
      </c>
      <c r="CN370" s="39" t="str">
        <f t="shared" si="202"/>
        <v/>
      </c>
      <c r="CO370" s="458" t="str">
        <f t="shared" si="203"/>
        <v/>
      </c>
      <c r="CP370" s="458" t="str">
        <f t="shared" si="204"/>
        <v/>
      </c>
      <c r="CQ370" s="458" t="str">
        <f t="shared" si="205"/>
        <v/>
      </c>
      <c r="CR370" s="458" t="str">
        <f t="shared" si="206"/>
        <v/>
      </c>
      <c r="CS370" s="40" t="str">
        <f t="shared" si="207"/>
        <v/>
      </c>
      <c r="CT370" s="40" t="str">
        <f t="shared" si="208"/>
        <v/>
      </c>
      <c r="CU370" s="41" t="str">
        <f t="shared" si="209"/>
        <v/>
      </c>
    </row>
    <row r="371" spans="1:99" x14ac:dyDescent="0.2">
      <c r="A371" s="77">
        <f t="shared" si="210"/>
        <v>366</v>
      </c>
      <c r="B371" s="81"/>
      <c r="C371" s="82"/>
      <c r="D371" s="71"/>
      <c r="E371" s="72"/>
      <c r="F371" s="73"/>
      <c r="G371" s="443"/>
      <c r="H371" s="443"/>
      <c r="I371" s="74"/>
      <c r="J371" s="75"/>
      <c r="K371" s="41">
        <f t="shared" si="214"/>
        <v>3625</v>
      </c>
      <c r="L371" s="104"/>
      <c r="M371" s="105"/>
      <c r="N371" s="106">
        <f t="shared" si="215"/>
        <v>537.05999999999995</v>
      </c>
      <c r="O371" s="104"/>
      <c r="P371" s="105"/>
      <c r="Q371" s="106">
        <f t="shared" si="212"/>
        <v>10045.83</v>
      </c>
      <c r="R371" s="104"/>
      <c r="S371" s="105"/>
      <c r="T371" s="106">
        <f t="shared" si="213"/>
        <v>0</v>
      </c>
      <c r="U371" s="439"/>
      <c r="V371" s="42">
        <f t="shared" si="181"/>
        <v>366</v>
      </c>
      <c r="W371" s="39" t="str">
        <f>IF(AND(E371='Povolené hodnoty'!$B$4,F371=2),I371+L371+O371+R371,"")</f>
        <v/>
      </c>
      <c r="X371" s="41" t="str">
        <f>IF(AND(E371='Povolené hodnoty'!$B$4,F371=1),I371+L371+O371+R371,"")</f>
        <v/>
      </c>
      <c r="Y371" s="39" t="str">
        <f>IF(AND(E371='Povolené hodnoty'!$B$4,F371=10),J371+M371+P371+S371,"")</f>
        <v/>
      </c>
      <c r="Z371" s="41" t="str">
        <f>IF(AND(E371='Povolené hodnoty'!$B$4,F371=9),J371+M371+P371+S371,"")</f>
        <v/>
      </c>
      <c r="AA371" s="39" t="str">
        <f>IF(AND(E371&lt;&gt;'Povolené hodnoty'!$B$4,F371=2),I371+L371+O371+R371,"")</f>
        <v/>
      </c>
      <c r="AB371" s="40" t="str">
        <f>IF(AND(E371&lt;&gt;'Povolené hodnoty'!$B$4,F371=3),I371+L371+O371+R371,"")</f>
        <v/>
      </c>
      <c r="AC371" s="40" t="str">
        <f>IF(AND(E371&lt;&gt;'Povolené hodnoty'!$B$4,F371=4),I371+L371+O371+R371,"")</f>
        <v/>
      </c>
      <c r="AD371" s="40" t="str">
        <f>IF(AND(E371&lt;&gt;'Povolené hodnoty'!$B$4,F371="5a"),I371-J371+L371-M371+O371-P371+R371-S371,"")</f>
        <v/>
      </c>
      <c r="AE371" s="40" t="str">
        <f>IF(AND(E371&lt;&gt;'Povolené hodnoty'!$B$4,F371="5b"),I371-J371+L371-M371+O371-P371+R371-S371,"")</f>
        <v/>
      </c>
      <c r="AF371" s="40" t="str">
        <f>IF(AND(E371&lt;&gt;'Povolené hodnoty'!$B$4,F371=6),I371+L371+O371+R371,"")</f>
        <v/>
      </c>
      <c r="AG371" s="41" t="str">
        <f>IF(AND(E371&lt;&gt;'Povolené hodnoty'!$B$4,F371=7),I371+L371+O371+R371,"")</f>
        <v/>
      </c>
      <c r="AH371" s="39" t="str">
        <f>IF(AND(E371&lt;&gt;'Povolené hodnoty'!$B$4,F371=10),J371+M371+P371+S371,"")</f>
        <v/>
      </c>
      <c r="AI371" s="40" t="str">
        <f>IF(AND(E371&lt;&gt;'Povolené hodnoty'!$B$4,F371=11),J371+M371+P371+S371,"")</f>
        <v/>
      </c>
      <c r="AJ371" s="40" t="str">
        <f>IF(AND(E371&lt;&gt;'Povolené hodnoty'!$B$4,F371=12),J371+M371+P371+S371,"")</f>
        <v/>
      </c>
      <c r="AK371" s="41" t="str">
        <f>IF(AND(E371&lt;&gt;'Povolené hodnoty'!$B$4,F371=13),J371+M371+P371+S371,"")</f>
        <v/>
      </c>
      <c r="AL371" s="39" t="str">
        <f>IF(AND($G371='Povolené hodnoty'!$B$13,$H371=AL$4),SUM($I371,$L371,$O371,$R371),"")</f>
        <v/>
      </c>
      <c r="AM371" s="458" t="str">
        <f>IF(AND($G371='Povolené hodnoty'!$B$13,$H371=AM$4),SUM($I371,$L371,$O371,$R371),"")</f>
        <v/>
      </c>
      <c r="AN371" s="458" t="str">
        <f>IF(AND($G371='Povolené hodnoty'!$B$13,$H371=AN$4),SUM($I371,$L371,$O371,$R371),"")</f>
        <v/>
      </c>
      <c r="AO371" s="458" t="str">
        <f>IF(AND($G371='Povolené hodnoty'!$B$13,$H371=AO$4),SUM($I371,$L371,$O371,$R371),"")</f>
        <v/>
      </c>
      <c r="AP371" s="458" t="str">
        <f>IF(AND($G371='Povolené hodnoty'!$B$13,$H371=AP$4),SUM($I371,$L371,$O371,$R371),"")</f>
        <v/>
      </c>
      <c r="AQ371" s="40" t="str">
        <f>IF(AND($G371='Povolené hodnoty'!$B$13,OR($H371=AQ$4,$H371='Povolené hodnoty'!$E$36)),SUM($I371,-$J371,$L371,-$M371,$O371,-$P371,$R371,-$S371),"")</f>
        <v/>
      </c>
      <c r="AR371" s="40" t="str">
        <f>IF(AND($G371='Povolené hodnoty'!$B$13,$H371=AR$4),SUM($I371,$L371,$O371,$R371),"")</f>
        <v/>
      </c>
      <c r="AS371" s="41" t="str">
        <f>IF(AND($G371='Povolené hodnoty'!$B$13,$H371=AS$4),SUM($I371,$L371,$O371,$R371),"")</f>
        <v/>
      </c>
      <c r="AT371" s="39" t="str">
        <f>IF(AND($G371='Povolené hodnoty'!$B$14,$H371=AT$4),SUM($I371,$L371,$O371,$R371),"")</f>
        <v/>
      </c>
      <c r="AU371" s="458" t="str">
        <f>IF(AND($G371='Povolené hodnoty'!$B$14,$H371=AU$4),SUM($I371,$L371,$O371,$R371),"")</f>
        <v/>
      </c>
      <c r="AV371" s="41" t="str">
        <f>IF(AND($G371='Povolené hodnoty'!$B$14,$H371=AV$4),SUM($I371,$L371,$O371,$R371),"")</f>
        <v/>
      </c>
      <c r="AW371" s="39" t="str">
        <f>IF(AND($G371='Povolené hodnoty'!$B$13,$H371=AW$4),SUM($J371,$M371,$P371,$S371),"")</f>
        <v/>
      </c>
      <c r="AX371" s="458" t="str">
        <f>IF(AND($G371='Povolené hodnoty'!$B$13,$H371=AX$4),SUM($J371,$M371,$P371,$S371),"")</f>
        <v/>
      </c>
      <c r="AY371" s="458" t="str">
        <f>IF(AND($G371='Povolené hodnoty'!$B$13,$H371=AY$4),SUM($J371,$M371,$P371,$S371),"")</f>
        <v/>
      </c>
      <c r="AZ371" s="458" t="str">
        <f>IF(AND($G371='Povolené hodnoty'!$B$13,$H371=AZ$4),SUM($J371,$M371,$P371,$S371),"")</f>
        <v/>
      </c>
      <c r="BA371" s="458" t="str">
        <f>IF(AND($G371='Povolené hodnoty'!$B$13,$H371=BA$4),SUM($J371,$M371,$P371,$S371),"")</f>
        <v/>
      </c>
      <c r="BB371" s="40" t="str">
        <f>IF(AND($G371='Povolené hodnoty'!$B$13,$H371=BB$4),SUM($J371,$M371,$P371,$S371),"")</f>
        <v/>
      </c>
      <c r="BC371" s="40" t="str">
        <f>IF(AND($G371='Povolené hodnoty'!$B$13,$H371=BC$4),SUM($J371,$M371,$P371,$S371),"")</f>
        <v/>
      </c>
      <c r="BD371" s="40" t="str">
        <f>IF(AND($G371='Povolené hodnoty'!$B$13,$H371=BD$4),SUM($J371,$M371,$P371,$S371),"")</f>
        <v/>
      </c>
      <c r="BE371" s="41" t="str">
        <f>IF(AND($G371='Povolené hodnoty'!$B$13,$H371=BE$4),SUM($J371,$M371,$P371,$S371),"")</f>
        <v/>
      </c>
      <c r="BF371" s="39" t="str">
        <f>IF(AND($G371='Povolené hodnoty'!$B$14,$H371=BF$4),SUM($J371,$M371,$P371,$S371),"")</f>
        <v/>
      </c>
      <c r="BG371" s="458" t="str">
        <f>IF(AND($G371='Povolené hodnoty'!$B$14,$H371=BG$4),SUM($J371,$M371,$P371,$S371),"")</f>
        <v/>
      </c>
      <c r="BH371" s="458" t="str">
        <f>IF(AND($G371='Povolené hodnoty'!$B$14,$H371=BH$4),SUM($J371,$M371,$P371,$S371),"")</f>
        <v/>
      </c>
      <c r="BI371" s="458" t="str">
        <f>IF(AND($G371='Povolené hodnoty'!$B$14,$H371=BI$4),SUM($J371,$M371,$P371,$S371),"")</f>
        <v/>
      </c>
      <c r="BJ371" s="458" t="str">
        <f>IF(AND($G371='Povolené hodnoty'!$B$14,$H371=BJ$4),SUM($J371,$M371,$P371,$S371),"")</f>
        <v/>
      </c>
      <c r="BK371" s="40" t="str">
        <f>IF(AND($G371='Povolené hodnoty'!$B$14,$H371=BK$4),SUM($J371,$M371,$P371,$S371),"")</f>
        <v/>
      </c>
      <c r="BL371" s="40" t="str">
        <f>IF(AND($G371='Povolené hodnoty'!$B$14,$H371=BL$4),SUM($J371,$M371,$P371,$S371),"")</f>
        <v/>
      </c>
      <c r="BM371" s="41" t="str">
        <f>IF(AND($G371='Povolené hodnoty'!$B$14,$H371=BM$4),SUM($J371,$M371,$P371,$S371),"")</f>
        <v/>
      </c>
      <c r="BO371" s="18" t="b">
        <f t="shared" si="211"/>
        <v>0</v>
      </c>
      <c r="BP371" s="18" t="b">
        <f t="shared" si="182"/>
        <v>0</v>
      </c>
      <c r="BQ371" s="18" t="b">
        <f>AND(E371&lt;&gt;'Povolené hodnoty'!$B$6,F371&lt;&gt;'Povolené hodnoty'!$D$7,F371&lt;&gt;'Povolené hodnoty'!$D$8,OR(SUM(I371,L371,O371,R371)&lt;&gt;SUM(W371:X371,AA371:AG371),SUM(J371,M371,P371,S371)&lt;&gt;SUM(Y371:Z371,AH371:AK371),COUNT(I371:J371,L371:M371,O371:P371,R371:S371)&lt;&gt;COUNT(W371:AK371)))</f>
        <v>0</v>
      </c>
      <c r="BR371" s="18" t="b">
        <f>OR(AND(E371='Povolené hodnoty'!$B$6,$BR$5),AND(E371='Povolené hodnoty'!$B$6,H371&lt;&gt;'Povolené hodnoty'!$E$26,H371&lt;&gt;'Povolené hodnoty'!$E$35),AND(E371&lt;&gt;'Povolené hodnoty'!$B$6,OR(H371='Povolené hodnoty'!$E$26,H371='Povolené hodnoty'!$E$35)))</f>
        <v>0</v>
      </c>
      <c r="BS371" s="18" t="b">
        <f>OR(AND(G371&lt;&gt;'Povolené hodnoty'!$B$13,OR(H371='Povolené hodnoty'!$E$21,H371='Povolené hodnoty'!$E$22,H371='Povolené hodnoty'!$E$23,H371='Povolené hodnoty'!$E$24,H371='Povolené hodnoty'!$E$26,H371='Povolené hodnoty'!$E$36)),COUNT(I371:J371,L371:M371,O371:P371,R371:S371)&lt;&gt;COUNT(AL371:BM371))</f>
        <v>0</v>
      </c>
      <c r="BT371" s="18" t="b">
        <f t="shared" si="183"/>
        <v>0</v>
      </c>
      <c r="BV371" s="39" t="str">
        <f t="shared" si="184"/>
        <v/>
      </c>
      <c r="BW371" s="458" t="str">
        <f t="shared" si="185"/>
        <v/>
      </c>
      <c r="BX371" s="458" t="str">
        <f t="shared" si="186"/>
        <v/>
      </c>
      <c r="BY371" s="458" t="str">
        <f t="shared" si="187"/>
        <v/>
      </c>
      <c r="BZ371" s="458" t="str">
        <f t="shared" si="188"/>
        <v/>
      </c>
      <c r="CA371" s="40" t="str">
        <f t="shared" si="189"/>
        <v/>
      </c>
      <c r="CB371" s="40" t="str">
        <f t="shared" si="190"/>
        <v/>
      </c>
      <c r="CC371" s="39" t="str">
        <f t="shared" si="191"/>
        <v/>
      </c>
      <c r="CD371" s="458" t="str">
        <f t="shared" si="192"/>
        <v/>
      </c>
      <c r="CE371" s="41" t="str">
        <f t="shared" si="193"/>
        <v/>
      </c>
      <c r="CF371" s="39" t="str">
        <f t="shared" si="194"/>
        <v/>
      </c>
      <c r="CG371" s="458" t="str">
        <f t="shared" si="195"/>
        <v/>
      </c>
      <c r="CH371" s="458" t="str">
        <f t="shared" si="196"/>
        <v/>
      </c>
      <c r="CI371" s="458" t="str">
        <f t="shared" si="197"/>
        <v/>
      </c>
      <c r="CJ371" s="458" t="str">
        <f t="shared" si="198"/>
        <v/>
      </c>
      <c r="CK371" s="40" t="str">
        <f t="shared" si="199"/>
        <v/>
      </c>
      <c r="CL371" s="40" t="str">
        <f t="shared" si="200"/>
        <v/>
      </c>
      <c r="CM371" s="40" t="str">
        <f t="shared" si="201"/>
        <v/>
      </c>
      <c r="CN371" s="39" t="str">
        <f t="shared" si="202"/>
        <v/>
      </c>
      <c r="CO371" s="458" t="str">
        <f t="shared" si="203"/>
        <v/>
      </c>
      <c r="CP371" s="458" t="str">
        <f t="shared" si="204"/>
        <v/>
      </c>
      <c r="CQ371" s="458" t="str">
        <f t="shared" si="205"/>
        <v/>
      </c>
      <c r="CR371" s="458" t="str">
        <f t="shared" si="206"/>
        <v/>
      </c>
      <c r="CS371" s="40" t="str">
        <f t="shared" si="207"/>
        <v/>
      </c>
      <c r="CT371" s="40" t="str">
        <f t="shared" si="208"/>
        <v/>
      </c>
      <c r="CU371" s="41" t="str">
        <f t="shared" si="209"/>
        <v/>
      </c>
    </row>
    <row r="372" spans="1:99" x14ac:dyDescent="0.2">
      <c r="A372" s="77">
        <f t="shared" si="210"/>
        <v>367</v>
      </c>
      <c r="B372" s="81"/>
      <c r="C372" s="82"/>
      <c r="D372" s="71"/>
      <c r="E372" s="72"/>
      <c r="F372" s="73"/>
      <c r="G372" s="443"/>
      <c r="H372" s="443"/>
      <c r="I372" s="74"/>
      <c r="J372" s="75"/>
      <c r="K372" s="41">
        <f t="shared" si="214"/>
        <v>3625</v>
      </c>
      <c r="L372" s="104"/>
      <c r="M372" s="105"/>
      <c r="N372" s="106">
        <f t="shared" si="215"/>
        <v>537.05999999999995</v>
      </c>
      <c r="O372" s="104"/>
      <c r="P372" s="105"/>
      <c r="Q372" s="106">
        <f t="shared" si="212"/>
        <v>10045.83</v>
      </c>
      <c r="R372" s="104"/>
      <c r="S372" s="105"/>
      <c r="T372" s="106">
        <f t="shared" si="213"/>
        <v>0</v>
      </c>
      <c r="U372" s="439"/>
      <c r="V372" s="42">
        <f t="shared" si="181"/>
        <v>367</v>
      </c>
      <c r="W372" s="39" t="str">
        <f>IF(AND(E372='Povolené hodnoty'!$B$4,F372=2),I372+L372+O372+R372,"")</f>
        <v/>
      </c>
      <c r="X372" s="41" t="str">
        <f>IF(AND(E372='Povolené hodnoty'!$B$4,F372=1),I372+L372+O372+R372,"")</f>
        <v/>
      </c>
      <c r="Y372" s="39" t="str">
        <f>IF(AND(E372='Povolené hodnoty'!$B$4,F372=10),J372+M372+P372+S372,"")</f>
        <v/>
      </c>
      <c r="Z372" s="41" t="str">
        <f>IF(AND(E372='Povolené hodnoty'!$B$4,F372=9),J372+M372+P372+S372,"")</f>
        <v/>
      </c>
      <c r="AA372" s="39" t="str">
        <f>IF(AND(E372&lt;&gt;'Povolené hodnoty'!$B$4,F372=2),I372+L372+O372+R372,"")</f>
        <v/>
      </c>
      <c r="AB372" s="40" t="str">
        <f>IF(AND(E372&lt;&gt;'Povolené hodnoty'!$B$4,F372=3),I372+L372+O372+R372,"")</f>
        <v/>
      </c>
      <c r="AC372" s="40" t="str">
        <f>IF(AND(E372&lt;&gt;'Povolené hodnoty'!$B$4,F372=4),I372+L372+O372+R372,"")</f>
        <v/>
      </c>
      <c r="AD372" s="40" t="str">
        <f>IF(AND(E372&lt;&gt;'Povolené hodnoty'!$B$4,F372="5a"),I372-J372+L372-M372+O372-P372+R372-S372,"")</f>
        <v/>
      </c>
      <c r="AE372" s="40" t="str">
        <f>IF(AND(E372&lt;&gt;'Povolené hodnoty'!$B$4,F372="5b"),I372-J372+L372-M372+O372-P372+R372-S372,"")</f>
        <v/>
      </c>
      <c r="AF372" s="40" t="str">
        <f>IF(AND(E372&lt;&gt;'Povolené hodnoty'!$B$4,F372=6),I372+L372+O372+R372,"")</f>
        <v/>
      </c>
      <c r="AG372" s="41" t="str">
        <f>IF(AND(E372&lt;&gt;'Povolené hodnoty'!$B$4,F372=7),I372+L372+O372+R372,"")</f>
        <v/>
      </c>
      <c r="AH372" s="39" t="str">
        <f>IF(AND(E372&lt;&gt;'Povolené hodnoty'!$B$4,F372=10),J372+M372+P372+S372,"")</f>
        <v/>
      </c>
      <c r="AI372" s="40" t="str">
        <f>IF(AND(E372&lt;&gt;'Povolené hodnoty'!$B$4,F372=11),J372+M372+P372+S372,"")</f>
        <v/>
      </c>
      <c r="AJ372" s="40" t="str">
        <f>IF(AND(E372&lt;&gt;'Povolené hodnoty'!$B$4,F372=12),J372+M372+P372+S372,"")</f>
        <v/>
      </c>
      <c r="AK372" s="41" t="str">
        <f>IF(AND(E372&lt;&gt;'Povolené hodnoty'!$B$4,F372=13),J372+M372+P372+S372,"")</f>
        <v/>
      </c>
      <c r="AL372" s="39" t="str">
        <f>IF(AND($G372='Povolené hodnoty'!$B$13,$H372=AL$4),SUM($I372,$L372,$O372,$R372),"")</f>
        <v/>
      </c>
      <c r="AM372" s="458" t="str">
        <f>IF(AND($G372='Povolené hodnoty'!$B$13,$H372=AM$4),SUM($I372,$L372,$O372,$R372),"")</f>
        <v/>
      </c>
      <c r="AN372" s="458" t="str">
        <f>IF(AND($G372='Povolené hodnoty'!$B$13,$H372=AN$4),SUM($I372,$L372,$O372,$R372),"")</f>
        <v/>
      </c>
      <c r="AO372" s="458" t="str">
        <f>IF(AND($G372='Povolené hodnoty'!$B$13,$H372=AO$4),SUM($I372,$L372,$O372,$R372),"")</f>
        <v/>
      </c>
      <c r="AP372" s="458" t="str">
        <f>IF(AND($G372='Povolené hodnoty'!$B$13,$H372=AP$4),SUM($I372,$L372,$O372,$R372),"")</f>
        <v/>
      </c>
      <c r="AQ372" s="40" t="str">
        <f>IF(AND($G372='Povolené hodnoty'!$B$13,OR($H372=AQ$4,$H372='Povolené hodnoty'!$E$36)),SUM($I372,-$J372,$L372,-$M372,$O372,-$P372,$R372,-$S372),"")</f>
        <v/>
      </c>
      <c r="AR372" s="40" t="str">
        <f>IF(AND($G372='Povolené hodnoty'!$B$13,$H372=AR$4),SUM($I372,$L372,$O372,$R372),"")</f>
        <v/>
      </c>
      <c r="AS372" s="41" t="str">
        <f>IF(AND($G372='Povolené hodnoty'!$B$13,$H372=AS$4),SUM($I372,$L372,$O372,$R372),"")</f>
        <v/>
      </c>
      <c r="AT372" s="39" t="str">
        <f>IF(AND($G372='Povolené hodnoty'!$B$14,$H372=AT$4),SUM($I372,$L372,$O372,$R372),"")</f>
        <v/>
      </c>
      <c r="AU372" s="458" t="str">
        <f>IF(AND($G372='Povolené hodnoty'!$B$14,$H372=AU$4),SUM($I372,$L372,$O372,$R372),"")</f>
        <v/>
      </c>
      <c r="AV372" s="41" t="str">
        <f>IF(AND($G372='Povolené hodnoty'!$B$14,$H372=AV$4),SUM($I372,$L372,$O372,$R372),"")</f>
        <v/>
      </c>
      <c r="AW372" s="39" t="str">
        <f>IF(AND($G372='Povolené hodnoty'!$B$13,$H372=AW$4),SUM($J372,$M372,$P372,$S372),"")</f>
        <v/>
      </c>
      <c r="AX372" s="458" t="str">
        <f>IF(AND($G372='Povolené hodnoty'!$B$13,$H372=AX$4),SUM($J372,$M372,$P372,$S372),"")</f>
        <v/>
      </c>
      <c r="AY372" s="458" t="str">
        <f>IF(AND($G372='Povolené hodnoty'!$B$13,$H372=AY$4),SUM($J372,$M372,$P372,$S372),"")</f>
        <v/>
      </c>
      <c r="AZ372" s="458" t="str">
        <f>IF(AND($G372='Povolené hodnoty'!$B$13,$H372=AZ$4),SUM($J372,$M372,$P372,$S372),"")</f>
        <v/>
      </c>
      <c r="BA372" s="458" t="str">
        <f>IF(AND($G372='Povolené hodnoty'!$B$13,$H372=BA$4),SUM($J372,$M372,$P372,$S372),"")</f>
        <v/>
      </c>
      <c r="BB372" s="40" t="str">
        <f>IF(AND($G372='Povolené hodnoty'!$B$13,$H372=BB$4),SUM($J372,$M372,$P372,$S372),"")</f>
        <v/>
      </c>
      <c r="BC372" s="40" t="str">
        <f>IF(AND($G372='Povolené hodnoty'!$B$13,$H372=BC$4),SUM($J372,$M372,$P372,$S372),"")</f>
        <v/>
      </c>
      <c r="BD372" s="40" t="str">
        <f>IF(AND($G372='Povolené hodnoty'!$B$13,$H372=BD$4),SUM($J372,$M372,$P372,$S372),"")</f>
        <v/>
      </c>
      <c r="BE372" s="41" t="str">
        <f>IF(AND($G372='Povolené hodnoty'!$B$13,$H372=BE$4),SUM($J372,$M372,$P372,$S372),"")</f>
        <v/>
      </c>
      <c r="BF372" s="39" t="str">
        <f>IF(AND($G372='Povolené hodnoty'!$B$14,$H372=BF$4),SUM($J372,$M372,$P372,$S372),"")</f>
        <v/>
      </c>
      <c r="BG372" s="458" t="str">
        <f>IF(AND($G372='Povolené hodnoty'!$B$14,$H372=BG$4),SUM($J372,$M372,$P372,$S372),"")</f>
        <v/>
      </c>
      <c r="BH372" s="458" t="str">
        <f>IF(AND($G372='Povolené hodnoty'!$B$14,$H372=BH$4),SUM($J372,$M372,$P372,$S372),"")</f>
        <v/>
      </c>
      <c r="BI372" s="458" t="str">
        <f>IF(AND($G372='Povolené hodnoty'!$B$14,$H372=BI$4),SUM($J372,$M372,$P372,$S372),"")</f>
        <v/>
      </c>
      <c r="BJ372" s="458" t="str">
        <f>IF(AND($G372='Povolené hodnoty'!$B$14,$H372=BJ$4),SUM($J372,$M372,$P372,$S372),"")</f>
        <v/>
      </c>
      <c r="BK372" s="40" t="str">
        <f>IF(AND($G372='Povolené hodnoty'!$B$14,$H372=BK$4),SUM($J372,$M372,$P372,$S372),"")</f>
        <v/>
      </c>
      <c r="BL372" s="40" t="str">
        <f>IF(AND($G372='Povolené hodnoty'!$B$14,$H372=BL$4),SUM($J372,$M372,$P372,$S372),"")</f>
        <v/>
      </c>
      <c r="BM372" s="41" t="str">
        <f>IF(AND($G372='Povolené hodnoty'!$B$14,$H372=BM$4),SUM($J372,$M372,$P372,$S372),"")</f>
        <v/>
      </c>
      <c r="BO372" s="18" t="b">
        <f t="shared" si="211"/>
        <v>0</v>
      </c>
      <c r="BP372" s="18" t="b">
        <f t="shared" si="182"/>
        <v>0</v>
      </c>
      <c r="BQ372" s="18" t="b">
        <f>AND(E372&lt;&gt;'Povolené hodnoty'!$B$6,F372&lt;&gt;'Povolené hodnoty'!$D$7,F372&lt;&gt;'Povolené hodnoty'!$D$8,OR(SUM(I372,L372,O372,R372)&lt;&gt;SUM(W372:X372,AA372:AG372),SUM(J372,M372,P372,S372)&lt;&gt;SUM(Y372:Z372,AH372:AK372),COUNT(I372:J372,L372:M372,O372:P372,R372:S372)&lt;&gt;COUNT(W372:AK372)))</f>
        <v>0</v>
      </c>
      <c r="BR372" s="18" t="b">
        <f>OR(AND(E372='Povolené hodnoty'!$B$6,$BR$5),AND(E372='Povolené hodnoty'!$B$6,H372&lt;&gt;'Povolené hodnoty'!$E$26,H372&lt;&gt;'Povolené hodnoty'!$E$35),AND(E372&lt;&gt;'Povolené hodnoty'!$B$6,OR(H372='Povolené hodnoty'!$E$26,H372='Povolené hodnoty'!$E$35)))</f>
        <v>0</v>
      </c>
      <c r="BS372" s="18" t="b">
        <f>OR(AND(G372&lt;&gt;'Povolené hodnoty'!$B$13,OR(H372='Povolené hodnoty'!$E$21,H372='Povolené hodnoty'!$E$22,H372='Povolené hodnoty'!$E$23,H372='Povolené hodnoty'!$E$24,H372='Povolené hodnoty'!$E$26,H372='Povolené hodnoty'!$E$36)),COUNT(I372:J372,L372:M372,O372:P372,R372:S372)&lt;&gt;COUNT(AL372:BM372))</f>
        <v>0</v>
      </c>
      <c r="BT372" s="18" t="b">
        <f t="shared" si="183"/>
        <v>0</v>
      </c>
      <c r="BV372" s="39" t="str">
        <f t="shared" si="184"/>
        <v/>
      </c>
      <c r="BW372" s="458" t="str">
        <f t="shared" si="185"/>
        <v/>
      </c>
      <c r="BX372" s="458" t="str">
        <f t="shared" si="186"/>
        <v/>
      </c>
      <c r="BY372" s="458" t="str">
        <f t="shared" si="187"/>
        <v/>
      </c>
      <c r="BZ372" s="458" t="str">
        <f t="shared" si="188"/>
        <v/>
      </c>
      <c r="CA372" s="40" t="str">
        <f t="shared" si="189"/>
        <v/>
      </c>
      <c r="CB372" s="40" t="str">
        <f t="shared" si="190"/>
        <v/>
      </c>
      <c r="CC372" s="39" t="str">
        <f t="shared" si="191"/>
        <v/>
      </c>
      <c r="CD372" s="458" t="str">
        <f t="shared" si="192"/>
        <v/>
      </c>
      <c r="CE372" s="41" t="str">
        <f t="shared" si="193"/>
        <v/>
      </c>
      <c r="CF372" s="39" t="str">
        <f t="shared" si="194"/>
        <v/>
      </c>
      <c r="CG372" s="458" t="str">
        <f t="shared" si="195"/>
        <v/>
      </c>
      <c r="CH372" s="458" t="str">
        <f t="shared" si="196"/>
        <v/>
      </c>
      <c r="CI372" s="458" t="str">
        <f t="shared" si="197"/>
        <v/>
      </c>
      <c r="CJ372" s="458" t="str">
        <f t="shared" si="198"/>
        <v/>
      </c>
      <c r="CK372" s="40" t="str">
        <f t="shared" si="199"/>
        <v/>
      </c>
      <c r="CL372" s="40" t="str">
        <f t="shared" si="200"/>
        <v/>
      </c>
      <c r="CM372" s="40" t="str">
        <f t="shared" si="201"/>
        <v/>
      </c>
      <c r="CN372" s="39" t="str">
        <f t="shared" si="202"/>
        <v/>
      </c>
      <c r="CO372" s="458" t="str">
        <f t="shared" si="203"/>
        <v/>
      </c>
      <c r="CP372" s="458" t="str">
        <f t="shared" si="204"/>
        <v/>
      </c>
      <c r="CQ372" s="458" t="str">
        <f t="shared" si="205"/>
        <v/>
      </c>
      <c r="CR372" s="458" t="str">
        <f t="shared" si="206"/>
        <v/>
      </c>
      <c r="CS372" s="40" t="str">
        <f t="shared" si="207"/>
        <v/>
      </c>
      <c r="CT372" s="40" t="str">
        <f t="shared" si="208"/>
        <v/>
      </c>
      <c r="CU372" s="41" t="str">
        <f t="shared" si="209"/>
        <v/>
      </c>
    </row>
    <row r="373" spans="1:99" x14ac:dyDescent="0.2">
      <c r="A373" s="77">
        <f t="shared" si="210"/>
        <v>368</v>
      </c>
      <c r="B373" s="81"/>
      <c r="C373" s="82"/>
      <c r="D373" s="71"/>
      <c r="E373" s="72"/>
      <c r="F373" s="73"/>
      <c r="G373" s="443"/>
      <c r="H373" s="443"/>
      <c r="I373" s="74"/>
      <c r="J373" s="75"/>
      <c r="K373" s="41">
        <f t="shared" si="214"/>
        <v>3625</v>
      </c>
      <c r="L373" s="104"/>
      <c r="M373" s="105"/>
      <c r="N373" s="106">
        <f t="shared" si="215"/>
        <v>537.05999999999995</v>
      </c>
      <c r="O373" s="104"/>
      <c r="P373" s="105"/>
      <c r="Q373" s="106">
        <f t="shared" si="212"/>
        <v>10045.83</v>
      </c>
      <c r="R373" s="104"/>
      <c r="S373" s="105"/>
      <c r="T373" s="106">
        <f t="shared" si="213"/>
        <v>0</v>
      </c>
      <c r="U373" s="439"/>
      <c r="V373" s="42">
        <f t="shared" si="181"/>
        <v>368</v>
      </c>
      <c r="W373" s="39" t="str">
        <f>IF(AND(E373='Povolené hodnoty'!$B$4,F373=2),I373+L373+O373+R373,"")</f>
        <v/>
      </c>
      <c r="X373" s="41" t="str">
        <f>IF(AND(E373='Povolené hodnoty'!$B$4,F373=1),I373+L373+O373+R373,"")</f>
        <v/>
      </c>
      <c r="Y373" s="39" t="str">
        <f>IF(AND(E373='Povolené hodnoty'!$B$4,F373=10),J373+M373+P373+S373,"")</f>
        <v/>
      </c>
      <c r="Z373" s="41" t="str">
        <f>IF(AND(E373='Povolené hodnoty'!$B$4,F373=9),J373+M373+P373+S373,"")</f>
        <v/>
      </c>
      <c r="AA373" s="39" t="str">
        <f>IF(AND(E373&lt;&gt;'Povolené hodnoty'!$B$4,F373=2),I373+L373+O373+R373,"")</f>
        <v/>
      </c>
      <c r="AB373" s="40" t="str">
        <f>IF(AND(E373&lt;&gt;'Povolené hodnoty'!$B$4,F373=3),I373+L373+O373+R373,"")</f>
        <v/>
      </c>
      <c r="AC373" s="40" t="str">
        <f>IF(AND(E373&lt;&gt;'Povolené hodnoty'!$B$4,F373=4),I373+L373+O373+R373,"")</f>
        <v/>
      </c>
      <c r="AD373" s="40" t="str">
        <f>IF(AND(E373&lt;&gt;'Povolené hodnoty'!$B$4,F373="5a"),I373-J373+L373-M373+O373-P373+R373-S373,"")</f>
        <v/>
      </c>
      <c r="AE373" s="40" t="str">
        <f>IF(AND(E373&lt;&gt;'Povolené hodnoty'!$B$4,F373="5b"),I373-J373+L373-M373+O373-P373+R373-S373,"")</f>
        <v/>
      </c>
      <c r="AF373" s="40" t="str">
        <f>IF(AND(E373&lt;&gt;'Povolené hodnoty'!$B$4,F373=6),I373+L373+O373+R373,"")</f>
        <v/>
      </c>
      <c r="AG373" s="41" t="str">
        <f>IF(AND(E373&lt;&gt;'Povolené hodnoty'!$B$4,F373=7),I373+L373+O373+R373,"")</f>
        <v/>
      </c>
      <c r="AH373" s="39" t="str">
        <f>IF(AND(E373&lt;&gt;'Povolené hodnoty'!$B$4,F373=10),J373+M373+P373+S373,"")</f>
        <v/>
      </c>
      <c r="AI373" s="40" t="str">
        <f>IF(AND(E373&lt;&gt;'Povolené hodnoty'!$B$4,F373=11),J373+M373+P373+S373,"")</f>
        <v/>
      </c>
      <c r="AJ373" s="40" t="str">
        <f>IF(AND(E373&lt;&gt;'Povolené hodnoty'!$B$4,F373=12),J373+M373+P373+S373,"")</f>
        <v/>
      </c>
      <c r="AK373" s="41" t="str">
        <f>IF(AND(E373&lt;&gt;'Povolené hodnoty'!$B$4,F373=13),J373+M373+P373+S373,"")</f>
        <v/>
      </c>
      <c r="AL373" s="39" t="str">
        <f>IF(AND($G373='Povolené hodnoty'!$B$13,$H373=AL$4),SUM($I373,$L373,$O373,$R373),"")</f>
        <v/>
      </c>
      <c r="AM373" s="458" t="str">
        <f>IF(AND($G373='Povolené hodnoty'!$B$13,$H373=AM$4),SUM($I373,$L373,$O373,$R373),"")</f>
        <v/>
      </c>
      <c r="AN373" s="458" t="str">
        <f>IF(AND($G373='Povolené hodnoty'!$B$13,$H373=AN$4),SUM($I373,$L373,$O373,$R373),"")</f>
        <v/>
      </c>
      <c r="AO373" s="458" t="str">
        <f>IF(AND($G373='Povolené hodnoty'!$B$13,$H373=AO$4),SUM($I373,$L373,$O373,$R373),"")</f>
        <v/>
      </c>
      <c r="AP373" s="458" t="str">
        <f>IF(AND($G373='Povolené hodnoty'!$B$13,$H373=AP$4),SUM($I373,$L373,$O373,$R373),"")</f>
        <v/>
      </c>
      <c r="AQ373" s="40" t="str">
        <f>IF(AND($G373='Povolené hodnoty'!$B$13,OR($H373=AQ$4,$H373='Povolené hodnoty'!$E$36)),SUM($I373,-$J373,$L373,-$M373,$O373,-$P373,$R373,-$S373),"")</f>
        <v/>
      </c>
      <c r="AR373" s="40" t="str">
        <f>IF(AND($G373='Povolené hodnoty'!$B$13,$H373=AR$4),SUM($I373,$L373,$O373,$R373),"")</f>
        <v/>
      </c>
      <c r="AS373" s="41" t="str">
        <f>IF(AND($G373='Povolené hodnoty'!$B$13,$H373=AS$4),SUM($I373,$L373,$O373,$R373),"")</f>
        <v/>
      </c>
      <c r="AT373" s="39" t="str">
        <f>IF(AND($G373='Povolené hodnoty'!$B$14,$H373=AT$4),SUM($I373,$L373,$O373,$R373),"")</f>
        <v/>
      </c>
      <c r="AU373" s="458" t="str">
        <f>IF(AND($G373='Povolené hodnoty'!$B$14,$H373=AU$4),SUM($I373,$L373,$O373,$R373),"")</f>
        <v/>
      </c>
      <c r="AV373" s="41" t="str">
        <f>IF(AND($G373='Povolené hodnoty'!$B$14,$H373=AV$4),SUM($I373,$L373,$O373,$R373),"")</f>
        <v/>
      </c>
      <c r="AW373" s="39" t="str">
        <f>IF(AND($G373='Povolené hodnoty'!$B$13,$H373=AW$4),SUM($J373,$M373,$P373,$S373),"")</f>
        <v/>
      </c>
      <c r="AX373" s="458" t="str">
        <f>IF(AND($G373='Povolené hodnoty'!$B$13,$H373=AX$4),SUM($J373,$M373,$P373,$S373),"")</f>
        <v/>
      </c>
      <c r="AY373" s="458" t="str">
        <f>IF(AND($G373='Povolené hodnoty'!$B$13,$H373=AY$4),SUM($J373,$M373,$P373,$S373),"")</f>
        <v/>
      </c>
      <c r="AZ373" s="458" t="str">
        <f>IF(AND($G373='Povolené hodnoty'!$B$13,$H373=AZ$4),SUM($J373,$M373,$P373,$S373),"")</f>
        <v/>
      </c>
      <c r="BA373" s="458" t="str">
        <f>IF(AND($G373='Povolené hodnoty'!$B$13,$H373=BA$4),SUM($J373,$M373,$P373,$S373),"")</f>
        <v/>
      </c>
      <c r="BB373" s="40" t="str">
        <f>IF(AND($G373='Povolené hodnoty'!$B$13,$H373=BB$4),SUM($J373,$M373,$P373,$S373),"")</f>
        <v/>
      </c>
      <c r="BC373" s="40" t="str">
        <f>IF(AND($G373='Povolené hodnoty'!$B$13,$H373=BC$4),SUM($J373,$M373,$P373,$S373),"")</f>
        <v/>
      </c>
      <c r="BD373" s="40" t="str">
        <f>IF(AND($G373='Povolené hodnoty'!$B$13,$H373=BD$4),SUM($J373,$M373,$P373,$S373),"")</f>
        <v/>
      </c>
      <c r="BE373" s="41" t="str">
        <f>IF(AND($G373='Povolené hodnoty'!$B$13,$H373=BE$4),SUM($J373,$M373,$P373,$S373),"")</f>
        <v/>
      </c>
      <c r="BF373" s="39" t="str">
        <f>IF(AND($G373='Povolené hodnoty'!$B$14,$H373=BF$4),SUM($J373,$M373,$P373,$S373),"")</f>
        <v/>
      </c>
      <c r="BG373" s="458" t="str">
        <f>IF(AND($G373='Povolené hodnoty'!$B$14,$H373=BG$4),SUM($J373,$M373,$P373,$S373),"")</f>
        <v/>
      </c>
      <c r="BH373" s="458" t="str">
        <f>IF(AND($G373='Povolené hodnoty'!$B$14,$H373=BH$4),SUM($J373,$M373,$P373,$S373),"")</f>
        <v/>
      </c>
      <c r="BI373" s="458" t="str">
        <f>IF(AND($G373='Povolené hodnoty'!$B$14,$H373=BI$4),SUM($J373,$M373,$P373,$S373),"")</f>
        <v/>
      </c>
      <c r="BJ373" s="458" t="str">
        <f>IF(AND($G373='Povolené hodnoty'!$B$14,$H373=BJ$4),SUM($J373,$M373,$P373,$S373),"")</f>
        <v/>
      </c>
      <c r="BK373" s="40" t="str">
        <f>IF(AND($G373='Povolené hodnoty'!$B$14,$H373=BK$4),SUM($J373,$M373,$P373,$S373),"")</f>
        <v/>
      </c>
      <c r="BL373" s="40" t="str">
        <f>IF(AND($G373='Povolené hodnoty'!$B$14,$H373=BL$4),SUM($J373,$M373,$P373,$S373),"")</f>
        <v/>
      </c>
      <c r="BM373" s="41" t="str">
        <f>IF(AND($G373='Povolené hodnoty'!$B$14,$H373=BM$4),SUM($J373,$M373,$P373,$S373),"")</f>
        <v/>
      </c>
      <c r="BO373" s="18" t="b">
        <f t="shared" si="211"/>
        <v>0</v>
      </c>
      <c r="BP373" s="18" t="b">
        <f t="shared" si="182"/>
        <v>0</v>
      </c>
      <c r="BQ373" s="18" t="b">
        <f>AND(E373&lt;&gt;'Povolené hodnoty'!$B$6,F373&lt;&gt;'Povolené hodnoty'!$D$7,F373&lt;&gt;'Povolené hodnoty'!$D$8,OR(SUM(I373,L373,O373,R373)&lt;&gt;SUM(W373:X373,AA373:AG373),SUM(J373,M373,P373,S373)&lt;&gt;SUM(Y373:Z373,AH373:AK373),COUNT(I373:J373,L373:M373,O373:P373,R373:S373)&lt;&gt;COUNT(W373:AK373)))</f>
        <v>0</v>
      </c>
      <c r="BR373" s="18" t="b">
        <f>OR(AND(E373='Povolené hodnoty'!$B$6,$BR$5),AND(E373='Povolené hodnoty'!$B$6,H373&lt;&gt;'Povolené hodnoty'!$E$26,H373&lt;&gt;'Povolené hodnoty'!$E$35),AND(E373&lt;&gt;'Povolené hodnoty'!$B$6,OR(H373='Povolené hodnoty'!$E$26,H373='Povolené hodnoty'!$E$35)))</f>
        <v>0</v>
      </c>
      <c r="BS373" s="18" t="b">
        <f>OR(AND(G373&lt;&gt;'Povolené hodnoty'!$B$13,OR(H373='Povolené hodnoty'!$E$21,H373='Povolené hodnoty'!$E$22,H373='Povolené hodnoty'!$E$23,H373='Povolené hodnoty'!$E$24,H373='Povolené hodnoty'!$E$26,H373='Povolené hodnoty'!$E$36)),COUNT(I373:J373,L373:M373,O373:P373,R373:S373)&lt;&gt;COUNT(AL373:BM373))</f>
        <v>0</v>
      </c>
      <c r="BT373" s="18" t="b">
        <f t="shared" si="183"/>
        <v>0</v>
      </c>
      <c r="BV373" s="39" t="str">
        <f t="shared" si="184"/>
        <v/>
      </c>
      <c r="BW373" s="458" t="str">
        <f t="shared" si="185"/>
        <v/>
      </c>
      <c r="BX373" s="458" t="str">
        <f t="shared" si="186"/>
        <v/>
      </c>
      <c r="BY373" s="458" t="str">
        <f t="shared" si="187"/>
        <v/>
      </c>
      <c r="BZ373" s="458" t="str">
        <f t="shared" si="188"/>
        <v/>
      </c>
      <c r="CA373" s="40" t="str">
        <f t="shared" si="189"/>
        <v/>
      </c>
      <c r="CB373" s="40" t="str">
        <f t="shared" si="190"/>
        <v/>
      </c>
      <c r="CC373" s="39" t="str">
        <f t="shared" si="191"/>
        <v/>
      </c>
      <c r="CD373" s="458" t="str">
        <f t="shared" si="192"/>
        <v/>
      </c>
      <c r="CE373" s="41" t="str">
        <f t="shared" si="193"/>
        <v/>
      </c>
      <c r="CF373" s="39" t="str">
        <f t="shared" si="194"/>
        <v/>
      </c>
      <c r="CG373" s="458" t="str">
        <f t="shared" si="195"/>
        <v/>
      </c>
      <c r="CH373" s="458" t="str">
        <f t="shared" si="196"/>
        <v/>
      </c>
      <c r="CI373" s="458" t="str">
        <f t="shared" si="197"/>
        <v/>
      </c>
      <c r="CJ373" s="458" t="str">
        <f t="shared" si="198"/>
        <v/>
      </c>
      <c r="CK373" s="40" t="str">
        <f t="shared" si="199"/>
        <v/>
      </c>
      <c r="CL373" s="40" t="str">
        <f t="shared" si="200"/>
        <v/>
      </c>
      <c r="CM373" s="40" t="str">
        <f t="shared" si="201"/>
        <v/>
      </c>
      <c r="CN373" s="39" t="str">
        <f t="shared" si="202"/>
        <v/>
      </c>
      <c r="CO373" s="458" t="str">
        <f t="shared" si="203"/>
        <v/>
      </c>
      <c r="CP373" s="458" t="str">
        <f t="shared" si="204"/>
        <v/>
      </c>
      <c r="CQ373" s="458" t="str">
        <f t="shared" si="205"/>
        <v/>
      </c>
      <c r="CR373" s="458" t="str">
        <f t="shared" si="206"/>
        <v/>
      </c>
      <c r="CS373" s="40" t="str">
        <f t="shared" si="207"/>
        <v/>
      </c>
      <c r="CT373" s="40" t="str">
        <f t="shared" si="208"/>
        <v/>
      </c>
      <c r="CU373" s="41" t="str">
        <f t="shared" si="209"/>
        <v/>
      </c>
    </row>
    <row r="374" spans="1:99" x14ac:dyDescent="0.2">
      <c r="A374" s="77">
        <f t="shared" si="210"/>
        <v>369</v>
      </c>
      <c r="B374" s="81"/>
      <c r="C374" s="82"/>
      <c r="D374" s="71"/>
      <c r="E374" s="72"/>
      <c r="F374" s="73"/>
      <c r="G374" s="443"/>
      <c r="H374" s="443"/>
      <c r="I374" s="74"/>
      <c r="J374" s="75"/>
      <c r="K374" s="41">
        <f t="shared" si="214"/>
        <v>3625</v>
      </c>
      <c r="L374" s="104"/>
      <c r="M374" s="105"/>
      <c r="N374" s="106">
        <f t="shared" si="215"/>
        <v>537.05999999999995</v>
      </c>
      <c r="O374" s="104"/>
      <c r="P374" s="105"/>
      <c r="Q374" s="106">
        <f t="shared" si="212"/>
        <v>10045.83</v>
      </c>
      <c r="R374" s="104"/>
      <c r="S374" s="105"/>
      <c r="T374" s="106">
        <f t="shared" si="213"/>
        <v>0</v>
      </c>
      <c r="U374" s="439"/>
      <c r="V374" s="42">
        <f t="shared" si="181"/>
        <v>369</v>
      </c>
      <c r="W374" s="39" t="str">
        <f>IF(AND(E374='Povolené hodnoty'!$B$4,F374=2),I374+L374+O374+R374,"")</f>
        <v/>
      </c>
      <c r="X374" s="41" t="str">
        <f>IF(AND(E374='Povolené hodnoty'!$B$4,F374=1),I374+L374+O374+R374,"")</f>
        <v/>
      </c>
      <c r="Y374" s="39" t="str">
        <f>IF(AND(E374='Povolené hodnoty'!$B$4,F374=10),J374+M374+P374+S374,"")</f>
        <v/>
      </c>
      <c r="Z374" s="41" t="str">
        <f>IF(AND(E374='Povolené hodnoty'!$B$4,F374=9),J374+M374+P374+S374,"")</f>
        <v/>
      </c>
      <c r="AA374" s="39" t="str">
        <f>IF(AND(E374&lt;&gt;'Povolené hodnoty'!$B$4,F374=2),I374+L374+O374+R374,"")</f>
        <v/>
      </c>
      <c r="AB374" s="40" t="str">
        <f>IF(AND(E374&lt;&gt;'Povolené hodnoty'!$B$4,F374=3),I374+L374+O374+R374,"")</f>
        <v/>
      </c>
      <c r="AC374" s="40" t="str">
        <f>IF(AND(E374&lt;&gt;'Povolené hodnoty'!$B$4,F374=4),I374+L374+O374+R374,"")</f>
        <v/>
      </c>
      <c r="AD374" s="40" t="str">
        <f>IF(AND(E374&lt;&gt;'Povolené hodnoty'!$B$4,F374="5a"),I374-J374+L374-M374+O374-P374+R374-S374,"")</f>
        <v/>
      </c>
      <c r="AE374" s="40" t="str">
        <f>IF(AND(E374&lt;&gt;'Povolené hodnoty'!$B$4,F374="5b"),I374-J374+L374-M374+O374-P374+R374-S374,"")</f>
        <v/>
      </c>
      <c r="AF374" s="40" t="str">
        <f>IF(AND(E374&lt;&gt;'Povolené hodnoty'!$B$4,F374=6),I374+L374+O374+R374,"")</f>
        <v/>
      </c>
      <c r="AG374" s="41" t="str">
        <f>IF(AND(E374&lt;&gt;'Povolené hodnoty'!$B$4,F374=7),I374+L374+O374+R374,"")</f>
        <v/>
      </c>
      <c r="AH374" s="39" t="str">
        <f>IF(AND(E374&lt;&gt;'Povolené hodnoty'!$B$4,F374=10),J374+M374+P374+S374,"")</f>
        <v/>
      </c>
      <c r="AI374" s="40" t="str">
        <f>IF(AND(E374&lt;&gt;'Povolené hodnoty'!$B$4,F374=11),J374+M374+P374+S374,"")</f>
        <v/>
      </c>
      <c r="AJ374" s="40" t="str">
        <f>IF(AND(E374&lt;&gt;'Povolené hodnoty'!$B$4,F374=12),J374+M374+P374+S374,"")</f>
        <v/>
      </c>
      <c r="AK374" s="41" t="str">
        <f>IF(AND(E374&lt;&gt;'Povolené hodnoty'!$B$4,F374=13),J374+M374+P374+S374,"")</f>
        <v/>
      </c>
      <c r="AL374" s="39" t="str">
        <f>IF(AND($G374='Povolené hodnoty'!$B$13,$H374=AL$4),SUM($I374,$L374,$O374,$R374),"")</f>
        <v/>
      </c>
      <c r="AM374" s="458" t="str">
        <f>IF(AND($G374='Povolené hodnoty'!$B$13,$H374=AM$4),SUM($I374,$L374,$O374,$R374),"")</f>
        <v/>
      </c>
      <c r="AN374" s="458" t="str">
        <f>IF(AND($G374='Povolené hodnoty'!$B$13,$H374=AN$4),SUM($I374,$L374,$O374,$R374),"")</f>
        <v/>
      </c>
      <c r="AO374" s="458" t="str">
        <f>IF(AND($G374='Povolené hodnoty'!$B$13,$H374=AO$4),SUM($I374,$L374,$O374,$R374),"")</f>
        <v/>
      </c>
      <c r="AP374" s="458" t="str">
        <f>IF(AND($G374='Povolené hodnoty'!$B$13,$H374=AP$4),SUM($I374,$L374,$O374,$R374),"")</f>
        <v/>
      </c>
      <c r="AQ374" s="40" t="str">
        <f>IF(AND($G374='Povolené hodnoty'!$B$13,OR($H374=AQ$4,$H374='Povolené hodnoty'!$E$36)),SUM($I374,-$J374,$L374,-$M374,$O374,-$P374,$R374,-$S374),"")</f>
        <v/>
      </c>
      <c r="AR374" s="40" t="str">
        <f>IF(AND($G374='Povolené hodnoty'!$B$13,$H374=AR$4),SUM($I374,$L374,$O374,$R374),"")</f>
        <v/>
      </c>
      <c r="AS374" s="41" t="str">
        <f>IF(AND($G374='Povolené hodnoty'!$B$13,$H374=AS$4),SUM($I374,$L374,$O374,$R374),"")</f>
        <v/>
      </c>
      <c r="AT374" s="39" t="str">
        <f>IF(AND($G374='Povolené hodnoty'!$B$14,$H374=AT$4),SUM($I374,$L374,$O374,$R374),"")</f>
        <v/>
      </c>
      <c r="AU374" s="458" t="str">
        <f>IF(AND($G374='Povolené hodnoty'!$B$14,$H374=AU$4),SUM($I374,$L374,$O374,$R374),"")</f>
        <v/>
      </c>
      <c r="AV374" s="41" t="str">
        <f>IF(AND($G374='Povolené hodnoty'!$B$14,$H374=AV$4),SUM($I374,$L374,$O374,$R374),"")</f>
        <v/>
      </c>
      <c r="AW374" s="39" t="str">
        <f>IF(AND($G374='Povolené hodnoty'!$B$13,$H374=AW$4),SUM($J374,$M374,$P374,$S374),"")</f>
        <v/>
      </c>
      <c r="AX374" s="458" t="str">
        <f>IF(AND($G374='Povolené hodnoty'!$B$13,$H374=AX$4),SUM($J374,$M374,$P374,$S374),"")</f>
        <v/>
      </c>
      <c r="AY374" s="458" t="str">
        <f>IF(AND($G374='Povolené hodnoty'!$B$13,$H374=AY$4),SUM($J374,$M374,$P374,$S374),"")</f>
        <v/>
      </c>
      <c r="AZ374" s="458" t="str">
        <f>IF(AND($G374='Povolené hodnoty'!$B$13,$H374=AZ$4),SUM($J374,$M374,$P374,$S374),"")</f>
        <v/>
      </c>
      <c r="BA374" s="458" t="str">
        <f>IF(AND($G374='Povolené hodnoty'!$B$13,$H374=BA$4),SUM($J374,$M374,$P374,$S374),"")</f>
        <v/>
      </c>
      <c r="BB374" s="40" t="str">
        <f>IF(AND($G374='Povolené hodnoty'!$B$13,$H374=BB$4),SUM($J374,$M374,$P374,$S374),"")</f>
        <v/>
      </c>
      <c r="BC374" s="40" t="str">
        <f>IF(AND($G374='Povolené hodnoty'!$B$13,$H374=BC$4),SUM($J374,$M374,$P374,$S374),"")</f>
        <v/>
      </c>
      <c r="BD374" s="40" t="str">
        <f>IF(AND($G374='Povolené hodnoty'!$B$13,$H374=BD$4),SUM($J374,$M374,$P374,$S374),"")</f>
        <v/>
      </c>
      <c r="BE374" s="41" t="str">
        <f>IF(AND($G374='Povolené hodnoty'!$B$13,$H374=BE$4),SUM($J374,$M374,$P374,$S374),"")</f>
        <v/>
      </c>
      <c r="BF374" s="39" t="str">
        <f>IF(AND($G374='Povolené hodnoty'!$B$14,$H374=BF$4),SUM($J374,$M374,$P374,$S374),"")</f>
        <v/>
      </c>
      <c r="BG374" s="458" t="str">
        <f>IF(AND($G374='Povolené hodnoty'!$B$14,$H374=BG$4),SUM($J374,$M374,$P374,$S374),"")</f>
        <v/>
      </c>
      <c r="BH374" s="458" t="str">
        <f>IF(AND($G374='Povolené hodnoty'!$B$14,$H374=BH$4),SUM($J374,$M374,$P374,$S374),"")</f>
        <v/>
      </c>
      <c r="BI374" s="458" t="str">
        <f>IF(AND($G374='Povolené hodnoty'!$B$14,$H374=BI$4),SUM($J374,$M374,$P374,$S374),"")</f>
        <v/>
      </c>
      <c r="BJ374" s="458" t="str">
        <f>IF(AND($G374='Povolené hodnoty'!$B$14,$H374=BJ$4),SUM($J374,$M374,$P374,$S374),"")</f>
        <v/>
      </c>
      <c r="BK374" s="40" t="str">
        <f>IF(AND($G374='Povolené hodnoty'!$B$14,$H374=BK$4),SUM($J374,$M374,$P374,$S374),"")</f>
        <v/>
      </c>
      <c r="BL374" s="40" t="str">
        <f>IF(AND($G374='Povolené hodnoty'!$B$14,$H374=BL$4),SUM($J374,$M374,$P374,$S374),"")</f>
        <v/>
      </c>
      <c r="BM374" s="41" t="str">
        <f>IF(AND($G374='Povolené hodnoty'!$B$14,$H374=BM$4),SUM($J374,$M374,$P374,$S374),"")</f>
        <v/>
      </c>
      <c r="BO374" s="18" t="b">
        <f t="shared" si="211"/>
        <v>0</v>
      </c>
      <c r="BP374" s="18" t="b">
        <f t="shared" si="182"/>
        <v>0</v>
      </c>
      <c r="BQ374" s="18" t="b">
        <f>AND(E374&lt;&gt;'Povolené hodnoty'!$B$6,F374&lt;&gt;'Povolené hodnoty'!$D$7,F374&lt;&gt;'Povolené hodnoty'!$D$8,OR(SUM(I374,L374,O374,R374)&lt;&gt;SUM(W374:X374,AA374:AG374),SUM(J374,M374,P374,S374)&lt;&gt;SUM(Y374:Z374,AH374:AK374),COUNT(I374:J374,L374:M374,O374:P374,R374:S374)&lt;&gt;COUNT(W374:AK374)))</f>
        <v>0</v>
      </c>
      <c r="BR374" s="18" t="b">
        <f>OR(AND(E374='Povolené hodnoty'!$B$6,$BR$5),AND(E374='Povolené hodnoty'!$B$6,H374&lt;&gt;'Povolené hodnoty'!$E$26,H374&lt;&gt;'Povolené hodnoty'!$E$35),AND(E374&lt;&gt;'Povolené hodnoty'!$B$6,OR(H374='Povolené hodnoty'!$E$26,H374='Povolené hodnoty'!$E$35)))</f>
        <v>0</v>
      </c>
      <c r="BS374" s="18" t="b">
        <f>OR(AND(G374&lt;&gt;'Povolené hodnoty'!$B$13,OR(H374='Povolené hodnoty'!$E$21,H374='Povolené hodnoty'!$E$22,H374='Povolené hodnoty'!$E$23,H374='Povolené hodnoty'!$E$24,H374='Povolené hodnoty'!$E$26,H374='Povolené hodnoty'!$E$36)),COUNT(I374:J374,L374:M374,O374:P374,R374:S374)&lt;&gt;COUNT(AL374:BM374))</f>
        <v>0</v>
      </c>
      <c r="BT374" s="18" t="b">
        <f t="shared" si="183"/>
        <v>0</v>
      </c>
      <c r="BV374" s="39" t="str">
        <f t="shared" si="184"/>
        <v/>
      </c>
      <c r="BW374" s="458" t="str">
        <f t="shared" si="185"/>
        <v/>
      </c>
      <c r="BX374" s="458" t="str">
        <f t="shared" si="186"/>
        <v/>
      </c>
      <c r="BY374" s="458" t="str">
        <f t="shared" si="187"/>
        <v/>
      </c>
      <c r="BZ374" s="458" t="str">
        <f t="shared" si="188"/>
        <v/>
      </c>
      <c r="CA374" s="40" t="str">
        <f t="shared" si="189"/>
        <v/>
      </c>
      <c r="CB374" s="40" t="str">
        <f t="shared" si="190"/>
        <v/>
      </c>
      <c r="CC374" s="39" t="str">
        <f t="shared" si="191"/>
        <v/>
      </c>
      <c r="CD374" s="458" t="str">
        <f t="shared" si="192"/>
        <v/>
      </c>
      <c r="CE374" s="41" t="str">
        <f t="shared" si="193"/>
        <v/>
      </c>
      <c r="CF374" s="39" t="str">
        <f t="shared" si="194"/>
        <v/>
      </c>
      <c r="CG374" s="458" t="str">
        <f t="shared" si="195"/>
        <v/>
      </c>
      <c r="CH374" s="458" t="str">
        <f t="shared" si="196"/>
        <v/>
      </c>
      <c r="CI374" s="458" t="str">
        <f t="shared" si="197"/>
        <v/>
      </c>
      <c r="CJ374" s="458" t="str">
        <f t="shared" si="198"/>
        <v/>
      </c>
      <c r="CK374" s="40" t="str">
        <f t="shared" si="199"/>
        <v/>
      </c>
      <c r="CL374" s="40" t="str">
        <f t="shared" si="200"/>
        <v/>
      </c>
      <c r="CM374" s="40" t="str">
        <f t="shared" si="201"/>
        <v/>
      </c>
      <c r="CN374" s="39" t="str">
        <f t="shared" si="202"/>
        <v/>
      </c>
      <c r="CO374" s="458" t="str">
        <f t="shared" si="203"/>
        <v/>
      </c>
      <c r="CP374" s="458" t="str">
        <f t="shared" si="204"/>
        <v/>
      </c>
      <c r="CQ374" s="458" t="str">
        <f t="shared" si="205"/>
        <v/>
      </c>
      <c r="CR374" s="458" t="str">
        <f t="shared" si="206"/>
        <v/>
      </c>
      <c r="CS374" s="40" t="str">
        <f t="shared" si="207"/>
        <v/>
      </c>
      <c r="CT374" s="40" t="str">
        <f t="shared" si="208"/>
        <v/>
      </c>
      <c r="CU374" s="41" t="str">
        <f t="shared" si="209"/>
        <v/>
      </c>
    </row>
    <row r="375" spans="1:99" x14ac:dyDescent="0.2">
      <c r="A375" s="77">
        <f t="shared" si="210"/>
        <v>370</v>
      </c>
      <c r="B375" s="81"/>
      <c r="C375" s="82"/>
      <c r="D375" s="71"/>
      <c r="E375" s="72"/>
      <c r="F375" s="73"/>
      <c r="G375" s="443"/>
      <c r="H375" s="443"/>
      <c r="I375" s="74"/>
      <c r="J375" s="75"/>
      <c r="K375" s="41">
        <f t="shared" si="214"/>
        <v>3625</v>
      </c>
      <c r="L375" s="104"/>
      <c r="M375" s="105"/>
      <c r="N375" s="106">
        <f t="shared" si="215"/>
        <v>537.05999999999995</v>
      </c>
      <c r="O375" s="104"/>
      <c r="P375" s="105"/>
      <c r="Q375" s="106">
        <f t="shared" si="212"/>
        <v>10045.83</v>
      </c>
      <c r="R375" s="104"/>
      <c r="S375" s="105"/>
      <c r="T375" s="106">
        <f t="shared" si="213"/>
        <v>0</v>
      </c>
      <c r="U375" s="439"/>
      <c r="V375" s="42">
        <f t="shared" si="181"/>
        <v>370</v>
      </c>
      <c r="W375" s="39" t="str">
        <f>IF(AND(E375='Povolené hodnoty'!$B$4,F375=2),I375+L375+O375+R375,"")</f>
        <v/>
      </c>
      <c r="X375" s="41" t="str">
        <f>IF(AND(E375='Povolené hodnoty'!$B$4,F375=1),I375+L375+O375+R375,"")</f>
        <v/>
      </c>
      <c r="Y375" s="39" t="str">
        <f>IF(AND(E375='Povolené hodnoty'!$B$4,F375=10),J375+M375+P375+S375,"")</f>
        <v/>
      </c>
      <c r="Z375" s="41" t="str">
        <f>IF(AND(E375='Povolené hodnoty'!$B$4,F375=9),J375+M375+P375+S375,"")</f>
        <v/>
      </c>
      <c r="AA375" s="39" t="str">
        <f>IF(AND(E375&lt;&gt;'Povolené hodnoty'!$B$4,F375=2),I375+L375+O375+R375,"")</f>
        <v/>
      </c>
      <c r="AB375" s="40" t="str">
        <f>IF(AND(E375&lt;&gt;'Povolené hodnoty'!$B$4,F375=3),I375+L375+O375+R375,"")</f>
        <v/>
      </c>
      <c r="AC375" s="40" t="str">
        <f>IF(AND(E375&lt;&gt;'Povolené hodnoty'!$B$4,F375=4),I375+L375+O375+R375,"")</f>
        <v/>
      </c>
      <c r="AD375" s="40" t="str">
        <f>IF(AND(E375&lt;&gt;'Povolené hodnoty'!$B$4,F375="5a"),I375-J375+L375-M375+O375-P375+R375-S375,"")</f>
        <v/>
      </c>
      <c r="AE375" s="40" t="str">
        <f>IF(AND(E375&lt;&gt;'Povolené hodnoty'!$B$4,F375="5b"),I375-J375+L375-M375+O375-P375+R375-S375,"")</f>
        <v/>
      </c>
      <c r="AF375" s="40" t="str">
        <f>IF(AND(E375&lt;&gt;'Povolené hodnoty'!$B$4,F375=6),I375+L375+O375+R375,"")</f>
        <v/>
      </c>
      <c r="AG375" s="41" t="str">
        <f>IF(AND(E375&lt;&gt;'Povolené hodnoty'!$B$4,F375=7),I375+L375+O375+R375,"")</f>
        <v/>
      </c>
      <c r="AH375" s="39" t="str">
        <f>IF(AND(E375&lt;&gt;'Povolené hodnoty'!$B$4,F375=10),J375+M375+P375+S375,"")</f>
        <v/>
      </c>
      <c r="AI375" s="40" t="str">
        <f>IF(AND(E375&lt;&gt;'Povolené hodnoty'!$B$4,F375=11),J375+M375+P375+S375,"")</f>
        <v/>
      </c>
      <c r="AJ375" s="40" t="str">
        <f>IF(AND(E375&lt;&gt;'Povolené hodnoty'!$B$4,F375=12),J375+M375+P375+S375,"")</f>
        <v/>
      </c>
      <c r="AK375" s="41" t="str">
        <f>IF(AND(E375&lt;&gt;'Povolené hodnoty'!$B$4,F375=13),J375+M375+P375+S375,"")</f>
        <v/>
      </c>
      <c r="AL375" s="39" t="str">
        <f>IF(AND($G375='Povolené hodnoty'!$B$13,$H375=AL$4),SUM($I375,$L375,$O375,$R375),"")</f>
        <v/>
      </c>
      <c r="AM375" s="458" t="str">
        <f>IF(AND($G375='Povolené hodnoty'!$B$13,$H375=AM$4),SUM($I375,$L375,$O375,$R375),"")</f>
        <v/>
      </c>
      <c r="AN375" s="458" t="str">
        <f>IF(AND($G375='Povolené hodnoty'!$B$13,$H375=AN$4),SUM($I375,$L375,$O375,$R375),"")</f>
        <v/>
      </c>
      <c r="AO375" s="458" t="str">
        <f>IF(AND($G375='Povolené hodnoty'!$B$13,$H375=AO$4),SUM($I375,$L375,$O375,$R375),"")</f>
        <v/>
      </c>
      <c r="AP375" s="458" t="str">
        <f>IF(AND($G375='Povolené hodnoty'!$B$13,$H375=AP$4),SUM($I375,$L375,$O375,$R375),"")</f>
        <v/>
      </c>
      <c r="AQ375" s="40" t="str">
        <f>IF(AND($G375='Povolené hodnoty'!$B$13,OR($H375=AQ$4,$H375='Povolené hodnoty'!$E$36)),SUM($I375,-$J375,$L375,-$M375,$O375,-$P375,$R375,-$S375),"")</f>
        <v/>
      </c>
      <c r="AR375" s="40" t="str">
        <f>IF(AND($G375='Povolené hodnoty'!$B$13,$H375=AR$4),SUM($I375,$L375,$O375,$R375),"")</f>
        <v/>
      </c>
      <c r="AS375" s="41" t="str">
        <f>IF(AND($G375='Povolené hodnoty'!$B$13,$H375=AS$4),SUM($I375,$L375,$O375,$R375),"")</f>
        <v/>
      </c>
      <c r="AT375" s="39" t="str">
        <f>IF(AND($G375='Povolené hodnoty'!$B$14,$H375=AT$4),SUM($I375,$L375,$O375,$R375),"")</f>
        <v/>
      </c>
      <c r="AU375" s="458" t="str">
        <f>IF(AND($G375='Povolené hodnoty'!$B$14,$H375=AU$4),SUM($I375,$L375,$O375,$R375),"")</f>
        <v/>
      </c>
      <c r="AV375" s="41" t="str">
        <f>IF(AND($G375='Povolené hodnoty'!$B$14,$H375=AV$4),SUM($I375,$L375,$O375,$R375),"")</f>
        <v/>
      </c>
      <c r="AW375" s="39" t="str">
        <f>IF(AND($G375='Povolené hodnoty'!$B$13,$H375=AW$4),SUM($J375,$M375,$P375,$S375),"")</f>
        <v/>
      </c>
      <c r="AX375" s="458" t="str">
        <f>IF(AND($G375='Povolené hodnoty'!$B$13,$H375=AX$4),SUM($J375,$M375,$P375,$S375),"")</f>
        <v/>
      </c>
      <c r="AY375" s="458" t="str">
        <f>IF(AND($G375='Povolené hodnoty'!$B$13,$H375=AY$4),SUM($J375,$M375,$P375,$S375),"")</f>
        <v/>
      </c>
      <c r="AZ375" s="458" t="str">
        <f>IF(AND($G375='Povolené hodnoty'!$B$13,$H375=AZ$4),SUM($J375,$M375,$P375,$S375),"")</f>
        <v/>
      </c>
      <c r="BA375" s="458" t="str">
        <f>IF(AND($G375='Povolené hodnoty'!$B$13,$H375=BA$4),SUM($J375,$M375,$P375,$S375),"")</f>
        <v/>
      </c>
      <c r="BB375" s="40" t="str">
        <f>IF(AND($G375='Povolené hodnoty'!$B$13,$H375=BB$4),SUM($J375,$M375,$P375,$S375),"")</f>
        <v/>
      </c>
      <c r="BC375" s="40" t="str">
        <f>IF(AND($G375='Povolené hodnoty'!$B$13,$H375=BC$4),SUM($J375,$M375,$P375,$S375),"")</f>
        <v/>
      </c>
      <c r="BD375" s="40" t="str">
        <f>IF(AND($G375='Povolené hodnoty'!$B$13,$H375=BD$4),SUM($J375,$M375,$P375,$S375),"")</f>
        <v/>
      </c>
      <c r="BE375" s="41" t="str">
        <f>IF(AND($G375='Povolené hodnoty'!$B$13,$H375=BE$4),SUM($J375,$M375,$P375,$S375),"")</f>
        <v/>
      </c>
      <c r="BF375" s="39" t="str">
        <f>IF(AND($G375='Povolené hodnoty'!$B$14,$H375=BF$4),SUM($J375,$M375,$P375,$S375),"")</f>
        <v/>
      </c>
      <c r="BG375" s="458" t="str">
        <f>IF(AND($G375='Povolené hodnoty'!$B$14,$H375=BG$4),SUM($J375,$M375,$P375,$S375),"")</f>
        <v/>
      </c>
      <c r="BH375" s="458" t="str">
        <f>IF(AND($G375='Povolené hodnoty'!$B$14,$H375=BH$4),SUM($J375,$M375,$P375,$S375),"")</f>
        <v/>
      </c>
      <c r="BI375" s="458" t="str">
        <f>IF(AND($G375='Povolené hodnoty'!$B$14,$H375=BI$4),SUM($J375,$M375,$P375,$S375),"")</f>
        <v/>
      </c>
      <c r="BJ375" s="458" t="str">
        <f>IF(AND($G375='Povolené hodnoty'!$B$14,$H375=BJ$4),SUM($J375,$M375,$P375,$S375),"")</f>
        <v/>
      </c>
      <c r="BK375" s="40" t="str">
        <f>IF(AND($G375='Povolené hodnoty'!$B$14,$H375=BK$4),SUM($J375,$M375,$P375,$S375),"")</f>
        <v/>
      </c>
      <c r="BL375" s="40" t="str">
        <f>IF(AND($G375='Povolené hodnoty'!$B$14,$H375=BL$4),SUM($J375,$M375,$P375,$S375),"")</f>
        <v/>
      </c>
      <c r="BM375" s="41" t="str">
        <f>IF(AND($G375='Povolené hodnoty'!$B$14,$H375=BM$4),SUM($J375,$M375,$P375,$S375),"")</f>
        <v/>
      </c>
      <c r="BO375" s="18" t="b">
        <f t="shared" si="211"/>
        <v>0</v>
      </c>
      <c r="BP375" s="18" t="b">
        <f t="shared" si="182"/>
        <v>0</v>
      </c>
      <c r="BQ375" s="18" t="b">
        <f>AND(E375&lt;&gt;'Povolené hodnoty'!$B$6,F375&lt;&gt;'Povolené hodnoty'!$D$7,F375&lt;&gt;'Povolené hodnoty'!$D$8,OR(SUM(I375,L375,O375,R375)&lt;&gt;SUM(W375:X375,AA375:AG375),SUM(J375,M375,P375,S375)&lt;&gt;SUM(Y375:Z375,AH375:AK375),COUNT(I375:J375,L375:M375,O375:P375,R375:S375)&lt;&gt;COUNT(W375:AK375)))</f>
        <v>0</v>
      </c>
      <c r="BR375" s="18" t="b">
        <f>OR(AND(E375='Povolené hodnoty'!$B$6,$BR$5),AND(E375='Povolené hodnoty'!$B$6,H375&lt;&gt;'Povolené hodnoty'!$E$26,H375&lt;&gt;'Povolené hodnoty'!$E$35),AND(E375&lt;&gt;'Povolené hodnoty'!$B$6,OR(H375='Povolené hodnoty'!$E$26,H375='Povolené hodnoty'!$E$35)))</f>
        <v>0</v>
      </c>
      <c r="BS375" s="18" t="b">
        <f>OR(AND(G375&lt;&gt;'Povolené hodnoty'!$B$13,OR(H375='Povolené hodnoty'!$E$21,H375='Povolené hodnoty'!$E$22,H375='Povolené hodnoty'!$E$23,H375='Povolené hodnoty'!$E$24,H375='Povolené hodnoty'!$E$26,H375='Povolené hodnoty'!$E$36)),COUNT(I375:J375,L375:M375,O375:P375,R375:S375)&lt;&gt;COUNT(AL375:BM375))</f>
        <v>0</v>
      </c>
      <c r="BT375" s="18" t="b">
        <f t="shared" si="183"/>
        <v>0</v>
      </c>
      <c r="BV375" s="39" t="str">
        <f t="shared" si="184"/>
        <v/>
      </c>
      <c r="BW375" s="458" t="str">
        <f t="shared" si="185"/>
        <v/>
      </c>
      <c r="BX375" s="458" t="str">
        <f t="shared" si="186"/>
        <v/>
      </c>
      <c r="BY375" s="458" t="str">
        <f t="shared" si="187"/>
        <v/>
      </c>
      <c r="BZ375" s="458" t="str">
        <f t="shared" si="188"/>
        <v/>
      </c>
      <c r="CA375" s="40" t="str">
        <f t="shared" si="189"/>
        <v/>
      </c>
      <c r="CB375" s="40" t="str">
        <f t="shared" si="190"/>
        <v/>
      </c>
      <c r="CC375" s="39" t="str">
        <f t="shared" si="191"/>
        <v/>
      </c>
      <c r="CD375" s="458" t="str">
        <f t="shared" si="192"/>
        <v/>
      </c>
      <c r="CE375" s="41" t="str">
        <f t="shared" si="193"/>
        <v/>
      </c>
      <c r="CF375" s="39" t="str">
        <f t="shared" si="194"/>
        <v/>
      </c>
      <c r="CG375" s="458" t="str">
        <f t="shared" si="195"/>
        <v/>
      </c>
      <c r="CH375" s="458" t="str">
        <f t="shared" si="196"/>
        <v/>
      </c>
      <c r="CI375" s="458" t="str">
        <f t="shared" si="197"/>
        <v/>
      </c>
      <c r="CJ375" s="458" t="str">
        <f t="shared" si="198"/>
        <v/>
      </c>
      <c r="CK375" s="40" t="str">
        <f t="shared" si="199"/>
        <v/>
      </c>
      <c r="CL375" s="40" t="str">
        <f t="shared" si="200"/>
        <v/>
      </c>
      <c r="CM375" s="40" t="str">
        <f t="shared" si="201"/>
        <v/>
      </c>
      <c r="CN375" s="39" t="str">
        <f t="shared" si="202"/>
        <v/>
      </c>
      <c r="CO375" s="458" t="str">
        <f t="shared" si="203"/>
        <v/>
      </c>
      <c r="CP375" s="458" t="str">
        <f t="shared" si="204"/>
        <v/>
      </c>
      <c r="CQ375" s="458" t="str">
        <f t="shared" si="205"/>
        <v/>
      </c>
      <c r="CR375" s="458" t="str">
        <f t="shared" si="206"/>
        <v/>
      </c>
      <c r="CS375" s="40" t="str">
        <f t="shared" si="207"/>
        <v/>
      </c>
      <c r="CT375" s="40" t="str">
        <f t="shared" si="208"/>
        <v/>
      </c>
      <c r="CU375" s="41" t="str">
        <f t="shared" si="209"/>
        <v/>
      </c>
    </row>
    <row r="376" spans="1:99" x14ac:dyDescent="0.2">
      <c r="A376" s="77">
        <f t="shared" si="210"/>
        <v>371</v>
      </c>
      <c r="B376" s="81"/>
      <c r="C376" s="82"/>
      <c r="D376" s="71"/>
      <c r="E376" s="72"/>
      <c r="F376" s="73"/>
      <c r="G376" s="443"/>
      <c r="H376" s="443"/>
      <c r="I376" s="74"/>
      <c r="J376" s="75"/>
      <c r="K376" s="41">
        <f t="shared" si="214"/>
        <v>3625</v>
      </c>
      <c r="L376" s="104"/>
      <c r="M376" s="105"/>
      <c r="N376" s="106">
        <f t="shared" si="215"/>
        <v>537.05999999999995</v>
      </c>
      <c r="O376" s="104"/>
      <c r="P376" s="105"/>
      <c r="Q376" s="106">
        <f t="shared" si="212"/>
        <v>10045.83</v>
      </c>
      <c r="R376" s="104"/>
      <c r="S376" s="105"/>
      <c r="T376" s="106">
        <f t="shared" si="213"/>
        <v>0</v>
      </c>
      <c r="U376" s="439"/>
      <c r="V376" s="42">
        <f t="shared" si="181"/>
        <v>371</v>
      </c>
      <c r="W376" s="39" t="str">
        <f>IF(AND(E376='Povolené hodnoty'!$B$4,F376=2),I376+L376+O376+R376,"")</f>
        <v/>
      </c>
      <c r="X376" s="41" t="str">
        <f>IF(AND(E376='Povolené hodnoty'!$B$4,F376=1),I376+L376+O376+R376,"")</f>
        <v/>
      </c>
      <c r="Y376" s="39" t="str">
        <f>IF(AND(E376='Povolené hodnoty'!$B$4,F376=10),J376+M376+P376+S376,"")</f>
        <v/>
      </c>
      <c r="Z376" s="41" t="str">
        <f>IF(AND(E376='Povolené hodnoty'!$B$4,F376=9),J376+M376+P376+S376,"")</f>
        <v/>
      </c>
      <c r="AA376" s="39" t="str">
        <f>IF(AND(E376&lt;&gt;'Povolené hodnoty'!$B$4,F376=2),I376+L376+O376+R376,"")</f>
        <v/>
      </c>
      <c r="AB376" s="40" t="str">
        <f>IF(AND(E376&lt;&gt;'Povolené hodnoty'!$B$4,F376=3),I376+L376+O376+R376,"")</f>
        <v/>
      </c>
      <c r="AC376" s="40" t="str">
        <f>IF(AND(E376&lt;&gt;'Povolené hodnoty'!$B$4,F376=4),I376+L376+O376+R376,"")</f>
        <v/>
      </c>
      <c r="AD376" s="40" t="str">
        <f>IF(AND(E376&lt;&gt;'Povolené hodnoty'!$B$4,F376="5a"),I376-J376+L376-M376+O376-P376+R376-S376,"")</f>
        <v/>
      </c>
      <c r="AE376" s="40" t="str">
        <f>IF(AND(E376&lt;&gt;'Povolené hodnoty'!$B$4,F376="5b"),I376-J376+L376-M376+O376-P376+R376-S376,"")</f>
        <v/>
      </c>
      <c r="AF376" s="40" t="str">
        <f>IF(AND(E376&lt;&gt;'Povolené hodnoty'!$B$4,F376=6),I376+L376+O376+R376,"")</f>
        <v/>
      </c>
      <c r="AG376" s="41" t="str">
        <f>IF(AND(E376&lt;&gt;'Povolené hodnoty'!$B$4,F376=7),I376+L376+O376+R376,"")</f>
        <v/>
      </c>
      <c r="AH376" s="39" t="str">
        <f>IF(AND(E376&lt;&gt;'Povolené hodnoty'!$B$4,F376=10),J376+M376+P376+S376,"")</f>
        <v/>
      </c>
      <c r="AI376" s="40" t="str">
        <f>IF(AND(E376&lt;&gt;'Povolené hodnoty'!$B$4,F376=11),J376+M376+P376+S376,"")</f>
        <v/>
      </c>
      <c r="AJ376" s="40" t="str">
        <f>IF(AND(E376&lt;&gt;'Povolené hodnoty'!$B$4,F376=12),J376+M376+P376+S376,"")</f>
        <v/>
      </c>
      <c r="AK376" s="41" t="str">
        <f>IF(AND(E376&lt;&gt;'Povolené hodnoty'!$B$4,F376=13),J376+M376+P376+S376,"")</f>
        <v/>
      </c>
      <c r="AL376" s="39" t="str">
        <f>IF(AND($G376='Povolené hodnoty'!$B$13,$H376=AL$4),SUM($I376,$L376,$O376,$R376),"")</f>
        <v/>
      </c>
      <c r="AM376" s="458" t="str">
        <f>IF(AND($G376='Povolené hodnoty'!$B$13,$H376=AM$4),SUM($I376,$L376,$O376,$R376),"")</f>
        <v/>
      </c>
      <c r="AN376" s="458" t="str">
        <f>IF(AND($G376='Povolené hodnoty'!$B$13,$H376=AN$4),SUM($I376,$L376,$O376,$R376),"")</f>
        <v/>
      </c>
      <c r="AO376" s="458" t="str">
        <f>IF(AND($G376='Povolené hodnoty'!$B$13,$H376=AO$4),SUM($I376,$L376,$O376,$R376),"")</f>
        <v/>
      </c>
      <c r="AP376" s="458" t="str">
        <f>IF(AND($G376='Povolené hodnoty'!$B$13,$H376=AP$4),SUM($I376,$L376,$O376,$R376),"")</f>
        <v/>
      </c>
      <c r="AQ376" s="40" t="str">
        <f>IF(AND($G376='Povolené hodnoty'!$B$13,OR($H376=AQ$4,$H376='Povolené hodnoty'!$E$36)),SUM($I376,-$J376,$L376,-$M376,$O376,-$P376,$R376,-$S376),"")</f>
        <v/>
      </c>
      <c r="AR376" s="40" t="str">
        <f>IF(AND($G376='Povolené hodnoty'!$B$13,$H376=AR$4),SUM($I376,$L376,$O376,$R376),"")</f>
        <v/>
      </c>
      <c r="AS376" s="41" t="str">
        <f>IF(AND($G376='Povolené hodnoty'!$B$13,$H376=AS$4),SUM($I376,$L376,$O376,$R376),"")</f>
        <v/>
      </c>
      <c r="AT376" s="39" t="str">
        <f>IF(AND($G376='Povolené hodnoty'!$B$14,$H376=AT$4),SUM($I376,$L376,$O376,$R376),"")</f>
        <v/>
      </c>
      <c r="AU376" s="458" t="str">
        <f>IF(AND($G376='Povolené hodnoty'!$B$14,$H376=AU$4),SUM($I376,$L376,$O376,$R376),"")</f>
        <v/>
      </c>
      <c r="AV376" s="41" t="str">
        <f>IF(AND($G376='Povolené hodnoty'!$B$14,$H376=AV$4),SUM($I376,$L376,$O376,$R376),"")</f>
        <v/>
      </c>
      <c r="AW376" s="39" t="str">
        <f>IF(AND($G376='Povolené hodnoty'!$B$13,$H376=AW$4),SUM($J376,$M376,$P376,$S376),"")</f>
        <v/>
      </c>
      <c r="AX376" s="458" t="str">
        <f>IF(AND($G376='Povolené hodnoty'!$B$13,$H376=AX$4),SUM($J376,$M376,$P376,$S376),"")</f>
        <v/>
      </c>
      <c r="AY376" s="458" t="str">
        <f>IF(AND($G376='Povolené hodnoty'!$B$13,$H376=AY$4),SUM($J376,$M376,$P376,$S376),"")</f>
        <v/>
      </c>
      <c r="AZ376" s="458" t="str">
        <f>IF(AND($G376='Povolené hodnoty'!$B$13,$H376=AZ$4),SUM($J376,$M376,$P376,$S376),"")</f>
        <v/>
      </c>
      <c r="BA376" s="458" t="str">
        <f>IF(AND($G376='Povolené hodnoty'!$B$13,$H376=BA$4),SUM($J376,$M376,$P376,$S376),"")</f>
        <v/>
      </c>
      <c r="BB376" s="40" t="str">
        <f>IF(AND($G376='Povolené hodnoty'!$B$13,$H376=BB$4),SUM($J376,$M376,$P376,$S376),"")</f>
        <v/>
      </c>
      <c r="BC376" s="40" t="str">
        <f>IF(AND($G376='Povolené hodnoty'!$B$13,$H376=BC$4),SUM($J376,$M376,$P376,$S376),"")</f>
        <v/>
      </c>
      <c r="BD376" s="40" t="str">
        <f>IF(AND($G376='Povolené hodnoty'!$B$13,$H376=BD$4),SUM($J376,$M376,$P376,$S376),"")</f>
        <v/>
      </c>
      <c r="BE376" s="41" t="str">
        <f>IF(AND($G376='Povolené hodnoty'!$B$13,$H376=BE$4),SUM($J376,$M376,$P376,$S376),"")</f>
        <v/>
      </c>
      <c r="BF376" s="39" t="str">
        <f>IF(AND($G376='Povolené hodnoty'!$B$14,$H376=BF$4),SUM($J376,$M376,$P376,$S376),"")</f>
        <v/>
      </c>
      <c r="BG376" s="458" t="str">
        <f>IF(AND($G376='Povolené hodnoty'!$B$14,$H376=BG$4),SUM($J376,$M376,$P376,$S376),"")</f>
        <v/>
      </c>
      <c r="BH376" s="458" t="str">
        <f>IF(AND($G376='Povolené hodnoty'!$B$14,$H376=BH$4),SUM($J376,$M376,$P376,$S376),"")</f>
        <v/>
      </c>
      <c r="BI376" s="458" t="str">
        <f>IF(AND($G376='Povolené hodnoty'!$B$14,$H376=BI$4),SUM($J376,$M376,$P376,$S376),"")</f>
        <v/>
      </c>
      <c r="BJ376" s="458" t="str">
        <f>IF(AND($G376='Povolené hodnoty'!$B$14,$H376=BJ$4),SUM($J376,$M376,$P376,$S376),"")</f>
        <v/>
      </c>
      <c r="BK376" s="40" t="str">
        <f>IF(AND($G376='Povolené hodnoty'!$B$14,$H376=BK$4),SUM($J376,$M376,$P376,$S376),"")</f>
        <v/>
      </c>
      <c r="BL376" s="40" t="str">
        <f>IF(AND($G376='Povolené hodnoty'!$B$14,$H376=BL$4),SUM($J376,$M376,$P376,$S376),"")</f>
        <v/>
      </c>
      <c r="BM376" s="41" t="str">
        <f>IF(AND($G376='Povolené hodnoty'!$B$14,$H376=BM$4),SUM($J376,$M376,$P376,$S376),"")</f>
        <v/>
      </c>
      <c r="BO376" s="18" t="b">
        <f t="shared" si="211"/>
        <v>0</v>
      </c>
      <c r="BP376" s="18" t="b">
        <f t="shared" si="182"/>
        <v>0</v>
      </c>
      <c r="BQ376" s="18" t="b">
        <f>AND(E376&lt;&gt;'Povolené hodnoty'!$B$6,F376&lt;&gt;'Povolené hodnoty'!$D$7,F376&lt;&gt;'Povolené hodnoty'!$D$8,OR(SUM(I376,L376,O376,R376)&lt;&gt;SUM(W376:X376,AA376:AG376),SUM(J376,M376,P376,S376)&lt;&gt;SUM(Y376:Z376,AH376:AK376),COUNT(I376:J376,L376:M376,O376:P376,R376:S376)&lt;&gt;COUNT(W376:AK376)))</f>
        <v>0</v>
      </c>
      <c r="BR376" s="18" t="b">
        <f>OR(AND(E376='Povolené hodnoty'!$B$6,$BR$5),AND(E376='Povolené hodnoty'!$B$6,H376&lt;&gt;'Povolené hodnoty'!$E$26,H376&lt;&gt;'Povolené hodnoty'!$E$35),AND(E376&lt;&gt;'Povolené hodnoty'!$B$6,OR(H376='Povolené hodnoty'!$E$26,H376='Povolené hodnoty'!$E$35)))</f>
        <v>0</v>
      </c>
      <c r="BS376" s="18" t="b">
        <f>OR(AND(G376&lt;&gt;'Povolené hodnoty'!$B$13,OR(H376='Povolené hodnoty'!$E$21,H376='Povolené hodnoty'!$E$22,H376='Povolené hodnoty'!$E$23,H376='Povolené hodnoty'!$E$24,H376='Povolené hodnoty'!$E$26,H376='Povolené hodnoty'!$E$36)),COUNT(I376:J376,L376:M376,O376:P376,R376:S376)&lt;&gt;COUNT(AL376:BM376))</f>
        <v>0</v>
      </c>
      <c r="BT376" s="18" t="b">
        <f t="shared" si="183"/>
        <v>0</v>
      </c>
      <c r="BV376" s="39" t="str">
        <f t="shared" si="184"/>
        <v/>
      </c>
      <c r="BW376" s="458" t="str">
        <f t="shared" si="185"/>
        <v/>
      </c>
      <c r="BX376" s="458" t="str">
        <f t="shared" si="186"/>
        <v/>
      </c>
      <c r="BY376" s="458" t="str">
        <f t="shared" si="187"/>
        <v/>
      </c>
      <c r="BZ376" s="458" t="str">
        <f t="shared" si="188"/>
        <v/>
      </c>
      <c r="CA376" s="40" t="str">
        <f t="shared" si="189"/>
        <v/>
      </c>
      <c r="CB376" s="40" t="str">
        <f t="shared" si="190"/>
        <v/>
      </c>
      <c r="CC376" s="39" t="str">
        <f t="shared" si="191"/>
        <v/>
      </c>
      <c r="CD376" s="458" t="str">
        <f t="shared" si="192"/>
        <v/>
      </c>
      <c r="CE376" s="41" t="str">
        <f t="shared" si="193"/>
        <v/>
      </c>
      <c r="CF376" s="39" t="str">
        <f t="shared" si="194"/>
        <v/>
      </c>
      <c r="CG376" s="458" t="str">
        <f t="shared" si="195"/>
        <v/>
      </c>
      <c r="CH376" s="458" t="str">
        <f t="shared" si="196"/>
        <v/>
      </c>
      <c r="CI376" s="458" t="str">
        <f t="shared" si="197"/>
        <v/>
      </c>
      <c r="CJ376" s="458" t="str">
        <f t="shared" si="198"/>
        <v/>
      </c>
      <c r="CK376" s="40" t="str">
        <f t="shared" si="199"/>
        <v/>
      </c>
      <c r="CL376" s="40" t="str">
        <f t="shared" si="200"/>
        <v/>
      </c>
      <c r="CM376" s="40" t="str">
        <f t="shared" si="201"/>
        <v/>
      </c>
      <c r="CN376" s="39" t="str">
        <f t="shared" si="202"/>
        <v/>
      </c>
      <c r="CO376" s="458" t="str">
        <f t="shared" si="203"/>
        <v/>
      </c>
      <c r="CP376" s="458" t="str">
        <f t="shared" si="204"/>
        <v/>
      </c>
      <c r="CQ376" s="458" t="str">
        <f t="shared" si="205"/>
        <v/>
      </c>
      <c r="CR376" s="458" t="str">
        <f t="shared" si="206"/>
        <v/>
      </c>
      <c r="CS376" s="40" t="str">
        <f t="shared" si="207"/>
        <v/>
      </c>
      <c r="CT376" s="40" t="str">
        <f t="shared" si="208"/>
        <v/>
      </c>
      <c r="CU376" s="41" t="str">
        <f t="shared" si="209"/>
        <v/>
      </c>
    </row>
    <row r="377" spans="1:99" x14ac:dyDescent="0.2">
      <c r="A377" s="77">
        <f t="shared" si="210"/>
        <v>372</v>
      </c>
      <c r="B377" s="81"/>
      <c r="C377" s="82"/>
      <c r="D377" s="71"/>
      <c r="E377" s="72"/>
      <c r="F377" s="73"/>
      <c r="G377" s="443"/>
      <c r="H377" s="443"/>
      <c r="I377" s="74"/>
      <c r="J377" s="75"/>
      <c r="K377" s="41">
        <f t="shared" si="214"/>
        <v>3625</v>
      </c>
      <c r="L377" s="104"/>
      <c r="M377" s="105"/>
      <c r="N377" s="106">
        <f t="shared" si="215"/>
        <v>537.05999999999995</v>
      </c>
      <c r="O377" s="104"/>
      <c r="P377" s="105"/>
      <c r="Q377" s="106">
        <f t="shared" si="212"/>
        <v>10045.83</v>
      </c>
      <c r="R377" s="104"/>
      <c r="S377" s="105"/>
      <c r="T377" s="106">
        <f t="shared" si="213"/>
        <v>0</v>
      </c>
      <c r="U377" s="439"/>
      <c r="V377" s="42">
        <f t="shared" si="181"/>
        <v>372</v>
      </c>
      <c r="W377" s="39" t="str">
        <f>IF(AND(E377='Povolené hodnoty'!$B$4,F377=2),I377+L377+O377+R377,"")</f>
        <v/>
      </c>
      <c r="X377" s="41" t="str">
        <f>IF(AND(E377='Povolené hodnoty'!$B$4,F377=1),I377+L377+O377+R377,"")</f>
        <v/>
      </c>
      <c r="Y377" s="39" t="str">
        <f>IF(AND(E377='Povolené hodnoty'!$B$4,F377=10),J377+M377+P377+S377,"")</f>
        <v/>
      </c>
      <c r="Z377" s="41" t="str">
        <f>IF(AND(E377='Povolené hodnoty'!$B$4,F377=9),J377+M377+P377+S377,"")</f>
        <v/>
      </c>
      <c r="AA377" s="39" t="str">
        <f>IF(AND(E377&lt;&gt;'Povolené hodnoty'!$B$4,F377=2),I377+L377+O377+R377,"")</f>
        <v/>
      </c>
      <c r="AB377" s="40" t="str">
        <f>IF(AND(E377&lt;&gt;'Povolené hodnoty'!$B$4,F377=3),I377+L377+O377+R377,"")</f>
        <v/>
      </c>
      <c r="AC377" s="40" t="str">
        <f>IF(AND(E377&lt;&gt;'Povolené hodnoty'!$B$4,F377=4),I377+L377+O377+R377,"")</f>
        <v/>
      </c>
      <c r="AD377" s="40" t="str">
        <f>IF(AND(E377&lt;&gt;'Povolené hodnoty'!$B$4,F377="5a"),I377-J377+L377-M377+O377-P377+R377-S377,"")</f>
        <v/>
      </c>
      <c r="AE377" s="40" t="str">
        <f>IF(AND(E377&lt;&gt;'Povolené hodnoty'!$B$4,F377="5b"),I377-J377+L377-M377+O377-P377+R377-S377,"")</f>
        <v/>
      </c>
      <c r="AF377" s="40" t="str">
        <f>IF(AND(E377&lt;&gt;'Povolené hodnoty'!$B$4,F377=6),I377+L377+O377+R377,"")</f>
        <v/>
      </c>
      <c r="AG377" s="41" t="str">
        <f>IF(AND(E377&lt;&gt;'Povolené hodnoty'!$B$4,F377=7),I377+L377+O377+R377,"")</f>
        <v/>
      </c>
      <c r="AH377" s="39" t="str">
        <f>IF(AND(E377&lt;&gt;'Povolené hodnoty'!$B$4,F377=10),J377+M377+P377+S377,"")</f>
        <v/>
      </c>
      <c r="AI377" s="40" t="str">
        <f>IF(AND(E377&lt;&gt;'Povolené hodnoty'!$B$4,F377=11),J377+M377+P377+S377,"")</f>
        <v/>
      </c>
      <c r="AJ377" s="40" t="str">
        <f>IF(AND(E377&lt;&gt;'Povolené hodnoty'!$B$4,F377=12),J377+M377+P377+S377,"")</f>
        <v/>
      </c>
      <c r="AK377" s="41" t="str">
        <f>IF(AND(E377&lt;&gt;'Povolené hodnoty'!$B$4,F377=13),J377+M377+P377+S377,"")</f>
        <v/>
      </c>
      <c r="AL377" s="39" t="str">
        <f>IF(AND($G377='Povolené hodnoty'!$B$13,$H377=AL$4),SUM($I377,$L377,$O377,$R377),"")</f>
        <v/>
      </c>
      <c r="AM377" s="458" t="str">
        <f>IF(AND($G377='Povolené hodnoty'!$B$13,$H377=AM$4),SUM($I377,$L377,$O377,$R377),"")</f>
        <v/>
      </c>
      <c r="AN377" s="458" t="str">
        <f>IF(AND($G377='Povolené hodnoty'!$B$13,$H377=AN$4),SUM($I377,$L377,$O377,$R377),"")</f>
        <v/>
      </c>
      <c r="AO377" s="458" t="str">
        <f>IF(AND($G377='Povolené hodnoty'!$B$13,$H377=AO$4),SUM($I377,$L377,$O377,$R377),"")</f>
        <v/>
      </c>
      <c r="AP377" s="458" t="str">
        <f>IF(AND($G377='Povolené hodnoty'!$B$13,$H377=AP$4),SUM($I377,$L377,$O377,$R377),"")</f>
        <v/>
      </c>
      <c r="AQ377" s="40" t="str">
        <f>IF(AND($G377='Povolené hodnoty'!$B$13,OR($H377=AQ$4,$H377='Povolené hodnoty'!$E$36)),SUM($I377,-$J377,$L377,-$M377,$O377,-$P377,$R377,-$S377),"")</f>
        <v/>
      </c>
      <c r="AR377" s="40" t="str">
        <f>IF(AND($G377='Povolené hodnoty'!$B$13,$H377=AR$4),SUM($I377,$L377,$O377,$R377),"")</f>
        <v/>
      </c>
      <c r="AS377" s="41" t="str">
        <f>IF(AND($G377='Povolené hodnoty'!$B$13,$H377=AS$4),SUM($I377,$L377,$O377,$R377),"")</f>
        <v/>
      </c>
      <c r="AT377" s="39" t="str">
        <f>IF(AND($G377='Povolené hodnoty'!$B$14,$H377=AT$4),SUM($I377,$L377,$O377,$R377),"")</f>
        <v/>
      </c>
      <c r="AU377" s="458" t="str">
        <f>IF(AND($G377='Povolené hodnoty'!$B$14,$H377=AU$4),SUM($I377,$L377,$O377,$R377),"")</f>
        <v/>
      </c>
      <c r="AV377" s="41" t="str">
        <f>IF(AND($G377='Povolené hodnoty'!$B$14,$H377=AV$4),SUM($I377,$L377,$O377,$R377),"")</f>
        <v/>
      </c>
      <c r="AW377" s="39" t="str">
        <f>IF(AND($G377='Povolené hodnoty'!$B$13,$H377=AW$4),SUM($J377,$M377,$P377,$S377),"")</f>
        <v/>
      </c>
      <c r="AX377" s="458" t="str">
        <f>IF(AND($G377='Povolené hodnoty'!$B$13,$H377=AX$4),SUM($J377,$M377,$P377,$S377),"")</f>
        <v/>
      </c>
      <c r="AY377" s="458" t="str">
        <f>IF(AND($G377='Povolené hodnoty'!$B$13,$H377=AY$4),SUM($J377,$M377,$P377,$S377),"")</f>
        <v/>
      </c>
      <c r="AZ377" s="458" t="str">
        <f>IF(AND($G377='Povolené hodnoty'!$B$13,$H377=AZ$4),SUM($J377,$M377,$P377,$S377),"")</f>
        <v/>
      </c>
      <c r="BA377" s="458" t="str">
        <f>IF(AND($G377='Povolené hodnoty'!$B$13,$H377=BA$4),SUM($J377,$M377,$P377,$S377),"")</f>
        <v/>
      </c>
      <c r="BB377" s="40" t="str">
        <f>IF(AND($G377='Povolené hodnoty'!$B$13,$H377=BB$4),SUM($J377,$M377,$P377,$S377),"")</f>
        <v/>
      </c>
      <c r="BC377" s="40" t="str">
        <f>IF(AND($G377='Povolené hodnoty'!$B$13,$H377=BC$4),SUM($J377,$M377,$P377,$S377),"")</f>
        <v/>
      </c>
      <c r="BD377" s="40" t="str">
        <f>IF(AND($G377='Povolené hodnoty'!$B$13,$H377=BD$4),SUM($J377,$M377,$P377,$S377),"")</f>
        <v/>
      </c>
      <c r="BE377" s="41" t="str">
        <f>IF(AND($G377='Povolené hodnoty'!$B$13,$H377=BE$4),SUM($J377,$M377,$P377,$S377),"")</f>
        <v/>
      </c>
      <c r="BF377" s="39" t="str">
        <f>IF(AND($G377='Povolené hodnoty'!$B$14,$H377=BF$4),SUM($J377,$M377,$P377,$S377),"")</f>
        <v/>
      </c>
      <c r="BG377" s="458" t="str">
        <f>IF(AND($G377='Povolené hodnoty'!$B$14,$H377=BG$4),SUM($J377,$M377,$P377,$S377),"")</f>
        <v/>
      </c>
      <c r="BH377" s="458" t="str">
        <f>IF(AND($G377='Povolené hodnoty'!$B$14,$H377=BH$4),SUM($J377,$M377,$P377,$S377),"")</f>
        <v/>
      </c>
      <c r="BI377" s="458" t="str">
        <f>IF(AND($G377='Povolené hodnoty'!$B$14,$H377=BI$4),SUM($J377,$M377,$P377,$S377),"")</f>
        <v/>
      </c>
      <c r="BJ377" s="458" t="str">
        <f>IF(AND($G377='Povolené hodnoty'!$B$14,$H377=BJ$4),SUM($J377,$M377,$P377,$S377),"")</f>
        <v/>
      </c>
      <c r="BK377" s="40" t="str">
        <f>IF(AND($G377='Povolené hodnoty'!$B$14,$H377=BK$4),SUM($J377,$M377,$P377,$S377),"")</f>
        <v/>
      </c>
      <c r="BL377" s="40" t="str">
        <f>IF(AND($G377='Povolené hodnoty'!$B$14,$H377=BL$4),SUM($J377,$M377,$P377,$S377),"")</f>
        <v/>
      </c>
      <c r="BM377" s="41" t="str">
        <f>IF(AND($G377='Povolené hodnoty'!$B$14,$H377=BM$4),SUM($J377,$M377,$P377,$S377),"")</f>
        <v/>
      </c>
      <c r="BO377" s="18" t="b">
        <f t="shared" si="211"/>
        <v>0</v>
      </c>
      <c r="BP377" s="18" t="b">
        <f t="shared" si="182"/>
        <v>0</v>
      </c>
      <c r="BQ377" s="18" t="b">
        <f>AND(E377&lt;&gt;'Povolené hodnoty'!$B$6,F377&lt;&gt;'Povolené hodnoty'!$D$7,F377&lt;&gt;'Povolené hodnoty'!$D$8,OR(SUM(I377,L377,O377,R377)&lt;&gt;SUM(W377:X377,AA377:AG377),SUM(J377,M377,P377,S377)&lt;&gt;SUM(Y377:Z377,AH377:AK377),COUNT(I377:J377,L377:M377,O377:P377,R377:S377)&lt;&gt;COUNT(W377:AK377)))</f>
        <v>0</v>
      </c>
      <c r="BR377" s="18" t="b">
        <f>OR(AND(E377='Povolené hodnoty'!$B$6,$BR$5),AND(E377='Povolené hodnoty'!$B$6,H377&lt;&gt;'Povolené hodnoty'!$E$26,H377&lt;&gt;'Povolené hodnoty'!$E$35),AND(E377&lt;&gt;'Povolené hodnoty'!$B$6,OR(H377='Povolené hodnoty'!$E$26,H377='Povolené hodnoty'!$E$35)))</f>
        <v>0</v>
      </c>
      <c r="BS377" s="18" t="b">
        <f>OR(AND(G377&lt;&gt;'Povolené hodnoty'!$B$13,OR(H377='Povolené hodnoty'!$E$21,H377='Povolené hodnoty'!$E$22,H377='Povolené hodnoty'!$E$23,H377='Povolené hodnoty'!$E$24,H377='Povolené hodnoty'!$E$26,H377='Povolené hodnoty'!$E$36)),COUNT(I377:J377,L377:M377,O377:P377,R377:S377)&lt;&gt;COUNT(AL377:BM377))</f>
        <v>0</v>
      </c>
      <c r="BT377" s="18" t="b">
        <f t="shared" si="183"/>
        <v>0</v>
      </c>
      <c r="BV377" s="39" t="str">
        <f t="shared" si="184"/>
        <v/>
      </c>
      <c r="BW377" s="458" t="str">
        <f t="shared" si="185"/>
        <v/>
      </c>
      <c r="BX377" s="458" t="str">
        <f t="shared" si="186"/>
        <v/>
      </c>
      <c r="BY377" s="458" t="str">
        <f t="shared" si="187"/>
        <v/>
      </c>
      <c r="BZ377" s="458" t="str">
        <f t="shared" si="188"/>
        <v/>
      </c>
      <c r="CA377" s="40" t="str">
        <f t="shared" si="189"/>
        <v/>
      </c>
      <c r="CB377" s="40" t="str">
        <f t="shared" si="190"/>
        <v/>
      </c>
      <c r="CC377" s="39" t="str">
        <f t="shared" si="191"/>
        <v/>
      </c>
      <c r="CD377" s="458" t="str">
        <f t="shared" si="192"/>
        <v/>
      </c>
      <c r="CE377" s="41" t="str">
        <f t="shared" si="193"/>
        <v/>
      </c>
      <c r="CF377" s="39" t="str">
        <f t="shared" si="194"/>
        <v/>
      </c>
      <c r="CG377" s="458" t="str">
        <f t="shared" si="195"/>
        <v/>
      </c>
      <c r="CH377" s="458" t="str">
        <f t="shared" si="196"/>
        <v/>
      </c>
      <c r="CI377" s="458" t="str">
        <f t="shared" si="197"/>
        <v/>
      </c>
      <c r="CJ377" s="458" t="str">
        <f t="shared" si="198"/>
        <v/>
      </c>
      <c r="CK377" s="40" t="str">
        <f t="shared" si="199"/>
        <v/>
      </c>
      <c r="CL377" s="40" t="str">
        <f t="shared" si="200"/>
        <v/>
      </c>
      <c r="CM377" s="40" t="str">
        <f t="shared" si="201"/>
        <v/>
      </c>
      <c r="CN377" s="39" t="str">
        <f t="shared" si="202"/>
        <v/>
      </c>
      <c r="CO377" s="458" t="str">
        <f t="shared" si="203"/>
        <v/>
      </c>
      <c r="CP377" s="458" t="str">
        <f t="shared" si="204"/>
        <v/>
      </c>
      <c r="CQ377" s="458" t="str">
        <f t="shared" si="205"/>
        <v/>
      </c>
      <c r="CR377" s="458" t="str">
        <f t="shared" si="206"/>
        <v/>
      </c>
      <c r="CS377" s="40" t="str">
        <f t="shared" si="207"/>
        <v/>
      </c>
      <c r="CT377" s="40" t="str">
        <f t="shared" si="208"/>
        <v/>
      </c>
      <c r="CU377" s="41" t="str">
        <f t="shared" si="209"/>
        <v/>
      </c>
    </row>
    <row r="378" spans="1:99" x14ac:dyDescent="0.2">
      <c r="A378" s="77">
        <f t="shared" si="210"/>
        <v>373</v>
      </c>
      <c r="B378" s="81"/>
      <c r="C378" s="82"/>
      <c r="D378" s="71"/>
      <c r="E378" s="72"/>
      <c r="F378" s="73"/>
      <c r="G378" s="443"/>
      <c r="H378" s="443"/>
      <c r="I378" s="74"/>
      <c r="J378" s="75"/>
      <c r="K378" s="41">
        <f t="shared" si="214"/>
        <v>3625</v>
      </c>
      <c r="L378" s="104"/>
      <c r="M378" s="105"/>
      <c r="N378" s="106">
        <f t="shared" si="215"/>
        <v>537.05999999999995</v>
      </c>
      <c r="O378" s="104"/>
      <c r="P378" s="105"/>
      <c r="Q378" s="106">
        <f t="shared" si="212"/>
        <v>10045.83</v>
      </c>
      <c r="R378" s="104"/>
      <c r="S378" s="105"/>
      <c r="T378" s="106">
        <f t="shared" si="213"/>
        <v>0</v>
      </c>
      <c r="U378" s="439"/>
      <c r="V378" s="42">
        <f t="shared" si="181"/>
        <v>373</v>
      </c>
      <c r="W378" s="39" t="str">
        <f>IF(AND(E378='Povolené hodnoty'!$B$4,F378=2),I378+L378+O378+R378,"")</f>
        <v/>
      </c>
      <c r="X378" s="41" t="str">
        <f>IF(AND(E378='Povolené hodnoty'!$B$4,F378=1),I378+L378+O378+R378,"")</f>
        <v/>
      </c>
      <c r="Y378" s="39" t="str">
        <f>IF(AND(E378='Povolené hodnoty'!$B$4,F378=10),J378+M378+P378+S378,"")</f>
        <v/>
      </c>
      <c r="Z378" s="41" t="str">
        <f>IF(AND(E378='Povolené hodnoty'!$B$4,F378=9),J378+M378+P378+S378,"")</f>
        <v/>
      </c>
      <c r="AA378" s="39" t="str">
        <f>IF(AND(E378&lt;&gt;'Povolené hodnoty'!$B$4,F378=2),I378+L378+O378+R378,"")</f>
        <v/>
      </c>
      <c r="AB378" s="40" t="str">
        <f>IF(AND(E378&lt;&gt;'Povolené hodnoty'!$B$4,F378=3),I378+L378+O378+R378,"")</f>
        <v/>
      </c>
      <c r="AC378" s="40" t="str">
        <f>IF(AND(E378&lt;&gt;'Povolené hodnoty'!$B$4,F378=4),I378+L378+O378+R378,"")</f>
        <v/>
      </c>
      <c r="AD378" s="40" t="str">
        <f>IF(AND(E378&lt;&gt;'Povolené hodnoty'!$B$4,F378="5a"),I378-J378+L378-M378+O378-P378+R378-S378,"")</f>
        <v/>
      </c>
      <c r="AE378" s="40" t="str">
        <f>IF(AND(E378&lt;&gt;'Povolené hodnoty'!$B$4,F378="5b"),I378-J378+L378-M378+O378-P378+R378-S378,"")</f>
        <v/>
      </c>
      <c r="AF378" s="40" t="str">
        <f>IF(AND(E378&lt;&gt;'Povolené hodnoty'!$B$4,F378=6),I378+L378+O378+R378,"")</f>
        <v/>
      </c>
      <c r="AG378" s="41" t="str">
        <f>IF(AND(E378&lt;&gt;'Povolené hodnoty'!$B$4,F378=7),I378+L378+O378+R378,"")</f>
        <v/>
      </c>
      <c r="AH378" s="39" t="str">
        <f>IF(AND(E378&lt;&gt;'Povolené hodnoty'!$B$4,F378=10),J378+M378+P378+S378,"")</f>
        <v/>
      </c>
      <c r="AI378" s="40" t="str">
        <f>IF(AND(E378&lt;&gt;'Povolené hodnoty'!$B$4,F378=11),J378+M378+P378+S378,"")</f>
        <v/>
      </c>
      <c r="AJ378" s="40" t="str">
        <f>IF(AND(E378&lt;&gt;'Povolené hodnoty'!$B$4,F378=12),J378+M378+P378+S378,"")</f>
        <v/>
      </c>
      <c r="AK378" s="41" t="str">
        <f>IF(AND(E378&lt;&gt;'Povolené hodnoty'!$B$4,F378=13),J378+M378+P378+S378,"")</f>
        <v/>
      </c>
      <c r="AL378" s="39" t="str">
        <f>IF(AND($G378='Povolené hodnoty'!$B$13,$H378=AL$4),SUM($I378,$L378,$O378,$R378),"")</f>
        <v/>
      </c>
      <c r="AM378" s="458" t="str">
        <f>IF(AND($G378='Povolené hodnoty'!$B$13,$H378=AM$4),SUM($I378,$L378,$O378,$R378),"")</f>
        <v/>
      </c>
      <c r="AN378" s="458" t="str">
        <f>IF(AND($G378='Povolené hodnoty'!$B$13,$H378=AN$4),SUM($I378,$L378,$O378,$R378),"")</f>
        <v/>
      </c>
      <c r="AO378" s="458" t="str">
        <f>IF(AND($G378='Povolené hodnoty'!$B$13,$H378=AO$4),SUM($I378,$L378,$O378,$R378),"")</f>
        <v/>
      </c>
      <c r="AP378" s="458" t="str">
        <f>IF(AND($G378='Povolené hodnoty'!$B$13,$H378=AP$4),SUM($I378,$L378,$O378,$R378),"")</f>
        <v/>
      </c>
      <c r="AQ378" s="40" t="str">
        <f>IF(AND($G378='Povolené hodnoty'!$B$13,OR($H378=AQ$4,$H378='Povolené hodnoty'!$E$36)),SUM($I378,-$J378,$L378,-$M378,$O378,-$P378,$R378,-$S378),"")</f>
        <v/>
      </c>
      <c r="AR378" s="40" t="str">
        <f>IF(AND($G378='Povolené hodnoty'!$B$13,$H378=AR$4),SUM($I378,$L378,$O378,$R378),"")</f>
        <v/>
      </c>
      <c r="AS378" s="41" t="str">
        <f>IF(AND($G378='Povolené hodnoty'!$B$13,$H378=AS$4),SUM($I378,$L378,$O378,$R378),"")</f>
        <v/>
      </c>
      <c r="AT378" s="39" t="str">
        <f>IF(AND($G378='Povolené hodnoty'!$B$14,$H378=AT$4),SUM($I378,$L378,$O378,$R378),"")</f>
        <v/>
      </c>
      <c r="AU378" s="458" t="str">
        <f>IF(AND($G378='Povolené hodnoty'!$B$14,$H378=AU$4),SUM($I378,$L378,$O378,$R378),"")</f>
        <v/>
      </c>
      <c r="AV378" s="41" t="str">
        <f>IF(AND($G378='Povolené hodnoty'!$B$14,$H378=AV$4),SUM($I378,$L378,$O378,$R378),"")</f>
        <v/>
      </c>
      <c r="AW378" s="39" t="str">
        <f>IF(AND($G378='Povolené hodnoty'!$B$13,$H378=AW$4),SUM($J378,$M378,$P378,$S378),"")</f>
        <v/>
      </c>
      <c r="AX378" s="458" t="str">
        <f>IF(AND($G378='Povolené hodnoty'!$B$13,$H378=AX$4),SUM($J378,$M378,$P378,$S378),"")</f>
        <v/>
      </c>
      <c r="AY378" s="458" t="str">
        <f>IF(AND($G378='Povolené hodnoty'!$B$13,$H378=AY$4),SUM($J378,$M378,$P378,$S378),"")</f>
        <v/>
      </c>
      <c r="AZ378" s="458" t="str">
        <f>IF(AND($G378='Povolené hodnoty'!$B$13,$H378=AZ$4),SUM($J378,$M378,$P378,$S378),"")</f>
        <v/>
      </c>
      <c r="BA378" s="458" t="str">
        <f>IF(AND($G378='Povolené hodnoty'!$B$13,$H378=BA$4),SUM($J378,$M378,$P378,$S378),"")</f>
        <v/>
      </c>
      <c r="BB378" s="40" t="str">
        <f>IF(AND($G378='Povolené hodnoty'!$B$13,$H378=BB$4),SUM($J378,$M378,$P378,$S378),"")</f>
        <v/>
      </c>
      <c r="BC378" s="40" t="str">
        <f>IF(AND($G378='Povolené hodnoty'!$B$13,$H378=BC$4),SUM($J378,$M378,$P378,$S378),"")</f>
        <v/>
      </c>
      <c r="BD378" s="40" t="str">
        <f>IF(AND($G378='Povolené hodnoty'!$B$13,$H378=BD$4),SUM($J378,$M378,$P378,$S378),"")</f>
        <v/>
      </c>
      <c r="BE378" s="41" t="str">
        <f>IF(AND($G378='Povolené hodnoty'!$B$13,$H378=BE$4),SUM($J378,$M378,$P378,$S378),"")</f>
        <v/>
      </c>
      <c r="BF378" s="39" t="str">
        <f>IF(AND($G378='Povolené hodnoty'!$B$14,$H378=BF$4),SUM($J378,$M378,$P378,$S378),"")</f>
        <v/>
      </c>
      <c r="BG378" s="458" t="str">
        <f>IF(AND($G378='Povolené hodnoty'!$B$14,$H378=BG$4),SUM($J378,$M378,$P378,$S378),"")</f>
        <v/>
      </c>
      <c r="BH378" s="458" t="str">
        <f>IF(AND($G378='Povolené hodnoty'!$B$14,$H378=BH$4),SUM($J378,$M378,$P378,$S378),"")</f>
        <v/>
      </c>
      <c r="BI378" s="458" t="str">
        <f>IF(AND($G378='Povolené hodnoty'!$B$14,$H378=BI$4),SUM($J378,$M378,$P378,$S378),"")</f>
        <v/>
      </c>
      <c r="BJ378" s="458" t="str">
        <f>IF(AND($G378='Povolené hodnoty'!$B$14,$H378=BJ$4),SUM($J378,$M378,$P378,$S378),"")</f>
        <v/>
      </c>
      <c r="BK378" s="40" t="str">
        <f>IF(AND($G378='Povolené hodnoty'!$B$14,$H378=BK$4),SUM($J378,$M378,$P378,$S378),"")</f>
        <v/>
      </c>
      <c r="BL378" s="40" t="str">
        <f>IF(AND($G378='Povolené hodnoty'!$B$14,$H378=BL$4),SUM($J378,$M378,$P378,$S378),"")</f>
        <v/>
      </c>
      <c r="BM378" s="41" t="str">
        <f>IF(AND($G378='Povolené hodnoty'!$B$14,$H378=BM$4),SUM($J378,$M378,$P378,$S378),"")</f>
        <v/>
      </c>
      <c r="BO378" s="18" t="b">
        <f t="shared" si="211"/>
        <v>0</v>
      </c>
      <c r="BP378" s="18" t="b">
        <f t="shared" si="182"/>
        <v>0</v>
      </c>
      <c r="BQ378" s="18" t="b">
        <f>AND(E378&lt;&gt;'Povolené hodnoty'!$B$6,F378&lt;&gt;'Povolené hodnoty'!$D$7,F378&lt;&gt;'Povolené hodnoty'!$D$8,OR(SUM(I378,L378,O378,R378)&lt;&gt;SUM(W378:X378,AA378:AG378),SUM(J378,M378,P378,S378)&lt;&gt;SUM(Y378:Z378,AH378:AK378),COUNT(I378:J378,L378:M378,O378:P378,R378:S378)&lt;&gt;COUNT(W378:AK378)))</f>
        <v>0</v>
      </c>
      <c r="BR378" s="18" t="b">
        <f>OR(AND(E378='Povolené hodnoty'!$B$6,$BR$5),AND(E378='Povolené hodnoty'!$B$6,H378&lt;&gt;'Povolené hodnoty'!$E$26,H378&lt;&gt;'Povolené hodnoty'!$E$35),AND(E378&lt;&gt;'Povolené hodnoty'!$B$6,OR(H378='Povolené hodnoty'!$E$26,H378='Povolené hodnoty'!$E$35)))</f>
        <v>0</v>
      </c>
      <c r="BS378" s="18" t="b">
        <f>OR(AND(G378&lt;&gt;'Povolené hodnoty'!$B$13,OR(H378='Povolené hodnoty'!$E$21,H378='Povolené hodnoty'!$E$22,H378='Povolené hodnoty'!$E$23,H378='Povolené hodnoty'!$E$24,H378='Povolené hodnoty'!$E$26,H378='Povolené hodnoty'!$E$36)),COUNT(I378:J378,L378:M378,O378:P378,R378:S378)&lt;&gt;COUNT(AL378:BM378))</f>
        <v>0</v>
      </c>
      <c r="BT378" s="18" t="b">
        <f t="shared" si="183"/>
        <v>0</v>
      </c>
      <c r="BV378" s="39" t="str">
        <f t="shared" si="184"/>
        <v/>
      </c>
      <c r="BW378" s="458" t="str">
        <f t="shared" si="185"/>
        <v/>
      </c>
      <c r="BX378" s="458" t="str">
        <f t="shared" si="186"/>
        <v/>
      </c>
      <c r="BY378" s="458" t="str">
        <f t="shared" si="187"/>
        <v/>
      </c>
      <c r="BZ378" s="458" t="str">
        <f t="shared" si="188"/>
        <v/>
      </c>
      <c r="CA378" s="40" t="str">
        <f t="shared" si="189"/>
        <v/>
      </c>
      <c r="CB378" s="40" t="str">
        <f t="shared" si="190"/>
        <v/>
      </c>
      <c r="CC378" s="39" t="str">
        <f t="shared" si="191"/>
        <v/>
      </c>
      <c r="CD378" s="458" t="str">
        <f t="shared" si="192"/>
        <v/>
      </c>
      <c r="CE378" s="41" t="str">
        <f t="shared" si="193"/>
        <v/>
      </c>
      <c r="CF378" s="39" t="str">
        <f t="shared" si="194"/>
        <v/>
      </c>
      <c r="CG378" s="458" t="str">
        <f t="shared" si="195"/>
        <v/>
      </c>
      <c r="CH378" s="458" t="str">
        <f t="shared" si="196"/>
        <v/>
      </c>
      <c r="CI378" s="458" t="str">
        <f t="shared" si="197"/>
        <v/>
      </c>
      <c r="CJ378" s="458" t="str">
        <f t="shared" si="198"/>
        <v/>
      </c>
      <c r="CK378" s="40" t="str">
        <f t="shared" si="199"/>
        <v/>
      </c>
      <c r="CL378" s="40" t="str">
        <f t="shared" si="200"/>
        <v/>
      </c>
      <c r="CM378" s="40" t="str">
        <f t="shared" si="201"/>
        <v/>
      </c>
      <c r="CN378" s="39" t="str">
        <f t="shared" si="202"/>
        <v/>
      </c>
      <c r="CO378" s="458" t="str">
        <f t="shared" si="203"/>
        <v/>
      </c>
      <c r="CP378" s="458" t="str">
        <f t="shared" si="204"/>
        <v/>
      </c>
      <c r="CQ378" s="458" t="str">
        <f t="shared" si="205"/>
        <v/>
      </c>
      <c r="CR378" s="458" t="str">
        <f t="shared" si="206"/>
        <v/>
      </c>
      <c r="CS378" s="40" t="str">
        <f t="shared" si="207"/>
        <v/>
      </c>
      <c r="CT378" s="40" t="str">
        <f t="shared" si="208"/>
        <v/>
      </c>
      <c r="CU378" s="41" t="str">
        <f t="shared" si="209"/>
        <v/>
      </c>
    </row>
    <row r="379" spans="1:99" x14ac:dyDescent="0.2">
      <c r="A379" s="77">
        <f t="shared" si="210"/>
        <v>374</v>
      </c>
      <c r="B379" s="81"/>
      <c r="C379" s="82"/>
      <c r="D379" s="71"/>
      <c r="E379" s="72"/>
      <c r="F379" s="73"/>
      <c r="G379" s="443"/>
      <c r="H379" s="443"/>
      <c r="I379" s="74"/>
      <c r="J379" s="75"/>
      <c r="K379" s="41">
        <f t="shared" si="214"/>
        <v>3625</v>
      </c>
      <c r="L379" s="104"/>
      <c r="M379" s="105"/>
      <c r="N379" s="106">
        <f t="shared" si="215"/>
        <v>537.05999999999995</v>
      </c>
      <c r="O379" s="104"/>
      <c r="P379" s="105"/>
      <c r="Q379" s="106">
        <f t="shared" si="212"/>
        <v>10045.83</v>
      </c>
      <c r="R379" s="104"/>
      <c r="S379" s="105"/>
      <c r="T379" s="106">
        <f t="shared" si="213"/>
        <v>0</v>
      </c>
      <c r="U379" s="439"/>
      <c r="V379" s="42">
        <f t="shared" si="181"/>
        <v>374</v>
      </c>
      <c r="W379" s="39" t="str">
        <f>IF(AND(E379='Povolené hodnoty'!$B$4,F379=2),I379+L379+O379+R379,"")</f>
        <v/>
      </c>
      <c r="X379" s="41" t="str">
        <f>IF(AND(E379='Povolené hodnoty'!$B$4,F379=1),I379+L379+O379+R379,"")</f>
        <v/>
      </c>
      <c r="Y379" s="39" t="str">
        <f>IF(AND(E379='Povolené hodnoty'!$B$4,F379=10),J379+M379+P379+S379,"")</f>
        <v/>
      </c>
      <c r="Z379" s="41" t="str">
        <f>IF(AND(E379='Povolené hodnoty'!$B$4,F379=9),J379+M379+P379+S379,"")</f>
        <v/>
      </c>
      <c r="AA379" s="39" t="str">
        <f>IF(AND(E379&lt;&gt;'Povolené hodnoty'!$B$4,F379=2),I379+L379+O379+R379,"")</f>
        <v/>
      </c>
      <c r="AB379" s="40" t="str">
        <f>IF(AND(E379&lt;&gt;'Povolené hodnoty'!$B$4,F379=3),I379+L379+O379+R379,"")</f>
        <v/>
      </c>
      <c r="AC379" s="40" t="str">
        <f>IF(AND(E379&lt;&gt;'Povolené hodnoty'!$B$4,F379=4),I379+L379+O379+R379,"")</f>
        <v/>
      </c>
      <c r="AD379" s="40" t="str">
        <f>IF(AND(E379&lt;&gt;'Povolené hodnoty'!$B$4,F379="5a"),I379-J379+L379-M379+O379-P379+R379-S379,"")</f>
        <v/>
      </c>
      <c r="AE379" s="40" t="str">
        <f>IF(AND(E379&lt;&gt;'Povolené hodnoty'!$B$4,F379="5b"),I379-J379+L379-M379+O379-P379+R379-S379,"")</f>
        <v/>
      </c>
      <c r="AF379" s="40" t="str">
        <f>IF(AND(E379&lt;&gt;'Povolené hodnoty'!$B$4,F379=6),I379+L379+O379+R379,"")</f>
        <v/>
      </c>
      <c r="AG379" s="41" t="str">
        <f>IF(AND(E379&lt;&gt;'Povolené hodnoty'!$B$4,F379=7),I379+L379+O379+R379,"")</f>
        <v/>
      </c>
      <c r="AH379" s="39" t="str">
        <f>IF(AND(E379&lt;&gt;'Povolené hodnoty'!$B$4,F379=10),J379+M379+P379+S379,"")</f>
        <v/>
      </c>
      <c r="AI379" s="40" t="str">
        <f>IF(AND(E379&lt;&gt;'Povolené hodnoty'!$B$4,F379=11),J379+M379+P379+S379,"")</f>
        <v/>
      </c>
      <c r="AJ379" s="40" t="str">
        <f>IF(AND(E379&lt;&gt;'Povolené hodnoty'!$B$4,F379=12),J379+M379+P379+S379,"")</f>
        <v/>
      </c>
      <c r="AK379" s="41" t="str">
        <f>IF(AND(E379&lt;&gt;'Povolené hodnoty'!$B$4,F379=13),J379+M379+P379+S379,"")</f>
        <v/>
      </c>
      <c r="AL379" s="39" t="str">
        <f>IF(AND($G379='Povolené hodnoty'!$B$13,$H379=AL$4),SUM($I379,$L379,$O379,$R379),"")</f>
        <v/>
      </c>
      <c r="AM379" s="458" t="str">
        <f>IF(AND($G379='Povolené hodnoty'!$B$13,$H379=AM$4),SUM($I379,$L379,$O379,$R379),"")</f>
        <v/>
      </c>
      <c r="AN379" s="458" t="str">
        <f>IF(AND($G379='Povolené hodnoty'!$B$13,$H379=AN$4),SUM($I379,$L379,$O379,$R379),"")</f>
        <v/>
      </c>
      <c r="AO379" s="458" t="str">
        <f>IF(AND($G379='Povolené hodnoty'!$B$13,$H379=AO$4),SUM($I379,$L379,$O379,$R379),"")</f>
        <v/>
      </c>
      <c r="AP379" s="458" t="str">
        <f>IF(AND($G379='Povolené hodnoty'!$B$13,$H379=AP$4),SUM($I379,$L379,$O379,$R379),"")</f>
        <v/>
      </c>
      <c r="AQ379" s="40" t="str">
        <f>IF(AND($G379='Povolené hodnoty'!$B$13,OR($H379=AQ$4,$H379='Povolené hodnoty'!$E$36)),SUM($I379,-$J379,$L379,-$M379,$O379,-$P379,$R379,-$S379),"")</f>
        <v/>
      </c>
      <c r="AR379" s="40" t="str">
        <f>IF(AND($G379='Povolené hodnoty'!$B$13,$H379=AR$4),SUM($I379,$L379,$O379,$R379),"")</f>
        <v/>
      </c>
      <c r="AS379" s="41" t="str">
        <f>IF(AND($G379='Povolené hodnoty'!$B$13,$H379=AS$4),SUM($I379,$L379,$O379,$R379),"")</f>
        <v/>
      </c>
      <c r="AT379" s="39" t="str">
        <f>IF(AND($G379='Povolené hodnoty'!$B$14,$H379=AT$4),SUM($I379,$L379,$O379,$R379),"")</f>
        <v/>
      </c>
      <c r="AU379" s="458" t="str">
        <f>IF(AND($G379='Povolené hodnoty'!$B$14,$H379=AU$4),SUM($I379,$L379,$O379,$R379),"")</f>
        <v/>
      </c>
      <c r="AV379" s="41" t="str">
        <f>IF(AND($G379='Povolené hodnoty'!$B$14,$H379=AV$4),SUM($I379,$L379,$O379,$R379),"")</f>
        <v/>
      </c>
      <c r="AW379" s="39" t="str">
        <f>IF(AND($G379='Povolené hodnoty'!$B$13,$H379=AW$4),SUM($J379,$M379,$P379,$S379),"")</f>
        <v/>
      </c>
      <c r="AX379" s="458" t="str">
        <f>IF(AND($G379='Povolené hodnoty'!$B$13,$H379=AX$4),SUM($J379,$M379,$P379,$S379),"")</f>
        <v/>
      </c>
      <c r="AY379" s="458" t="str">
        <f>IF(AND($G379='Povolené hodnoty'!$B$13,$H379=AY$4),SUM($J379,$M379,$P379,$S379),"")</f>
        <v/>
      </c>
      <c r="AZ379" s="458" t="str">
        <f>IF(AND($G379='Povolené hodnoty'!$B$13,$H379=AZ$4),SUM($J379,$M379,$P379,$S379),"")</f>
        <v/>
      </c>
      <c r="BA379" s="458" t="str">
        <f>IF(AND($G379='Povolené hodnoty'!$B$13,$H379=BA$4),SUM($J379,$M379,$P379,$S379),"")</f>
        <v/>
      </c>
      <c r="BB379" s="40" t="str">
        <f>IF(AND($G379='Povolené hodnoty'!$B$13,$H379=BB$4),SUM($J379,$M379,$P379,$S379),"")</f>
        <v/>
      </c>
      <c r="BC379" s="40" t="str">
        <f>IF(AND($G379='Povolené hodnoty'!$B$13,$H379=BC$4),SUM($J379,$M379,$P379,$S379),"")</f>
        <v/>
      </c>
      <c r="BD379" s="40" t="str">
        <f>IF(AND($G379='Povolené hodnoty'!$B$13,$H379=BD$4),SUM($J379,$M379,$P379,$S379),"")</f>
        <v/>
      </c>
      <c r="BE379" s="41" t="str">
        <f>IF(AND($G379='Povolené hodnoty'!$B$13,$H379=BE$4),SUM($J379,$M379,$P379,$S379),"")</f>
        <v/>
      </c>
      <c r="BF379" s="39" t="str">
        <f>IF(AND($G379='Povolené hodnoty'!$B$14,$H379=BF$4),SUM($J379,$M379,$P379,$S379),"")</f>
        <v/>
      </c>
      <c r="BG379" s="458" t="str">
        <f>IF(AND($G379='Povolené hodnoty'!$B$14,$H379=BG$4),SUM($J379,$M379,$P379,$S379),"")</f>
        <v/>
      </c>
      <c r="BH379" s="458" t="str">
        <f>IF(AND($G379='Povolené hodnoty'!$B$14,$H379=BH$4),SUM($J379,$M379,$P379,$S379),"")</f>
        <v/>
      </c>
      <c r="BI379" s="458" t="str">
        <f>IF(AND($G379='Povolené hodnoty'!$B$14,$H379=BI$4),SUM($J379,$M379,$P379,$S379),"")</f>
        <v/>
      </c>
      <c r="BJ379" s="458" t="str">
        <f>IF(AND($G379='Povolené hodnoty'!$B$14,$H379=BJ$4),SUM($J379,$M379,$P379,$S379),"")</f>
        <v/>
      </c>
      <c r="BK379" s="40" t="str">
        <f>IF(AND($G379='Povolené hodnoty'!$B$14,$H379=BK$4),SUM($J379,$M379,$P379,$S379),"")</f>
        <v/>
      </c>
      <c r="BL379" s="40" t="str">
        <f>IF(AND($G379='Povolené hodnoty'!$B$14,$H379=BL$4),SUM($J379,$M379,$P379,$S379),"")</f>
        <v/>
      </c>
      <c r="BM379" s="41" t="str">
        <f>IF(AND($G379='Povolené hodnoty'!$B$14,$H379=BM$4),SUM($J379,$M379,$P379,$S379),"")</f>
        <v/>
      </c>
      <c r="BO379" s="18" t="b">
        <f t="shared" si="211"/>
        <v>0</v>
      </c>
      <c r="BP379" s="18" t="b">
        <f t="shared" si="182"/>
        <v>0</v>
      </c>
      <c r="BQ379" s="18" t="b">
        <f>AND(E379&lt;&gt;'Povolené hodnoty'!$B$6,F379&lt;&gt;'Povolené hodnoty'!$D$7,F379&lt;&gt;'Povolené hodnoty'!$D$8,OR(SUM(I379,L379,O379,R379)&lt;&gt;SUM(W379:X379,AA379:AG379),SUM(J379,M379,P379,S379)&lt;&gt;SUM(Y379:Z379,AH379:AK379),COUNT(I379:J379,L379:M379,O379:P379,R379:S379)&lt;&gt;COUNT(W379:AK379)))</f>
        <v>0</v>
      </c>
      <c r="BR379" s="18" t="b">
        <f>OR(AND(E379='Povolené hodnoty'!$B$6,$BR$5),AND(E379='Povolené hodnoty'!$B$6,H379&lt;&gt;'Povolené hodnoty'!$E$26,H379&lt;&gt;'Povolené hodnoty'!$E$35),AND(E379&lt;&gt;'Povolené hodnoty'!$B$6,OR(H379='Povolené hodnoty'!$E$26,H379='Povolené hodnoty'!$E$35)))</f>
        <v>0</v>
      </c>
      <c r="BS379" s="18" t="b">
        <f>OR(AND(G379&lt;&gt;'Povolené hodnoty'!$B$13,OR(H379='Povolené hodnoty'!$E$21,H379='Povolené hodnoty'!$E$22,H379='Povolené hodnoty'!$E$23,H379='Povolené hodnoty'!$E$24,H379='Povolené hodnoty'!$E$26,H379='Povolené hodnoty'!$E$36)),COUNT(I379:J379,L379:M379,O379:P379,R379:S379)&lt;&gt;COUNT(AL379:BM379))</f>
        <v>0</v>
      </c>
      <c r="BT379" s="18" t="b">
        <f t="shared" si="183"/>
        <v>0</v>
      </c>
      <c r="BV379" s="39" t="str">
        <f t="shared" si="184"/>
        <v/>
      </c>
      <c r="BW379" s="458" t="str">
        <f t="shared" si="185"/>
        <v/>
      </c>
      <c r="BX379" s="458" t="str">
        <f t="shared" si="186"/>
        <v/>
      </c>
      <c r="BY379" s="458" t="str">
        <f t="shared" si="187"/>
        <v/>
      </c>
      <c r="BZ379" s="458" t="str">
        <f t="shared" si="188"/>
        <v/>
      </c>
      <c r="CA379" s="40" t="str">
        <f t="shared" si="189"/>
        <v/>
      </c>
      <c r="CB379" s="40" t="str">
        <f t="shared" si="190"/>
        <v/>
      </c>
      <c r="CC379" s="39" t="str">
        <f t="shared" si="191"/>
        <v/>
      </c>
      <c r="CD379" s="458" t="str">
        <f t="shared" si="192"/>
        <v/>
      </c>
      <c r="CE379" s="41" t="str">
        <f t="shared" si="193"/>
        <v/>
      </c>
      <c r="CF379" s="39" t="str">
        <f t="shared" si="194"/>
        <v/>
      </c>
      <c r="CG379" s="458" t="str">
        <f t="shared" si="195"/>
        <v/>
      </c>
      <c r="CH379" s="458" t="str">
        <f t="shared" si="196"/>
        <v/>
      </c>
      <c r="CI379" s="458" t="str">
        <f t="shared" si="197"/>
        <v/>
      </c>
      <c r="CJ379" s="458" t="str">
        <f t="shared" si="198"/>
        <v/>
      </c>
      <c r="CK379" s="40" t="str">
        <f t="shared" si="199"/>
        <v/>
      </c>
      <c r="CL379" s="40" t="str">
        <f t="shared" si="200"/>
        <v/>
      </c>
      <c r="CM379" s="40" t="str">
        <f t="shared" si="201"/>
        <v/>
      </c>
      <c r="CN379" s="39" t="str">
        <f t="shared" si="202"/>
        <v/>
      </c>
      <c r="CO379" s="458" t="str">
        <f t="shared" si="203"/>
        <v/>
      </c>
      <c r="CP379" s="458" t="str">
        <f t="shared" si="204"/>
        <v/>
      </c>
      <c r="CQ379" s="458" t="str">
        <f t="shared" si="205"/>
        <v/>
      </c>
      <c r="CR379" s="458" t="str">
        <f t="shared" si="206"/>
        <v/>
      </c>
      <c r="CS379" s="40" t="str">
        <f t="shared" si="207"/>
        <v/>
      </c>
      <c r="CT379" s="40" t="str">
        <f t="shared" si="208"/>
        <v/>
      </c>
      <c r="CU379" s="41" t="str">
        <f t="shared" si="209"/>
        <v/>
      </c>
    </row>
    <row r="380" spans="1:99" x14ac:dyDescent="0.2">
      <c r="A380" s="77">
        <f t="shared" si="210"/>
        <v>375</v>
      </c>
      <c r="B380" s="81"/>
      <c r="C380" s="82"/>
      <c r="D380" s="71"/>
      <c r="E380" s="72"/>
      <c r="F380" s="73"/>
      <c r="G380" s="443"/>
      <c r="H380" s="443"/>
      <c r="I380" s="74"/>
      <c r="J380" s="75"/>
      <c r="K380" s="41">
        <f t="shared" si="214"/>
        <v>3625</v>
      </c>
      <c r="L380" s="104"/>
      <c r="M380" s="105"/>
      <c r="N380" s="106">
        <f t="shared" si="215"/>
        <v>537.05999999999995</v>
      </c>
      <c r="O380" s="104"/>
      <c r="P380" s="105"/>
      <c r="Q380" s="106">
        <f t="shared" si="212"/>
        <v>10045.83</v>
      </c>
      <c r="R380" s="104"/>
      <c r="S380" s="105"/>
      <c r="T380" s="106">
        <f t="shared" si="213"/>
        <v>0</v>
      </c>
      <c r="U380" s="439"/>
      <c r="V380" s="42">
        <f t="shared" si="181"/>
        <v>375</v>
      </c>
      <c r="W380" s="39" t="str">
        <f>IF(AND(E380='Povolené hodnoty'!$B$4,F380=2),I380+L380+O380+R380,"")</f>
        <v/>
      </c>
      <c r="X380" s="41" t="str">
        <f>IF(AND(E380='Povolené hodnoty'!$B$4,F380=1),I380+L380+O380+R380,"")</f>
        <v/>
      </c>
      <c r="Y380" s="39" t="str">
        <f>IF(AND(E380='Povolené hodnoty'!$B$4,F380=10),J380+M380+P380+S380,"")</f>
        <v/>
      </c>
      <c r="Z380" s="41" t="str">
        <f>IF(AND(E380='Povolené hodnoty'!$B$4,F380=9),J380+M380+P380+S380,"")</f>
        <v/>
      </c>
      <c r="AA380" s="39" t="str">
        <f>IF(AND(E380&lt;&gt;'Povolené hodnoty'!$B$4,F380=2),I380+L380+O380+R380,"")</f>
        <v/>
      </c>
      <c r="AB380" s="40" t="str">
        <f>IF(AND(E380&lt;&gt;'Povolené hodnoty'!$B$4,F380=3),I380+L380+O380+R380,"")</f>
        <v/>
      </c>
      <c r="AC380" s="40" t="str">
        <f>IF(AND(E380&lt;&gt;'Povolené hodnoty'!$B$4,F380=4),I380+L380+O380+R380,"")</f>
        <v/>
      </c>
      <c r="AD380" s="40" t="str">
        <f>IF(AND(E380&lt;&gt;'Povolené hodnoty'!$B$4,F380="5a"),I380-J380+L380-M380+O380-P380+R380-S380,"")</f>
        <v/>
      </c>
      <c r="AE380" s="40" t="str">
        <f>IF(AND(E380&lt;&gt;'Povolené hodnoty'!$B$4,F380="5b"),I380-J380+L380-M380+O380-P380+R380-S380,"")</f>
        <v/>
      </c>
      <c r="AF380" s="40" t="str">
        <f>IF(AND(E380&lt;&gt;'Povolené hodnoty'!$B$4,F380=6),I380+L380+O380+R380,"")</f>
        <v/>
      </c>
      <c r="AG380" s="41" t="str">
        <f>IF(AND(E380&lt;&gt;'Povolené hodnoty'!$B$4,F380=7),I380+L380+O380+R380,"")</f>
        <v/>
      </c>
      <c r="AH380" s="39" t="str">
        <f>IF(AND(E380&lt;&gt;'Povolené hodnoty'!$B$4,F380=10),J380+M380+P380+S380,"")</f>
        <v/>
      </c>
      <c r="AI380" s="40" t="str">
        <f>IF(AND(E380&lt;&gt;'Povolené hodnoty'!$B$4,F380=11),J380+M380+P380+S380,"")</f>
        <v/>
      </c>
      <c r="AJ380" s="40" t="str">
        <f>IF(AND(E380&lt;&gt;'Povolené hodnoty'!$B$4,F380=12),J380+M380+P380+S380,"")</f>
        <v/>
      </c>
      <c r="AK380" s="41" t="str">
        <f>IF(AND(E380&lt;&gt;'Povolené hodnoty'!$B$4,F380=13),J380+M380+P380+S380,"")</f>
        <v/>
      </c>
      <c r="AL380" s="39" t="str">
        <f>IF(AND($G380='Povolené hodnoty'!$B$13,$H380=AL$4),SUM($I380,$L380,$O380,$R380),"")</f>
        <v/>
      </c>
      <c r="AM380" s="458" t="str">
        <f>IF(AND($G380='Povolené hodnoty'!$B$13,$H380=AM$4),SUM($I380,$L380,$O380,$R380),"")</f>
        <v/>
      </c>
      <c r="AN380" s="458" t="str">
        <f>IF(AND($G380='Povolené hodnoty'!$B$13,$H380=AN$4),SUM($I380,$L380,$O380,$R380),"")</f>
        <v/>
      </c>
      <c r="AO380" s="458" t="str">
        <f>IF(AND($G380='Povolené hodnoty'!$B$13,$H380=AO$4),SUM($I380,$L380,$O380,$R380),"")</f>
        <v/>
      </c>
      <c r="AP380" s="458" t="str">
        <f>IF(AND($G380='Povolené hodnoty'!$B$13,$H380=AP$4),SUM($I380,$L380,$O380,$R380),"")</f>
        <v/>
      </c>
      <c r="AQ380" s="40" t="str">
        <f>IF(AND($G380='Povolené hodnoty'!$B$13,OR($H380=AQ$4,$H380='Povolené hodnoty'!$E$36)),SUM($I380,-$J380,$L380,-$M380,$O380,-$P380,$R380,-$S380),"")</f>
        <v/>
      </c>
      <c r="AR380" s="40" t="str">
        <f>IF(AND($G380='Povolené hodnoty'!$B$13,$H380=AR$4),SUM($I380,$L380,$O380,$R380),"")</f>
        <v/>
      </c>
      <c r="AS380" s="41" t="str">
        <f>IF(AND($G380='Povolené hodnoty'!$B$13,$H380=AS$4),SUM($I380,$L380,$O380,$R380),"")</f>
        <v/>
      </c>
      <c r="AT380" s="39" t="str">
        <f>IF(AND($G380='Povolené hodnoty'!$B$14,$H380=AT$4),SUM($I380,$L380,$O380,$R380),"")</f>
        <v/>
      </c>
      <c r="AU380" s="458" t="str">
        <f>IF(AND($G380='Povolené hodnoty'!$B$14,$H380=AU$4),SUM($I380,$L380,$O380,$R380),"")</f>
        <v/>
      </c>
      <c r="AV380" s="41" t="str">
        <f>IF(AND($G380='Povolené hodnoty'!$B$14,$H380=AV$4),SUM($I380,$L380,$O380,$R380),"")</f>
        <v/>
      </c>
      <c r="AW380" s="39" t="str">
        <f>IF(AND($G380='Povolené hodnoty'!$B$13,$H380=AW$4),SUM($J380,$M380,$P380,$S380),"")</f>
        <v/>
      </c>
      <c r="AX380" s="458" t="str">
        <f>IF(AND($G380='Povolené hodnoty'!$B$13,$H380=AX$4),SUM($J380,$M380,$P380,$S380),"")</f>
        <v/>
      </c>
      <c r="AY380" s="458" t="str">
        <f>IF(AND($G380='Povolené hodnoty'!$B$13,$H380=AY$4),SUM($J380,$M380,$P380,$S380),"")</f>
        <v/>
      </c>
      <c r="AZ380" s="458" t="str">
        <f>IF(AND($G380='Povolené hodnoty'!$B$13,$H380=AZ$4),SUM($J380,$M380,$P380,$S380),"")</f>
        <v/>
      </c>
      <c r="BA380" s="458" t="str">
        <f>IF(AND($G380='Povolené hodnoty'!$B$13,$H380=BA$4),SUM($J380,$M380,$P380,$S380),"")</f>
        <v/>
      </c>
      <c r="BB380" s="40" t="str">
        <f>IF(AND($G380='Povolené hodnoty'!$B$13,$H380=BB$4),SUM($J380,$M380,$P380,$S380),"")</f>
        <v/>
      </c>
      <c r="BC380" s="40" t="str">
        <f>IF(AND($G380='Povolené hodnoty'!$B$13,$H380=BC$4),SUM($J380,$M380,$P380,$S380),"")</f>
        <v/>
      </c>
      <c r="BD380" s="40" t="str">
        <f>IF(AND($G380='Povolené hodnoty'!$B$13,$H380=BD$4),SUM($J380,$M380,$P380,$S380),"")</f>
        <v/>
      </c>
      <c r="BE380" s="41" t="str">
        <f>IF(AND($G380='Povolené hodnoty'!$B$13,$H380=BE$4),SUM($J380,$M380,$P380,$S380),"")</f>
        <v/>
      </c>
      <c r="BF380" s="39" t="str">
        <f>IF(AND($G380='Povolené hodnoty'!$B$14,$H380=BF$4),SUM($J380,$M380,$P380,$S380),"")</f>
        <v/>
      </c>
      <c r="BG380" s="458" t="str">
        <f>IF(AND($G380='Povolené hodnoty'!$B$14,$H380=BG$4),SUM($J380,$M380,$P380,$S380),"")</f>
        <v/>
      </c>
      <c r="BH380" s="458" t="str">
        <f>IF(AND($G380='Povolené hodnoty'!$B$14,$H380=BH$4),SUM($J380,$M380,$P380,$S380),"")</f>
        <v/>
      </c>
      <c r="BI380" s="458" t="str">
        <f>IF(AND($G380='Povolené hodnoty'!$B$14,$H380=BI$4),SUM($J380,$M380,$P380,$S380),"")</f>
        <v/>
      </c>
      <c r="BJ380" s="458" t="str">
        <f>IF(AND($G380='Povolené hodnoty'!$B$14,$H380=BJ$4),SUM($J380,$M380,$P380,$S380),"")</f>
        <v/>
      </c>
      <c r="BK380" s="40" t="str">
        <f>IF(AND($G380='Povolené hodnoty'!$B$14,$H380=BK$4),SUM($J380,$M380,$P380,$S380),"")</f>
        <v/>
      </c>
      <c r="BL380" s="40" t="str">
        <f>IF(AND($G380='Povolené hodnoty'!$B$14,$H380=BL$4),SUM($J380,$M380,$P380,$S380),"")</f>
        <v/>
      </c>
      <c r="BM380" s="41" t="str">
        <f>IF(AND($G380='Povolené hodnoty'!$B$14,$H380=BM$4),SUM($J380,$M380,$P380,$S380),"")</f>
        <v/>
      </c>
      <c r="BO380" s="18" t="b">
        <f t="shared" si="211"/>
        <v>0</v>
      </c>
      <c r="BP380" s="18" t="b">
        <f t="shared" si="182"/>
        <v>0</v>
      </c>
      <c r="BQ380" s="18" t="b">
        <f>AND(E380&lt;&gt;'Povolené hodnoty'!$B$6,F380&lt;&gt;'Povolené hodnoty'!$D$7,F380&lt;&gt;'Povolené hodnoty'!$D$8,OR(SUM(I380,L380,O380,R380)&lt;&gt;SUM(W380:X380,AA380:AG380),SUM(J380,M380,P380,S380)&lt;&gt;SUM(Y380:Z380,AH380:AK380),COUNT(I380:J380,L380:M380,O380:P380,R380:S380)&lt;&gt;COUNT(W380:AK380)))</f>
        <v>0</v>
      </c>
      <c r="BR380" s="18" t="b">
        <f>OR(AND(E380='Povolené hodnoty'!$B$6,$BR$5),AND(E380='Povolené hodnoty'!$B$6,H380&lt;&gt;'Povolené hodnoty'!$E$26,H380&lt;&gt;'Povolené hodnoty'!$E$35),AND(E380&lt;&gt;'Povolené hodnoty'!$B$6,OR(H380='Povolené hodnoty'!$E$26,H380='Povolené hodnoty'!$E$35)))</f>
        <v>0</v>
      </c>
      <c r="BS380" s="18" t="b">
        <f>OR(AND(G380&lt;&gt;'Povolené hodnoty'!$B$13,OR(H380='Povolené hodnoty'!$E$21,H380='Povolené hodnoty'!$E$22,H380='Povolené hodnoty'!$E$23,H380='Povolené hodnoty'!$E$24,H380='Povolené hodnoty'!$E$26,H380='Povolené hodnoty'!$E$36)),COUNT(I380:J380,L380:M380,O380:P380,R380:S380)&lt;&gt;COUNT(AL380:BM380))</f>
        <v>0</v>
      </c>
      <c r="BT380" s="18" t="b">
        <f t="shared" si="183"/>
        <v>0</v>
      </c>
      <c r="BV380" s="39" t="str">
        <f t="shared" si="184"/>
        <v/>
      </c>
      <c r="BW380" s="458" t="str">
        <f t="shared" si="185"/>
        <v/>
      </c>
      <c r="BX380" s="458" t="str">
        <f t="shared" si="186"/>
        <v/>
      </c>
      <c r="BY380" s="458" t="str">
        <f t="shared" si="187"/>
        <v/>
      </c>
      <c r="BZ380" s="458" t="str">
        <f t="shared" si="188"/>
        <v/>
      </c>
      <c r="CA380" s="40" t="str">
        <f t="shared" si="189"/>
        <v/>
      </c>
      <c r="CB380" s="40" t="str">
        <f t="shared" si="190"/>
        <v/>
      </c>
      <c r="CC380" s="39" t="str">
        <f t="shared" si="191"/>
        <v/>
      </c>
      <c r="CD380" s="458" t="str">
        <f t="shared" si="192"/>
        <v/>
      </c>
      <c r="CE380" s="41" t="str">
        <f t="shared" si="193"/>
        <v/>
      </c>
      <c r="CF380" s="39" t="str">
        <f t="shared" si="194"/>
        <v/>
      </c>
      <c r="CG380" s="458" t="str">
        <f t="shared" si="195"/>
        <v/>
      </c>
      <c r="CH380" s="458" t="str">
        <f t="shared" si="196"/>
        <v/>
      </c>
      <c r="CI380" s="458" t="str">
        <f t="shared" si="197"/>
        <v/>
      </c>
      <c r="CJ380" s="458" t="str">
        <f t="shared" si="198"/>
        <v/>
      </c>
      <c r="CK380" s="40" t="str">
        <f t="shared" si="199"/>
        <v/>
      </c>
      <c r="CL380" s="40" t="str">
        <f t="shared" si="200"/>
        <v/>
      </c>
      <c r="CM380" s="40" t="str">
        <f t="shared" si="201"/>
        <v/>
      </c>
      <c r="CN380" s="39" t="str">
        <f t="shared" si="202"/>
        <v/>
      </c>
      <c r="CO380" s="458" t="str">
        <f t="shared" si="203"/>
        <v/>
      </c>
      <c r="CP380" s="458" t="str">
        <f t="shared" si="204"/>
        <v/>
      </c>
      <c r="CQ380" s="458" t="str">
        <f t="shared" si="205"/>
        <v/>
      </c>
      <c r="CR380" s="458" t="str">
        <f t="shared" si="206"/>
        <v/>
      </c>
      <c r="CS380" s="40" t="str">
        <f t="shared" si="207"/>
        <v/>
      </c>
      <c r="CT380" s="40" t="str">
        <f t="shared" si="208"/>
        <v/>
      </c>
      <c r="CU380" s="41" t="str">
        <f t="shared" si="209"/>
        <v/>
      </c>
    </row>
    <row r="381" spans="1:99" x14ac:dyDescent="0.2">
      <c r="A381" s="77">
        <f t="shared" si="210"/>
        <v>376</v>
      </c>
      <c r="B381" s="81"/>
      <c r="C381" s="82"/>
      <c r="D381" s="71"/>
      <c r="E381" s="72"/>
      <c r="F381" s="73"/>
      <c r="G381" s="443"/>
      <c r="H381" s="443"/>
      <c r="I381" s="74"/>
      <c r="J381" s="75"/>
      <c r="K381" s="41">
        <f t="shared" si="214"/>
        <v>3625</v>
      </c>
      <c r="L381" s="104"/>
      <c r="M381" s="105"/>
      <c r="N381" s="106">
        <f t="shared" si="215"/>
        <v>537.05999999999995</v>
      </c>
      <c r="O381" s="104"/>
      <c r="P381" s="105"/>
      <c r="Q381" s="106">
        <f t="shared" si="212"/>
        <v>10045.83</v>
      </c>
      <c r="R381" s="104"/>
      <c r="S381" s="105"/>
      <c r="T381" s="106">
        <f t="shared" si="213"/>
        <v>0</v>
      </c>
      <c r="U381" s="439"/>
      <c r="V381" s="42">
        <f t="shared" si="181"/>
        <v>376</v>
      </c>
      <c r="W381" s="39" t="str">
        <f>IF(AND(E381='Povolené hodnoty'!$B$4,F381=2),I381+L381+O381+R381,"")</f>
        <v/>
      </c>
      <c r="X381" s="41" t="str">
        <f>IF(AND(E381='Povolené hodnoty'!$B$4,F381=1),I381+L381+O381+R381,"")</f>
        <v/>
      </c>
      <c r="Y381" s="39" t="str">
        <f>IF(AND(E381='Povolené hodnoty'!$B$4,F381=10),J381+M381+P381+S381,"")</f>
        <v/>
      </c>
      <c r="Z381" s="41" t="str">
        <f>IF(AND(E381='Povolené hodnoty'!$B$4,F381=9),J381+M381+P381+S381,"")</f>
        <v/>
      </c>
      <c r="AA381" s="39" t="str">
        <f>IF(AND(E381&lt;&gt;'Povolené hodnoty'!$B$4,F381=2),I381+L381+O381+R381,"")</f>
        <v/>
      </c>
      <c r="AB381" s="40" t="str">
        <f>IF(AND(E381&lt;&gt;'Povolené hodnoty'!$B$4,F381=3),I381+L381+O381+R381,"")</f>
        <v/>
      </c>
      <c r="AC381" s="40" t="str">
        <f>IF(AND(E381&lt;&gt;'Povolené hodnoty'!$B$4,F381=4),I381+L381+O381+R381,"")</f>
        <v/>
      </c>
      <c r="AD381" s="40" t="str">
        <f>IF(AND(E381&lt;&gt;'Povolené hodnoty'!$B$4,F381="5a"),I381-J381+L381-M381+O381-P381+R381-S381,"")</f>
        <v/>
      </c>
      <c r="AE381" s="40" t="str">
        <f>IF(AND(E381&lt;&gt;'Povolené hodnoty'!$B$4,F381="5b"),I381-J381+L381-M381+O381-P381+R381-S381,"")</f>
        <v/>
      </c>
      <c r="AF381" s="40" t="str">
        <f>IF(AND(E381&lt;&gt;'Povolené hodnoty'!$B$4,F381=6),I381+L381+O381+R381,"")</f>
        <v/>
      </c>
      <c r="AG381" s="41" t="str">
        <f>IF(AND(E381&lt;&gt;'Povolené hodnoty'!$B$4,F381=7),I381+L381+O381+R381,"")</f>
        <v/>
      </c>
      <c r="AH381" s="39" t="str">
        <f>IF(AND(E381&lt;&gt;'Povolené hodnoty'!$B$4,F381=10),J381+M381+P381+S381,"")</f>
        <v/>
      </c>
      <c r="AI381" s="40" t="str">
        <f>IF(AND(E381&lt;&gt;'Povolené hodnoty'!$B$4,F381=11),J381+M381+P381+S381,"")</f>
        <v/>
      </c>
      <c r="AJ381" s="40" t="str">
        <f>IF(AND(E381&lt;&gt;'Povolené hodnoty'!$B$4,F381=12),J381+M381+P381+S381,"")</f>
        <v/>
      </c>
      <c r="AK381" s="41" t="str">
        <f>IF(AND(E381&lt;&gt;'Povolené hodnoty'!$B$4,F381=13),J381+M381+P381+S381,"")</f>
        <v/>
      </c>
      <c r="AL381" s="39" t="str">
        <f>IF(AND($G381='Povolené hodnoty'!$B$13,$H381=AL$4),SUM($I381,$L381,$O381,$R381),"")</f>
        <v/>
      </c>
      <c r="AM381" s="458" t="str">
        <f>IF(AND($G381='Povolené hodnoty'!$B$13,$H381=AM$4),SUM($I381,$L381,$O381,$R381),"")</f>
        <v/>
      </c>
      <c r="AN381" s="458" t="str">
        <f>IF(AND($G381='Povolené hodnoty'!$B$13,$H381=AN$4),SUM($I381,$L381,$O381,$R381),"")</f>
        <v/>
      </c>
      <c r="AO381" s="458" t="str">
        <f>IF(AND($G381='Povolené hodnoty'!$B$13,$H381=AO$4),SUM($I381,$L381,$O381,$R381),"")</f>
        <v/>
      </c>
      <c r="AP381" s="458" t="str">
        <f>IF(AND($G381='Povolené hodnoty'!$B$13,$H381=AP$4),SUM($I381,$L381,$O381,$R381),"")</f>
        <v/>
      </c>
      <c r="AQ381" s="40" t="str">
        <f>IF(AND($G381='Povolené hodnoty'!$B$13,OR($H381=AQ$4,$H381='Povolené hodnoty'!$E$36)),SUM($I381,-$J381,$L381,-$M381,$O381,-$P381,$R381,-$S381),"")</f>
        <v/>
      </c>
      <c r="AR381" s="40" t="str">
        <f>IF(AND($G381='Povolené hodnoty'!$B$13,$H381=AR$4),SUM($I381,$L381,$O381,$R381),"")</f>
        <v/>
      </c>
      <c r="AS381" s="41" t="str">
        <f>IF(AND($G381='Povolené hodnoty'!$B$13,$H381=AS$4),SUM($I381,$L381,$O381,$R381),"")</f>
        <v/>
      </c>
      <c r="AT381" s="39" t="str">
        <f>IF(AND($G381='Povolené hodnoty'!$B$14,$H381=AT$4),SUM($I381,$L381,$O381,$R381),"")</f>
        <v/>
      </c>
      <c r="AU381" s="458" t="str">
        <f>IF(AND($G381='Povolené hodnoty'!$B$14,$H381=AU$4),SUM($I381,$L381,$O381,$R381),"")</f>
        <v/>
      </c>
      <c r="AV381" s="41" t="str">
        <f>IF(AND($G381='Povolené hodnoty'!$B$14,$H381=AV$4),SUM($I381,$L381,$O381,$R381),"")</f>
        <v/>
      </c>
      <c r="AW381" s="39" t="str">
        <f>IF(AND($G381='Povolené hodnoty'!$B$13,$H381=AW$4),SUM($J381,$M381,$P381,$S381),"")</f>
        <v/>
      </c>
      <c r="AX381" s="458" t="str">
        <f>IF(AND($G381='Povolené hodnoty'!$B$13,$H381=AX$4),SUM($J381,$M381,$P381,$S381),"")</f>
        <v/>
      </c>
      <c r="AY381" s="458" t="str">
        <f>IF(AND($G381='Povolené hodnoty'!$B$13,$H381=AY$4),SUM($J381,$M381,$P381,$S381),"")</f>
        <v/>
      </c>
      <c r="AZ381" s="458" t="str">
        <f>IF(AND($G381='Povolené hodnoty'!$B$13,$H381=AZ$4),SUM($J381,$M381,$P381,$S381),"")</f>
        <v/>
      </c>
      <c r="BA381" s="458" t="str">
        <f>IF(AND($G381='Povolené hodnoty'!$B$13,$H381=BA$4),SUM($J381,$M381,$P381,$S381),"")</f>
        <v/>
      </c>
      <c r="BB381" s="40" t="str">
        <f>IF(AND($G381='Povolené hodnoty'!$B$13,$H381=BB$4),SUM($J381,$M381,$P381,$S381),"")</f>
        <v/>
      </c>
      <c r="BC381" s="40" t="str">
        <f>IF(AND($G381='Povolené hodnoty'!$B$13,$H381=BC$4),SUM($J381,$M381,$P381,$S381),"")</f>
        <v/>
      </c>
      <c r="BD381" s="40" t="str">
        <f>IF(AND($G381='Povolené hodnoty'!$B$13,$H381=BD$4),SUM($J381,$M381,$P381,$S381),"")</f>
        <v/>
      </c>
      <c r="BE381" s="41" t="str">
        <f>IF(AND($G381='Povolené hodnoty'!$B$13,$H381=BE$4),SUM($J381,$M381,$P381,$S381),"")</f>
        <v/>
      </c>
      <c r="BF381" s="39" t="str">
        <f>IF(AND($G381='Povolené hodnoty'!$B$14,$H381=BF$4),SUM($J381,$M381,$P381,$S381),"")</f>
        <v/>
      </c>
      <c r="BG381" s="458" t="str">
        <f>IF(AND($G381='Povolené hodnoty'!$B$14,$H381=BG$4),SUM($J381,$M381,$P381,$S381),"")</f>
        <v/>
      </c>
      <c r="BH381" s="458" t="str">
        <f>IF(AND($G381='Povolené hodnoty'!$B$14,$H381=BH$4),SUM($J381,$M381,$P381,$S381),"")</f>
        <v/>
      </c>
      <c r="BI381" s="458" t="str">
        <f>IF(AND($G381='Povolené hodnoty'!$B$14,$H381=BI$4),SUM($J381,$M381,$P381,$S381),"")</f>
        <v/>
      </c>
      <c r="BJ381" s="458" t="str">
        <f>IF(AND($G381='Povolené hodnoty'!$B$14,$H381=BJ$4),SUM($J381,$M381,$P381,$S381),"")</f>
        <v/>
      </c>
      <c r="BK381" s="40" t="str">
        <f>IF(AND($G381='Povolené hodnoty'!$B$14,$H381=BK$4),SUM($J381,$M381,$P381,$S381),"")</f>
        <v/>
      </c>
      <c r="BL381" s="40" t="str">
        <f>IF(AND($G381='Povolené hodnoty'!$B$14,$H381=BL$4),SUM($J381,$M381,$P381,$S381),"")</f>
        <v/>
      </c>
      <c r="BM381" s="41" t="str">
        <f>IF(AND($G381='Povolené hodnoty'!$B$14,$H381=BM$4),SUM($J381,$M381,$P381,$S381),"")</f>
        <v/>
      </c>
      <c r="BO381" s="18" t="b">
        <f t="shared" si="211"/>
        <v>0</v>
      </c>
      <c r="BP381" s="18" t="b">
        <f t="shared" si="182"/>
        <v>0</v>
      </c>
      <c r="BQ381" s="18" t="b">
        <f>AND(E381&lt;&gt;'Povolené hodnoty'!$B$6,F381&lt;&gt;'Povolené hodnoty'!$D$7,F381&lt;&gt;'Povolené hodnoty'!$D$8,OR(SUM(I381,L381,O381,R381)&lt;&gt;SUM(W381:X381,AA381:AG381),SUM(J381,M381,P381,S381)&lt;&gt;SUM(Y381:Z381,AH381:AK381),COUNT(I381:J381,L381:M381,O381:P381,R381:S381)&lt;&gt;COUNT(W381:AK381)))</f>
        <v>0</v>
      </c>
      <c r="BR381" s="18" t="b">
        <f>OR(AND(E381='Povolené hodnoty'!$B$6,$BR$5),AND(E381='Povolené hodnoty'!$B$6,H381&lt;&gt;'Povolené hodnoty'!$E$26,H381&lt;&gt;'Povolené hodnoty'!$E$35),AND(E381&lt;&gt;'Povolené hodnoty'!$B$6,OR(H381='Povolené hodnoty'!$E$26,H381='Povolené hodnoty'!$E$35)))</f>
        <v>0</v>
      </c>
      <c r="BS381" s="18" t="b">
        <f>OR(AND(G381&lt;&gt;'Povolené hodnoty'!$B$13,OR(H381='Povolené hodnoty'!$E$21,H381='Povolené hodnoty'!$E$22,H381='Povolené hodnoty'!$E$23,H381='Povolené hodnoty'!$E$24,H381='Povolené hodnoty'!$E$26,H381='Povolené hodnoty'!$E$36)),COUNT(I381:J381,L381:M381,O381:P381,R381:S381)&lt;&gt;COUNT(AL381:BM381))</f>
        <v>0</v>
      </c>
      <c r="BT381" s="18" t="b">
        <f t="shared" si="183"/>
        <v>0</v>
      </c>
      <c r="BV381" s="39" t="str">
        <f t="shared" si="184"/>
        <v/>
      </c>
      <c r="BW381" s="458" t="str">
        <f t="shared" si="185"/>
        <v/>
      </c>
      <c r="BX381" s="458" t="str">
        <f t="shared" si="186"/>
        <v/>
      </c>
      <c r="BY381" s="458" t="str">
        <f t="shared" si="187"/>
        <v/>
      </c>
      <c r="BZ381" s="458" t="str">
        <f t="shared" si="188"/>
        <v/>
      </c>
      <c r="CA381" s="40" t="str">
        <f t="shared" si="189"/>
        <v/>
      </c>
      <c r="CB381" s="40" t="str">
        <f t="shared" si="190"/>
        <v/>
      </c>
      <c r="CC381" s="39" t="str">
        <f t="shared" si="191"/>
        <v/>
      </c>
      <c r="CD381" s="458" t="str">
        <f t="shared" si="192"/>
        <v/>
      </c>
      <c r="CE381" s="41" t="str">
        <f t="shared" si="193"/>
        <v/>
      </c>
      <c r="CF381" s="39" t="str">
        <f t="shared" si="194"/>
        <v/>
      </c>
      <c r="CG381" s="458" t="str">
        <f t="shared" si="195"/>
        <v/>
      </c>
      <c r="CH381" s="458" t="str">
        <f t="shared" si="196"/>
        <v/>
      </c>
      <c r="CI381" s="458" t="str">
        <f t="shared" si="197"/>
        <v/>
      </c>
      <c r="CJ381" s="458" t="str">
        <f t="shared" si="198"/>
        <v/>
      </c>
      <c r="CK381" s="40" t="str">
        <f t="shared" si="199"/>
        <v/>
      </c>
      <c r="CL381" s="40" t="str">
        <f t="shared" si="200"/>
        <v/>
      </c>
      <c r="CM381" s="40" t="str">
        <f t="shared" si="201"/>
        <v/>
      </c>
      <c r="CN381" s="39" t="str">
        <f t="shared" si="202"/>
        <v/>
      </c>
      <c r="CO381" s="458" t="str">
        <f t="shared" si="203"/>
        <v/>
      </c>
      <c r="CP381" s="458" t="str">
        <f t="shared" si="204"/>
        <v/>
      </c>
      <c r="CQ381" s="458" t="str">
        <f t="shared" si="205"/>
        <v/>
      </c>
      <c r="CR381" s="458" t="str">
        <f t="shared" si="206"/>
        <v/>
      </c>
      <c r="CS381" s="40" t="str">
        <f t="shared" si="207"/>
        <v/>
      </c>
      <c r="CT381" s="40" t="str">
        <f t="shared" si="208"/>
        <v/>
      </c>
      <c r="CU381" s="41" t="str">
        <f t="shared" si="209"/>
        <v/>
      </c>
    </row>
    <row r="382" spans="1:99" x14ac:dyDescent="0.2">
      <c r="A382" s="77">
        <f t="shared" si="210"/>
        <v>377</v>
      </c>
      <c r="B382" s="81"/>
      <c r="C382" s="82"/>
      <c r="D382" s="71"/>
      <c r="E382" s="72"/>
      <c r="F382" s="73"/>
      <c r="G382" s="443"/>
      <c r="H382" s="443"/>
      <c r="I382" s="74"/>
      <c r="J382" s="75"/>
      <c r="K382" s="41">
        <f t="shared" si="214"/>
        <v>3625</v>
      </c>
      <c r="L382" s="104"/>
      <c r="M382" s="105"/>
      <c r="N382" s="106">
        <f t="shared" si="215"/>
        <v>537.05999999999995</v>
      </c>
      <c r="O382" s="104"/>
      <c r="P382" s="105"/>
      <c r="Q382" s="106">
        <f t="shared" si="212"/>
        <v>10045.83</v>
      </c>
      <c r="R382" s="104"/>
      <c r="S382" s="105"/>
      <c r="T382" s="106">
        <f t="shared" si="213"/>
        <v>0</v>
      </c>
      <c r="U382" s="439"/>
      <c r="V382" s="42">
        <f t="shared" si="181"/>
        <v>377</v>
      </c>
      <c r="W382" s="39" t="str">
        <f>IF(AND(E382='Povolené hodnoty'!$B$4,F382=2),I382+L382+O382+R382,"")</f>
        <v/>
      </c>
      <c r="X382" s="41" t="str">
        <f>IF(AND(E382='Povolené hodnoty'!$B$4,F382=1),I382+L382+O382+R382,"")</f>
        <v/>
      </c>
      <c r="Y382" s="39" t="str">
        <f>IF(AND(E382='Povolené hodnoty'!$B$4,F382=10),J382+M382+P382+S382,"")</f>
        <v/>
      </c>
      <c r="Z382" s="41" t="str">
        <f>IF(AND(E382='Povolené hodnoty'!$B$4,F382=9),J382+M382+P382+S382,"")</f>
        <v/>
      </c>
      <c r="AA382" s="39" t="str">
        <f>IF(AND(E382&lt;&gt;'Povolené hodnoty'!$B$4,F382=2),I382+L382+O382+R382,"")</f>
        <v/>
      </c>
      <c r="AB382" s="40" t="str">
        <f>IF(AND(E382&lt;&gt;'Povolené hodnoty'!$B$4,F382=3),I382+L382+O382+R382,"")</f>
        <v/>
      </c>
      <c r="AC382" s="40" t="str">
        <f>IF(AND(E382&lt;&gt;'Povolené hodnoty'!$B$4,F382=4),I382+L382+O382+R382,"")</f>
        <v/>
      </c>
      <c r="AD382" s="40" t="str">
        <f>IF(AND(E382&lt;&gt;'Povolené hodnoty'!$B$4,F382="5a"),I382-J382+L382-M382+O382-P382+R382-S382,"")</f>
        <v/>
      </c>
      <c r="AE382" s="40" t="str">
        <f>IF(AND(E382&lt;&gt;'Povolené hodnoty'!$B$4,F382="5b"),I382-J382+L382-M382+O382-P382+R382-S382,"")</f>
        <v/>
      </c>
      <c r="AF382" s="40" t="str">
        <f>IF(AND(E382&lt;&gt;'Povolené hodnoty'!$B$4,F382=6),I382+L382+O382+R382,"")</f>
        <v/>
      </c>
      <c r="AG382" s="41" t="str">
        <f>IF(AND(E382&lt;&gt;'Povolené hodnoty'!$B$4,F382=7),I382+L382+O382+R382,"")</f>
        <v/>
      </c>
      <c r="AH382" s="39" t="str">
        <f>IF(AND(E382&lt;&gt;'Povolené hodnoty'!$B$4,F382=10),J382+M382+P382+S382,"")</f>
        <v/>
      </c>
      <c r="AI382" s="40" t="str">
        <f>IF(AND(E382&lt;&gt;'Povolené hodnoty'!$B$4,F382=11),J382+M382+P382+S382,"")</f>
        <v/>
      </c>
      <c r="AJ382" s="40" t="str">
        <f>IF(AND(E382&lt;&gt;'Povolené hodnoty'!$B$4,F382=12),J382+M382+P382+S382,"")</f>
        <v/>
      </c>
      <c r="AK382" s="41" t="str">
        <f>IF(AND(E382&lt;&gt;'Povolené hodnoty'!$B$4,F382=13),J382+M382+P382+S382,"")</f>
        <v/>
      </c>
      <c r="AL382" s="39" t="str">
        <f>IF(AND($G382='Povolené hodnoty'!$B$13,$H382=AL$4),SUM($I382,$L382,$O382,$R382),"")</f>
        <v/>
      </c>
      <c r="AM382" s="458" t="str">
        <f>IF(AND($G382='Povolené hodnoty'!$B$13,$H382=AM$4),SUM($I382,$L382,$O382,$R382),"")</f>
        <v/>
      </c>
      <c r="AN382" s="458" t="str">
        <f>IF(AND($G382='Povolené hodnoty'!$B$13,$H382=AN$4),SUM($I382,$L382,$O382,$R382),"")</f>
        <v/>
      </c>
      <c r="AO382" s="458" t="str">
        <f>IF(AND($G382='Povolené hodnoty'!$B$13,$H382=AO$4),SUM($I382,$L382,$O382,$R382),"")</f>
        <v/>
      </c>
      <c r="AP382" s="458" t="str">
        <f>IF(AND($G382='Povolené hodnoty'!$B$13,$H382=AP$4),SUM($I382,$L382,$O382,$R382),"")</f>
        <v/>
      </c>
      <c r="AQ382" s="40" t="str">
        <f>IF(AND($G382='Povolené hodnoty'!$B$13,OR($H382=AQ$4,$H382='Povolené hodnoty'!$E$36)),SUM($I382,-$J382,$L382,-$M382,$O382,-$P382,$R382,-$S382),"")</f>
        <v/>
      </c>
      <c r="AR382" s="40" t="str">
        <f>IF(AND($G382='Povolené hodnoty'!$B$13,$H382=AR$4),SUM($I382,$L382,$O382,$R382),"")</f>
        <v/>
      </c>
      <c r="AS382" s="41" t="str">
        <f>IF(AND($G382='Povolené hodnoty'!$B$13,$H382=AS$4),SUM($I382,$L382,$O382,$R382),"")</f>
        <v/>
      </c>
      <c r="AT382" s="39" t="str">
        <f>IF(AND($G382='Povolené hodnoty'!$B$14,$H382=AT$4),SUM($I382,$L382,$O382,$R382),"")</f>
        <v/>
      </c>
      <c r="AU382" s="458" t="str">
        <f>IF(AND($G382='Povolené hodnoty'!$B$14,$H382=AU$4),SUM($I382,$L382,$O382,$R382),"")</f>
        <v/>
      </c>
      <c r="AV382" s="41" t="str">
        <f>IF(AND($G382='Povolené hodnoty'!$B$14,$H382=AV$4),SUM($I382,$L382,$O382,$R382),"")</f>
        <v/>
      </c>
      <c r="AW382" s="39" t="str">
        <f>IF(AND($G382='Povolené hodnoty'!$B$13,$H382=AW$4),SUM($J382,$M382,$P382,$S382),"")</f>
        <v/>
      </c>
      <c r="AX382" s="458" t="str">
        <f>IF(AND($G382='Povolené hodnoty'!$B$13,$H382=AX$4),SUM($J382,$M382,$P382,$S382),"")</f>
        <v/>
      </c>
      <c r="AY382" s="458" t="str">
        <f>IF(AND($G382='Povolené hodnoty'!$B$13,$H382=AY$4),SUM($J382,$M382,$P382,$S382),"")</f>
        <v/>
      </c>
      <c r="AZ382" s="458" t="str">
        <f>IF(AND($G382='Povolené hodnoty'!$B$13,$H382=AZ$4),SUM($J382,$M382,$P382,$S382),"")</f>
        <v/>
      </c>
      <c r="BA382" s="458" t="str">
        <f>IF(AND($G382='Povolené hodnoty'!$B$13,$H382=BA$4),SUM($J382,$M382,$P382,$S382),"")</f>
        <v/>
      </c>
      <c r="BB382" s="40" t="str">
        <f>IF(AND($G382='Povolené hodnoty'!$B$13,$H382=BB$4),SUM($J382,$M382,$P382,$S382),"")</f>
        <v/>
      </c>
      <c r="BC382" s="40" t="str">
        <f>IF(AND($G382='Povolené hodnoty'!$B$13,$H382=BC$4),SUM($J382,$M382,$P382,$S382),"")</f>
        <v/>
      </c>
      <c r="BD382" s="40" t="str">
        <f>IF(AND($G382='Povolené hodnoty'!$B$13,$H382=BD$4),SUM($J382,$M382,$P382,$S382),"")</f>
        <v/>
      </c>
      <c r="BE382" s="41" t="str">
        <f>IF(AND($G382='Povolené hodnoty'!$B$13,$H382=BE$4),SUM($J382,$M382,$P382,$S382),"")</f>
        <v/>
      </c>
      <c r="BF382" s="39" t="str">
        <f>IF(AND($G382='Povolené hodnoty'!$B$14,$H382=BF$4),SUM($J382,$M382,$P382,$S382),"")</f>
        <v/>
      </c>
      <c r="BG382" s="458" t="str">
        <f>IF(AND($G382='Povolené hodnoty'!$B$14,$H382=BG$4),SUM($J382,$M382,$P382,$S382),"")</f>
        <v/>
      </c>
      <c r="BH382" s="458" t="str">
        <f>IF(AND($G382='Povolené hodnoty'!$B$14,$H382=BH$4),SUM($J382,$M382,$P382,$S382),"")</f>
        <v/>
      </c>
      <c r="BI382" s="458" t="str">
        <f>IF(AND($G382='Povolené hodnoty'!$B$14,$H382=BI$4),SUM($J382,$M382,$P382,$S382),"")</f>
        <v/>
      </c>
      <c r="BJ382" s="458" t="str">
        <f>IF(AND($G382='Povolené hodnoty'!$B$14,$H382=BJ$4),SUM($J382,$M382,$P382,$S382),"")</f>
        <v/>
      </c>
      <c r="BK382" s="40" t="str">
        <f>IF(AND($G382='Povolené hodnoty'!$B$14,$H382=BK$4),SUM($J382,$M382,$P382,$S382),"")</f>
        <v/>
      </c>
      <c r="BL382" s="40" t="str">
        <f>IF(AND($G382='Povolené hodnoty'!$B$14,$H382=BL$4),SUM($J382,$M382,$P382,$S382),"")</f>
        <v/>
      </c>
      <c r="BM382" s="41" t="str">
        <f>IF(AND($G382='Povolené hodnoty'!$B$14,$H382=BM$4),SUM($J382,$M382,$P382,$S382),"")</f>
        <v/>
      </c>
      <c r="BO382" s="18" t="b">
        <f t="shared" si="211"/>
        <v>0</v>
      </c>
      <c r="BP382" s="18" t="b">
        <f t="shared" si="182"/>
        <v>0</v>
      </c>
      <c r="BQ382" s="18" t="b">
        <f>AND(E382&lt;&gt;'Povolené hodnoty'!$B$6,F382&lt;&gt;'Povolené hodnoty'!$D$7,F382&lt;&gt;'Povolené hodnoty'!$D$8,OR(SUM(I382,L382,O382,R382)&lt;&gt;SUM(W382:X382,AA382:AG382),SUM(J382,M382,P382,S382)&lt;&gt;SUM(Y382:Z382,AH382:AK382),COUNT(I382:J382,L382:M382,O382:P382,R382:S382)&lt;&gt;COUNT(W382:AK382)))</f>
        <v>0</v>
      </c>
      <c r="BR382" s="18" t="b">
        <f>OR(AND(E382='Povolené hodnoty'!$B$6,$BR$5),AND(E382='Povolené hodnoty'!$B$6,H382&lt;&gt;'Povolené hodnoty'!$E$26,H382&lt;&gt;'Povolené hodnoty'!$E$35),AND(E382&lt;&gt;'Povolené hodnoty'!$B$6,OR(H382='Povolené hodnoty'!$E$26,H382='Povolené hodnoty'!$E$35)))</f>
        <v>0</v>
      </c>
      <c r="BS382" s="18" t="b">
        <f>OR(AND(G382&lt;&gt;'Povolené hodnoty'!$B$13,OR(H382='Povolené hodnoty'!$E$21,H382='Povolené hodnoty'!$E$22,H382='Povolené hodnoty'!$E$23,H382='Povolené hodnoty'!$E$24,H382='Povolené hodnoty'!$E$26,H382='Povolené hodnoty'!$E$36)),COUNT(I382:J382,L382:M382,O382:P382,R382:S382)&lt;&gt;COUNT(AL382:BM382))</f>
        <v>0</v>
      </c>
      <c r="BT382" s="18" t="b">
        <f t="shared" si="183"/>
        <v>0</v>
      </c>
      <c r="BV382" s="39" t="str">
        <f t="shared" si="184"/>
        <v/>
      </c>
      <c r="BW382" s="458" t="str">
        <f t="shared" si="185"/>
        <v/>
      </c>
      <c r="BX382" s="458" t="str">
        <f t="shared" si="186"/>
        <v/>
      </c>
      <c r="BY382" s="458" t="str">
        <f t="shared" si="187"/>
        <v/>
      </c>
      <c r="BZ382" s="458" t="str">
        <f t="shared" si="188"/>
        <v/>
      </c>
      <c r="CA382" s="40" t="str">
        <f t="shared" si="189"/>
        <v/>
      </c>
      <c r="CB382" s="40" t="str">
        <f t="shared" si="190"/>
        <v/>
      </c>
      <c r="CC382" s="39" t="str">
        <f t="shared" si="191"/>
        <v/>
      </c>
      <c r="CD382" s="458" t="str">
        <f t="shared" si="192"/>
        <v/>
      </c>
      <c r="CE382" s="41" t="str">
        <f t="shared" si="193"/>
        <v/>
      </c>
      <c r="CF382" s="39" t="str">
        <f t="shared" si="194"/>
        <v/>
      </c>
      <c r="CG382" s="458" t="str">
        <f t="shared" si="195"/>
        <v/>
      </c>
      <c r="CH382" s="458" t="str">
        <f t="shared" si="196"/>
        <v/>
      </c>
      <c r="CI382" s="458" t="str">
        <f t="shared" si="197"/>
        <v/>
      </c>
      <c r="CJ382" s="458" t="str">
        <f t="shared" si="198"/>
        <v/>
      </c>
      <c r="CK382" s="40" t="str">
        <f t="shared" si="199"/>
        <v/>
      </c>
      <c r="CL382" s="40" t="str">
        <f t="shared" si="200"/>
        <v/>
      </c>
      <c r="CM382" s="40" t="str">
        <f t="shared" si="201"/>
        <v/>
      </c>
      <c r="CN382" s="39" t="str">
        <f t="shared" si="202"/>
        <v/>
      </c>
      <c r="CO382" s="458" t="str">
        <f t="shared" si="203"/>
        <v/>
      </c>
      <c r="CP382" s="458" t="str">
        <f t="shared" si="204"/>
        <v/>
      </c>
      <c r="CQ382" s="458" t="str">
        <f t="shared" si="205"/>
        <v/>
      </c>
      <c r="CR382" s="458" t="str">
        <f t="shared" si="206"/>
        <v/>
      </c>
      <c r="CS382" s="40" t="str">
        <f t="shared" si="207"/>
        <v/>
      </c>
      <c r="CT382" s="40" t="str">
        <f t="shared" si="208"/>
        <v/>
      </c>
      <c r="CU382" s="41" t="str">
        <f t="shared" si="209"/>
        <v/>
      </c>
    </row>
    <row r="383" spans="1:99" x14ac:dyDescent="0.2">
      <c r="A383" s="77">
        <f t="shared" si="210"/>
        <v>378</v>
      </c>
      <c r="B383" s="81"/>
      <c r="C383" s="82"/>
      <c r="D383" s="71"/>
      <c r="E383" s="72"/>
      <c r="F383" s="73"/>
      <c r="G383" s="443"/>
      <c r="H383" s="443"/>
      <c r="I383" s="74"/>
      <c r="J383" s="75"/>
      <c r="K383" s="41">
        <f t="shared" si="214"/>
        <v>3625</v>
      </c>
      <c r="L383" s="104"/>
      <c r="M383" s="105"/>
      <c r="N383" s="106">
        <f t="shared" si="215"/>
        <v>537.05999999999995</v>
      </c>
      <c r="O383" s="104"/>
      <c r="P383" s="105"/>
      <c r="Q383" s="106">
        <f t="shared" si="212"/>
        <v>10045.83</v>
      </c>
      <c r="R383" s="104"/>
      <c r="S383" s="105"/>
      <c r="T383" s="106">
        <f t="shared" si="213"/>
        <v>0</v>
      </c>
      <c r="U383" s="439"/>
      <c r="V383" s="42">
        <f t="shared" si="181"/>
        <v>378</v>
      </c>
      <c r="W383" s="39" t="str">
        <f>IF(AND(E383='Povolené hodnoty'!$B$4,F383=2),I383+L383+O383+R383,"")</f>
        <v/>
      </c>
      <c r="X383" s="41" t="str">
        <f>IF(AND(E383='Povolené hodnoty'!$B$4,F383=1),I383+L383+O383+R383,"")</f>
        <v/>
      </c>
      <c r="Y383" s="39" t="str">
        <f>IF(AND(E383='Povolené hodnoty'!$B$4,F383=10),J383+M383+P383+S383,"")</f>
        <v/>
      </c>
      <c r="Z383" s="41" t="str">
        <f>IF(AND(E383='Povolené hodnoty'!$B$4,F383=9),J383+M383+P383+S383,"")</f>
        <v/>
      </c>
      <c r="AA383" s="39" t="str">
        <f>IF(AND(E383&lt;&gt;'Povolené hodnoty'!$B$4,F383=2),I383+L383+O383+R383,"")</f>
        <v/>
      </c>
      <c r="AB383" s="40" t="str">
        <f>IF(AND(E383&lt;&gt;'Povolené hodnoty'!$B$4,F383=3),I383+L383+O383+R383,"")</f>
        <v/>
      </c>
      <c r="AC383" s="40" t="str">
        <f>IF(AND(E383&lt;&gt;'Povolené hodnoty'!$B$4,F383=4),I383+L383+O383+R383,"")</f>
        <v/>
      </c>
      <c r="AD383" s="40" t="str">
        <f>IF(AND(E383&lt;&gt;'Povolené hodnoty'!$B$4,F383="5a"),I383-J383+L383-M383+O383-P383+R383-S383,"")</f>
        <v/>
      </c>
      <c r="AE383" s="40" t="str">
        <f>IF(AND(E383&lt;&gt;'Povolené hodnoty'!$B$4,F383="5b"),I383-J383+L383-M383+O383-P383+R383-S383,"")</f>
        <v/>
      </c>
      <c r="AF383" s="40" t="str">
        <f>IF(AND(E383&lt;&gt;'Povolené hodnoty'!$B$4,F383=6),I383+L383+O383+R383,"")</f>
        <v/>
      </c>
      <c r="AG383" s="41" t="str">
        <f>IF(AND(E383&lt;&gt;'Povolené hodnoty'!$B$4,F383=7),I383+L383+O383+R383,"")</f>
        <v/>
      </c>
      <c r="AH383" s="39" t="str">
        <f>IF(AND(E383&lt;&gt;'Povolené hodnoty'!$B$4,F383=10),J383+M383+P383+S383,"")</f>
        <v/>
      </c>
      <c r="AI383" s="40" t="str">
        <f>IF(AND(E383&lt;&gt;'Povolené hodnoty'!$B$4,F383=11),J383+M383+P383+S383,"")</f>
        <v/>
      </c>
      <c r="AJ383" s="40" t="str">
        <f>IF(AND(E383&lt;&gt;'Povolené hodnoty'!$B$4,F383=12),J383+M383+P383+S383,"")</f>
        <v/>
      </c>
      <c r="AK383" s="41" t="str">
        <f>IF(AND(E383&lt;&gt;'Povolené hodnoty'!$B$4,F383=13),J383+M383+P383+S383,"")</f>
        <v/>
      </c>
      <c r="AL383" s="39" t="str">
        <f>IF(AND($G383='Povolené hodnoty'!$B$13,$H383=AL$4),SUM($I383,$L383,$O383,$R383),"")</f>
        <v/>
      </c>
      <c r="AM383" s="458" t="str">
        <f>IF(AND($G383='Povolené hodnoty'!$B$13,$H383=AM$4),SUM($I383,$L383,$O383,$R383),"")</f>
        <v/>
      </c>
      <c r="AN383" s="458" t="str">
        <f>IF(AND($G383='Povolené hodnoty'!$B$13,$H383=AN$4),SUM($I383,$L383,$O383,$R383),"")</f>
        <v/>
      </c>
      <c r="AO383" s="458" t="str">
        <f>IF(AND($G383='Povolené hodnoty'!$B$13,$H383=AO$4),SUM($I383,$L383,$O383,$R383),"")</f>
        <v/>
      </c>
      <c r="AP383" s="458" t="str">
        <f>IF(AND($G383='Povolené hodnoty'!$B$13,$H383=AP$4),SUM($I383,$L383,$O383,$R383),"")</f>
        <v/>
      </c>
      <c r="AQ383" s="40" t="str">
        <f>IF(AND($G383='Povolené hodnoty'!$B$13,OR($H383=AQ$4,$H383='Povolené hodnoty'!$E$36)),SUM($I383,-$J383,$L383,-$M383,$O383,-$P383,$R383,-$S383),"")</f>
        <v/>
      </c>
      <c r="AR383" s="40" t="str">
        <f>IF(AND($G383='Povolené hodnoty'!$B$13,$H383=AR$4),SUM($I383,$L383,$O383,$R383),"")</f>
        <v/>
      </c>
      <c r="AS383" s="41" t="str">
        <f>IF(AND($G383='Povolené hodnoty'!$B$13,$H383=AS$4),SUM($I383,$L383,$O383,$R383),"")</f>
        <v/>
      </c>
      <c r="AT383" s="39" t="str">
        <f>IF(AND($G383='Povolené hodnoty'!$B$14,$H383=AT$4),SUM($I383,$L383,$O383,$R383),"")</f>
        <v/>
      </c>
      <c r="AU383" s="458" t="str">
        <f>IF(AND($G383='Povolené hodnoty'!$B$14,$H383=AU$4),SUM($I383,$L383,$O383,$R383),"")</f>
        <v/>
      </c>
      <c r="AV383" s="41" t="str">
        <f>IF(AND($G383='Povolené hodnoty'!$B$14,$H383=AV$4),SUM($I383,$L383,$O383,$R383),"")</f>
        <v/>
      </c>
      <c r="AW383" s="39" t="str">
        <f>IF(AND($G383='Povolené hodnoty'!$B$13,$H383=AW$4),SUM($J383,$M383,$P383,$S383),"")</f>
        <v/>
      </c>
      <c r="AX383" s="458" t="str">
        <f>IF(AND($G383='Povolené hodnoty'!$B$13,$H383=AX$4),SUM($J383,$M383,$P383,$S383),"")</f>
        <v/>
      </c>
      <c r="AY383" s="458" t="str">
        <f>IF(AND($G383='Povolené hodnoty'!$B$13,$H383=AY$4),SUM($J383,$M383,$P383,$S383),"")</f>
        <v/>
      </c>
      <c r="AZ383" s="458" t="str">
        <f>IF(AND($G383='Povolené hodnoty'!$B$13,$H383=AZ$4),SUM($J383,$M383,$P383,$S383),"")</f>
        <v/>
      </c>
      <c r="BA383" s="458" t="str">
        <f>IF(AND($G383='Povolené hodnoty'!$B$13,$H383=BA$4),SUM($J383,$M383,$P383,$S383),"")</f>
        <v/>
      </c>
      <c r="BB383" s="40" t="str">
        <f>IF(AND($G383='Povolené hodnoty'!$B$13,$H383=BB$4),SUM($J383,$M383,$P383,$S383),"")</f>
        <v/>
      </c>
      <c r="BC383" s="40" t="str">
        <f>IF(AND($G383='Povolené hodnoty'!$B$13,$H383=BC$4),SUM($J383,$M383,$P383,$S383),"")</f>
        <v/>
      </c>
      <c r="BD383" s="40" t="str">
        <f>IF(AND($G383='Povolené hodnoty'!$B$13,$H383=BD$4),SUM($J383,$M383,$P383,$S383),"")</f>
        <v/>
      </c>
      <c r="BE383" s="41" t="str">
        <f>IF(AND($G383='Povolené hodnoty'!$B$13,$H383=BE$4),SUM($J383,$M383,$P383,$S383),"")</f>
        <v/>
      </c>
      <c r="BF383" s="39" t="str">
        <f>IF(AND($G383='Povolené hodnoty'!$B$14,$H383=BF$4),SUM($J383,$M383,$P383,$S383),"")</f>
        <v/>
      </c>
      <c r="BG383" s="458" t="str">
        <f>IF(AND($G383='Povolené hodnoty'!$B$14,$H383=BG$4),SUM($J383,$M383,$P383,$S383),"")</f>
        <v/>
      </c>
      <c r="BH383" s="458" t="str">
        <f>IF(AND($G383='Povolené hodnoty'!$B$14,$H383=BH$4),SUM($J383,$M383,$P383,$S383),"")</f>
        <v/>
      </c>
      <c r="BI383" s="458" t="str">
        <f>IF(AND($G383='Povolené hodnoty'!$B$14,$H383=BI$4),SUM($J383,$M383,$P383,$S383),"")</f>
        <v/>
      </c>
      <c r="BJ383" s="458" t="str">
        <f>IF(AND($G383='Povolené hodnoty'!$B$14,$H383=BJ$4),SUM($J383,$M383,$P383,$S383),"")</f>
        <v/>
      </c>
      <c r="BK383" s="40" t="str">
        <f>IF(AND($G383='Povolené hodnoty'!$B$14,$H383=BK$4),SUM($J383,$M383,$P383,$S383),"")</f>
        <v/>
      </c>
      <c r="BL383" s="40" t="str">
        <f>IF(AND($G383='Povolené hodnoty'!$B$14,$H383=BL$4),SUM($J383,$M383,$P383,$S383),"")</f>
        <v/>
      </c>
      <c r="BM383" s="41" t="str">
        <f>IF(AND($G383='Povolené hodnoty'!$B$14,$H383=BM$4),SUM($J383,$M383,$P383,$S383),"")</f>
        <v/>
      </c>
      <c r="BO383" s="18" t="b">
        <f t="shared" si="211"/>
        <v>0</v>
      </c>
      <c r="BP383" s="18" t="b">
        <f t="shared" si="182"/>
        <v>0</v>
      </c>
      <c r="BQ383" s="18" t="b">
        <f>AND(E383&lt;&gt;'Povolené hodnoty'!$B$6,F383&lt;&gt;'Povolené hodnoty'!$D$7,F383&lt;&gt;'Povolené hodnoty'!$D$8,OR(SUM(I383,L383,O383,R383)&lt;&gt;SUM(W383:X383,AA383:AG383),SUM(J383,M383,P383,S383)&lt;&gt;SUM(Y383:Z383,AH383:AK383),COUNT(I383:J383,L383:M383,O383:P383,R383:S383)&lt;&gt;COUNT(W383:AK383)))</f>
        <v>0</v>
      </c>
      <c r="BR383" s="18" t="b">
        <f>OR(AND(E383='Povolené hodnoty'!$B$6,$BR$5),AND(E383='Povolené hodnoty'!$B$6,H383&lt;&gt;'Povolené hodnoty'!$E$26,H383&lt;&gt;'Povolené hodnoty'!$E$35),AND(E383&lt;&gt;'Povolené hodnoty'!$B$6,OR(H383='Povolené hodnoty'!$E$26,H383='Povolené hodnoty'!$E$35)))</f>
        <v>0</v>
      </c>
      <c r="BS383" s="18" t="b">
        <f>OR(AND(G383&lt;&gt;'Povolené hodnoty'!$B$13,OR(H383='Povolené hodnoty'!$E$21,H383='Povolené hodnoty'!$E$22,H383='Povolené hodnoty'!$E$23,H383='Povolené hodnoty'!$E$24,H383='Povolené hodnoty'!$E$26,H383='Povolené hodnoty'!$E$36)),COUNT(I383:J383,L383:M383,O383:P383,R383:S383)&lt;&gt;COUNT(AL383:BM383))</f>
        <v>0</v>
      </c>
      <c r="BT383" s="18" t="b">
        <f t="shared" si="183"/>
        <v>0</v>
      </c>
      <c r="BV383" s="39" t="str">
        <f t="shared" si="184"/>
        <v/>
      </c>
      <c r="BW383" s="458" t="str">
        <f t="shared" si="185"/>
        <v/>
      </c>
      <c r="BX383" s="458" t="str">
        <f t="shared" si="186"/>
        <v/>
      </c>
      <c r="BY383" s="458" t="str">
        <f t="shared" si="187"/>
        <v/>
      </c>
      <c r="BZ383" s="458" t="str">
        <f t="shared" si="188"/>
        <v/>
      </c>
      <c r="CA383" s="40" t="str">
        <f t="shared" si="189"/>
        <v/>
      </c>
      <c r="CB383" s="40" t="str">
        <f t="shared" si="190"/>
        <v/>
      </c>
      <c r="CC383" s="39" t="str">
        <f t="shared" si="191"/>
        <v/>
      </c>
      <c r="CD383" s="458" t="str">
        <f t="shared" si="192"/>
        <v/>
      </c>
      <c r="CE383" s="41" t="str">
        <f t="shared" si="193"/>
        <v/>
      </c>
      <c r="CF383" s="39" t="str">
        <f t="shared" si="194"/>
        <v/>
      </c>
      <c r="CG383" s="458" t="str">
        <f t="shared" si="195"/>
        <v/>
      </c>
      <c r="CH383" s="458" t="str">
        <f t="shared" si="196"/>
        <v/>
      </c>
      <c r="CI383" s="458" t="str">
        <f t="shared" si="197"/>
        <v/>
      </c>
      <c r="CJ383" s="458" t="str">
        <f t="shared" si="198"/>
        <v/>
      </c>
      <c r="CK383" s="40" t="str">
        <f t="shared" si="199"/>
        <v/>
      </c>
      <c r="CL383" s="40" t="str">
        <f t="shared" si="200"/>
        <v/>
      </c>
      <c r="CM383" s="40" t="str">
        <f t="shared" si="201"/>
        <v/>
      </c>
      <c r="CN383" s="39" t="str">
        <f t="shared" si="202"/>
        <v/>
      </c>
      <c r="CO383" s="458" t="str">
        <f t="shared" si="203"/>
        <v/>
      </c>
      <c r="CP383" s="458" t="str">
        <f t="shared" si="204"/>
        <v/>
      </c>
      <c r="CQ383" s="458" t="str">
        <f t="shared" si="205"/>
        <v/>
      </c>
      <c r="CR383" s="458" t="str">
        <f t="shared" si="206"/>
        <v/>
      </c>
      <c r="CS383" s="40" t="str">
        <f t="shared" si="207"/>
        <v/>
      </c>
      <c r="CT383" s="40" t="str">
        <f t="shared" si="208"/>
        <v/>
      </c>
      <c r="CU383" s="41" t="str">
        <f t="shared" si="209"/>
        <v/>
      </c>
    </row>
    <row r="384" spans="1:99" x14ac:dyDescent="0.2">
      <c r="A384" s="77">
        <f t="shared" si="210"/>
        <v>379</v>
      </c>
      <c r="B384" s="81"/>
      <c r="C384" s="82"/>
      <c r="D384" s="71"/>
      <c r="E384" s="72"/>
      <c r="F384" s="73"/>
      <c r="G384" s="443"/>
      <c r="H384" s="443"/>
      <c r="I384" s="74"/>
      <c r="J384" s="75"/>
      <c r="K384" s="41">
        <f t="shared" si="214"/>
        <v>3625</v>
      </c>
      <c r="L384" s="104"/>
      <c r="M384" s="105"/>
      <c r="N384" s="106">
        <f t="shared" si="215"/>
        <v>537.05999999999995</v>
      </c>
      <c r="O384" s="104"/>
      <c r="P384" s="105"/>
      <c r="Q384" s="106">
        <f t="shared" si="212"/>
        <v>10045.83</v>
      </c>
      <c r="R384" s="104"/>
      <c r="S384" s="105"/>
      <c r="T384" s="106">
        <f t="shared" si="213"/>
        <v>0</v>
      </c>
      <c r="U384" s="439"/>
      <c r="V384" s="42">
        <f t="shared" si="181"/>
        <v>379</v>
      </c>
      <c r="W384" s="39" t="str">
        <f>IF(AND(E384='Povolené hodnoty'!$B$4,F384=2),I384+L384+O384+R384,"")</f>
        <v/>
      </c>
      <c r="X384" s="41" t="str">
        <f>IF(AND(E384='Povolené hodnoty'!$B$4,F384=1),I384+L384+O384+R384,"")</f>
        <v/>
      </c>
      <c r="Y384" s="39" t="str">
        <f>IF(AND(E384='Povolené hodnoty'!$B$4,F384=10),J384+M384+P384+S384,"")</f>
        <v/>
      </c>
      <c r="Z384" s="41" t="str">
        <f>IF(AND(E384='Povolené hodnoty'!$B$4,F384=9),J384+M384+P384+S384,"")</f>
        <v/>
      </c>
      <c r="AA384" s="39" t="str">
        <f>IF(AND(E384&lt;&gt;'Povolené hodnoty'!$B$4,F384=2),I384+L384+O384+R384,"")</f>
        <v/>
      </c>
      <c r="AB384" s="40" t="str">
        <f>IF(AND(E384&lt;&gt;'Povolené hodnoty'!$B$4,F384=3),I384+L384+O384+R384,"")</f>
        <v/>
      </c>
      <c r="AC384" s="40" t="str">
        <f>IF(AND(E384&lt;&gt;'Povolené hodnoty'!$B$4,F384=4),I384+L384+O384+R384,"")</f>
        <v/>
      </c>
      <c r="AD384" s="40" t="str">
        <f>IF(AND(E384&lt;&gt;'Povolené hodnoty'!$B$4,F384="5a"),I384-J384+L384-M384+O384-P384+R384-S384,"")</f>
        <v/>
      </c>
      <c r="AE384" s="40" t="str">
        <f>IF(AND(E384&lt;&gt;'Povolené hodnoty'!$B$4,F384="5b"),I384-J384+L384-M384+O384-P384+R384-S384,"")</f>
        <v/>
      </c>
      <c r="AF384" s="40" t="str">
        <f>IF(AND(E384&lt;&gt;'Povolené hodnoty'!$B$4,F384=6),I384+L384+O384+R384,"")</f>
        <v/>
      </c>
      <c r="AG384" s="41" t="str">
        <f>IF(AND(E384&lt;&gt;'Povolené hodnoty'!$B$4,F384=7),I384+L384+O384+R384,"")</f>
        <v/>
      </c>
      <c r="AH384" s="39" t="str">
        <f>IF(AND(E384&lt;&gt;'Povolené hodnoty'!$B$4,F384=10),J384+M384+P384+S384,"")</f>
        <v/>
      </c>
      <c r="AI384" s="40" t="str">
        <f>IF(AND(E384&lt;&gt;'Povolené hodnoty'!$B$4,F384=11),J384+M384+P384+S384,"")</f>
        <v/>
      </c>
      <c r="AJ384" s="40" t="str">
        <f>IF(AND(E384&lt;&gt;'Povolené hodnoty'!$B$4,F384=12),J384+M384+P384+S384,"")</f>
        <v/>
      </c>
      <c r="AK384" s="41" t="str">
        <f>IF(AND(E384&lt;&gt;'Povolené hodnoty'!$B$4,F384=13),J384+M384+P384+S384,"")</f>
        <v/>
      </c>
      <c r="AL384" s="39" t="str">
        <f>IF(AND($G384='Povolené hodnoty'!$B$13,$H384=AL$4),SUM($I384,$L384,$O384,$R384),"")</f>
        <v/>
      </c>
      <c r="AM384" s="458" t="str">
        <f>IF(AND($G384='Povolené hodnoty'!$B$13,$H384=AM$4),SUM($I384,$L384,$O384,$R384),"")</f>
        <v/>
      </c>
      <c r="AN384" s="458" t="str">
        <f>IF(AND($G384='Povolené hodnoty'!$B$13,$H384=AN$4),SUM($I384,$L384,$O384,$R384),"")</f>
        <v/>
      </c>
      <c r="AO384" s="458" t="str">
        <f>IF(AND($G384='Povolené hodnoty'!$B$13,$H384=AO$4),SUM($I384,$L384,$O384,$R384),"")</f>
        <v/>
      </c>
      <c r="AP384" s="458" t="str">
        <f>IF(AND($G384='Povolené hodnoty'!$B$13,$H384=AP$4),SUM($I384,$L384,$O384,$R384),"")</f>
        <v/>
      </c>
      <c r="AQ384" s="40" t="str">
        <f>IF(AND($G384='Povolené hodnoty'!$B$13,OR($H384=AQ$4,$H384='Povolené hodnoty'!$E$36)),SUM($I384,-$J384,$L384,-$M384,$O384,-$P384,$R384,-$S384),"")</f>
        <v/>
      </c>
      <c r="AR384" s="40" t="str">
        <f>IF(AND($G384='Povolené hodnoty'!$B$13,$H384=AR$4),SUM($I384,$L384,$O384,$R384),"")</f>
        <v/>
      </c>
      <c r="AS384" s="41" t="str">
        <f>IF(AND($G384='Povolené hodnoty'!$B$13,$H384=AS$4),SUM($I384,$L384,$O384,$R384),"")</f>
        <v/>
      </c>
      <c r="AT384" s="39" t="str">
        <f>IF(AND($G384='Povolené hodnoty'!$B$14,$H384=AT$4),SUM($I384,$L384,$O384,$R384),"")</f>
        <v/>
      </c>
      <c r="AU384" s="458" t="str">
        <f>IF(AND($G384='Povolené hodnoty'!$B$14,$H384=AU$4),SUM($I384,$L384,$O384,$R384),"")</f>
        <v/>
      </c>
      <c r="AV384" s="41" t="str">
        <f>IF(AND($G384='Povolené hodnoty'!$B$14,$H384=AV$4),SUM($I384,$L384,$O384,$R384),"")</f>
        <v/>
      </c>
      <c r="AW384" s="39" t="str">
        <f>IF(AND($G384='Povolené hodnoty'!$B$13,$H384=AW$4),SUM($J384,$M384,$P384,$S384),"")</f>
        <v/>
      </c>
      <c r="AX384" s="458" t="str">
        <f>IF(AND($G384='Povolené hodnoty'!$B$13,$H384=AX$4),SUM($J384,$M384,$P384,$S384),"")</f>
        <v/>
      </c>
      <c r="AY384" s="458" t="str">
        <f>IF(AND($G384='Povolené hodnoty'!$B$13,$H384=AY$4),SUM($J384,$M384,$P384,$S384),"")</f>
        <v/>
      </c>
      <c r="AZ384" s="458" t="str">
        <f>IF(AND($G384='Povolené hodnoty'!$B$13,$H384=AZ$4),SUM($J384,$M384,$P384,$S384),"")</f>
        <v/>
      </c>
      <c r="BA384" s="458" t="str">
        <f>IF(AND($G384='Povolené hodnoty'!$B$13,$H384=BA$4),SUM($J384,$M384,$P384,$S384),"")</f>
        <v/>
      </c>
      <c r="BB384" s="40" t="str">
        <f>IF(AND($G384='Povolené hodnoty'!$B$13,$H384=BB$4),SUM($J384,$M384,$P384,$S384),"")</f>
        <v/>
      </c>
      <c r="BC384" s="40" t="str">
        <f>IF(AND($G384='Povolené hodnoty'!$B$13,$H384=BC$4),SUM($J384,$M384,$P384,$S384),"")</f>
        <v/>
      </c>
      <c r="BD384" s="40" t="str">
        <f>IF(AND($G384='Povolené hodnoty'!$B$13,$H384=BD$4),SUM($J384,$M384,$P384,$S384),"")</f>
        <v/>
      </c>
      <c r="BE384" s="41" t="str">
        <f>IF(AND($G384='Povolené hodnoty'!$B$13,$H384=BE$4),SUM($J384,$M384,$P384,$S384),"")</f>
        <v/>
      </c>
      <c r="BF384" s="39" t="str">
        <f>IF(AND($G384='Povolené hodnoty'!$B$14,$H384=BF$4),SUM($J384,$M384,$P384,$S384),"")</f>
        <v/>
      </c>
      <c r="BG384" s="458" t="str">
        <f>IF(AND($G384='Povolené hodnoty'!$B$14,$H384=BG$4),SUM($J384,$M384,$P384,$S384),"")</f>
        <v/>
      </c>
      <c r="BH384" s="458" t="str">
        <f>IF(AND($G384='Povolené hodnoty'!$B$14,$H384=BH$4),SUM($J384,$M384,$P384,$S384),"")</f>
        <v/>
      </c>
      <c r="BI384" s="458" t="str">
        <f>IF(AND($G384='Povolené hodnoty'!$B$14,$H384=BI$4),SUM($J384,$M384,$P384,$S384),"")</f>
        <v/>
      </c>
      <c r="BJ384" s="458" t="str">
        <f>IF(AND($G384='Povolené hodnoty'!$B$14,$H384=BJ$4),SUM($J384,$M384,$P384,$S384),"")</f>
        <v/>
      </c>
      <c r="BK384" s="40" t="str">
        <f>IF(AND($G384='Povolené hodnoty'!$B$14,$H384=BK$4),SUM($J384,$M384,$P384,$S384),"")</f>
        <v/>
      </c>
      <c r="BL384" s="40" t="str">
        <f>IF(AND($G384='Povolené hodnoty'!$B$14,$H384=BL$4),SUM($J384,$M384,$P384,$S384),"")</f>
        <v/>
      </c>
      <c r="BM384" s="41" t="str">
        <f>IF(AND($G384='Povolené hodnoty'!$B$14,$H384=BM$4),SUM($J384,$M384,$P384,$S384),"")</f>
        <v/>
      </c>
      <c r="BO384" s="18" t="b">
        <f t="shared" si="211"/>
        <v>0</v>
      </c>
      <c r="BP384" s="18" t="b">
        <f t="shared" si="182"/>
        <v>0</v>
      </c>
      <c r="BQ384" s="18" t="b">
        <f>AND(E384&lt;&gt;'Povolené hodnoty'!$B$6,F384&lt;&gt;'Povolené hodnoty'!$D$7,F384&lt;&gt;'Povolené hodnoty'!$D$8,OR(SUM(I384,L384,O384,R384)&lt;&gt;SUM(W384:X384,AA384:AG384),SUM(J384,M384,P384,S384)&lt;&gt;SUM(Y384:Z384,AH384:AK384),COUNT(I384:J384,L384:M384,O384:P384,R384:S384)&lt;&gt;COUNT(W384:AK384)))</f>
        <v>0</v>
      </c>
      <c r="BR384" s="18" t="b">
        <f>OR(AND(E384='Povolené hodnoty'!$B$6,$BR$5),AND(E384='Povolené hodnoty'!$B$6,H384&lt;&gt;'Povolené hodnoty'!$E$26,H384&lt;&gt;'Povolené hodnoty'!$E$35),AND(E384&lt;&gt;'Povolené hodnoty'!$B$6,OR(H384='Povolené hodnoty'!$E$26,H384='Povolené hodnoty'!$E$35)))</f>
        <v>0</v>
      </c>
      <c r="BS384" s="18" t="b">
        <f>OR(AND(G384&lt;&gt;'Povolené hodnoty'!$B$13,OR(H384='Povolené hodnoty'!$E$21,H384='Povolené hodnoty'!$E$22,H384='Povolené hodnoty'!$E$23,H384='Povolené hodnoty'!$E$24,H384='Povolené hodnoty'!$E$26,H384='Povolené hodnoty'!$E$36)),COUNT(I384:J384,L384:M384,O384:P384,R384:S384)&lt;&gt;COUNT(AL384:BM384))</f>
        <v>0</v>
      </c>
      <c r="BT384" s="18" t="b">
        <f t="shared" si="183"/>
        <v>0</v>
      </c>
      <c r="BV384" s="39" t="str">
        <f t="shared" si="184"/>
        <v/>
      </c>
      <c r="BW384" s="458" t="str">
        <f t="shared" si="185"/>
        <v/>
      </c>
      <c r="BX384" s="458" t="str">
        <f t="shared" si="186"/>
        <v/>
      </c>
      <c r="BY384" s="458" t="str">
        <f t="shared" si="187"/>
        <v/>
      </c>
      <c r="BZ384" s="458" t="str">
        <f t="shared" si="188"/>
        <v/>
      </c>
      <c r="CA384" s="40" t="str">
        <f t="shared" si="189"/>
        <v/>
      </c>
      <c r="CB384" s="40" t="str">
        <f t="shared" si="190"/>
        <v/>
      </c>
      <c r="CC384" s="39" t="str">
        <f t="shared" si="191"/>
        <v/>
      </c>
      <c r="CD384" s="458" t="str">
        <f t="shared" si="192"/>
        <v/>
      </c>
      <c r="CE384" s="41" t="str">
        <f t="shared" si="193"/>
        <v/>
      </c>
      <c r="CF384" s="39" t="str">
        <f t="shared" si="194"/>
        <v/>
      </c>
      <c r="CG384" s="458" t="str">
        <f t="shared" si="195"/>
        <v/>
      </c>
      <c r="CH384" s="458" t="str">
        <f t="shared" si="196"/>
        <v/>
      </c>
      <c r="CI384" s="458" t="str">
        <f t="shared" si="197"/>
        <v/>
      </c>
      <c r="CJ384" s="458" t="str">
        <f t="shared" si="198"/>
        <v/>
      </c>
      <c r="CK384" s="40" t="str">
        <f t="shared" si="199"/>
        <v/>
      </c>
      <c r="CL384" s="40" t="str">
        <f t="shared" si="200"/>
        <v/>
      </c>
      <c r="CM384" s="40" t="str">
        <f t="shared" si="201"/>
        <v/>
      </c>
      <c r="CN384" s="39" t="str">
        <f t="shared" si="202"/>
        <v/>
      </c>
      <c r="CO384" s="458" t="str">
        <f t="shared" si="203"/>
        <v/>
      </c>
      <c r="CP384" s="458" t="str">
        <f t="shared" si="204"/>
        <v/>
      </c>
      <c r="CQ384" s="458" t="str">
        <f t="shared" si="205"/>
        <v/>
      </c>
      <c r="CR384" s="458" t="str">
        <f t="shared" si="206"/>
        <v/>
      </c>
      <c r="CS384" s="40" t="str">
        <f t="shared" si="207"/>
        <v/>
      </c>
      <c r="CT384" s="40" t="str">
        <f t="shared" si="208"/>
        <v/>
      </c>
      <c r="CU384" s="41" t="str">
        <f t="shared" si="209"/>
        <v/>
      </c>
    </row>
    <row r="385" spans="1:99" x14ac:dyDescent="0.2">
      <c r="A385" s="77">
        <f t="shared" si="210"/>
        <v>380</v>
      </c>
      <c r="B385" s="81"/>
      <c r="C385" s="82"/>
      <c r="D385" s="71"/>
      <c r="E385" s="72"/>
      <c r="F385" s="73"/>
      <c r="G385" s="443"/>
      <c r="H385" s="443"/>
      <c r="I385" s="74"/>
      <c r="J385" s="75"/>
      <c r="K385" s="41">
        <f t="shared" si="214"/>
        <v>3625</v>
      </c>
      <c r="L385" s="104"/>
      <c r="M385" s="105"/>
      <c r="N385" s="106">
        <f t="shared" si="215"/>
        <v>537.05999999999995</v>
      </c>
      <c r="O385" s="104"/>
      <c r="P385" s="105"/>
      <c r="Q385" s="106">
        <f t="shared" si="212"/>
        <v>10045.83</v>
      </c>
      <c r="R385" s="104"/>
      <c r="S385" s="105"/>
      <c r="T385" s="106">
        <f t="shared" si="213"/>
        <v>0</v>
      </c>
      <c r="U385" s="439"/>
      <c r="V385" s="42">
        <f t="shared" si="181"/>
        <v>380</v>
      </c>
      <c r="W385" s="39" t="str">
        <f>IF(AND(E385='Povolené hodnoty'!$B$4,F385=2),I385+L385+O385+R385,"")</f>
        <v/>
      </c>
      <c r="X385" s="41" t="str">
        <f>IF(AND(E385='Povolené hodnoty'!$B$4,F385=1),I385+L385+O385+R385,"")</f>
        <v/>
      </c>
      <c r="Y385" s="39" t="str">
        <f>IF(AND(E385='Povolené hodnoty'!$B$4,F385=10),J385+M385+P385+S385,"")</f>
        <v/>
      </c>
      <c r="Z385" s="41" t="str">
        <f>IF(AND(E385='Povolené hodnoty'!$B$4,F385=9),J385+M385+P385+S385,"")</f>
        <v/>
      </c>
      <c r="AA385" s="39" t="str">
        <f>IF(AND(E385&lt;&gt;'Povolené hodnoty'!$B$4,F385=2),I385+L385+O385+R385,"")</f>
        <v/>
      </c>
      <c r="AB385" s="40" t="str">
        <f>IF(AND(E385&lt;&gt;'Povolené hodnoty'!$B$4,F385=3),I385+L385+O385+R385,"")</f>
        <v/>
      </c>
      <c r="AC385" s="40" t="str">
        <f>IF(AND(E385&lt;&gt;'Povolené hodnoty'!$B$4,F385=4),I385+L385+O385+R385,"")</f>
        <v/>
      </c>
      <c r="AD385" s="40" t="str">
        <f>IF(AND(E385&lt;&gt;'Povolené hodnoty'!$B$4,F385="5a"),I385-J385+L385-M385+O385-P385+R385-S385,"")</f>
        <v/>
      </c>
      <c r="AE385" s="40" t="str">
        <f>IF(AND(E385&lt;&gt;'Povolené hodnoty'!$B$4,F385="5b"),I385-J385+L385-M385+O385-P385+R385-S385,"")</f>
        <v/>
      </c>
      <c r="AF385" s="40" t="str">
        <f>IF(AND(E385&lt;&gt;'Povolené hodnoty'!$B$4,F385=6),I385+L385+O385+R385,"")</f>
        <v/>
      </c>
      <c r="AG385" s="41" t="str">
        <f>IF(AND(E385&lt;&gt;'Povolené hodnoty'!$B$4,F385=7),I385+L385+O385+R385,"")</f>
        <v/>
      </c>
      <c r="AH385" s="39" t="str">
        <f>IF(AND(E385&lt;&gt;'Povolené hodnoty'!$B$4,F385=10),J385+M385+P385+S385,"")</f>
        <v/>
      </c>
      <c r="AI385" s="40" t="str">
        <f>IF(AND(E385&lt;&gt;'Povolené hodnoty'!$B$4,F385=11),J385+M385+P385+S385,"")</f>
        <v/>
      </c>
      <c r="AJ385" s="40" t="str">
        <f>IF(AND(E385&lt;&gt;'Povolené hodnoty'!$B$4,F385=12),J385+M385+P385+S385,"")</f>
        <v/>
      </c>
      <c r="AK385" s="41" t="str">
        <f>IF(AND(E385&lt;&gt;'Povolené hodnoty'!$B$4,F385=13),J385+M385+P385+S385,"")</f>
        <v/>
      </c>
      <c r="AL385" s="39" t="str">
        <f>IF(AND($G385='Povolené hodnoty'!$B$13,$H385=AL$4),SUM($I385,$L385,$O385,$R385),"")</f>
        <v/>
      </c>
      <c r="AM385" s="458" t="str">
        <f>IF(AND($G385='Povolené hodnoty'!$B$13,$H385=AM$4),SUM($I385,$L385,$O385,$R385),"")</f>
        <v/>
      </c>
      <c r="AN385" s="458" t="str">
        <f>IF(AND($G385='Povolené hodnoty'!$B$13,$H385=AN$4),SUM($I385,$L385,$O385,$R385),"")</f>
        <v/>
      </c>
      <c r="AO385" s="458" t="str">
        <f>IF(AND($G385='Povolené hodnoty'!$B$13,$H385=AO$4),SUM($I385,$L385,$O385,$R385),"")</f>
        <v/>
      </c>
      <c r="AP385" s="458" t="str">
        <f>IF(AND($G385='Povolené hodnoty'!$B$13,$H385=AP$4),SUM($I385,$L385,$O385,$R385),"")</f>
        <v/>
      </c>
      <c r="AQ385" s="40" t="str">
        <f>IF(AND($G385='Povolené hodnoty'!$B$13,OR($H385=AQ$4,$H385='Povolené hodnoty'!$E$36)),SUM($I385,-$J385,$L385,-$M385,$O385,-$P385,$R385,-$S385),"")</f>
        <v/>
      </c>
      <c r="AR385" s="40" t="str">
        <f>IF(AND($G385='Povolené hodnoty'!$B$13,$H385=AR$4),SUM($I385,$L385,$O385,$R385),"")</f>
        <v/>
      </c>
      <c r="AS385" s="41" t="str">
        <f>IF(AND($G385='Povolené hodnoty'!$B$13,$H385=AS$4),SUM($I385,$L385,$O385,$R385),"")</f>
        <v/>
      </c>
      <c r="AT385" s="39" t="str">
        <f>IF(AND($G385='Povolené hodnoty'!$B$14,$H385=AT$4),SUM($I385,$L385,$O385,$R385),"")</f>
        <v/>
      </c>
      <c r="AU385" s="458" t="str">
        <f>IF(AND($G385='Povolené hodnoty'!$B$14,$H385=AU$4),SUM($I385,$L385,$O385,$R385),"")</f>
        <v/>
      </c>
      <c r="AV385" s="41" t="str">
        <f>IF(AND($G385='Povolené hodnoty'!$B$14,$H385=AV$4),SUM($I385,$L385,$O385,$R385),"")</f>
        <v/>
      </c>
      <c r="AW385" s="39" t="str">
        <f>IF(AND($G385='Povolené hodnoty'!$B$13,$H385=AW$4),SUM($J385,$M385,$P385,$S385),"")</f>
        <v/>
      </c>
      <c r="AX385" s="458" t="str">
        <f>IF(AND($G385='Povolené hodnoty'!$B$13,$H385=AX$4),SUM($J385,$M385,$P385,$S385),"")</f>
        <v/>
      </c>
      <c r="AY385" s="458" t="str">
        <f>IF(AND($G385='Povolené hodnoty'!$B$13,$H385=AY$4),SUM($J385,$M385,$P385,$S385),"")</f>
        <v/>
      </c>
      <c r="AZ385" s="458" t="str">
        <f>IF(AND($G385='Povolené hodnoty'!$B$13,$H385=AZ$4),SUM($J385,$M385,$P385,$S385),"")</f>
        <v/>
      </c>
      <c r="BA385" s="458" t="str">
        <f>IF(AND($G385='Povolené hodnoty'!$B$13,$H385=BA$4),SUM($J385,$M385,$P385,$S385),"")</f>
        <v/>
      </c>
      <c r="BB385" s="40" t="str">
        <f>IF(AND($G385='Povolené hodnoty'!$B$13,$H385=BB$4),SUM($J385,$M385,$P385,$S385),"")</f>
        <v/>
      </c>
      <c r="BC385" s="40" t="str">
        <f>IF(AND($G385='Povolené hodnoty'!$B$13,$H385=BC$4),SUM($J385,$M385,$P385,$S385),"")</f>
        <v/>
      </c>
      <c r="BD385" s="40" t="str">
        <f>IF(AND($G385='Povolené hodnoty'!$B$13,$H385=BD$4),SUM($J385,$M385,$P385,$S385),"")</f>
        <v/>
      </c>
      <c r="BE385" s="41" t="str">
        <f>IF(AND($G385='Povolené hodnoty'!$B$13,$H385=BE$4),SUM($J385,$M385,$P385,$S385),"")</f>
        <v/>
      </c>
      <c r="BF385" s="39" t="str">
        <f>IF(AND($G385='Povolené hodnoty'!$B$14,$H385=BF$4),SUM($J385,$M385,$P385,$S385),"")</f>
        <v/>
      </c>
      <c r="BG385" s="458" t="str">
        <f>IF(AND($G385='Povolené hodnoty'!$B$14,$H385=BG$4),SUM($J385,$M385,$P385,$S385),"")</f>
        <v/>
      </c>
      <c r="BH385" s="458" t="str">
        <f>IF(AND($G385='Povolené hodnoty'!$B$14,$H385=BH$4),SUM($J385,$M385,$P385,$S385),"")</f>
        <v/>
      </c>
      <c r="BI385" s="458" t="str">
        <f>IF(AND($G385='Povolené hodnoty'!$B$14,$H385=BI$4),SUM($J385,$M385,$P385,$S385),"")</f>
        <v/>
      </c>
      <c r="BJ385" s="458" t="str">
        <f>IF(AND($G385='Povolené hodnoty'!$B$14,$H385=BJ$4),SUM($J385,$M385,$P385,$S385),"")</f>
        <v/>
      </c>
      <c r="BK385" s="40" t="str">
        <f>IF(AND($G385='Povolené hodnoty'!$B$14,$H385=BK$4),SUM($J385,$M385,$P385,$S385),"")</f>
        <v/>
      </c>
      <c r="BL385" s="40" t="str">
        <f>IF(AND($G385='Povolené hodnoty'!$B$14,$H385=BL$4),SUM($J385,$M385,$P385,$S385),"")</f>
        <v/>
      </c>
      <c r="BM385" s="41" t="str">
        <f>IF(AND($G385='Povolené hodnoty'!$B$14,$H385=BM$4),SUM($J385,$M385,$P385,$S385),"")</f>
        <v/>
      </c>
      <c r="BO385" s="18" t="b">
        <f t="shared" si="211"/>
        <v>0</v>
      </c>
      <c r="BP385" s="18" t="b">
        <f t="shared" si="182"/>
        <v>0</v>
      </c>
      <c r="BQ385" s="18" t="b">
        <f>AND(E385&lt;&gt;'Povolené hodnoty'!$B$6,F385&lt;&gt;'Povolené hodnoty'!$D$7,F385&lt;&gt;'Povolené hodnoty'!$D$8,OR(SUM(I385,L385,O385,R385)&lt;&gt;SUM(W385:X385,AA385:AG385),SUM(J385,M385,P385,S385)&lt;&gt;SUM(Y385:Z385,AH385:AK385),COUNT(I385:J385,L385:M385,O385:P385,R385:S385)&lt;&gt;COUNT(W385:AK385)))</f>
        <v>0</v>
      </c>
      <c r="BR385" s="18" t="b">
        <f>OR(AND(E385='Povolené hodnoty'!$B$6,$BR$5),AND(E385='Povolené hodnoty'!$B$6,H385&lt;&gt;'Povolené hodnoty'!$E$26,H385&lt;&gt;'Povolené hodnoty'!$E$35),AND(E385&lt;&gt;'Povolené hodnoty'!$B$6,OR(H385='Povolené hodnoty'!$E$26,H385='Povolené hodnoty'!$E$35)))</f>
        <v>0</v>
      </c>
      <c r="BS385" s="18" t="b">
        <f>OR(AND(G385&lt;&gt;'Povolené hodnoty'!$B$13,OR(H385='Povolené hodnoty'!$E$21,H385='Povolené hodnoty'!$E$22,H385='Povolené hodnoty'!$E$23,H385='Povolené hodnoty'!$E$24,H385='Povolené hodnoty'!$E$26,H385='Povolené hodnoty'!$E$36)),COUNT(I385:J385,L385:M385,O385:P385,R385:S385)&lt;&gt;COUNT(AL385:BM385))</f>
        <v>0</v>
      </c>
      <c r="BT385" s="18" t="b">
        <f t="shared" si="183"/>
        <v>0</v>
      </c>
      <c r="BV385" s="39" t="str">
        <f t="shared" si="184"/>
        <v/>
      </c>
      <c r="BW385" s="458" t="str">
        <f t="shared" si="185"/>
        <v/>
      </c>
      <c r="BX385" s="458" t="str">
        <f t="shared" si="186"/>
        <v/>
      </c>
      <c r="BY385" s="458" t="str">
        <f t="shared" si="187"/>
        <v/>
      </c>
      <c r="BZ385" s="458" t="str">
        <f t="shared" si="188"/>
        <v/>
      </c>
      <c r="CA385" s="40" t="str">
        <f t="shared" si="189"/>
        <v/>
      </c>
      <c r="CB385" s="40" t="str">
        <f t="shared" si="190"/>
        <v/>
      </c>
      <c r="CC385" s="39" t="str">
        <f t="shared" si="191"/>
        <v/>
      </c>
      <c r="CD385" s="458" t="str">
        <f t="shared" si="192"/>
        <v/>
      </c>
      <c r="CE385" s="41" t="str">
        <f t="shared" si="193"/>
        <v/>
      </c>
      <c r="CF385" s="39" t="str">
        <f t="shared" si="194"/>
        <v/>
      </c>
      <c r="CG385" s="458" t="str">
        <f t="shared" si="195"/>
        <v/>
      </c>
      <c r="CH385" s="458" t="str">
        <f t="shared" si="196"/>
        <v/>
      </c>
      <c r="CI385" s="458" t="str">
        <f t="shared" si="197"/>
        <v/>
      </c>
      <c r="CJ385" s="458" t="str">
        <f t="shared" si="198"/>
        <v/>
      </c>
      <c r="CK385" s="40" t="str">
        <f t="shared" si="199"/>
        <v/>
      </c>
      <c r="CL385" s="40" t="str">
        <f t="shared" si="200"/>
        <v/>
      </c>
      <c r="CM385" s="40" t="str">
        <f t="shared" si="201"/>
        <v/>
      </c>
      <c r="CN385" s="39" t="str">
        <f t="shared" si="202"/>
        <v/>
      </c>
      <c r="CO385" s="458" t="str">
        <f t="shared" si="203"/>
        <v/>
      </c>
      <c r="CP385" s="458" t="str">
        <f t="shared" si="204"/>
        <v/>
      </c>
      <c r="CQ385" s="458" t="str">
        <f t="shared" si="205"/>
        <v/>
      </c>
      <c r="CR385" s="458" t="str">
        <f t="shared" si="206"/>
        <v/>
      </c>
      <c r="CS385" s="40" t="str">
        <f t="shared" si="207"/>
        <v/>
      </c>
      <c r="CT385" s="40" t="str">
        <f t="shared" si="208"/>
        <v/>
      </c>
      <c r="CU385" s="41" t="str">
        <f t="shared" si="209"/>
        <v/>
      </c>
    </row>
    <row r="386" spans="1:99" x14ac:dyDescent="0.2">
      <c r="A386" s="77">
        <f t="shared" si="210"/>
        <v>381</v>
      </c>
      <c r="B386" s="81"/>
      <c r="C386" s="82"/>
      <c r="D386" s="71"/>
      <c r="E386" s="72"/>
      <c r="F386" s="73"/>
      <c r="G386" s="443"/>
      <c r="H386" s="443"/>
      <c r="I386" s="74"/>
      <c r="J386" s="75"/>
      <c r="K386" s="41">
        <f t="shared" si="214"/>
        <v>3625</v>
      </c>
      <c r="L386" s="104"/>
      <c r="M386" s="105"/>
      <c r="N386" s="106">
        <f t="shared" si="215"/>
        <v>537.05999999999995</v>
      </c>
      <c r="O386" s="104"/>
      <c r="P386" s="105"/>
      <c r="Q386" s="106">
        <f t="shared" si="212"/>
        <v>10045.83</v>
      </c>
      <c r="R386" s="104"/>
      <c r="S386" s="105"/>
      <c r="T386" s="106">
        <f t="shared" si="213"/>
        <v>0</v>
      </c>
      <c r="U386" s="439"/>
      <c r="V386" s="42">
        <f t="shared" si="181"/>
        <v>381</v>
      </c>
      <c r="W386" s="39" t="str">
        <f>IF(AND(E386='Povolené hodnoty'!$B$4,F386=2),I386+L386+O386+R386,"")</f>
        <v/>
      </c>
      <c r="X386" s="41" t="str">
        <f>IF(AND(E386='Povolené hodnoty'!$B$4,F386=1),I386+L386+O386+R386,"")</f>
        <v/>
      </c>
      <c r="Y386" s="39" t="str">
        <f>IF(AND(E386='Povolené hodnoty'!$B$4,F386=10),J386+M386+P386+S386,"")</f>
        <v/>
      </c>
      <c r="Z386" s="41" t="str">
        <f>IF(AND(E386='Povolené hodnoty'!$B$4,F386=9),J386+M386+P386+S386,"")</f>
        <v/>
      </c>
      <c r="AA386" s="39" t="str">
        <f>IF(AND(E386&lt;&gt;'Povolené hodnoty'!$B$4,F386=2),I386+L386+O386+R386,"")</f>
        <v/>
      </c>
      <c r="AB386" s="40" t="str">
        <f>IF(AND(E386&lt;&gt;'Povolené hodnoty'!$B$4,F386=3),I386+L386+O386+R386,"")</f>
        <v/>
      </c>
      <c r="AC386" s="40" t="str">
        <f>IF(AND(E386&lt;&gt;'Povolené hodnoty'!$B$4,F386=4),I386+L386+O386+R386,"")</f>
        <v/>
      </c>
      <c r="AD386" s="40" t="str">
        <f>IF(AND(E386&lt;&gt;'Povolené hodnoty'!$B$4,F386="5a"),I386-J386+L386-M386+O386-P386+R386-S386,"")</f>
        <v/>
      </c>
      <c r="AE386" s="40" t="str">
        <f>IF(AND(E386&lt;&gt;'Povolené hodnoty'!$B$4,F386="5b"),I386-J386+L386-M386+O386-P386+R386-S386,"")</f>
        <v/>
      </c>
      <c r="AF386" s="40" t="str">
        <f>IF(AND(E386&lt;&gt;'Povolené hodnoty'!$B$4,F386=6),I386+L386+O386+R386,"")</f>
        <v/>
      </c>
      <c r="AG386" s="41" t="str">
        <f>IF(AND(E386&lt;&gt;'Povolené hodnoty'!$B$4,F386=7),I386+L386+O386+R386,"")</f>
        <v/>
      </c>
      <c r="AH386" s="39" t="str">
        <f>IF(AND(E386&lt;&gt;'Povolené hodnoty'!$B$4,F386=10),J386+M386+P386+S386,"")</f>
        <v/>
      </c>
      <c r="AI386" s="40" t="str">
        <f>IF(AND(E386&lt;&gt;'Povolené hodnoty'!$B$4,F386=11),J386+M386+P386+S386,"")</f>
        <v/>
      </c>
      <c r="AJ386" s="40" t="str">
        <f>IF(AND(E386&lt;&gt;'Povolené hodnoty'!$B$4,F386=12),J386+M386+P386+S386,"")</f>
        <v/>
      </c>
      <c r="AK386" s="41" t="str">
        <f>IF(AND(E386&lt;&gt;'Povolené hodnoty'!$B$4,F386=13),J386+M386+P386+S386,"")</f>
        <v/>
      </c>
      <c r="AL386" s="39" t="str">
        <f>IF(AND($G386='Povolené hodnoty'!$B$13,$H386=AL$4),SUM($I386,$L386,$O386,$R386),"")</f>
        <v/>
      </c>
      <c r="AM386" s="458" t="str">
        <f>IF(AND($G386='Povolené hodnoty'!$B$13,$H386=AM$4),SUM($I386,$L386,$O386,$R386),"")</f>
        <v/>
      </c>
      <c r="AN386" s="458" t="str">
        <f>IF(AND($G386='Povolené hodnoty'!$B$13,$H386=AN$4),SUM($I386,$L386,$O386,$R386),"")</f>
        <v/>
      </c>
      <c r="AO386" s="458" t="str">
        <f>IF(AND($G386='Povolené hodnoty'!$B$13,$H386=AO$4),SUM($I386,$L386,$O386,$R386),"")</f>
        <v/>
      </c>
      <c r="AP386" s="458" t="str">
        <f>IF(AND($G386='Povolené hodnoty'!$B$13,$H386=AP$4),SUM($I386,$L386,$O386,$R386),"")</f>
        <v/>
      </c>
      <c r="AQ386" s="40" t="str">
        <f>IF(AND($G386='Povolené hodnoty'!$B$13,OR($H386=AQ$4,$H386='Povolené hodnoty'!$E$36)),SUM($I386,-$J386,$L386,-$M386,$O386,-$P386,$R386,-$S386),"")</f>
        <v/>
      </c>
      <c r="AR386" s="40" t="str">
        <f>IF(AND($G386='Povolené hodnoty'!$B$13,$H386=AR$4),SUM($I386,$L386,$O386,$R386),"")</f>
        <v/>
      </c>
      <c r="AS386" s="41" t="str">
        <f>IF(AND($G386='Povolené hodnoty'!$B$13,$H386=AS$4),SUM($I386,$L386,$O386,$R386),"")</f>
        <v/>
      </c>
      <c r="AT386" s="39" t="str">
        <f>IF(AND($G386='Povolené hodnoty'!$B$14,$H386=AT$4),SUM($I386,$L386,$O386,$R386),"")</f>
        <v/>
      </c>
      <c r="AU386" s="458" t="str">
        <f>IF(AND($G386='Povolené hodnoty'!$B$14,$H386=AU$4),SUM($I386,$L386,$O386,$R386),"")</f>
        <v/>
      </c>
      <c r="AV386" s="41" t="str">
        <f>IF(AND($G386='Povolené hodnoty'!$B$14,$H386=AV$4),SUM($I386,$L386,$O386,$R386),"")</f>
        <v/>
      </c>
      <c r="AW386" s="39" t="str">
        <f>IF(AND($G386='Povolené hodnoty'!$B$13,$H386=AW$4),SUM($J386,$M386,$P386,$S386),"")</f>
        <v/>
      </c>
      <c r="AX386" s="458" t="str">
        <f>IF(AND($G386='Povolené hodnoty'!$B$13,$H386=AX$4),SUM($J386,$M386,$P386,$S386),"")</f>
        <v/>
      </c>
      <c r="AY386" s="458" t="str">
        <f>IF(AND($G386='Povolené hodnoty'!$B$13,$H386=AY$4),SUM($J386,$M386,$P386,$S386),"")</f>
        <v/>
      </c>
      <c r="AZ386" s="458" t="str">
        <f>IF(AND($G386='Povolené hodnoty'!$B$13,$H386=AZ$4),SUM($J386,$M386,$P386,$S386),"")</f>
        <v/>
      </c>
      <c r="BA386" s="458" t="str">
        <f>IF(AND($G386='Povolené hodnoty'!$B$13,$H386=BA$4),SUM($J386,$M386,$P386,$S386),"")</f>
        <v/>
      </c>
      <c r="BB386" s="40" t="str">
        <f>IF(AND($G386='Povolené hodnoty'!$B$13,$H386=BB$4),SUM($J386,$M386,$P386,$S386),"")</f>
        <v/>
      </c>
      <c r="BC386" s="40" t="str">
        <f>IF(AND($G386='Povolené hodnoty'!$B$13,$H386=BC$4),SUM($J386,$M386,$P386,$S386),"")</f>
        <v/>
      </c>
      <c r="BD386" s="40" t="str">
        <f>IF(AND($G386='Povolené hodnoty'!$B$13,$H386=BD$4),SUM($J386,$M386,$P386,$S386),"")</f>
        <v/>
      </c>
      <c r="BE386" s="41" t="str">
        <f>IF(AND($G386='Povolené hodnoty'!$B$13,$H386=BE$4),SUM($J386,$M386,$P386,$S386),"")</f>
        <v/>
      </c>
      <c r="BF386" s="39" t="str">
        <f>IF(AND($G386='Povolené hodnoty'!$B$14,$H386=BF$4),SUM($J386,$M386,$P386,$S386),"")</f>
        <v/>
      </c>
      <c r="BG386" s="458" t="str">
        <f>IF(AND($G386='Povolené hodnoty'!$B$14,$H386=BG$4),SUM($J386,$M386,$P386,$S386),"")</f>
        <v/>
      </c>
      <c r="BH386" s="458" t="str">
        <f>IF(AND($G386='Povolené hodnoty'!$B$14,$H386=BH$4),SUM($J386,$M386,$P386,$S386),"")</f>
        <v/>
      </c>
      <c r="BI386" s="458" t="str">
        <f>IF(AND($G386='Povolené hodnoty'!$B$14,$H386=BI$4),SUM($J386,$M386,$P386,$S386),"")</f>
        <v/>
      </c>
      <c r="BJ386" s="458" t="str">
        <f>IF(AND($G386='Povolené hodnoty'!$B$14,$H386=BJ$4),SUM($J386,$M386,$P386,$S386),"")</f>
        <v/>
      </c>
      <c r="BK386" s="40" t="str">
        <f>IF(AND($G386='Povolené hodnoty'!$B$14,$H386=BK$4),SUM($J386,$M386,$P386,$S386),"")</f>
        <v/>
      </c>
      <c r="BL386" s="40" t="str">
        <f>IF(AND($G386='Povolené hodnoty'!$B$14,$H386=BL$4),SUM($J386,$M386,$P386,$S386),"")</f>
        <v/>
      </c>
      <c r="BM386" s="41" t="str">
        <f>IF(AND($G386='Povolené hodnoty'!$B$14,$H386=BM$4),SUM($J386,$M386,$P386,$S386),"")</f>
        <v/>
      </c>
      <c r="BO386" s="18" t="b">
        <f t="shared" si="211"/>
        <v>0</v>
      </c>
      <c r="BP386" s="18" t="b">
        <f t="shared" si="182"/>
        <v>0</v>
      </c>
      <c r="BQ386" s="18" t="b">
        <f>AND(E386&lt;&gt;'Povolené hodnoty'!$B$6,F386&lt;&gt;'Povolené hodnoty'!$D$7,F386&lt;&gt;'Povolené hodnoty'!$D$8,OR(SUM(I386,L386,O386,R386)&lt;&gt;SUM(W386:X386,AA386:AG386),SUM(J386,M386,P386,S386)&lt;&gt;SUM(Y386:Z386,AH386:AK386),COUNT(I386:J386,L386:M386,O386:P386,R386:S386)&lt;&gt;COUNT(W386:AK386)))</f>
        <v>0</v>
      </c>
      <c r="BR386" s="18" t="b">
        <f>OR(AND(E386='Povolené hodnoty'!$B$6,$BR$5),AND(E386='Povolené hodnoty'!$B$6,H386&lt;&gt;'Povolené hodnoty'!$E$26,H386&lt;&gt;'Povolené hodnoty'!$E$35),AND(E386&lt;&gt;'Povolené hodnoty'!$B$6,OR(H386='Povolené hodnoty'!$E$26,H386='Povolené hodnoty'!$E$35)))</f>
        <v>0</v>
      </c>
      <c r="BS386" s="18" t="b">
        <f>OR(AND(G386&lt;&gt;'Povolené hodnoty'!$B$13,OR(H386='Povolené hodnoty'!$E$21,H386='Povolené hodnoty'!$E$22,H386='Povolené hodnoty'!$E$23,H386='Povolené hodnoty'!$E$24,H386='Povolené hodnoty'!$E$26,H386='Povolené hodnoty'!$E$36)),COUNT(I386:J386,L386:M386,O386:P386,R386:S386)&lt;&gt;COUNT(AL386:BM386))</f>
        <v>0</v>
      </c>
      <c r="BT386" s="18" t="b">
        <f t="shared" si="183"/>
        <v>0</v>
      </c>
      <c r="BV386" s="39" t="str">
        <f t="shared" si="184"/>
        <v/>
      </c>
      <c r="BW386" s="458" t="str">
        <f t="shared" si="185"/>
        <v/>
      </c>
      <c r="BX386" s="458" t="str">
        <f t="shared" si="186"/>
        <v/>
      </c>
      <c r="BY386" s="458" t="str">
        <f t="shared" si="187"/>
        <v/>
      </c>
      <c r="BZ386" s="458" t="str">
        <f t="shared" si="188"/>
        <v/>
      </c>
      <c r="CA386" s="40" t="str">
        <f t="shared" si="189"/>
        <v/>
      </c>
      <c r="CB386" s="40" t="str">
        <f t="shared" si="190"/>
        <v/>
      </c>
      <c r="CC386" s="39" t="str">
        <f t="shared" si="191"/>
        <v/>
      </c>
      <c r="CD386" s="458" t="str">
        <f t="shared" si="192"/>
        <v/>
      </c>
      <c r="CE386" s="41" t="str">
        <f t="shared" si="193"/>
        <v/>
      </c>
      <c r="CF386" s="39" t="str">
        <f t="shared" si="194"/>
        <v/>
      </c>
      <c r="CG386" s="458" t="str">
        <f t="shared" si="195"/>
        <v/>
      </c>
      <c r="CH386" s="458" t="str">
        <f t="shared" si="196"/>
        <v/>
      </c>
      <c r="CI386" s="458" t="str">
        <f t="shared" si="197"/>
        <v/>
      </c>
      <c r="CJ386" s="458" t="str">
        <f t="shared" si="198"/>
        <v/>
      </c>
      <c r="CK386" s="40" t="str">
        <f t="shared" si="199"/>
        <v/>
      </c>
      <c r="CL386" s="40" t="str">
        <f t="shared" si="200"/>
        <v/>
      </c>
      <c r="CM386" s="40" t="str">
        <f t="shared" si="201"/>
        <v/>
      </c>
      <c r="CN386" s="39" t="str">
        <f t="shared" si="202"/>
        <v/>
      </c>
      <c r="CO386" s="458" t="str">
        <f t="shared" si="203"/>
        <v/>
      </c>
      <c r="CP386" s="458" t="str">
        <f t="shared" si="204"/>
        <v/>
      </c>
      <c r="CQ386" s="458" t="str">
        <f t="shared" si="205"/>
        <v/>
      </c>
      <c r="CR386" s="458" t="str">
        <f t="shared" si="206"/>
        <v/>
      </c>
      <c r="CS386" s="40" t="str">
        <f t="shared" si="207"/>
        <v/>
      </c>
      <c r="CT386" s="40" t="str">
        <f t="shared" si="208"/>
        <v/>
      </c>
      <c r="CU386" s="41" t="str">
        <f t="shared" si="209"/>
        <v/>
      </c>
    </row>
    <row r="387" spans="1:99" x14ac:dyDescent="0.2">
      <c r="A387" s="77">
        <f t="shared" si="210"/>
        <v>382</v>
      </c>
      <c r="B387" s="81"/>
      <c r="C387" s="82"/>
      <c r="D387" s="71"/>
      <c r="E387" s="72"/>
      <c r="F387" s="73"/>
      <c r="G387" s="443"/>
      <c r="H387" s="443"/>
      <c r="I387" s="74"/>
      <c r="J387" s="75"/>
      <c r="K387" s="41">
        <f t="shared" si="214"/>
        <v>3625</v>
      </c>
      <c r="L387" s="104"/>
      <c r="M387" s="105"/>
      <c r="N387" s="106">
        <f t="shared" si="215"/>
        <v>537.05999999999995</v>
      </c>
      <c r="O387" s="104"/>
      <c r="P387" s="105"/>
      <c r="Q387" s="106">
        <f t="shared" si="212"/>
        <v>10045.83</v>
      </c>
      <c r="R387" s="104"/>
      <c r="S387" s="105"/>
      <c r="T387" s="106">
        <f t="shared" si="213"/>
        <v>0</v>
      </c>
      <c r="U387" s="439"/>
      <c r="V387" s="42">
        <f t="shared" si="181"/>
        <v>382</v>
      </c>
      <c r="W387" s="39" t="str">
        <f>IF(AND(E387='Povolené hodnoty'!$B$4,F387=2),I387+L387+O387+R387,"")</f>
        <v/>
      </c>
      <c r="X387" s="41" t="str">
        <f>IF(AND(E387='Povolené hodnoty'!$B$4,F387=1),I387+L387+O387+R387,"")</f>
        <v/>
      </c>
      <c r="Y387" s="39" t="str">
        <f>IF(AND(E387='Povolené hodnoty'!$B$4,F387=10),J387+M387+P387+S387,"")</f>
        <v/>
      </c>
      <c r="Z387" s="41" t="str">
        <f>IF(AND(E387='Povolené hodnoty'!$B$4,F387=9),J387+M387+P387+S387,"")</f>
        <v/>
      </c>
      <c r="AA387" s="39" t="str">
        <f>IF(AND(E387&lt;&gt;'Povolené hodnoty'!$B$4,F387=2),I387+L387+O387+R387,"")</f>
        <v/>
      </c>
      <c r="AB387" s="40" t="str">
        <f>IF(AND(E387&lt;&gt;'Povolené hodnoty'!$B$4,F387=3),I387+L387+O387+R387,"")</f>
        <v/>
      </c>
      <c r="AC387" s="40" t="str">
        <f>IF(AND(E387&lt;&gt;'Povolené hodnoty'!$B$4,F387=4),I387+L387+O387+R387,"")</f>
        <v/>
      </c>
      <c r="AD387" s="40" t="str">
        <f>IF(AND(E387&lt;&gt;'Povolené hodnoty'!$B$4,F387="5a"),I387-J387+L387-M387+O387-P387+R387-S387,"")</f>
        <v/>
      </c>
      <c r="AE387" s="40" t="str">
        <f>IF(AND(E387&lt;&gt;'Povolené hodnoty'!$B$4,F387="5b"),I387-J387+L387-M387+O387-P387+R387-S387,"")</f>
        <v/>
      </c>
      <c r="AF387" s="40" t="str">
        <f>IF(AND(E387&lt;&gt;'Povolené hodnoty'!$B$4,F387=6),I387+L387+O387+R387,"")</f>
        <v/>
      </c>
      <c r="AG387" s="41" t="str">
        <f>IF(AND(E387&lt;&gt;'Povolené hodnoty'!$B$4,F387=7),I387+L387+O387+R387,"")</f>
        <v/>
      </c>
      <c r="AH387" s="39" t="str">
        <f>IF(AND(E387&lt;&gt;'Povolené hodnoty'!$B$4,F387=10),J387+M387+P387+S387,"")</f>
        <v/>
      </c>
      <c r="AI387" s="40" t="str">
        <f>IF(AND(E387&lt;&gt;'Povolené hodnoty'!$B$4,F387=11),J387+M387+P387+S387,"")</f>
        <v/>
      </c>
      <c r="AJ387" s="40" t="str">
        <f>IF(AND(E387&lt;&gt;'Povolené hodnoty'!$B$4,F387=12),J387+M387+P387+S387,"")</f>
        <v/>
      </c>
      <c r="AK387" s="41" t="str">
        <f>IF(AND(E387&lt;&gt;'Povolené hodnoty'!$B$4,F387=13),J387+M387+P387+S387,"")</f>
        <v/>
      </c>
      <c r="AL387" s="39" t="str">
        <f>IF(AND($G387='Povolené hodnoty'!$B$13,$H387=AL$4),SUM($I387,$L387,$O387,$R387),"")</f>
        <v/>
      </c>
      <c r="AM387" s="458" t="str">
        <f>IF(AND($G387='Povolené hodnoty'!$B$13,$H387=AM$4),SUM($I387,$L387,$O387,$R387),"")</f>
        <v/>
      </c>
      <c r="AN387" s="458" t="str">
        <f>IF(AND($G387='Povolené hodnoty'!$B$13,$H387=AN$4),SUM($I387,$L387,$O387,$R387),"")</f>
        <v/>
      </c>
      <c r="AO387" s="458" t="str">
        <f>IF(AND($G387='Povolené hodnoty'!$B$13,$H387=AO$4),SUM($I387,$L387,$O387,$R387),"")</f>
        <v/>
      </c>
      <c r="AP387" s="458" t="str">
        <f>IF(AND($G387='Povolené hodnoty'!$B$13,$H387=AP$4),SUM($I387,$L387,$O387,$R387),"")</f>
        <v/>
      </c>
      <c r="AQ387" s="40" t="str">
        <f>IF(AND($G387='Povolené hodnoty'!$B$13,OR($H387=AQ$4,$H387='Povolené hodnoty'!$E$36)),SUM($I387,-$J387,$L387,-$M387,$O387,-$P387,$R387,-$S387),"")</f>
        <v/>
      </c>
      <c r="AR387" s="40" t="str">
        <f>IF(AND($G387='Povolené hodnoty'!$B$13,$H387=AR$4),SUM($I387,$L387,$O387,$R387),"")</f>
        <v/>
      </c>
      <c r="AS387" s="41" t="str">
        <f>IF(AND($G387='Povolené hodnoty'!$B$13,$H387=AS$4),SUM($I387,$L387,$O387,$R387),"")</f>
        <v/>
      </c>
      <c r="AT387" s="39" t="str">
        <f>IF(AND($G387='Povolené hodnoty'!$B$14,$H387=AT$4),SUM($I387,$L387,$O387,$R387),"")</f>
        <v/>
      </c>
      <c r="AU387" s="458" t="str">
        <f>IF(AND($G387='Povolené hodnoty'!$B$14,$H387=AU$4),SUM($I387,$L387,$O387,$R387),"")</f>
        <v/>
      </c>
      <c r="AV387" s="41" t="str">
        <f>IF(AND($G387='Povolené hodnoty'!$B$14,$H387=AV$4),SUM($I387,$L387,$O387,$R387),"")</f>
        <v/>
      </c>
      <c r="AW387" s="39" t="str">
        <f>IF(AND($G387='Povolené hodnoty'!$B$13,$H387=AW$4),SUM($J387,$M387,$P387,$S387),"")</f>
        <v/>
      </c>
      <c r="AX387" s="458" t="str">
        <f>IF(AND($G387='Povolené hodnoty'!$B$13,$H387=AX$4),SUM($J387,$M387,$P387,$S387),"")</f>
        <v/>
      </c>
      <c r="AY387" s="458" t="str">
        <f>IF(AND($G387='Povolené hodnoty'!$B$13,$H387=AY$4),SUM($J387,$M387,$P387,$S387),"")</f>
        <v/>
      </c>
      <c r="AZ387" s="458" t="str">
        <f>IF(AND($G387='Povolené hodnoty'!$B$13,$H387=AZ$4),SUM($J387,$M387,$P387,$S387),"")</f>
        <v/>
      </c>
      <c r="BA387" s="458" t="str">
        <f>IF(AND($G387='Povolené hodnoty'!$B$13,$H387=BA$4),SUM($J387,$M387,$P387,$S387),"")</f>
        <v/>
      </c>
      <c r="BB387" s="40" t="str">
        <f>IF(AND($G387='Povolené hodnoty'!$B$13,$H387=BB$4),SUM($J387,$M387,$P387,$S387),"")</f>
        <v/>
      </c>
      <c r="BC387" s="40" t="str">
        <f>IF(AND($G387='Povolené hodnoty'!$B$13,$H387=BC$4),SUM($J387,$M387,$P387,$S387),"")</f>
        <v/>
      </c>
      <c r="BD387" s="40" t="str">
        <f>IF(AND($G387='Povolené hodnoty'!$B$13,$H387=BD$4),SUM($J387,$M387,$P387,$S387),"")</f>
        <v/>
      </c>
      <c r="BE387" s="41" t="str">
        <f>IF(AND($G387='Povolené hodnoty'!$B$13,$H387=BE$4),SUM($J387,$M387,$P387,$S387),"")</f>
        <v/>
      </c>
      <c r="BF387" s="39" t="str">
        <f>IF(AND($G387='Povolené hodnoty'!$B$14,$H387=BF$4),SUM($J387,$M387,$P387,$S387),"")</f>
        <v/>
      </c>
      <c r="BG387" s="458" t="str">
        <f>IF(AND($G387='Povolené hodnoty'!$B$14,$H387=BG$4),SUM($J387,$M387,$P387,$S387),"")</f>
        <v/>
      </c>
      <c r="BH387" s="458" t="str">
        <f>IF(AND($G387='Povolené hodnoty'!$B$14,$H387=BH$4),SUM($J387,$M387,$P387,$S387),"")</f>
        <v/>
      </c>
      <c r="BI387" s="458" t="str">
        <f>IF(AND($G387='Povolené hodnoty'!$B$14,$H387=BI$4),SUM($J387,$M387,$P387,$S387),"")</f>
        <v/>
      </c>
      <c r="BJ387" s="458" t="str">
        <f>IF(AND($G387='Povolené hodnoty'!$B$14,$H387=BJ$4),SUM($J387,$M387,$P387,$S387),"")</f>
        <v/>
      </c>
      <c r="BK387" s="40" t="str">
        <f>IF(AND($G387='Povolené hodnoty'!$B$14,$H387=BK$4),SUM($J387,$M387,$P387,$S387),"")</f>
        <v/>
      </c>
      <c r="BL387" s="40" t="str">
        <f>IF(AND($G387='Povolené hodnoty'!$B$14,$H387=BL$4),SUM($J387,$M387,$P387,$S387),"")</f>
        <v/>
      </c>
      <c r="BM387" s="41" t="str">
        <f>IF(AND($G387='Povolené hodnoty'!$B$14,$H387=BM$4),SUM($J387,$M387,$P387,$S387),"")</f>
        <v/>
      </c>
      <c r="BO387" s="18" t="b">
        <f t="shared" si="211"/>
        <v>0</v>
      </c>
      <c r="BP387" s="18" t="b">
        <f t="shared" si="182"/>
        <v>0</v>
      </c>
      <c r="BQ387" s="18" t="b">
        <f>AND(E387&lt;&gt;'Povolené hodnoty'!$B$6,F387&lt;&gt;'Povolené hodnoty'!$D$7,F387&lt;&gt;'Povolené hodnoty'!$D$8,OR(SUM(I387,L387,O387,R387)&lt;&gt;SUM(W387:X387,AA387:AG387),SUM(J387,M387,P387,S387)&lt;&gt;SUM(Y387:Z387,AH387:AK387),COUNT(I387:J387,L387:M387,O387:P387,R387:S387)&lt;&gt;COUNT(W387:AK387)))</f>
        <v>0</v>
      </c>
      <c r="BR387" s="18" t="b">
        <f>OR(AND(E387='Povolené hodnoty'!$B$6,$BR$5),AND(E387='Povolené hodnoty'!$B$6,H387&lt;&gt;'Povolené hodnoty'!$E$26,H387&lt;&gt;'Povolené hodnoty'!$E$35),AND(E387&lt;&gt;'Povolené hodnoty'!$B$6,OR(H387='Povolené hodnoty'!$E$26,H387='Povolené hodnoty'!$E$35)))</f>
        <v>0</v>
      </c>
      <c r="BS387" s="18" t="b">
        <f>OR(AND(G387&lt;&gt;'Povolené hodnoty'!$B$13,OR(H387='Povolené hodnoty'!$E$21,H387='Povolené hodnoty'!$E$22,H387='Povolené hodnoty'!$E$23,H387='Povolené hodnoty'!$E$24,H387='Povolené hodnoty'!$E$26,H387='Povolené hodnoty'!$E$36)),COUNT(I387:J387,L387:M387,O387:P387,R387:S387)&lt;&gt;COUNT(AL387:BM387))</f>
        <v>0</v>
      </c>
      <c r="BT387" s="18" t="b">
        <f t="shared" si="183"/>
        <v>0</v>
      </c>
      <c r="BV387" s="39" t="str">
        <f t="shared" si="184"/>
        <v/>
      </c>
      <c r="BW387" s="458" t="str">
        <f t="shared" si="185"/>
        <v/>
      </c>
      <c r="BX387" s="458" t="str">
        <f t="shared" si="186"/>
        <v/>
      </c>
      <c r="BY387" s="458" t="str">
        <f t="shared" si="187"/>
        <v/>
      </c>
      <c r="BZ387" s="458" t="str">
        <f t="shared" si="188"/>
        <v/>
      </c>
      <c r="CA387" s="40" t="str">
        <f t="shared" si="189"/>
        <v/>
      </c>
      <c r="CB387" s="40" t="str">
        <f t="shared" si="190"/>
        <v/>
      </c>
      <c r="CC387" s="39" t="str">
        <f t="shared" si="191"/>
        <v/>
      </c>
      <c r="CD387" s="458" t="str">
        <f t="shared" si="192"/>
        <v/>
      </c>
      <c r="CE387" s="41" t="str">
        <f t="shared" si="193"/>
        <v/>
      </c>
      <c r="CF387" s="39" t="str">
        <f t="shared" si="194"/>
        <v/>
      </c>
      <c r="CG387" s="458" t="str">
        <f t="shared" si="195"/>
        <v/>
      </c>
      <c r="CH387" s="458" t="str">
        <f t="shared" si="196"/>
        <v/>
      </c>
      <c r="CI387" s="458" t="str">
        <f t="shared" si="197"/>
        <v/>
      </c>
      <c r="CJ387" s="458" t="str">
        <f t="shared" si="198"/>
        <v/>
      </c>
      <c r="CK387" s="40" t="str">
        <f t="shared" si="199"/>
        <v/>
      </c>
      <c r="CL387" s="40" t="str">
        <f t="shared" si="200"/>
        <v/>
      </c>
      <c r="CM387" s="40" t="str">
        <f t="shared" si="201"/>
        <v/>
      </c>
      <c r="CN387" s="39" t="str">
        <f t="shared" si="202"/>
        <v/>
      </c>
      <c r="CO387" s="458" t="str">
        <f t="shared" si="203"/>
        <v/>
      </c>
      <c r="CP387" s="458" t="str">
        <f t="shared" si="204"/>
        <v/>
      </c>
      <c r="CQ387" s="458" t="str">
        <f t="shared" si="205"/>
        <v/>
      </c>
      <c r="CR387" s="458" t="str">
        <f t="shared" si="206"/>
        <v/>
      </c>
      <c r="CS387" s="40" t="str">
        <f t="shared" si="207"/>
        <v/>
      </c>
      <c r="CT387" s="40" t="str">
        <f t="shared" si="208"/>
        <v/>
      </c>
      <c r="CU387" s="41" t="str">
        <f t="shared" si="209"/>
        <v/>
      </c>
    </row>
    <row r="388" spans="1:99" x14ac:dyDescent="0.2">
      <c r="A388" s="77">
        <f t="shared" si="210"/>
        <v>383</v>
      </c>
      <c r="B388" s="81"/>
      <c r="C388" s="82"/>
      <c r="D388" s="71"/>
      <c r="E388" s="72"/>
      <c r="F388" s="73"/>
      <c r="G388" s="443"/>
      <c r="H388" s="443"/>
      <c r="I388" s="74"/>
      <c r="J388" s="75"/>
      <c r="K388" s="41">
        <f t="shared" si="214"/>
        <v>3625</v>
      </c>
      <c r="L388" s="104"/>
      <c r="M388" s="105"/>
      <c r="N388" s="106">
        <f t="shared" si="215"/>
        <v>537.05999999999995</v>
      </c>
      <c r="O388" s="104"/>
      <c r="P388" s="105"/>
      <c r="Q388" s="106">
        <f t="shared" si="212"/>
        <v>10045.83</v>
      </c>
      <c r="R388" s="104"/>
      <c r="S388" s="105"/>
      <c r="T388" s="106">
        <f t="shared" si="213"/>
        <v>0</v>
      </c>
      <c r="U388" s="439"/>
      <c r="V388" s="42">
        <f t="shared" si="181"/>
        <v>383</v>
      </c>
      <c r="W388" s="39" t="str">
        <f>IF(AND(E388='Povolené hodnoty'!$B$4,F388=2),I388+L388+O388+R388,"")</f>
        <v/>
      </c>
      <c r="X388" s="41" t="str">
        <f>IF(AND(E388='Povolené hodnoty'!$B$4,F388=1),I388+L388+O388+R388,"")</f>
        <v/>
      </c>
      <c r="Y388" s="39" t="str">
        <f>IF(AND(E388='Povolené hodnoty'!$B$4,F388=10),J388+M388+P388+S388,"")</f>
        <v/>
      </c>
      <c r="Z388" s="41" t="str">
        <f>IF(AND(E388='Povolené hodnoty'!$B$4,F388=9),J388+M388+P388+S388,"")</f>
        <v/>
      </c>
      <c r="AA388" s="39" t="str">
        <f>IF(AND(E388&lt;&gt;'Povolené hodnoty'!$B$4,F388=2),I388+L388+O388+R388,"")</f>
        <v/>
      </c>
      <c r="AB388" s="40" t="str">
        <f>IF(AND(E388&lt;&gt;'Povolené hodnoty'!$B$4,F388=3),I388+L388+O388+R388,"")</f>
        <v/>
      </c>
      <c r="AC388" s="40" t="str">
        <f>IF(AND(E388&lt;&gt;'Povolené hodnoty'!$B$4,F388=4),I388+L388+O388+R388,"")</f>
        <v/>
      </c>
      <c r="AD388" s="40" t="str">
        <f>IF(AND(E388&lt;&gt;'Povolené hodnoty'!$B$4,F388="5a"),I388-J388+L388-M388+O388-P388+R388-S388,"")</f>
        <v/>
      </c>
      <c r="AE388" s="40" t="str">
        <f>IF(AND(E388&lt;&gt;'Povolené hodnoty'!$B$4,F388="5b"),I388-J388+L388-M388+O388-P388+R388-S388,"")</f>
        <v/>
      </c>
      <c r="AF388" s="40" t="str">
        <f>IF(AND(E388&lt;&gt;'Povolené hodnoty'!$B$4,F388=6),I388+L388+O388+R388,"")</f>
        <v/>
      </c>
      <c r="AG388" s="41" t="str">
        <f>IF(AND(E388&lt;&gt;'Povolené hodnoty'!$B$4,F388=7),I388+L388+O388+R388,"")</f>
        <v/>
      </c>
      <c r="AH388" s="39" t="str">
        <f>IF(AND(E388&lt;&gt;'Povolené hodnoty'!$B$4,F388=10),J388+M388+P388+S388,"")</f>
        <v/>
      </c>
      <c r="AI388" s="40" t="str">
        <f>IF(AND(E388&lt;&gt;'Povolené hodnoty'!$B$4,F388=11),J388+M388+P388+S388,"")</f>
        <v/>
      </c>
      <c r="AJ388" s="40" t="str">
        <f>IF(AND(E388&lt;&gt;'Povolené hodnoty'!$B$4,F388=12),J388+M388+P388+S388,"")</f>
        <v/>
      </c>
      <c r="AK388" s="41" t="str">
        <f>IF(AND(E388&lt;&gt;'Povolené hodnoty'!$B$4,F388=13),J388+M388+P388+S388,"")</f>
        <v/>
      </c>
      <c r="AL388" s="39" t="str">
        <f>IF(AND($G388='Povolené hodnoty'!$B$13,$H388=AL$4),SUM($I388,$L388,$O388,$R388),"")</f>
        <v/>
      </c>
      <c r="AM388" s="458" t="str">
        <f>IF(AND($G388='Povolené hodnoty'!$B$13,$H388=AM$4),SUM($I388,$L388,$O388,$R388),"")</f>
        <v/>
      </c>
      <c r="AN388" s="458" t="str">
        <f>IF(AND($G388='Povolené hodnoty'!$B$13,$H388=AN$4),SUM($I388,$L388,$O388,$R388),"")</f>
        <v/>
      </c>
      <c r="AO388" s="458" t="str">
        <f>IF(AND($G388='Povolené hodnoty'!$B$13,$H388=AO$4),SUM($I388,$L388,$O388,$R388),"")</f>
        <v/>
      </c>
      <c r="AP388" s="458" t="str">
        <f>IF(AND($G388='Povolené hodnoty'!$B$13,$H388=AP$4),SUM($I388,$L388,$O388,$R388),"")</f>
        <v/>
      </c>
      <c r="AQ388" s="40" t="str">
        <f>IF(AND($G388='Povolené hodnoty'!$B$13,OR($H388=AQ$4,$H388='Povolené hodnoty'!$E$36)),SUM($I388,-$J388,$L388,-$M388,$O388,-$P388,$R388,-$S388),"")</f>
        <v/>
      </c>
      <c r="AR388" s="40" t="str">
        <f>IF(AND($G388='Povolené hodnoty'!$B$13,$H388=AR$4),SUM($I388,$L388,$O388,$R388),"")</f>
        <v/>
      </c>
      <c r="AS388" s="41" t="str">
        <f>IF(AND($G388='Povolené hodnoty'!$B$13,$H388=AS$4),SUM($I388,$L388,$O388,$R388),"")</f>
        <v/>
      </c>
      <c r="AT388" s="39" t="str">
        <f>IF(AND($G388='Povolené hodnoty'!$B$14,$H388=AT$4),SUM($I388,$L388,$O388,$R388),"")</f>
        <v/>
      </c>
      <c r="AU388" s="458" t="str">
        <f>IF(AND($G388='Povolené hodnoty'!$B$14,$H388=AU$4),SUM($I388,$L388,$O388,$R388),"")</f>
        <v/>
      </c>
      <c r="AV388" s="41" t="str">
        <f>IF(AND($G388='Povolené hodnoty'!$B$14,$H388=AV$4),SUM($I388,$L388,$O388,$R388),"")</f>
        <v/>
      </c>
      <c r="AW388" s="39" t="str">
        <f>IF(AND($G388='Povolené hodnoty'!$B$13,$H388=AW$4),SUM($J388,$M388,$P388,$S388),"")</f>
        <v/>
      </c>
      <c r="AX388" s="458" t="str">
        <f>IF(AND($G388='Povolené hodnoty'!$B$13,$H388=AX$4),SUM($J388,$M388,$P388,$S388),"")</f>
        <v/>
      </c>
      <c r="AY388" s="458" t="str">
        <f>IF(AND($G388='Povolené hodnoty'!$B$13,$H388=AY$4),SUM($J388,$M388,$P388,$S388),"")</f>
        <v/>
      </c>
      <c r="AZ388" s="458" t="str">
        <f>IF(AND($G388='Povolené hodnoty'!$B$13,$H388=AZ$4),SUM($J388,$M388,$P388,$S388),"")</f>
        <v/>
      </c>
      <c r="BA388" s="458" t="str">
        <f>IF(AND($G388='Povolené hodnoty'!$B$13,$H388=BA$4),SUM($J388,$M388,$P388,$S388),"")</f>
        <v/>
      </c>
      <c r="BB388" s="40" t="str">
        <f>IF(AND($G388='Povolené hodnoty'!$B$13,$H388=BB$4),SUM($J388,$M388,$P388,$S388),"")</f>
        <v/>
      </c>
      <c r="BC388" s="40" t="str">
        <f>IF(AND($G388='Povolené hodnoty'!$B$13,$H388=BC$4),SUM($J388,$M388,$P388,$S388),"")</f>
        <v/>
      </c>
      <c r="BD388" s="40" t="str">
        <f>IF(AND($G388='Povolené hodnoty'!$B$13,$H388=BD$4),SUM($J388,$M388,$P388,$S388),"")</f>
        <v/>
      </c>
      <c r="BE388" s="41" t="str">
        <f>IF(AND($G388='Povolené hodnoty'!$B$13,$H388=BE$4),SUM($J388,$M388,$P388,$S388),"")</f>
        <v/>
      </c>
      <c r="BF388" s="39" t="str">
        <f>IF(AND($G388='Povolené hodnoty'!$B$14,$H388=BF$4),SUM($J388,$M388,$P388,$S388),"")</f>
        <v/>
      </c>
      <c r="BG388" s="458" t="str">
        <f>IF(AND($G388='Povolené hodnoty'!$B$14,$H388=BG$4),SUM($J388,$M388,$P388,$S388),"")</f>
        <v/>
      </c>
      <c r="BH388" s="458" t="str">
        <f>IF(AND($G388='Povolené hodnoty'!$B$14,$H388=BH$4),SUM($J388,$M388,$P388,$S388),"")</f>
        <v/>
      </c>
      <c r="BI388" s="458" t="str">
        <f>IF(AND($G388='Povolené hodnoty'!$B$14,$H388=BI$4),SUM($J388,$M388,$P388,$S388),"")</f>
        <v/>
      </c>
      <c r="BJ388" s="458" t="str">
        <f>IF(AND($G388='Povolené hodnoty'!$B$14,$H388=BJ$4),SUM($J388,$M388,$P388,$S388),"")</f>
        <v/>
      </c>
      <c r="BK388" s="40" t="str">
        <f>IF(AND($G388='Povolené hodnoty'!$B$14,$H388=BK$4),SUM($J388,$M388,$P388,$S388),"")</f>
        <v/>
      </c>
      <c r="BL388" s="40" t="str">
        <f>IF(AND($G388='Povolené hodnoty'!$B$14,$H388=BL$4),SUM($J388,$M388,$P388,$S388),"")</f>
        <v/>
      </c>
      <c r="BM388" s="41" t="str">
        <f>IF(AND($G388='Povolené hodnoty'!$B$14,$H388=BM$4),SUM($J388,$M388,$P388,$S388),"")</f>
        <v/>
      </c>
      <c r="BO388" s="18" t="b">
        <f t="shared" si="211"/>
        <v>0</v>
      </c>
      <c r="BP388" s="18" t="b">
        <f t="shared" si="182"/>
        <v>0</v>
      </c>
      <c r="BQ388" s="18" t="b">
        <f>AND(E388&lt;&gt;'Povolené hodnoty'!$B$6,F388&lt;&gt;'Povolené hodnoty'!$D$7,F388&lt;&gt;'Povolené hodnoty'!$D$8,OR(SUM(I388,L388,O388,R388)&lt;&gt;SUM(W388:X388,AA388:AG388),SUM(J388,M388,P388,S388)&lt;&gt;SUM(Y388:Z388,AH388:AK388),COUNT(I388:J388,L388:M388,O388:P388,R388:S388)&lt;&gt;COUNT(W388:AK388)))</f>
        <v>0</v>
      </c>
      <c r="BR388" s="18" t="b">
        <f>OR(AND(E388='Povolené hodnoty'!$B$6,$BR$5),AND(E388='Povolené hodnoty'!$B$6,H388&lt;&gt;'Povolené hodnoty'!$E$26,H388&lt;&gt;'Povolené hodnoty'!$E$35),AND(E388&lt;&gt;'Povolené hodnoty'!$B$6,OR(H388='Povolené hodnoty'!$E$26,H388='Povolené hodnoty'!$E$35)))</f>
        <v>0</v>
      </c>
      <c r="BS388" s="18" t="b">
        <f>OR(AND(G388&lt;&gt;'Povolené hodnoty'!$B$13,OR(H388='Povolené hodnoty'!$E$21,H388='Povolené hodnoty'!$E$22,H388='Povolené hodnoty'!$E$23,H388='Povolené hodnoty'!$E$24,H388='Povolené hodnoty'!$E$26,H388='Povolené hodnoty'!$E$36)),COUNT(I388:J388,L388:M388,O388:P388,R388:S388)&lt;&gt;COUNT(AL388:BM388))</f>
        <v>0</v>
      </c>
      <c r="BT388" s="18" t="b">
        <f t="shared" si="183"/>
        <v>0</v>
      </c>
      <c r="BV388" s="39" t="str">
        <f t="shared" si="184"/>
        <v/>
      </c>
      <c r="BW388" s="458" t="str">
        <f t="shared" si="185"/>
        <v/>
      </c>
      <c r="BX388" s="458" t="str">
        <f t="shared" si="186"/>
        <v/>
      </c>
      <c r="BY388" s="458" t="str">
        <f t="shared" si="187"/>
        <v/>
      </c>
      <c r="BZ388" s="458" t="str">
        <f t="shared" si="188"/>
        <v/>
      </c>
      <c r="CA388" s="40" t="str">
        <f t="shared" si="189"/>
        <v/>
      </c>
      <c r="CB388" s="40" t="str">
        <f t="shared" si="190"/>
        <v/>
      </c>
      <c r="CC388" s="39" t="str">
        <f t="shared" si="191"/>
        <v/>
      </c>
      <c r="CD388" s="458" t="str">
        <f t="shared" si="192"/>
        <v/>
      </c>
      <c r="CE388" s="41" t="str">
        <f t="shared" si="193"/>
        <v/>
      </c>
      <c r="CF388" s="39" t="str">
        <f t="shared" si="194"/>
        <v/>
      </c>
      <c r="CG388" s="458" t="str">
        <f t="shared" si="195"/>
        <v/>
      </c>
      <c r="CH388" s="458" t="str">
        <f t="shared" si="196"/>
        <v/>
      </c>
      <c r="CI388" s="458" t="str">
        <f t="shared" si="197"/>
        <v/>
      </c>
      <c r="CJ388" s="458" t="str">
        <f t="shared" si="198"/>
        <v/>
      </c>
      <c r="CK388" s="40" t="str">
        <f t="shared" si="199"/>
        <v/>
      </c>
      <c r="CL388" s="40" t="str">
        <f t="shared" si="200"/>
        <v/>
      </c>
      <c r="CM388" s="40" t="str">
        <f t="shared" si="201"/>
        <v/>
      </c>
      <c r="CN388" s="39" t="str">
        <f t="shared" si="202"/>
        <v/>
      </c>
      <c r="CO388" s="458" t="str">
        <f t="shared" si="203"/>
        <v/>
      </c>
      <c r="CP388" s="458" t="str">
        <f t="shared" si="204"/>
        <v/>
      </c>
      <c r="CQ388" s="458" t="str">
        <f t="shared" si="205"/>
        <v/>
      </c>
      <c r="CR388" s="458" t="str">
        <f t="shared" si="206"/>
        <v/>
      </c>
      <c r="CS388" s="40" t="str">
        <f t="shared" si="207"/>
        <v/>
      </c>
      <c r="CT388" s="40" t="str">
        <f t="shared" si="208"/>
        <v/>
      </c>
      <c r="CU388" s="41" t="str">
        <f t="shared" si="209"/>
        <v/>
      </c>
    </row>
    <row r="389" spans="1:99" x14ac:dyDescent="0.2">
      <c r="A389" s="77">
        <f t="shared" si="210"/>
        <v>384</v>
      </c>
      <c r="B389" s="81"/>
      <c r="C389" s="82"/>
      <c r="D389" s="71"/>
      <c r="E389" s="72"/>
      <c r="F389" s="73"/>
      <c r="G389" s="443"/>
      <c r="H389" s="443"/>
      <c r="I389" s="74"/>
      <c r="J389" s="75"/>
      <c r="K389" s="41">
        <f t="shared" si="214"/>
        <v>3625</v>
      </c>
      <c r="L389" s="104"/>
      <c r="M389" s="105"/>
      <c r="N389" s="106">
        <f t="shared" si="215"/>
        <v>537.05999999999995</v>
      </c>
      <c r="O389" s="104"/>
      <c r="P389" s="105"/>
      <c r="Q389" s="106">
        <f t="shared" si="212"/>
        <v>10045.83</v>
      </c>
      <c r="R389" s="104"/>
      <c r="S389" s="105"/>
      <c r="T389" s="106">
        <f t="shared" si="213"/>
        <v>0</v>
      </c>
      <c r="U389" s="439"/>
      <c r="V389" s="42">
        <f t="shared" ref="V389:V452" si="216">A389</f>
        <v>384</v>
      </c>
      <c r="W389" s="39" t="str">
        <f>IF(AND(E389='Povolené hodnoty'!$B$4,F389=2),I389+L389+O389+R389,"")</f>
        <v/>
      </c>
      <c r="X389" s="41" t="str">
        <f>IF(AND(E389='Povolené hodnoty'!$B$4,F389=1),I389+L389+O389+R389,"")</f>
        <v/>
      </c>
      <c r="Y389" s="39" t="str">
        <f>IF(AND(E389='Povolené hodnoty'!$B$4,F389=10),J389+M389+P389+S389,"")</f>
        <v/>
      </c>
      <c r="Z389" s="41" t="str">
        <f>IF(AND(E389='Povolené hodnoty'!$B$4,F389=9),J389+M389+P389+S389,"")</f>
        <v/>
      </c>
      <c r="AA389" s="39" t="str">
        <f>IF(AND(E389&lt;&gt;'Povolené hodnoty'!$B$4,F389=2),I389+L389+O389+R389,"")</f>
        <v/>
      </c>
      <c r="AB389" s="40" t="str">
        <f>IF(AND(E389&lt;&gt;'Povolené hodnoty'!$B$4,F389=3),I389+L389+O389+R389,"")</f>
        <v/>
      </c>
      <c r="AC389" s="40" t="str">
        <f>IF(AND(E389&lt;&gt;'Povolené hodnoty'!$B$4,F389=4),I389+L389+O389+R389,"")</f>
        <v/>
      </c>
      <c r="AD389" s="40" t="str">
        <f>IF(AND(E389&lt;&gt;'Povolené hodnoty'!$B$4,F389="5a"),I389-J389+L389-M389+O389-P389+R389-S389,"")</f>
        <v/>
      </c>
      <c r="AE389" s="40" t="str">
        <f>IF(AND(E389&lt;&gt;'Povolené hodnoty'!$B$4,F389="5b"),I389-J389+L389-M389+O389-P389+R389-S389,"")</f>
        <v/>
      </c>
      <c r="AF389" s="40" t="str">
        <f>IF(AND(E389&lt;&gt;'Povolené hodnoty'!$B$4,F389=6),I389+L389+O389+R389,"")</f>
        <v/>
      </c>
      <c r="AG389" s="41" t="str">
        <f>IF(AND(E389&lt;&gt;'Povolené hodnoty'!$B$4,F389=7),I389+L389+O389+R389,"")</f>
        <v/>
      </c>
      <c r="AH389" s="39" t="str">
        <f>IF(AND(E389&lt;&gt;'Povolené hodnoty'!$B$4,F389=10),J389+M389+P389+S389,"")</f>
        <v/>
      </c>
      <c r="AI389" s="40" t="str">
        <f>IF(AND(E389&lt;&gt;'Povolené hodnoty'!$B$4,F389=11),J389+M389+P389+S389,"")</f>
        <v/>
      </c>
      <c r="AJ389" s="40" t="str">
        <f>IF(AND(E389&lt;&gt;'Povolené hodnoty'!$B$4,F389=12),J389+M389+P389+S389,"")</f>
        <v/>
      </c>
      <c r="AK389" s="41" t="str">
        <f>IF(AND(E389&lt;&gt;'Povolené hodnoty'!$B$4,F389=13),J389+M389+P389+S389,"")</f>
        <v/>
      </c>
      <c r="AL389" s="39" t="str">
        <f>IF(AND($G389='Povolené hodnoty'!$B$13,$H389=AL$4),SUM($I389,$L389,$O389,$R389),"")</f>
        <v/>
      </c>
      <c r="AM389" s="458" t="str">
        <f>IF(AND($G389='Povolené hodnoty'!$B$13,$H389=AM$4),SUM($I389,$L389,$O389,$R389),"")</f>
        <v/>
      </c>
      <c r="AN389" s="458" t="str">
        <f>IF(AND($G389='Povolené hodnoty'!$B$13,$H389=AN$4),SUM($I389,$L389,$O389,$R389),"")</f>
        <v/>
      </c>
      <c r="AO389" s="458" t="str">
        <f>IF(AND($G389='Povolené hodnoty'!$B$13,$H389=AO$4),SUM($I389,$L389,$O389,$R389),"")</f>
        <v/>
      </c>
      <c r="AP389" s="458" t="str">
        <f>IF(AND($G389='Povolené hodnoty'!$B$13,$H389=AP$4),SUM($I389,$L389,$O389,$R389),"")</f>
        <v/>
      </c>
      <c r="AQ389" s="40" t="str">
        <f>IF(AND($G389='Povolené hodnoty'!$B$13,OR($H389=AQ$4,$H389='Povolené hodnoty'!$E$36)),SUM($I389,-$J389,$L389,-$M389,$O389,-$P389,$R389,-$S389),"")</f>
        <v/>
      </c>
      <c r="AR389" s="40" t="str">
        <f>IF(AND($G389='Povolené hodnoty'!$B$13,$H389=AR$4),SUM($I389,$L389,$O389,$R389),"")</f>
        <v/>
      </c>
      <c r="AS389" s="41" t="str">
        <f>IF(AND($G389='Povolené hodnoty'!$B$13,$H389=AS$4),SUM($I389,$L389,$O389,$R389),"")</f>
        <v/>
      </c>
      <c r="AT389" s="39" t="str">
        <f>IF(AND($G389='Povolené hodnoty'!$B$14,$H389=AT$4),SUM($I389,$L389,$O389,$R389),"")</f>
        <v/>
      </c>
      <c r="AU389" s="458" t="str">
        <f>IF(AND($G389='Povolené hodnoty'!$B$14,$H389=AU$4),SUM($I389,$L389,$O389,$R389),"")</f>
        <v/>
      </c>
      <c r="AV389" s="41" t="str">
        <f>IF(AND($G389='Povolené hodnoty'!$B$14,$H389=AV$4),SUM($I389,$L389,$O389,$R389),"")</f>
        <v/>
      </c>
      <c r="AW389" s="39" t="str">
        <f>IF(AND($G389='Povolené hodnoty'!$B$13,$H389=AW$4),SUM($J389,$M389,$P389,$S389),"")</f>
        <v/>
      </c>
      <c r="AX389" s="458" t="str">
        <f>IF(AND($G389='Povolené hodnoty'!$B$13,$H389=AX$4),SUM($J389,$M389,$P389,$S389),"")</f>
        <v/>
      </c>
      <c r="AY389" s="458" t="str">
        <f>IF(AND($G389='Povolené hodnoty'!$B$13,$H389=AY$4),SUM($J389,$M389,$P389,$S389),"")</f>
        <v/>
      </c>
      <c r="AZ389" s="458" t="str">
        <f>IF(AND($G389='Povolené hodnoty'!$B$13,$H389=AZ$4),SUM($J389,$M389,$P389,$S389),"")</f>
        <v/>
      </c>
      <c r="BA389" s="458" t="str">
        <f>IF(AND($G389='Povolené hodnoty'!$B$13,$H389=BA$4),SUM($J389,$M389,$P389,$S389),"")</f>
        <v/>
      </c>
      <c r="BB389" s="40" t="str">
        <f>IF(AND($G389='Povolené hodnoty'!$B$13,$H389=BB$4),SUM($J389,$M389,$P389,$S389),"")</f>
        <v/>
      </c>
      <c r="BC389" s="40" t="str">
        <f>IF(AND($G389='Povolené hodnoty'!$B$13,$H389=BC$4),SUM($J389,$M389,$P389,$S389),"")</f>
        <v/>
      </c>
      <c r="BD389" s="40" t="str">
        <f>IF(AND($G389='Povolené hodnoty'!$B$13,$H389=BD$4),SUM($J389,$M389,$P389,$S389),"")</f>
        <v/>
      </c>
      <c r="BE389" s="41" t="str">
        <f>IF(AND($G389='Povolené hodnoty'!$B$13,$H389=BE$4),SUM($J389,$M389,$P389,$S389),"")</f>
        <v/>
      </c>
      <c r="BF389" s="39" t="str">
        <f>IF(AND($G389='Povolené hodnoty'!$B$14,$H389=BF$4),SUM($J389,$M389,$P389,$S389),"")</f>
        <v/>
      </c>
      <c r="BG389" s="458" t="str">
        <f>IF(AND($G389='Povolené hodnoty'!$B$14,$H389=BG$4),SUM($J389,$M389,$P389,$S389),"")</f>
        <v/>
      </c>
      <c r="BH389" s="458" t="str">
        <f>IF(AND($G389='Povolené hodnoty'!$B$14,$H389=BH$4),SUM($J389,$M389,$P389,$S389),"")</f>
        <v/>
      </c>
      <c r="BI389" s="458" t="str">
        <f>IF(AND($G389='Povolené hodnoty'!$B$14,$H389=BI$4),SUM($J389,$M389,$P389,$S389),"")</f>
        <v/>
      </c>
      <c r="BJ389" s="458" t="str">
        <f>IF(AND($G389='Povolené hodnoty'!$B$14,$H389=BJ$4),SUM($J389,$M389,$P389,$S389),"")</f>
        <v/>
      </c>
      <c r="BK389" s="40" t="str">
        <f>IF(AND($G389='Povolené hodnoty'!$B$14,$H389=BK$4),SUM($J389,$M389,$P389,$S389),"")</f>
        <v/>
      </c>
      <c r="BL389" s="40" t="str">
        <f>IF(AND($G389='Povolené hodnoty'!$B$14,$H389=BL$4),SUM($J389,$M389,$P389,$S389),"")</f>
        <v/>
      </c>
      <c r="BM389" s="41" t="str">
        <f>IF(AND($G389='Povolené hodnoty'!$B$14,$H389=BM$4),SUM($J389,$M389,$P389,$S389),"")</f>
        <v/>
      </c>
      <c r="BO389" s="18" t="b">
        <f t="shared" si="211"/>
        <v>0</v>
      </c>
      <c r="BP389" s="18" t="b">
        <f t="shared" si="182"/>
        <v>0</v>
      </c>
      <c r="BQ389" s="18" t="b">
        <f>AND(E389&lt;&gt;'Povolené hodnoty'!$B$6,F389&lt;&gt;'Povolené hodnoty'!$D$7,F389&lt;&gt;'Povolené hodnoty'!$D$8,OR(SUM(I389,L389,O389,R389)&lt;&gt;SUM(W389:X389,AA389:AG389),SUM(J389,M389,P389,S389)&lt;&gt;SUM(Y389:Z389,AH389:AK389),COUNT(I389:J389,L389:M389,O389:P389,R389:S389)&lt;&gt;COUNT(W389:AK389)))</f>
        <v>0</v>
      </c>
      <c r="BR389" s="18" t="b">
        <f>OR(AND(E389='Povolené hodnoty'!$B$6,$BR$5),AND(E389='Povolené hodnoty'!$B$6,H389&lt;&gt;'Povolené hodnoty'!$E$26,H389&lt;&gt;'Povolené hodnoty'!$E$35),AND(E389&lt;&gt;'Povolené hodnoty'!$B$6,OR(H389='Povolené hodnoty'!$E$26,H389='Povolené hodnoty'!$E$35)))</f>
        <v>0</v>
      </c>
      <c r="BS389" s="18" t="b">
        <f>OR(AND(G389&lt;&gt;'Povolené hodnoty'!$B$13,OR(H389='Povolené hodnoty'!$E$21,H389='Povolené hodnoty'!$E$22,H389='Povolené hodnoty'!$E$23,H389='Povolené hodnoty'!$E$24,H389='Povolené hodnoty'!$E$26,H389='Povolené hodnoty'!$E$36)),COUNT(I389:J389,L389:M389,O389:P389,R389:S389)&lt;&gt;COUNT(AL389:BM389))</f>
        <v>0</v>
      </c>
      <c r="BT389" s="18" t="b">
        <f t="shared" si="183"/>
        <v>0</v>
      </c>
      <c r="BV389" s="39" t="str">
        <f t="shared" si="184"/>
        <v/>
      </c>
      <c r="BW389" s="458" t="str">
        <f t="shared" si="185"/>
        <v/>
      </c>
      <c r="BX389" s="458" t="str">
        <f t="shared" si="186"/>
        <v/>
      </c>
      <c r="BY389" s="458" t="str">
        <f t="shared" si="187"/>
        <v/>
      </c>
      <c r="BZ389" s="458" t="str">
        <f t="shared" si="188"/>
        <v/>
      </c>
      <c r="CA389" s="40" t="str">
        <f t="shared" si="189"/>
        <v/>
      </c>
      <c r="CB389" s="40" t="str">
        <f t="shared" si="190"/>
        <v/>
      </c>
      <c r="CC389" s="39" t="str">
        <f t="shared" si="191"/>
        <v/>
      </c>
      <c r="CD389" s="458" t="str">
        <f t="shared" si="192"/>
        <v/>
      </c>
      <c r="CE389" s="41" t="str">
        <f t="shared" si="193"/>
        <v/>
      </c>
      <c r="CF389" s="39" t="str">
        <f t="shared" si="194"/>
        <v/>
      </c>
      <c r="CG389" s="458" t="str">
        <f t="shared" si="195"/>
        <v/>
      </c>
      <c r="CH389" s="458" t="str">
        <f t="shared" si="196"/>
        <v/>
      </c>
      <c r="CI389" s="458" t="str">
        <f t="shared" si="197"/>
        <v/>
      </c>
      <c r="CJ389" s="458" t="str">
        <f t="shared" si="198"/>
        <v/>
      </c>
      <c r="CK389" s="40" t="str">
        <f t="shared" si="199"/>
        <v/>
      </c>
      <c r="CL389" s="40" t="str">
        <f t="shared" si="200"/>
        <v/>
      </c>
      <c r="CM389" s="40" t="str">
        <f t="shared" si="201"/>
        <v/>
      </c>
      <c r="CN389" s="39" t="str">
        <f t="shared" si="202"/>
        <v/>
      </c>
      <c r="CO389" s="458" t="str">
        <f t="shared" si="203"/>
        <v/>
      </c>
      <c r="CP389" s="458" t="str">
        <f t="shared" si="204"/>
        <v/>
      </c>
      <c r="CQ389" s="458" t="str">
        <f t="shared" si="205"/>
        <v/>
      </c>
      <c r="CR389" s="458" t="str">
        <f t="shared" si="206"/>
        <v/>
      </c>
      <c r="CS389" s="40" t="str">
        <f t="shared" si="207"/>
        <v/>
      </c>
      <c r="CT389" s="40" t="str">
        <f t="shared" si="208"/>
        <v/>
      </c>
      <c r="CU389" s="41" t="str">
        <f t="shared" si="209"/>
        <v/>
      </c>
    </row>
    <row r="390" spans="1:99" x14ac:dyDescent="0.2">
      <c r="A390" s="77">
        <f t="shared" si="210"/>
        <v>385</v>
      </c>
      <c r="B390" s="81"/>
      <c r="C390" s="82"/>
      <c r="D390" s="71"/>
      <c r="E390" s="72"/>
      <c r="F390" s="73"/>
      <c r="G390" s="443"/>
      <c r="H390" s="443"/>
      <c r="I390" s="74"/>
      <c r="J390" s="75"/>
      <c r="K390" s="41">
        <f t="shared" si="214"/>
        <v>3625</v>
      </c>
      <c r="L390" s="104"/>
      <c r="M390" s="105"/>
      <c r="N390" s="106">
        <f t="shared" si="215"/>
        <v>537.05999999999995</v>
      </c>
      <c r="O390" s="104"/>
      <c r="P390" s="105"/>
      <c r="Q390" s="106">
        <f t="shared" si="212"/>
        <v>10045.83</v>
      </c>
      <c r="R390" s="104"/>
      <c r="S390" s="105"/>
      <c r="T390" s="106">
        <f t="shared" si="213"/>
        <v>0</v>
      </c>
      <c r="U390" s="439"/>
      <c r="V390" s="42">
        <f t="shared" si="216"/>
        <v>385</v>
      </c>
      <c r="W390" s="39" t="str">
        <f>IF(AND(E390='Povolené hodnoty'!$B$4,F390=2),I390+L390+O390+R390,"")</f>
        <v/>
      </c>
      <c r="X390" s="41" t="str">
        <f>IF(AND(E390='Povolené hodnoty'!$B$4,F390=1),I390+L390+O390+R390,"")</f>
        <v/>
      </c>
      <c r="Y390" s="39" t="str">
        <f>IF(AND(E390='Povolené hodnoty'!$B$4,F390=10),J390+M390+P390+S390,"")</f>
        <v/>
      </c>
      <c r="Z390" s="41" t="str">
        <f>IF(AND(E390='Povolené hodnoty'!$B$4,F390=9),J390+M390+P390+S390,"")</f>
        <v/>
      </c>
      <c r="AA390" s="39" t="str">
        <f>IF(AND(E390&lt;&gt;'Povolené hodnoty'!$B$4,F390=2),I390+L390+O390+R390,"")</f>
        <v/>
      </c>
      <c r="AB390" s="40" t="str">
        <f>IF(AND(E390&lt;&gt;'Povolené hodnoty'!$B$4,F390=3),I390+L390+O390+R390,"")</f>
        <v/>
      </c>
      <c r="AC390" s="40" t="str">
        <f>IF(AND(E390&lt;&gt;'Povolené hodnoty'!$B$4,F390=4),I390+L390+O390+R390,"")</f>
        <v/>
      </c>
      <c r="AD390" s="40" t="str">
        <f>IF(AND(E390&lt;&gt;'Povolené hodnoty'!$B$4,F390="5a"),I390-J390+L390-M390+O390-P390+R390-S390,"")</f>
        <v/>
      </c>
      <c r="AE390" s="40" t="str">
        <f>IF(AND(E390&lt;&gt;'Povolené hodnoty'!$B$4,F390="5b"),I390-J390+L390-M390+O390-P390+R390-S390,"")</f>
        <v/>
      </c>
      <c r="AF390" s="40" t="str">
        <f>IF(AND(E390&lt;&gt;'Povolené hodnoty'!$B$4,F390=6),I390+L390+O390+R390,"")</f>
        <v/>
      </c>
      <c r="AG390" s="41" t="str">
        <f>IF(AND(E390&lt;&gt;'Povolené hodnoty'!$B$4,F390=7),I390+L390+O390+R390,"")</f>
        <v/>
      </c>
      <c r="AH390" s="39" t="str">
        <f>IF(AND(E390&lt;&gt;'Povolené hodnoty'!$B$4,F390=10),J390+M390+P390+S390,"")</f>
        <v/>
      </c>
      <c r="AI390" s="40" t="str">
        <f>IF(AND(E390&lt;&gt;'Povolené hodnoty'!$B$4,F390=11),J390+M390+P390+S390,"")</f>
        <v/>
      </c>
      <c r="AJ390" s="40" t="str">
        <f>IF(AND(E390&lt;&gt;'Povolené hodnoty'!$B$4,F390=12),J390+M390+P390+S390,"")</f>
        <v/>
      </c>
      <c r="AK390" s="41" t="str">
        <f>IF(AND(E390&lt;&gt;'Povolené hodnoty'!$B$4,F390=13),J390+M390+P390+S390,"")</f>
        <v/>
      </c>
      <c r="AL390" s="39" t="str">
        <f>IF(AND($G390='Povolené hodnoty'!$B$13,$H390=AL$4),SUM($I390,$L390,$O390,$R390),"")</f>
        <v/>
      </c>
      <c r="AM390" s="458" t="str">
        <f>IF(AND($G390='Povolené hodnoty'!$B$13,$H390=AM$4),SUM($I390,$L390,$O390,$R390),"")</f>
        <v/>
      </c>
      <c r="AN390" s="458" t="str">
        <f>IF(AND($G390='Povolené hodnoty'!$B$13,$H390=AN$4),SUM($I390,$L390,$O390,$R390),"")</f>
        <v/>
      </c>
      <c r="AO390" s="458" t="str">
        <f>IF(AND($G390='Povolené hodnoty'!$B$13,$H390=AO$4),SUM($I390,$L390,$O390,$R390),"")</f>
        <v/>
      </c>
      <c r="AP390" s="458" t="str">
        <f>IF(AND($G390='Povolené hodnoty'!$B$13,$H390=AP$4),SUM($I390,$L390,$O390,$R390),"")</f>
        <v/>
      </c>
      <c r="AQ390" s="40" t="str">
        <f>IF(AND($G390='Povolené hodnoty'!$B$13,OR($H390=AQ$4,$H390='Povolené hodnoty'!$E$36)),SUM($I390,-$J390,$L390,-$M390,$O390,-$P390,$R390,-$S390),"")</f>
        <v/>
      </c>
      <c r="AR390" s="40" t="str">
        <f>IF(AND($G390='Povolené hodnoty'!$B$13,$H390=AR$4),SUM($I390,$L390,$O390,$R390),"")</f>
        <v/>
      </c>
      <c r="AS390" s="41" t="str">
        <f>IF(AND($G390='Povolené hodnoty'!$B$13,$H390=AS$4),SUM($I390,$L390,$O390,$R390),"")</f>
        <v/>
      </c>
      <c r="AT390" s="39" t="str">
        <f>IF(AND($G390='Povolené hodnoty'!$B$14,$H390=AT$4),SUM($I390,$L390,$O390,$R390),"")</f>
        <v/>
      </c>
      <c r="AU390" s="458" t="str">
        <f>IF(AND($G390='Povolené hodnoty'!$B$14,$H390=AU$4),SUM($I390,$L390,$O390,$R390),"")</f>
        <v/>
      </c>
      <c r="AV390" s="41" t="str">
        <f>IF(AND($G390='Povolené hodnoty'!$B$14,$H390=AV$4),SUM($I390,$L390,$O390,$R390),"")</f>
        <v/>
      </c>
      <c r="AW390" s="39" t="str">
        <f>IF(AND($G390='Povolené hodnoty'!$B$13,$H390=AW$4),SUM($J390,$M390,$P390,$S390),"")</f>
        <v/>
      </c>
      <c r="AX390" s="458" t="str">
        <f>IF(AND($G390='Povolené hodnoty'!$B$13,$H390=AX$4),SUM($J390,$M390,$P390,$S390),"")</f>
        <v/>
      </c>
      <c r="AY390" s="458" t="str">
        <f>IF(AND($G390='Povolené hodnoty'!$B$13,$H390=AY$4),SUM($J390,$M390,$P390,$S390),"")</f>
        <v/>
      </c>
      <c r="AZ390" s="458" t="str">
        <f>IF(AND($G390='Povolené hodnoty'!$B$13,$H390=AZ$4),SUM($J390,$M390,$P390,$S390),"")</f>
        <v/>
      </c>
      <c r="BA390" s="458" t="str">
        <f>IF(AND($G390='Povolené hodnoty'!$B$13,$H390=BA$4),SUM($J390,$M390,$P390,$S390),"")</f>
        <v/>
      </c>
      <c r="BB390" s="40" t="str">
        <f>IF(AND($G390='Povolené hodnoty'!$B$13,$H390=BB$4),SUM($J390,$M390,$P390,$S390),"")</f>
        <v/>
      </c>
      <c r="BC390" s="40" t="str">
        <f>IF(AND($G390='Povolené hodnoty'!$B$13,$H390=BC$4),SUM($J390,$M390,$P390,$S390),"")</f>
        <v/>
      </c>
      <c r="BD390" s="40" t="str">
        <f>IF(AND($G390='Povolené hodnoty'!$B$13,$H390=BD$4),SUM($J390,$M390,$P390,$S390),"")</f>
        <v/>
      </c>
      <c r="BE390" s="41" t="str">
        <f>IF(AND($G390='Povolené hodnoty'!$B$13,$H390=BE$4),SUM($J390,$M390,$P390,$S390),"")</f>
        <v/>
      </c>
      <c r="BF390" s="39" t="str">
        <f>IF(AND($G390='Povolené hodnoty'!$B$14,$H390=BF$4),SUM($J390,$M390,$P390,$S390),"")</f>
        <v/>
      </c>
      <c r="BG390" s="458" t="str">
        <f>IF(AND($G390='Povolené hodnoty'!$B$14,$H390=BG$4),SUM($J390,$M390,$P390,$S390),"")</f>
        <v/>
      </c>
      <c r="BH390" s="458" t="str">
        <f>IF(AND($G390='Povolené hodnoty'!$B$14,$H390=BH$4),SUM($J390,$M390,$P390,$S390),"")</f>
        <v/>
      </c>
      <c r="BI390" s="458" t="str">
        <f>IF(AND($G390='Povolené hodnoty'!$B$14,$H390=BI$4),SUM($J390,$M390,$P390,$S390),"")</f>
        <v/>
      </c>
      <c r="BJ390" s="458" t="str">
        <f>IF(AND($G390='Povolené hodnoty'!$B$14,$H390=BJ$4),SUM($J390,$M390,$P390,$S390),"")</f>
        <v/>
      </c>
      <c r="BK390" s="40" t="str">
        <f>IF(AND($G390='Povolené hodnoty'!$B$14,$H390=BK$4),SUM($J390,$M390,$P390,$S390),"")</f>
        <v/>
      </c>
      <c r="BL390" s="40" t="str">
        <f>IF(AND($G390='Povolené hodnoty'!$B$14,$H390=BL$4),SUM($J390,$M390,$P390,$S390),"")</f>
        <v/>
      </c>
      <c r="BM390" s="41" t="str">
        <f>IF(AND($G390='Povolené hodnoty'!$B$14,$H390=BM$4),SUM($J390,$M390,$P390,$S390),"")</f>
        <v/>
      </c>
      <c r="BO390" s="18" t="b">
        <f t="shared" si="211"/>
        <v>0</v>
      </c>
      <c r="BP390" s="18" t="b">
        <f t="shared" ref="BP390:BP453" si="217">COUNT(I390:J390,L390:M390,O390:P390,R390:S390)&gt;1</f>
        <v>0</v>
      </c>
      <c r="BQ390" s="18" t="b">
        <f>AND(E390&lt;&gt;'Povolené hodnoty'!$B$6,F390&lt;&gt;'Povolené hodnoty'!$D$7,F390&lt;&gt;'Povolené hodnoty'!$D$8,OR(SUM(I390,L390,O390,R390)&lt;&gt;SUM(W390:X390,AA390:AG390),SUM(J390,M390,P390,S390)&lt;&gt;SUM(Y390:Z390,AH390:AK390),COUNT(I390:J390,L390:M390,O390:P390,R390:S390)&lt;&gt;COUNT(W390:AK390)))</f>
        <v>0</v>
      </c>
      <c r="BR390" s="18" t="b">
        <f>OR(AND(E390='Povolené hodnoty'!$B$6,$BR$5),AND(E390='Povolené hodnoty'!$B$6,H390&lt;&gt;'Povolené hodnoty'!$E$26,H390&lt;&gt;'Povolené hodnoty'!$E$35),AND(E390&lt;&gt;'Povolené hodnoty'!$B$6,OR(H390='Povolené hodnoty'!$E$26,H390='Povolené hodnoty'!$E$35)))</f>
        <v>0</v>
      </c>
      <c r="BS390" s="18" t="b">
        <f>OR(AND(G390&lt;&gt;'Povolené hodnoty'!$B$13,OR(H390='Povolené hodnoty'!$E$21,H390='Povolené hodnoty'!$E$22,H390='Povolené hodnoty'!$E$23,H390='Povolené hodnoty'!$E$24,H390='Povolené hodnoty'!$E$26,H390='Povolené hodnoty'!$E$36)),COUNT(I390:J390,L390:M390,O390:P390,R390:S390)&lt;&gt;COUNT(AL390:BM390))</f>
        <v>0</v>
      </c>
      <c r="BT390" s="18" t="b">
        <f t="shared" ref="BT390:BT453" si="218">OR(AND(LEFT(H390,1)="V",COUNT(I390,L390,O390,R390)&gt;0),AND(LEFT(H390,1)="P",COUNT(J390,M390,P390,S390)&gt;0))</f>
        <v>0</v>
      </c>
      <c r="BV390" s="39" t="str">
        <f t="shared" ref="BV390:BV453" si="219">IF(SUM($W390:$X390)=AL390,AL390,"")</f>
        <v/>
      </c>
      <c r="BW390" s="458" t="str">
        <f t="shared" ref="BW390:BW453" si="220">IF(SUM($W390:$X390)=AM390,AM390,"")</f>
        <v/>
      </c>
      <c r="BX390" s="458" t="str">
        <f t="shared" ref="BX390:BX453" si="221">IF(SUM($W390:$X390)=AN390,AN390,"")</f>
        <v/>
      </c>
      <c r="BY390" s="458" t="str">
        <f t="shared" ref="BY390:BY453" si="222">IF(SUM($W390:$X390)=AO390,AO390,"")</f>
        <v/>
      </c>
      <c r="BZ390" s="458" t="str">
        <f t="shared" ref="BZ390:BZ453" si="223">IF(SUM($W390:$X390)=AP390,AP390,"")</f>
        <v/>
      </c>
      <c r="CA390" s="40" t="str">
        <f t="shared" ref="CA390:CA453" si="224">IF(SUM($W390:$X390)=AQ390,AQ390,"")</f>
        <v/>
      </c>
      <c r="CB390" s="40" t="str">
        <f t="shared" ref="CB390:CB453" si="225">IF(SUM($W390:$X390)=AR390,AR390,"")</f>
        <v/>
      </c>
      <c r="CC390" s="39" t="str">
        <f t="shared" ref="CC390:CC453" si="226">IF(SUM($W390:$X390)=AT390,AT390,"")</f>
        <v/>
      </c>
      <c r="CD390" s="458" t="str">
        <f t="shared" ref="CD390:CD453" si="227">IF(SUM($W390:$X390)=AU390,AU390,"")</f>
        <v/>
      </c>
      <c r="CE390" s="41" t="str">
        <f t="shared" ref="CE390:CE453" si="228">IF(SUM($W390:$X390)=AV390,AV390,"")</f>
        <v/>
      </c>
      <c r="CF390" s="39" t="str">
        <f t="shared" ref="CF390:CF453" si="229">IF(SUM($Y390:$Z390)=AW390,AW390,"")</f>
        <v/>
      </c>
      <c r="CG390" s="458" t="str">
        <f t="shared" ref="CG390:CG453" si="230">IF(SUM($Y390:$Z390)=AX390,AX390,"")</f>
        <v/>
      </c>
      <c r="CH390" s="458" t="str">
        <f t="shared" ref="CH390:CH453" si="231">IF(SUM($Y390:$Z390)=AY390,AY390,"")</f>
        <v/>
      </c>
      <c r="CI390" s="458" t="str">
        <f t="shared" ref="CI390:CI453" si="232">IF(SUM($Y390:$Z390)=AZ390,AZ390,"")</f>
        <v/>
      </c>
      <c r="CJ390" s="458" t="str">
        <f t="shared" ref="CJ390:CJ453" si="233">IF(SUM($Y390:$Z390)=BA390,BA390,"")</f>
        <v/>
      </c>
      <c r="CK390" s="40" t="str">
        <f t="shared" ref="CK390:CK453" si="234">IF(SUM($Y390:$Z390)=BB390,BB390,"")</f>
        <v/>
      </c>
      <c r="CL390" s="40" t="str">
        <f t="shared" ref="CL390:CL453" si="235">IF(SUM($Y390:$Z390)=BC390,BC390,"")</f>
        <v/>
      </c>
      <c r="CM390" s="40" t="str">
        <f t="shared" ref="CM390:CM453" si="236">IF(SUM($Y390:$Z390)=BD390,BD390,"")</f>
        <v/>
      </c>
      <c r="CN390" s="39" t="str">
        <f t="shared" ref="CN390:CN453" si="237">IF(SUM($Y390:$Z390)=BF390,BF390,"")</f>
        <v/>
      </c>
      <c r="CO390" s="458" t="str">
        <f t="shared" ref="CO390:CO453" si="238">IF(SUM($Y390:$Z390)=BG390,BG390,"")</f>
        <v/>
      </c>
      <c r="CP390" s="458" t="str">
        <f t="shared" ref="CP390:CP453" si="239">IF(SUM($Y390:$Z390)=BH390,BH390,"")</f>
        <v/>
      </c>
      <c r="CQ390" s="458" t="str">
        <f t="shared" ref="CQ390:CQ453" si="240">IF(SUM($Y390:$Z390)=BI390,BI390,"")</f>
        <v/>
      </c>
      <c r="CR390" s="458" t="str">
        <f t="shared" ref="CR390:CR453" si="241">IF(SUM($Y390:$Z390)=BJ390,BJ390,"")</f>
        <v/>
      </c>
      <c r="CS390" s="40" t="str">
        <f t="shared" ref="CS390:CS453" si="242">IF(SUM($Y390:$Z390)=BK390,BK390,"")</f>
        <v/>
      </c>
      <c r="CT390" s="40" t="str">
        <f t="shared" ref="CT390:CT453" si="243">IF(SUM($Y390:$Z390)=BL390,BL390,"")</f>
        <v/>
      </c>
      <c r="CU390" s="41" t="str">
        <f t="shared" ref="CU390:CU453" si="244">IF(SUM($Y390:$Z390)=BM390,BM390,"")</f>
        <v/>
      </c>
    </row>
    <row r="391" spans="1:99" x14ac:dyDescent="0.2">
      <c r="A391" s="77">
        <f t="shared" ref="A391:A454" si="245">A390+1</f>
        <v>386</v>
      </c>
      <c r="B391" s="81"/>
      <c r="C391" s="82"/>
      <c r="D391" s="71"/>
      <c r="E391" s="72"/>
      <c r="F391" s="73"/>
      <c r="G391" s="443"/>
      <c r="H391" s="443"/>
      <c r="I391" s="74"/>
      <c r="J391" s="75"/>
      <c r="K391" s="41">
        <f t="shared" si="214"/>
        <v>3625</v>
      </c>
      <c r="L391" s="104"/>
      <c r="M391" s="105"/>
      <c r="N391" s="106">
        <f t="shared" si="215"/>
        <v>537.05999999999995</v>
      </c>
      <c r="O391" s="104"/>
      <c r="P391" s="105"/>
      <c r="Q391" s="106">
        <f t="shared" si="212"/>
        <v>10045.83</v>
      </c>
      <c r="R391" s="104"/>
      <c r="S391" s="105"/>
      <c r="T391" s="106">
        <f t="shared" si="213"/>
        <v>0</v>
      </c>
      <c r="U391" s="439"/>
      <c r="V391" s="42">
        <f t="shared" si="216"/>
        <v>386</v>
      </c>
      <c r="W391" s="39" t="str">
        <f>IF(AND(E391='Povolené hodnoty'!$B$4,F391=2),I391+L391+O391+R391,"")</f>
        <v/>
      </c>
      <c r="X391" s="41" t="str">
        <f>IF(AND(E391='Povolené hodnoty'!$B$4,F391=1),I391+L391+O391+R391,"")</f>
        <v/>
      </c>
      <c r="Y391" s="39" t="str">
        <f>IF(AND(E391='Povolené hodnoty'!$B$4,F391=10),J391+M391+P391+S391,"")</f>
        <v/>
      </c>
      <c r="Z391" s="41" t="str">
        <f>IF(AND(E391='Povolené hodnoty'!$B$4,F391=9),J391+M391+P391+S391,"")</f>
        <v/>
      </c>
      <c r="AA391" s="39" t="str">
        <f>IF(AND(E391&lt;&gt;'Povolené hodnoty'!$B$4,F391=2),I391+L391+O391+R391,"")</f>
        <v/>
      </c>
      <c r="AB391" s="40" t="str">
        <f>IF(AND(E391&lt;&gt;'Povolené hodnoty'!$B$4,F391=3),I391+L391+O391+R391,"")</f>
        <v/>
      </c>
      <c r="AC391" s="40" t="str">
        <f>IF(AND(E391&lt;&gt;'Povolené hodnoty'!$B$4,F391=4),I391+L391+O391+R391,"")</f>
        <v/>
      </c>
      <c r="AD391" s="40" t="str">
        <f>IF(AND(E391&lt;&gt;'Povolené hodnoty'!$B$4,F391="5a"),I391-J391+L391-M391+O391-P391+R391-S391,"")</f>
        <v/>
      </c>
      <c r="AE391" s="40" t="str">
        <f>IF(AND(E391&lt;&gt;'Povolené hodnoty'!$B$4,F391="5b"),I391-J391+L391-M391+O391-P391+R391-S391,"")</f>
        <v/>
      </c>
      <c r="AF391" s="40" t="str">
        <f>IF(AND(E391&lt;&gt;'Povolené hodnoty'!$B$4,F391=6),I391+L391+O391+R391,"")</f>
        <v/>
      </c>
      <c r="AG391" s="41" t="str">
        <f>IF(AND(E391&lt;&gt;'Povolené hodnoty'!$B$4,F391=7),I391+L391+O391+R391,"")</f>
        <v/>
      </c>
      <c r="AH391" s="39" t="str">
        <f>IF(AND(E391&lt;&gt;'Povolené hodnoty'!$B$4,F391=10),J391+M391+P391+S391,"")</f>
        <v/>
      </c>
      <c r="AI391" s="40" t="str">
        <f>IF(AND(E391&lt;&gt;'Povolené hodnoty'!$B$4,F391=11),J391+M391+P391+S391,"")</f>
        <v/>
      </c>
      <c r="AJ391" s="40" t="str">
        <f>IF(AND(E391&lt;&gt;'Povolené hodnoty'!$B$4,F391=12),J391+M391+P391+S391,"")</f>
        <v/>
      </c>
      <c r="AK391" s="41" t="str">
        <f>IF(AND(E391&lt;&gt;'Povolené hodnoty'!$B$4,F391=13),J391+M391+P391+S391,"")</f>
        <v/>
      </c>
      <c r="AL391" s="39" t="str">
        <f>IF(AND($G391='Povolené hodnoty'!$B$13,$H391=AL$4),SUM($I391,$L391,$O391,$R391),"")</f>
        <v/>
      </c>
      <c r="AM391" s="458" t="str">
        <f>IF(AND($G391='Povolené hodnoty'!$B$13,$H391=AM$4),SUM($I391,$L391,$O391,$R391),"")</f>
        <v/>
      </c>
      <c r="AN391" s="458" t="str">
        <f>IF(AND($G391='Povolené hodnoty'!$B$13,$H391=AN$4),SUM($I391,$L391,$O391,$R391),"")</f>
        <v/>
      </c>
      <c r="AO391" s="458" t="str">
        <f>IF(AND($G391='Povolené hodnoty'!$B$13,$H391=AO$4),SUM($I391,$L391,$O391,$R391),"")</f>
        <v/>
      </c>
      <c r="AP391" s="458" t="str">
        <f>IF(AND($G391='Povolené hodnoty'!$B$13,$H391=AP$4),SUM($I391,$L391,$O391,$R391),"")</f>
        <v/>
      </c>
      <c r="AQ391" s="40" t="str">
        <f>IF(AND($G391='Povolené hodnoty'!$B$13,OR($H391=AQ$4,$H391='Povolené hodnoty'!$E$36)),SUM($I391,-$J391,$L391,-$M391,$O391,-$P391,$R391,-$S391),"")</f>
        <v/>
      </c>
      <c r="AR391" s="40" t="str">
        <f>IF(AND($G391='Povolené hodnoty'!$B$13,$H391=AR$4),SUM($I391,$L391,$O391,$R391),"")</f>
        <v/>
      </c>
      <c r="AS391" s="41" t="str">
        <f>IF(AND($G391='Povolené hodnoty'!$B$13,$H391=AS$4),SUM($I391,$L391,$O391,$R391),"")</f>
        <v/>
      </c>
      <c r="AT391" s="39" t="str">
        <f>IF(AND($G391='Povolené hodnoty'!$B$14,$H391=AT$4),SUM($I391,$L391,$O391,$R391),"")</f>
        <v/>
      </c>
      <c r="AU391" s="458" t="str">
        <f>IF(AND($G391='Povolené hodnoty'!$B$14,$H391=AU$4),SUM($I391,$L391,$O391,$R391),"")</f>
        <v/>
      </c>
      <c r="AV391" s="41" t="str">
        <f>IF(AND($G391='Povolené hodnoty'!$B$14,$H391=AV$4),SUM($I391,$L391,$O391,$R391),"")</f>
        <v/>
      </c>
      <c r="AW391" s="39" t="str">
        <f>IF(AND($G391='Povolené hodnoty'!$B$13,$H391=AW$4),SUM($J391,$M391,$P391,$S391),"")</f>
        <v/>
      </c>
      <c r="AX391" s="458" t="str">
        <f>IF(AND($G391='Povolené hodnoty'!$B$13,$H391=AX$4),SUM($J391,$M391,$P391,$S391),"")</f>
        <v/>
      </c>
      <c r="AY391" s="458" t="str">
        <f>IF(AND($G391='Povolené hodnoty'!$B$13,$H391=AY$4),SUM($J391,$M391,$P391,$S391),"")</f>
        <v/>
      </c>
      <c r="AZ391" s="458" t="str">
        <f>IF(AND($G391='Povolené hodnoty'!$B$13,$H391=AZ$4),SUM($J391,$M391,$P391,$S391),"")</f>
        <v/>
      </c>
      <c r="BA391" s="458" t="str">
        <f>IF(AND($G391='Povolené hodnoty'!$B$13,$H391=BA$4),SUM($J391,$M391,$P391,$S391),"")</f>
        <v/>
      </c>
      <c r="BB391" s="40" t="str">
        <f>IF(AND($G391='Povolené hodnoty'!$B$13,$H391=BB$4),SUM($J391,$M391,$P391,$S391),"")</f>
        <v/>
      </c>
      <c r="BC391" s="40" t="str">
        <f>IF(AND($G391='Povolené hodnoty'!$B$13,$H391=BC$4),SUM($J391,$M391,$P391,$S391),"")</f>
        <v/>
      </c>
      <c r="BD391" s="40" t="str">
        <f>IF(AND($G391='Povolené hodnoty'!$B$13,$H391=BD$4),SUM($J391,$M391,$P391,$S391),"")</f>
        <v/>
      </c>
      <c r="BE391" s="41" t="str">
        <f>IF(AND($G391='Povolené hodnoty'!$B$13,$H391=BE$4),SUM($J391,$M391,$P391,$S391),"")</f>
        <v/>
      </c>
      <c r="BF391" s="39" t="str">
        <f>IF(AND($G391='Povolené hodnoty'!$B$14,$H391=BF$4),SUM($J391,$M391,$P391,$S391),"")</f>
        <v/>
      </c>
      <c r="BG391" s="458" t="str">
        <f>IF(AND($G391='Povolené hodnoty'!$B$14,$H391=BG$4),SUM($J391,$M391,$P391,$S391),"")</f>
        <v/>
      </c>
      <c r="BH391" s="458" t="str">
        <f>IF(AND($G391='Povolené hodnoty'!$B$14,$H391=BH$4),SUM($J391,$M391,$P391,$S391),"")</f>
        <v/>
      </c>
      <c r="BI391" s="458" t="str">
        <f>IF(AND($G391='Povolené hodnoty'!$B$14,$H391=BI$4),SUM($J391,$M391,$P391,$S391),"")</f>
        <v/>
      </c>
      <c r="BJ391" s="458" t="str">
        <f>IF(AND($G391='Povolené hodnoty'!$B$14,$H391=BJ$4),SUM($J391,$M391,$P391,$S391),"")</f>
        <v/>
      </c>
      <c r="BK391" s="40" t="str">
        <f>IF(AND($G391='Povolené hodnoty'!$B$14,$H391=BK$4),SUM($J391,$M391,$P391,$S391),"")</f>
        <v/>
      </c>
      <c r="BL391" s="40" t="str">
        <f>IF(AND($G391='Povolené hodnoty'!$B$14,$H391=BL$4),SUM($J391,$M391,$P391,$S391),"")</f>
        <v/>
      </c>
      <c r="BM391" s="41" t="str">
        <f>IF(AND($G391='Povolené hodnoty'!$B$14,$H391=BM$4),SUM($J391,$M391,$P391,$S391),"")</f>
        <v/>
      </c>
      <c r="BO391" s="18" t="b">
        <f t="shared" ref="BO391:BO454" si="246">OR(BP391:BT391)</f>
        <v>0</v>
      </c>
      <c r="BP391" s="18" t="b">
        <f t="shared" si="217"/>
        <v>0</v>
      </c>
      <c r="BQ391" s="18" t="b">
        <f>AND(E391&lt;&gt;'Povolené hodnoty'!$B$6,F391&lt;&gt;'Povolené hodnoty'!$D$7,F391&lt;&gt;'Povolené hodnoty'!$D$8,OR(SUM(I391,L391,O391,R391)&lt;&gt;SUM(W391:X391,AA391:AG391),SUM(J391,M391,P391,S391)&lt;&gt;SUM(Y391:Z391,AH391:AK391),COUNT(I391:J391,L391:M391,O391:P391,R391:S391)&lt;&gt;COUNT(W391:AK391)))</f>
        <v>0</v>
      </c>
      <c r="BR391" s="18" t="b">
        <f>OR(AND(E391='Povolené hodnoty'!$B$6,$BR$5),AND(E391='Povolené hodnoty'!$B$6,H391&lt;&gt;'Povolené hodnoty'!$E$26,H391&lt;&gt;'Povolené hodnoty'!$E$35),AND(E391&lt;&gt;'Povolené hodnoty'!$B$6,OR(H391='Povolené hodnoty'!$E$26,H391='Povolené hodnoty'!$E$35)))</f>
        <v>0</v>
      </c>
      <c r="BS391" s="18" t="b">
        <f>OR(AND(G391&lt;&gt;'Povolené hodnoty'!$B$13,OR(H391='Povolené hodnoty'!$E$21,H391='Povolené hodnoty'!$E$22,H391='Povolené hodnoty'!$E$23,H391='Povolené hodnoty'!$E$24,H391='Povolené hodnoty'!$E$26,H391='Povolené hodnoty'!$E$36)),COUNT(I391:J391,L391:M391,O391:P391,R391:S391)&lt;&gt;COUNT(AL391:BM391))</f>
        <v>0</v>
      </c>
      <c r="BT391" s="18" t="b">
        <f t="shared" si="218"/>
        <v>0</v>
      </c>
      <c r="BV391" s="39" t="str">
        <f t="shared" si="219"/>
        <v/>
      </c>
      <c r="BW391" s="458" t="str">
        <f t="shared" si="220"/>
        <v/>
      </c>
      <c r="BX391" s="458" t="str">
        <f t="shared" si="221"/>
        <v/>
      </c>
      <c r="BY391" s="458" t="str">
        <f t="shared" si="222"/>
        <v/>
      </c>
      <c r="BZ391" s="458" t="str">
        <f t="shared" si="223"/>
        <v/>
      </c>
      <c r="CA391" s="40" t="str">
        <f t="shared" si="224"/>
        <v/>
      </c>
      <c r="CB391" s="40" t="str">
        <f t="shared" si="225"/>
        <v/>
      </c>
      <c r="CC391" s="39" t="str">
        <f t="shared" si="226"/>
        <v/>
      </c>
      <c r="CD391" s="458" t="str">
        <f t="shared" si="227"/>
        <v/>
      </c>
      <c r="CE391" s="41" t="str">
        <f t="shared" si="228"/>
        <v/>
      </c>
      <c r="CF391" s="39" t="str">
        <f t="shared" si="229"/>
        <v/>
      </c>
      <c r="CG391" s="458" t="str">
        <f t="shared" si="230"/>
        <v/>
      </c>
      <c r="CH391" s="458" t="str">
        <f t="shared" si="231"/>
        <v/>
      </c>
      <c r="CI391" s="458" t="str">
        <f t="shared" si="232"/>
        <v/>
      </c>
      <c r="CJ391" s="458" t="str">
        <f t="shared" si="233"/>
        <v/>
      </c>
      <c r="CK391" s="40" t="str">
        <f t="shared" si="234"/>
        <v/>
      </c>
      <c r="CL391" s="40" t="str">
        <f t="shared" si="235"/>
        <v/>
      </c>
      <c r="CM391" s="40" t="str">
        <f t="shared" si="236"/>
        <v/>
      </c>
      <c r="CN391" s="39" t="str">
        <f t="shared" si="237"/>
        <v/>
      </c>
      <c r="CO391" s="458" t="str">
        <f t="shared" si="238"/>
        <v/>
      </c>
      <c r="CP391" s="458" t="str">
        <f t="shared" si="239"/>
        <v/>
      </c>
      <c r="CQ391" s="458" t="str">
        <f t="shared" si="240"/>
        <v/>
      </c>
      <c r="CR391" s="458" t="str">
        <f t="shared" si="241"/>
        <v/>
      </c>
      <c r="CS391" s="40" t="str">
        <f t="shared" si="242"/>
        <v/>
      </c>
      <c r="CT391" s="40" t="str">
        <f t="shared" si="243"/>
        <v/>
      </c>
      <c r="CU391" s="41" t="str">
        <f t="shared" si="244"/>
        <v/>
      </c>
    </row>
    <row r="392" spans="1:99" x14ac:dyDescent="0.2">
      <c r="A392" s="77">
        <f t="shared" si="245"/>
        <v>387</v>
      </c>
      <c r="B392" s="81"/>
      <c r="C392" s="82"/>
      <c r="D392" s="71"/>
      <c r="E392" s="72"/>
      <c r="F392" s="73"/>
      <c r="G392" s="443"/>
      <c r="H392" s="443"/>
      <c r="I392" s="74"/>
      <c r="J392" s="75"/>
      <c r="K392" s="41">
        <f t="shared" si="214"/>
        <v>3625</v>
      </c>
      <c r="L392" s="104"/>
      <c r="M392" s="105"/>
      <c r="N392" s="106">
        <f t="shared" si="215"/>
        <v>537.05999999999995</v>
      </c>
      <c r="O392" s="104"/>
      <c r="P392" s="105"/>
      <c r="Q392" s="106">
        <f t="shared" ref="Q392:Q455" si="247">Q391+O392-P392</f>
        <v>10045.83</v>
      </c>
      <c r="R392" s="104"/>
      <c r="S392" s="105"/>
      <c r="T392" s="106">
        <f t="shared" ref="T392:T455" si="248">T391+R392-S392</f>
        <v>0</v>
      </c>
      <c r="U392" s="439"/>
      <c r="V392" s="42">
        <f t="shared" si="216"/>
        <v>387</v>
      </c>
      <c r="W392" s="39" t="str">
        <f>IF(AND(E392='Povolené hodnoty'!$B$4,F392=2),I392+L392+O392+R392,"")</f>
        <v/>
      </c>
      <c r="X392" s="41" t="str">
        <f>IF(AND(E392='Povolené hodnoty'!$B$4,F392=1),I392+L392+O392+R392,"")</f>
        <v/>
      </c>
      <c r="Y392" s="39" t="str">
        <f>IF(AND(E392='Povolené hodnoty'!$B$4,F392=10),J392+M392+P392+S392,"")</f>
        <v/>
      </c>
      <c r="Z392" s="41" t="str">
        <f>IF(AND(E392='Povolené hodnoty'!$B$4,F392=9),J392+M392+P392+S392,"")</f>
        <v/>
      </c>
      <c r="AA392" s="39" t="str">
        <f>IF(AND(E392&lt;&gt;'Povolené hodnoty'!$B$4,F392=2),I392+L392+O392+R392,"")</f>
        <v/>
      </c>
      <c r="AB392" s="40" t="str">
        <f>IF(AND(E392&lt;&gt;'Povolené hodnoty'!$B$4,F392=3),I392+L392+O392+R392,"")</f>
        <v/>
      </c>
      <c r="AC392" s="40" t="str">
        <f>IF(AND(E392&lt;&gt;'Povolené hodnoty'!$B$4,F392=4),I392+L392+O392+R392,"")</f>
        <v/>
      </c>
      <c r="AD392" s="40" t="str">
        <f>IF(AND(E392&lt;&gt;'Povolené hodnoty'!$B$4,F392="5a"),I392-J392+L392-M392+O392-P392+R392-S392,"")</f>
        <v/>
      </c>
      <c r="AE392" s="40" t="str">
        <f>IF(AND(E392&lt;&gt;'Povolené hodnoty'!$B$4,F392="5b"),I392-J392+L392-M392+O392-P392+R392-S392,"")</f>
        <v/>
      </c>
      <c r="AF392" s="40" t="str">
        <f>IF(AND(E392&lt;&gt;'Povolené hodnoty'!$B$4,F392=6),I392+L392+O392+R392,"")</f>
        <v/>
      </c>
      <c r="AG392" s="41" t="str">
        <f>IF(AND(E392&lt;&gt;'Povolené hodnoty'!$B$4,F392=7),I392+L392+O392+R392,"")</f>
        <v/>
      </c>
      <c r="AH392" s="39" t="str">
        <f>IF(AND(E392&lt;&gt;'Povolené hodnoty'!$B$4,F392=10),J392+M392+P392+S392,"")</f>
        <v/>
      </c>
      <c r="AI392" s="40" t="str">
        <f>IF(AND(E392&lt;&gt;'Povolené hodnoty'!$B$4,F392=11),J392+M392+P392+S392,"")</f>
        <v/>
      </c>
      <c r="AJ392" s="40" t="str">
        <f>IF(AND(E392&lt;&gt;'Povolené hodnoty'!$B$4,F392=12),J392+M392+P392+S392,"")</f>
        <v/>
      </c>
      <c r="AK392" s="41" t="str">
        <f>IF(AND(E392&lt;&gt;'Povolené hodnoty'!$B$4,F392=13),J392+M392+P392+S392,"")</f>
        <v/>
      </c>
      <c r="AL392" s="39" t="str">
        <f>IF(AND($G392='Povolené hodnoty'!$B$13,$H392=AL$4),SUM($I392,$L392,$O392,$R392),"")</f>
        <v/>
      </c>
      <c r="AM392" s="458" t="str">
        <f>IF(AND($G392='Povolené hodnoty'!$B$13,$H392=AM$4),SUM($I392,$L392,$O392,$R392),"")</f>
        <v/>
      </c>
      <c r="AN392" s="458" t="str">
        <f>IF(AND($G392='Povolené hodnoty'!$B$13,$H392=AN$4),SUM($I392,$L392,$O392,$R392),"")</f>
        <v/>
      </c>
      <c r="AO392" s="458" t="str">
        <f>IF(AND($G392='Povolené hodnoty'!$B$13,$H392=AO$4),SUM($I392,$L392,$O392,$R392),"")</f>
        <v/>
      </c>
      <c r="AP392" s="458" t="str">
        <f>IF(AND($G392='Povolené hodnoty'!$B$13,$H392=AP$4),SUM($I392,$L392,$O392,$R392),"")</f>
        <v/>
      </c>
      <c r="AQ392" s="40" t="str">
        <f>IF(AND($G392='Povolené hodnoty'!$B$13,OR($H392=AQ$4,$H392='Povolené hodnoty'!$E$36)),SUM($I392,-$J392,$L392,-$M392,$O392,-$P392,$R392,-$S392),"")</f>
        <v/>
      </c>
      <c r="AR392" s="40" t="str">
        <f>IF(AND($G392='Povolené hodnoty'!$B$13,$H392=AR$4),SUM($I392,$L392,$O392,$R392),"")</f>
        <v/>
      </c>
      <c r="AS392" s="41" t="str">
        <f>IF(AND($G392='Povolené hodnoty'!$B$13,$H392=AS$4),SUM($I392,$L392,$O392,$R392),"")</f>
        <v/>
      </c>
      <c r="AT392" s="39" t="str">
        <f>IF(AND($G392='Povolené hodnoty'!$B$14,$H392=AT$4),SUM($I392,$L392,$O392,$R392),"")</f>
        <v/>
      </c>
      <c r="AU392" s="458" t="str">
        <f>IF(AND($G392='Povolené hodnoty'!$B$14,$H392=AU$4),SUM($I392,$L392,$O392,$R392),"")</f>
        <v/>
      </c>
      <c r="AV392" s="41" t="str">
        <f>IF(AND($G392='Povolené hodnoty'!$B$14,$H392=AV$4),SUM($I392,$L392,$O392,$R392),"")</f>
        <v/>
      </c>
      <c r="AW392" s="39" t="str">
        <f>IF(AND($G392='Povolené hodnoty'!$B$13,$H392=AW$4),SUM($J392,$M392,$P392,$S392),"")</f>
        <v/>
      </c>
      <c r="AX392" s="458" t="str">
        <f>IF(AND($G392='Povolené hodnoty'!$B$13,$H392=AX$4),SUM($J392,$M392,$P392,$S392),"")</f>
        <v/>
      </c>
      <c r="AY392" s="458" t="str">
        <f>IF(AND($G392='Povolené hodnoty'!$B$13,$H392=AY$4),SUM($J392,$M392,$P392,$S392),"")</f>
        <v/>
      </c>
      <c r="AZ392" s="458" t="str">
        <f>IF(AND($G392='Povolené hodnoty'!$B$13,$H392=AZ$4),SUM($J392,$M392,$P392,$S392),"")</f>
        <v/>
      </c>
      <c r="BA392" s="458" t="str">
        <f>IF(AND($G392='Povolené hodnoty'!$B$13,$H392=BA$4),SUM($J392,$M392,$P392,$S392),"")</f>
        <v/>
      </c>
      <c r="BB392" s="40" t="str">
        <f>IF(AND($G392='Povolené hodnoty'!$B$13,$H392=BB$4),SUM($J392,$M392,$P392,$S392),"")</f>
        <v/>
      </c>
      <c r="BC392" s="40" t="str">
        <f>IF(AND($G392='Povolené hodnoty'!$B$13,$H392=BC$4),SUM($J392,$M392,$P392,$S392),"")</f>
        <v/>
      </c>
      <c r="BD392" s="40" t="str">
        <f>IF(AND($G392='Povolené hodnoty'!$B$13,$H392=BD$4),SUM($J392,$M392,$P392,$S392),"")</f>
        <v/>
      </c>
      <c r="BE392" s="41" t="str">
        <f>IF(AND($G392='Povolené hodnoty'!$B$13,$H392=BE$4),SUM($J392,$M392,$P392,$S392),"")</f>
        <v/>
      </c>
      <c r="BF392" s="39" t="str">
        <f>IF(AND($G392='Povolené hodnoty'!$B$14,$H392=BF$4),SUM($J392,$M392,$P392,$S392),"")</f>
        <v/>
      </c>
      <c r="BG392" s="458" t="str">
        <f>IF(AND($G392='Povolené hodnoty'!$B$14,$H392=BG$4),SUM($J392,$M392,$P392,$S392),"")</f>
        <v/>
      </c>
      <c r="BH392" s="458" t="str">
        <f>IF(AND($G392='Povolené hodnoty'!$B$14,$H392=BH$4),SUM($J392,$M392,$P392,$S392),"")</f>
        <v/>
      </c>
      <c r="BI392" s="458" t="str">
        <f>IF(AND($G392='Povolené hodnoty'!$B$14,$H392=BI$4),SUM($J392,$M392,$P392,$S392),"")</f>
        <v/>
      </c>
      <c r="BJ392" s="458" t="str">
        <f>IF(AND($G392='Povolené hodnoty'!$B$14,$H392=BJ$4),SUM($J392,$M392,$P392,$S392),"")</f>
        <v/>
      </c>
      <c r="BK392" s="40" t="str">
        <f>IF(AND($G392='Povolené hodnoty'!$B$14,$H392=BK$4),SUM($J392,$M392,$P392,$S392),"")</f>
        <v/>
      </c>
      <c r="BL392" s="40" t="str">
        <f>IF(AND($G392='Povolené hodnoty'!$B$14,$H392=BL$4),SUM($J392,$M392,$P392,$S392),"")</f>
        <v/>
      </c>
      <c r="BM392" s="41" t="str">
        <f>IF(AND($G392='Povolené hodnoty'!$B$14,$H392=BM$4),SUM($J392,$M392,$P392,$S392),"")</f>
        <v/>
      </c>
      <c r="BO392" s="18" t="b">
        <f t="shared" si="246"/>
        <v>0</v>
      </c>
      <c r="BP392" s="18" t="b">
        <f t="shared" si="217"/>
        <v>0</v>
      </c>
      <c r="BQ392" s="18" t="b">
        <f>AND(E392&lt;&gt;'Povolené hodnoty'!$B$6,F392&lt;&gt;'Povolené hodnoty'!$D$7,F392&lt;&gt;'Povolené hodnoty'!$D$8,OR(SUM(I392,L392,O392,R392)&lt;&gt;SUM(W392:X392,AA392:AG392),SUM(J392,M392,P392,S392)&lt;&gt;SUM(Y392:Z392,AH392:AK392),COUNT(I392:J392,L392:M392,O392:P392,R392:S392)&lt;&gt;COUNT(W392:AK392)))</f>
        <v>0</v>
      </c>
      <c r="BR392" s="18" t="b">
        <f>OR(AND(E392='Povolené hodnoty'!$B$6,$BR$5),AND(E392='Povolené hodnoty'!$B$6,H392&lt;&gt;'Povolené hodnoty'!$E$26,H392&lt;&gt;'Povolené hodnoty'!$E$35),AND(E392&lt;&gt;'Povolené hodnoty'!$B$6,OR(H392='Povolené hodnoty'!$E$26,H392='Povolené hodnoty'!$E$35)))</f>
        <v>0</v>
      </c>
      <c r="BS392" s="18" t="b">
        <f>OR(AND(G392&lt;&gt;'Povolené hodnoty'!$B$13,OR(H392='Povolené hodnoty'!$E$21,H392='Povolené hodnoty'!$E$22,H392='Povolené hodnoty'!$E$23,H392='Povolené hodnoty'!$E$24,H392='Povolené hodnoty'!$E$26,H392='Povolené hodnoty'!$E$36)),COUNT(I392:J392,L392:M392,O392:P392,R392:S392)&lt;&gt;COUNT(AL392:BM392))</f>
        <v>0</v>
      </c>
      <c r="BT392" s="18" t="b">
        <f t="shared" si="218"/>
        <v>0</v>
      </c>
      <c r="BV392" s="39" t="str">
        <f t="shared" si="219"/>
        <v/>
      </c>
      <c r="BW392" s="458" t="str">
        <f t="shared" si="220"/>
        <v/>
      </c>
      <c r="BX392" s="458" t="str">
        <f t="shared" si="221"/>
        <v/>
      </c>
      <c r="BY392" s="458" t="str">
        <f t="shared" si="222"/>
        <v/>
      </c>
      <c r="BZ392" s="458" t="str">
        <f t="shared" si="223"/>
        <v/>
      </c>
      <c r="CA392" s="40" t="str">
        <f t="shared" si="224"/>
        <v/>
      </c>
      <c r="CB392" s="40" t="str">
        <f t="shared" si="225"/>
        <v/>
      </c>
      <c r="CC392" s="39" t="str">
        <f t="shared" si="226"/>
        <v/>
      </c>
      <c r="CD392" s="458" t="str">
        <f t="shared" si="227"/>
        <v/>
      </c>
      <c r="CE392" s="41" t="str">
        <f t="shared" si="228"/>
        <v/>
      </c>
      <c r="CF392" s="39" t="str">
        <f t="shared" si="229"/>
        <v/>
      </c>
      <c r="CG392" s="458" t="str">
        <f t="shared" si="230"/>
        <v/>
      </c>
      <c r="CH392" s="458" t="str">
        <f t="shared" si="231"/>
        <v/>
      </c>
      <c r="CI392" s="458" t="str">
        <f t="shared" si="232"/>
        <v/>
      </c>
      <c r="CJ392" s="458" t="str">
        <f t="shared" si="233"/>
        <v/>
      </c>
      <c r="CK392" s="40" t="str">
        <f t="shared" si="234"/>
        <v/>
      </c>
      <c r="CL392" s="40" t="str">
        <f t="shared" si="235"/>
        <v/>
      </c>
      <c r="CM392" s="40" t="str">
        <f t="shared" si="236"/>
        <v/>
      </c>
      <c r="CN392" s="39" t="str">
        <f t="shared" si="237"/>
        <v/>
      </c>
      <c r="CO392" s="458" t="str">
        <f t="shared" si="238"/>
        <v/>
      </c>
      <c r="CP392" s="458" t="str">
        <f t="shared" si="239"/>
        <v/>
      </c>
      <c r="CQ392" s="458" t="str">
        <f t="shared" si="240"/>
        <v/>
      </c>
      <c r="CR392" s="458" t="str">
        <f t="shared" si="241"/>
        <v/>
      </c>
      <c r="CS392" s="40" t="str">
        <f t="shared" si="242"/>
        <v/>
      </c>
      <c r="CT392" s="40" t="str">
        <f t="shared" si="243"/>
        <v/>
      </c>
      <c r="CU392" s="41" t="str">
        <f t="shared" si="244"/>
        <v/>
      </c>
    </row>
    <row r="393" spans="1:99" x14ac:dyDescent="0.2">
      <c r="A393" s="77">
        <f t="shared" si="245"/>
        <v>388</v>
      </c>
      <c r="B393" s="81"/>
      <c r="C393" s="82"/>
      <c r="D393" s="71"/>
      <c r="E393" s="72"/>
      <c r="F393" s="73"/>
      <c r="G393" s="443"/>
      <c r="H393" s="443"/>
      <c r="I393" s="74"/>
      <c r="J393" s="75"/>
      <c r="K393" s="41">
        <f t="shared" si="214"/>
        <v>3625</v>
      </c>
      <c r="L393" s="104"/>
      <c r="M393" s="105"/>
      <c r="N393" s="106">
        <f t="shared" si="215"/>
        <v>537.05999999999995</v>
      </c>
      <c r="O393" s="104"/>
      <c r="P393" s="105"/>
      <c r="Q393" s="106">
        <f t="shared" si="247"/>
        <v>10045.83</v>
      </c>
      <c r="R393" s="104"/>
      <c r="S393" s="105"/>
      <c r="T393" s="106">
        <f t="shared" si="248"/>
        <v>0</v>
      </c>
      <c r="U393" s="439"/>
      <c r="V393" s="42">
        <f t="shared" si="216"/>
        <v>388</v>
      </c>
      <c r="W393" s="39" t="str">
        <f>IF(AND(E393='Povolené hodnoty'!$B$4,F393=2),I393+L393+O393+R393,"")</f>
        <v/>
      </c>
      <c r="X393" s="41" t="str">
        <f>IF(AND(E393='Povolené hodnoty'!$B$4,F393=1),I393+L393+O393+R393,"")</f>
        <v/>
      </c>
      <c r="Y393" s="39" t="str">
        <f>IF(AND(E393='Povolené hodnoty'!$B$4,F393=10),J393+M393+P393+S393,"")</f>
        <v/>
      </c>
      <c r="Z393" s="41" t="str">
        <f>IF(AND(E393='Povolené hodnoty'!$B$4,F393=9),J393+M393+P393+S393,"")</f>
        <v/>
      </c>
      <c r="AA393" s="39" t="str">
        <f>IF(AND(E393&lt;&gt;'Povolené hodnoty'!$B$4,F393=2),I393+L393+O393+R393,"")</f>
        <v/>
      </c>
      <c r="AB393" s="40" t="str">
        <f>IF(AND(E393&lt;&gt;'Povolené hodnoty'!$B$4,F393=3),I393+L393+O393+R393,"")</f>
        <v/>
      </c>
      <c r="AC393" s="40" t="str">
        <f>IF(AND(E393&lt;&gt;'Povolené hodnoty'!$B$4,F393=4),I393+L393+O393+R393,"")</f>
        <v/>
      </c>
      <c r="AD393" s="40" t="str">
        <f>IF(AND(E393&lt;&gt;'Povolené hodnoty'!$B$4,F393="5a"),I393-J393+L393-M393+O393-P393+R393-S393,"")</f>
        <v/>
      </c>
      <c r="AE393" s="40" t="str">
        <f>IF(AND(E393&lt;&gt;'Povolené hodnoty'!$B$4,F393="5b"),I393-J393+L393-M393+O393-P393+R393-S393,"")</f>
        <v/>
      </c>
      <c r="AF393" s="40" t="str">
        <f>IF(AND(E393&lt;&gt;'Povolené hodnoty'!$B$4,F393=6),I393+L393+O393+R393,"")</f>
        <v/>
      </c>
      <c r="AG393" s="41" t="str">
        <f>IF(AND(E393&lt;&gt;'Povolené hodnoty'!$B$4,F393=7),I393+L393+O393+R393,"")</f>
        <v/>
      </c>
      <c r="AH393" s="39" t="str">
        <f>IF(AND(E393&lt;&gt;'Povolené hodnoty'!$B$4,F393=10),J393+M393+P393+S393,"")</f>
        <v/>
      </c>
      <c r="AI393" s="40" t="str">
        <f>IF(AND(E393&lt;&gt;'Povolené hodnoty'!$B$4,F393=11),J393+M393+P393+S393,"")</f>
        <v/>
      </c>
      <c r="AJ393" s="40" t="str">
        <f>IF(AND(E393&lt;&gt;'Povolené hodnoty'!$B$4,F393=12),J393+M393+P393+S393,"")</f>
        <v/>
      </c>
      <c r="AK393" s="41" t="str">
        <f>IF(AND(E393&lt;&gt;'Povolené hodnoty'!$B$4,F393=13),J393+M393+P393+S393,"")</f>
        <v/>
      </c>
      <c r="AL393" s="39" t="str">
        <f>IF(AND($G393='Povolené hodnoty'!$B$13,$H393=AL$4),SUM($I393,$L393,$O393,$R393),"")</f>
        <v/>
      </c>
      <c r="AM393" s="458" t="str">
        <f>IF(AND($G393='Povolené hodnoty'!$B$13,$H393=AM$4),SUM($I393,$L393,$O393,$R393),"")</f>
        <v/>
      </c>
      <c r="AN393" s="458" t="str">
        <f>IF(AND($G393='Povolené hodnoty'!$B$13,$H393=AN$4),SUM($I393,$L393,$O393,$R393),"")</f>
        <v/>
      </c>
      <c r="AO393" s="458" t="str">
        <f>IF(AND($G393='Povolené hodnoty'!$B$13,$H393=AO$4),SUM($I393,$L393,$O393,$R393),"")</f>
        <v/>
      </c>
      <c r="AP393" s="458" t="str">
        <f>IF(AND($G393='Povolené hodnoty'!$B$13,$H393=AP$4),SUM($I393,$L393,$O393,$R393),"")</f>
        <v/>
      </c>
      <c r="AQ393" s="40" t="str">
        <f>IF(AND($G393='Povolené hodnoty'!$B$13,OR($H393=AQ$4,$H393='Povolené hodnoty'!$E$36)),SUM($I393,-$J393,$L393,-$M393,$O393,-$P393,$R393,-$S393),"")</f>
        <v/>
      </c>
      <c r="AR393" s="40" t="str">
        <f>IF(AND($G393='Povolené hodnoty'!$B$13,$H393=AR$4),SUM($I393,$L393,$O393,$R393),"")</f>
        <v/>
      </c>
      <c r="AS393" s="41" t="str">
        <f>IF(AND($G393='Povolené hodnoty'!$B$13,$H393=AS$4),SUM($I393,$L393,$O393,$R393),"")</f>
        <v/>
      </c>
      <c r="AT393" s="39" t="str">
        <f>IF(AND($G393='Povolené hodnoty'!$B$14,$H393=AT$4),SUM($I393,$L393,$O393,$R393),"")</f>
        <v/>
      </c>
      <c r="AU393" s="458" t="str">
        <f>IF(AND($G393='Povolené hodnoty'!$B$14,$H393=AU$4),SUM($I393,$L393,$O393,$R393),"")</f>
        <v/>
      </c>
      <c r="AV393" s="41" t="str">
        <f>IF(AND($G393='Povolené hodnoty'!$B$14,$H393=AV$4),SUM($I393,$L393,$O393,$R393),"")</f>
        <v/>
      </c>
      <c r="AW393" s="39" t="str">
        <f>IF(AND($G393='Povolené hodnoty'!$B$13,$H393=AW$4),SUM($J393,$M393,$P393,$S393),"")</f>
        <v/>
      </c>
      <c r="AX393" s="458" t="str">
        <f>IF(AND($G393='Povolené hodnoty'!$B$13,$H393=AX$4),SUM($J393,$M393,$P393,$S393),"")</f>
        <v/>
      </c>
      <c r="AY393" s="458" t="str">
        <f>IF(AND($G393='Povolené hodnoty'!$B$13,$H393=AY$4),SUM($J393,$M393,$P393,$S393),"")</f>
        <v/>
      </c>
      <c r="AZ393" s="458" t="str">
        <f>IF(AND($G393='Povolené hodnoty'!$B$13,$H393=AZ$4),SUM($J393,$M393,$P393,$S393),"")</f>
        <v/>
      </c>
      <c r="BA393" s="458" t="str">
        <f>IF(AND($G393='Povolené hodnoty'!$B$13,$H393=BA$4),SUM($J393,$M393,$P393,$S393),"")</f>
        <v/>
      </c>
      <c r="BB393" s="40" t="str">
        <f>IF(AND($G393='Povolené hodnoty'!$B$13,$H393=BB$4),SUM($J393,$M393,$P393,$S393),"")</f>
        <v/>
      </c>
      <c r="BC393" s="40" t="str">
        <f>IF(AND($G393='Povolené hodnoty'!$B$13,$H393=BC$4),SUM($J393,$M393,$P393,$S393),"")</f>
        <v/>
      </c>
      <c r="BD393" s="40" t="str">
        <f>IF(AND($G393='Povolené hodnoty'!$B$13,$H393=BD$4),SUM($J393,$M393,$P393,$S393),"")</f>
        <v/>
      </c>
      <c r="BE393" s="41" t="str">
        <f>IF(AND($G393='Povolené hodnoty'!$B$13,$H393=BE$4),SUM($J393,$M393,$P393,$S393),"")</f>
        <v/>
      </c>
      <c r="BF393" s="39" t="str">
        <f>IF(AND($G393='Povolené hodnoty'!$B$14,$H393=BF$4),SUM($J393,$M393,$P393,$S393),"")</f>
        <v/>
      </c>
      <c r="BG393" s="458" t="str">
        <f>IF(AND($G393='Povolené hodnoty'!$B$14,$H393=BG$4),SUM($J393,$M393,$P393,$S393),"")</f>
        <v/>
      </c>
      <c r="BH393" s="458" t="str">
        <f>IF(AND($G393='Povolené hodnoty'!$B$14,$H393=BH$4),SUM($J393,$M393,$P393,$S393),"")</f>
        <v/>
      </c>
      <c r="BI393" s="458" t="str">
        <f>IF(AND($G393='Povolené hodnoty'!$B$14,$H393=BI$4),SUM($J393,$M393,$P393,$S393),"")</f>
        <v/>
      </c>
      <c r="BJ393" s="458" t="str">
        <f>IF(AND($G393='Povolené hodnoty'!$B$14,$H393=BJ$4),SUM($J393,$M393,$P393,$S393),"")</f>
        <v/>
      </c>
      <c r="BK393" s="40" t="str">
        <f>IF(AND($G393='Povolené hodnoty'!$B$14,$H393=BK$4),SUM($J393,$M393,$P393,$S393),"")</f>
        <v/>
      </c>
      <c r="BL393" s="40" t="str">
        <f>IF(AND($G393='Povolené hodnoty'!$B$14,$H393=BL$4),SUM($J393,$M393,$P393,$S393),"")</f>
        <v/>
      </c>
      <c r="BM393" s="41" t="str">
        <f>IF(AND($G393='Povolené hodnoty'!$B$14,$H393=BM$4),SUM($J393,$M393,$P393,$S393),"")</f>
        <v/>
      </c>
      <c r="BO393" s="18" t="b">
        <f t="shared" si="246"/>
        <v>0</v>
      </c>
      <c r="BP393" s="18" t="b">
        <f t="shared" si="217"/>
        <v>0</v>
      </c>
      <c r="BQ393" s="18" t="b">
        <f>AND(E393&lt;&gt;'Povolené hodnoty'!$B$6,F393&lt;&gt;'Povolené hodnoty'!$D$7,F393&lt;&gt;'Povolené hodnoty'!$D$8,OR(SUM(I393,L393,O393,R393)&lt;&gt;SUM(W393:X393,AA393:AG393),SUM(J393,M393,P393,S393)&lt;&gt;SUM(Y393:Z393,AH393:AK393),COUNT(I393:J393,L393:M393,O393:P393,R393:S393)&lt;&gt;COUNT(W393:AK393)))</f>
        <v>0</v>
      </c>
      <c r="BR393" s="18" t="b">
        <f>OR(AND(E393='Povolené hodnoty'!$B$6,$BR$5),AND(E393='Povolené hodnoty'!$B$6,H393&lt;&gt;'Povolené hodnoty'!$E$26,H393&lt;&gt;'Povolené hodnoty'!$E$35),AND(E393&lt;&gt;'Povolené hodnoty'!$B$6,OR(H393='Povolené hodnoty'!$E$26,H393='Povolené hodnoty'!$E$35)))</f>
        <v>0</v>
      </c>
      <c r="BS393" s="18" t="b">
        <f>OR(AND(G393&lt;&gt;'Povolené hodnoty'!$B$13,OR(H393='Povolené hodnoty'!$E$21,H393='Povolené hodnoty'!$E$22,H393='Povolené hodnoty'!$E$23,H393='Povolené hodnoty'!$E$24,H393='Povolené hodnoty'!$E$26,H393='Povolené hodnoty'!$E$36)),COUNT(I393:J393,L393:M393,O393:P393,R393:S393)&lt;&gt;COUNT(AL393:BM393))</f>
        <v>0</v>
      </c>
      <c r="BT393" s="18" t="b">
        <f t="shared" si="218"/>
        <v>0</v>
      </c>
      <c r="BV393" s="39" t="str">
        <f t="shared" si="219"/>
        <v/>
      </c>
      <c r="BW393" s="458" t="str">
        <f t="shared" si="220"/>
        <v/>
      </c>
      <c r="BX393" s="458" t="str">
        <f t="shared" si="221"/>
        <v/>
      </c>
      <c r="BY393" s="458" t="str">
        <f t="shared" si="222"/>
        <v/>
      </c>
      <c r="BZ393" s="458" t="str">
        <f t="shared" si="223"/>
        <v/>
      </c>
      <c r="CA393" s="40" t="str">
        <f t="shared" si="224"/>
        <v/>
      </c>
      <c r="CB393" s="40" t="str">
        <f t="shared" si="225"/>
        <v/>
      </c>
      <c r="CC393" s="39" t="str">
        <f t="shared" si="226"/>
        <v/>
      </c>
      <c r="CD393" s="458" t="str">
        <f t="shared" si="227"/>
        <v/>
      </c>
      <c r="CE393" s="41" t="str">
        <f t="shared" si="228"/>
        <v/>
      </c>
      <c r="CF393" s="39" t="str">
        <f t="shared" si="229"/>
        <v/>
      </c>
      <c r="CG393" s="458" t="str">
        <f t="shared" si="230"/>
        <v/>
      </c>
      <c r="CH393" s="458" t="str">
        <f t="shared" si="231"/>
        <v/>
      </c>
      <c r="CI393" s="458" t="str">
        <f t="shared" si="232"/>
        <v/>
      </c>
      <c r="CJ393" s="458" t="str">
        <f t="shared" si="233"/>
        <v/>
      </c>
      <c r="CK393" s="40" t="str">
        <f t="shared" si="234"/>
        <v/>
      </c>
      <c r="CL393" s="40" t="str">
        <f t="shared" si="235"/>
        <v/>
      </c>
      <c r="CM393" s="40" t="str">
        <f t="shared" si="236"/>
        <v/>
      </c>
      <c r="CN393" s="39" t="str">
        <f t="shared" si="237"/>
        <v/>
      </c>
      <c r="CO393" s="458" t="str">
        <f t="shared" si="238"/>
        <v/>
      </c>
      <c r="CP393" s="458" t="str">
        <f t="shared" si="239"/>
        <v/>
      </c>
      <c r="CQ393" s="458" t="str">
        <f t="shared" si="240"/>
        <v/>
      </c>
      <c r="CR393" s="458" t="str">
        <f t="shared" si="241"/>
        <v/>
      </c>
      <c r="CS393" s="40" t="str">
        <f t="shared" si="242"/>
        <v/>
      </c>
      <c r="CT393" s="40" t="str">
        <f t="shared" si="243"/>
        <v/>
      </c>
      <c r="CU393" s="41" t="str">
        <f t="shared" si="244"/>
        <v/>
      </c>
    </row>
    <row r="394" spans="1:99" x14ac:dyDescent="0.2">
      <c r="A394" s="77">
        <f t="shared" si="245"/>
        <v>389</v>
      </c>
      <c r="B394" s="81"/>
      <c r="C394" s="82"/>
      <c r="D394" s="71"/>
      <c r="E394" s="72"/>
      <c r="F394" s="73"/>
      <c r="G394" s="443"/>
      <c r="H394" s="443"/>
      <c r="I394" s="74"/>
      <c r="J394" s="75"/>
      <c r="K394" s="41">
        <f t="shared" si="214"/>
        <v>3625</v>
      </c>
      <c r="L394" s="104"/>
      <c r="M394" s="105"/>
      <c r="N394" s="106">
        <f t="shared" si="215"/>
        <v>537.05999999999995</v>
      </c>
      <c r="O394" s="104"/>
      <c r="P394" s="105"/>
      <c r="Q394" s="106">
        <f t="shared" si="247"/>
        <v>10045.83</v>
      </c>
      <c r="R394" s="104"/>
      <c r="S394" s="105"/>
      <c r="T394" s="106">
        <f t="shared" si="248"/>
        <v>0</v>
      </c>
      <c r="U394" s="439"/>
      <c r="V394" s="42">
        <f t="shared" si="216"/>
        <v>389</v>
      </c>
      <c r="W394" s="39" t="str">
        <f>IF(AND(E394='Povolené hodnoty'!$B$4,F394=2),I394+L394+O394+R394,"")</f>
        <v/>
      </c>
      <c r="X394" s="41" t="str">
        <f>IF(AND(E394='Povolené hodnoty'!$B$4,F394=1),I394+L394+O394+R394,"")</f>
        <v/>
      </c>
      <c r="Y394" s="39" t="str">
        <f>IF(AND(E394='Povolené hodnoty'!$B$4,F394=10),J394+M394+P394+S394,"")</f>
        <v/>
      </c>
      <c r="Z394" s="41" t="str">
        <f>IF(AND(E394='Povolené hodnoty'!$B$4,F394=9),J394+M394+P394+S394,"")</f>
        <v/>
      </c>
      <c r="AA394" s="39" t="str">
        <f>IF(AND(E394&lt;&gt;'Povolené hodnoty'!$B$4,F394=2),I394+L394+O394+R394,"")</f>
        <v/>
      </c>
      <c r="AB394" s="40" t="str">
        <f>IF(AND(E394&lt;&gt;'Povolené hodnoty'!$B$4,F394=3),I394+L394+O394+R394,"")</f>
        <v/>
      </c>
      <c r="AC394" s="40" t="str">
        <f>IF(AND(E394&lt;&gt;'Povolené hodnoty'!$B$4,F394=4),I394+L394+O394+R394,"")</f>
        <v/>
      </c>
      <c r="AD394" s="40" t="str">
        <f>IF(AND(E394&lt;&gt;'Povolené hodnoty'!$B$4,F394="5a"),I394-J394+L394-M394+O394-P394+R394-S394,"")</f>
        <v/>
      </c>
      <c r="AE394" s="40" t="str">
        <f>IF(AND(E394&lt;&gt;'Povolené hodnoty'!$B$4,F394="5b"),I394-J394+L394-M394+O394-P394+R394-S394,"")</f>
        <v/>
      </c>
      <c r="AF394" s="40" t="str">
        <f>IF(AND(E394&lt;&gt;'Povolené hodnoty'!$B$4,F394=6),I394+L394+O394+R394,"")</f>
        <v/>
      </c>
      <c r="AG394" s="41" t="str">
        <f>IF(AND(E394&lt;&gt;'Povolené hodnoty'!$B$4,F394=7),I394+L394+O394+R394,"")</f>
        <v/>
      </c>
      <c r="AH394" s="39" t="str">
        <f>IF(AND(E394&lt;&gt;'Povolené hodnoty'!$B$4,F394=10),J394+M394+P394+S394,"")</f>
        <v/>
      </c>
      <c r="AI394" s="40" t="str">
        <f>IF(AND(E394&lt;&gt;'Povolené hodnoty'!$B$4,F394=11),J394+M394+P394+S394,"")</f>
        <v/>
      </c>
      <c r="AJ394" s="40" t="str">
        <f>IF(AND(E394&lt;&gt;'Povolené hodnoty'!$B$4,F394=12),J394+M394+P394+S394,"")</f>
        <v/>
      </c>
      <c r="AK394" s="41" t="str">
        <f>IF(AND(E394&lt;&gt;'Povolené hodnoty'!$B$4,F394=13),J394+M394+P394+S394,"")</f>
        <v/>
      </c>
      <c r="AL394" s="39" t="str">
        <f>IF(AND($G394='Povolené hodnoty'!$B$13,$H394=AL$4),SUM($I394,$L394,$O394,$R394),"")</f>
        <v/>
      </c>
      <c r="AM394" s="458" t="str">
        <f>IF(AND($G394='Povolené hodnoty'!$B$13,$H394=AM$4),SUM($I394,$L394,$O394,$R394),"")</f>
        <v/>
      </c>
      <c r="AN394" s="458" t="str">
        <f>IF(AND($G394='Povolené hodnoty'!$B$13,$H394=AN$4),SUM($I394,$L394,$O394,$R394),"")</f>
        <v/>
      </c>
      <c r="AO394" s="458" t="str">
        <f>IF(AND($G394='Povolené hodnoty'!$B$13,$H394=AO$4),SUM($I394,$L394,$O394,$R394),"")</f>
        <v/>
      </c>
      <c r="AP394" s="458" t="str">
        <f>IF(AND($G394='Povolené hodnoty'!$B$13,$H394=AP$4),SUM($I394,$L394,$O394,$R394),"")</f>
        <v/>
      </c>
      <c r="AQ394" s="40" t="str">
        <f>IF(AND($G394='Povolené hodnoty'!$B$13,OR($H394=AQ$4,$H394='Povolené hodnoty'!$E$36)),SUM($I394,-$J394,$L394,-$M394,$O394,-$P394,$R394,-$S394),"")</f>
        <v/>
      </c>
      <c r="AR394" s="40" t="str">
        <f>IF(AND($G394='Povolené hodnoty'!$B$13,$H394=AR$4),SUM($I394,$L394,$O394,$R394),"")</f>
        <v/>
      </c>
      <c r="AS394" s="41" t="str">
        <f>IF(AND($G394='Povolené hodnoty'!$B$13,$H394=AS$4),SUM($I394,$L394,$O394,$R394),"")</f>
        <v/>
      </c>
      <c r="AT394" s="39" t="str">
        <f>IF(AND($G394='Povolené hodnoty'!$B$14,$H394=AT$4),SUM($I394,$L394,$O394,$R394),"")</f>
        <v/>
      </c>
      <c r="AU394" s="458" t="str">
        <f>IF(AND($G394='Povolené hodnoty'!$B$14,$H394=AU$4),SUM($I394,$L394,$O394,$R394),"")</f>
        <v/>
      </c>
      <c r="AV394" s="41" t="str">
        <f>IF(AND($G394='Povolené hodnoty'!$B$14,$H394=AV$4),SUM($I394,$L394,$O394,$R394),"")</f>
        <v/>
      </c>
      <c r="AW394" s="39" t="str">
        <f>IF(AND($G394='Povolené hodnoty'!$B$13,$H394=AW$4),SUM($J394,$M394,$P394,$S394),"")</f>
        <v/>
      </c>
      <c r="AX394" s="458" t="str">
        <f>IF(AND($G394='Povolené hodnoty'!$B$13,$H394=AX$4),SUM($J394,$M394,$P394,$S394),"")</f>
        <v/>
      </c>
      <c r="AY394" s="458" t="str">
        <f>IF(AND($G394='Povolené hodnoty'!$B$13,$H394=AY$4),SUM($J394,$M394,$P394,$S394),"")</f>
        <v/>
      </c>
      <c r="AZ394" s="458" t="str">
        <f>IF(AND($G394='Povolené hodnoty'!$B$13,$H394=AZ$4),SUM($J394,$M394,$P394,$S394),"")</f>
        <v/>
      </c>
      <c r="BA394" s="458" t="str">
        <f>IF(AND($G394='Povolené hodnoty'!$B$13,$H394=BA$4),SUM($J394,$M394,$P394,$S394),"")</f>
        <v/>
      </c>
      <c r="BB394" s="40" t="str">
        <f>IF(AND($G394='Povolené hodnoty'!$B$13,$H394=BB$4),SUM($J394,$M394,$P394,$S394),"")</f>
        <v/>
      </c>
      <c r="BC394" s="40" t="str">
        <f>IF(AND($G394='Povolené hodnoty'!$B$13,$H394=BC$4),SUM($J394,$M394,$P394,$S394),"")</f>
        <v/>
      </c>
      <c r="BD394" s="40" t="str">
        <f>IF(AND($G394='Povolené hodnoty'!$B$13,$H394=BD$4),SUM($J394,$M394,$P394,$S394),"")</f>
        <v/>
      </c>
      <c r="BE394" s="41" t="str">
        <f>IF(AND($G394='Povolené hodnoty'!$B$13,$H394=BE$4),SUM($J394,$M394,$P394,$S394),"")</f>
        <v/>
      </c>
      <c r="BF394" s="39" t="str">
        <f>IF(AND($G394='Povolené hodnoty'!$B$14,$H394=BF$4),SUM($J394,$M394,$P394,$S394),"")</f>
        <v/>
      </c>
      <c r="BG394" s="458" t="str">
        <f>IF(AND($G394='Povolené hodnoty'!$B$14,$H394=BG$4),SUM($J394,$M394,$P394,$S394),"")</f>
        <v/>
      </c>
      <c r="BH394" s="458" t="str">
        <f>IF(AND($G394='Povolené hodnoty'!$B$14,$H394=BH$4),SUM($J394,$M394,$P394,$S394),"")</f>
        <v/>
      </c>
      <c r="BI394" s="458" t="str">
        <f>IF(AND($G394='Povolené hodnoty'!$B$14,$H394=BI$4),SUM($J394,$M394,$P394,$S394),"")</f>
        <v/>
      </c>
      <c r="BJ394" s="458" t="str">
        <f>IF(AND($G394='Povolené hodnoty'!$B$14,$H394=BJ$4),SUM($J394,$M394,$P394,$S394),"")</f>
        <v/>
      </c>
      <c r="BK394" s="40" t="str">
        <f>IF(AND($G394='Povolené hodnoty'!$B$14,$H394=BK$4),SUM($J394,$M394,$P394,$S394),"")</f>
        <v/>
      </c>
      <c r="BL394" s="40" t="str">
        <f>IF(AND($G394='Povolené hodnoty'!$B$14,$H394=BL$4),SUM($J394,$M394,$P394,$S394),"")</f>
        <v/>
      </c>
      <c r="BM394" s="41" t="str">
        <f>IF(AND($G394='Povolené hodnoty'!$B$14,$H394=BM$4),SUM($J394,$M394,$P394,$S394),"")</f>
        <v/>
      </c>
      <c r="BO394" s="18" t="b">
        <f t="shared" si="246"/>
        <v>0</v>
      </c>
      <c r="BP394" s="18" t="b">
        <f t="shared" si="217"/>
        <v>0</v>
      </c>
      <c r="BQ394" s="18" t="b">
        <f>AND(E394&lt;&gt;'Povolené hodnoty'!$B$6,F394&lt;&gt;'Povolené hodnoty'!$D$7,F394&lt;&gt;'Povolené hodnoty'!$D$8,OR(SUM(I394,L394,O394,R394)&lt;&gt;SUM(W394:X394,AA394:AG394),SUM(J394,M394,P394,S394)&lt;&gt;SUM(Y394:Z394,AH394:AK394),COUNT(I394:J394,L394:M394,O394:P394,R394:S394)&lt;&gt;COUNT(W394:AK394)))</f>
        <v>0</v>
      </c>
      <c r="BR394" s="18" t="b">
        <f>OR(AND(E394='Povolené hodnoty'!$B$6,$BR$5),AND(E394='Povolené hodnoty'!$B$6,H394&lt;&gt;'Povolené hodnoty'!$E$26,H394&lt;&gt;'Povolené hodnoty'!$E$35),AND(E394&lt;&gt;'Povolené hodnoty'!$B$6,OR(H394='Povolené hodnoty'!$E$26,H394='Povolené hodnoty'!$E$35)))</f>
        <v>0</v>
      </c>
      <c r="BS394" s="18" t="b">
        <f>OR(AND(G394&lt;&gt;'Povolené hodnoty'!$B$13,OR(H394='Povolené hodnoty'!$E$21,H394='Povolené hodnoty'!$E$22,H394='Povolené hodnoty'!$E$23,H394='Povolené hodnoty'!$E$24,H394='Povolené hodnoty'!$E$26,H394='Povolené hodnoty'!$E$36)),COUNT(I394:J394,L394:M394,O394:P394,R394:S394)&lt;&gt;COUNT(AL394:BM394))</f>
        <v>0</v>
      </c>
      <c r="BT394" s="18" t="b">
        <f t="shared" si="218"/>
        <v>0</v>
      </c>
      <c r="BV394" s="39" t="str">
        <f t="shared" si="219"/>
        <v/>
      </c>
      <c r="BW394" s="458" t="str">
        <f t="shared" si="220"/>
        <v/>
      </c>
      <c r="BX394" s="458" t="str">
        <f t="shared" si="221"/>
        <v/>
      </c>
      <c r="BY394" s="458" t="str">
        <f t="shared" si="222"/>
        <v/>
      </c>
      <c r="BZ394" s="458" t="str">
        <f t="shared" si="223"/>
        <v/>
      </c>
      <c r="CA394" s="40" t="str">
        <f t="shared" si="224"/>
        <v/>
      </c>
      <c r="CB394" s="40" t="str">
        <f t="shared" si="225"/>
        <v/>
      </c>
      <c r="CC394" s="39" t="str">
        <f t="shared" si="226"/>
        <v/>
      </c>
      <c r="CD394" s="458" t="str">
        <f t="shared" si="227"/>
        <v/>
      </c>
      <c r="CE394" s="41" t="str">
        <f t="shared" si="228"/>
        <v/>
      </c>
      <c r="CF394" s="39" t="str">
        <f t="shared" si="229"/>
        <v/>
      </c>
      <c r="CG394" s="458" t="str">
        <f t="shared" si="230"/>
        <v/>
      </c>
      <c r="CH394" s="458" t="str">
        <f t="shared" si="231"/>
        <v/>
      </c>
      <c r="CI394" s="458" t="str">
        <f t="shared" si="232"/>
        <v/>
      </c>
      <c r="CJ394" s="458" t="str">
        <f t="shared" si="233"/>
        <v/>
      </c>
      <c r="CK394" s="40" t="str">
        <f t="shared" si="234"/>
        <v/>
      </c>
      <c r="CL394" s="40" t="str">
        <f t="shared" si="235"/>
        <v/>
      </c>
      <c r="CM394" s="40" t="str">
        <f t="shared" si="236"/>
        <v/>
      </c>
      <c r="CN394" s="39" t="str">
        <f t="shared" si="237"/>
        <v/>
      </c>
      <c r="CO394" s="458" t="str">
        <f t="shared" si="238"/>
        <v/>
      </c>
      <c r="CP394" s="458" t="str">
        <f t="shared" si="239"/>
        <v/>
      </c>
      <c r="CQ394" s="458" t="str">
        <f t="shared" si="240"/>
        <v/>
      </c>
      <c r="CR394" s="458" t="str">
        <f t="shared" si="241"/>
        <v/>
      </c>
      <c r="CS394" s="40" t="str">
        <f t="shared" si="242"/>
        <v/>
      </c>
      <c r="CT394" s="40" t="str">
        <f t="shared" si="243"/>
        <v/>
      </c>
      <c r="CU394" s="41" t="str">
        <f t="shared" si="244"/>
        <v/>
      </c>
    </row>
    <row r="395" spans="1:99" x14ac:dyDescent="0.2">
      <c r="A395" s="77">
        <f t="shared" si="245"/>
        <v>390</v>
      </c>
      <c r="B395" s="81"/>
      <c r="C395" s="82"/>
      <c r="D395" s="71"/>
      <c r="E395" s="72"/>
      <c r="F395" s="73"/>
      <c r="G395" s="443"/>
      <c r="H395" s="443"/>
      <c r="I395" s="74"/>
      <c r="J395" s="75"/>
      <c r="K395" s="41">
        <f t="shared" si="214"/>
        <v>3625</v>
      </c>
      <c r="L395" s="104"/>
      <c r="M395" s="105"/>
      <c r="N395" s="106">
        <f t="shared" si="215"/>
        <v>537.05999999999995</v>
      </c>
      <c r="O395" s="104"/>
      <c r="P395" s="105"/>
      <c r="Q395" s="106">
        <f t="shared" si="247"/>
        <v>10045.83</v>
      </c>
      <c r="R395" s="104"/>
      <c r="S395" s="105"/>
      <c r="T395" s="106">
        <f t="shared" si="248"/>
        <v>0</v>
      </c>
      <c r="U395" s="439"/>
      <c r="V395" s="42">
        <f t="shared" si="216"/>
        <v>390</v>
      </c>
      <c r="W395" s="39" t="str">
        <f>IF(AND(E395='Povolené hodnoty'!$B$4,F395=2),I395+L395+O395+R395,"")</f>
        <v/>
      </c>
      <c r="X395" s="41" t="str">
        <f>IF(AND(E395='Povolené hodnoty'!$B$4,F395=1),I395+L395+O395+R395,"")</f>
        <v/>
      </c>
      <c r="Y395" s="39" t="str">
        <f>IF(AND(E395='Povolené hodnoty'!$B$4,F395=10),J395+M395+P395+S395,"")</f>
        <v/>
      </c>
      <c r="Z395" s="41" t="str">
        <f>IF(AND(E395='Povolené hodnoty'!$B$4,F395=9),J395+M395+P395+S395,"")</f>
        <v/>
      </c>
      <c r="AA395" s="39" t="str">
        <f>IF(AND(E395&lt;&gt;'Povolené hodnoty'!$B$4,F395=2),I395+L395+O395+R395,"")</f>
        <v/>
      </c>
      <c r="AB395" s="40" t="str">
        <f>IF(AND(E395&lt;&gt;'Povolené hodnoty'!$B$4,F395=3),I395+L395+O395+R395,"")</f>
        <v/>
      </c>
      <c r="AC395" s="40" t="str">
        <f>IF(AND(E395&lt;&gt;'Povolené hodnoty'!$B$4,F395=4),I395+L395+O395+R395,"")</f>
        <v/>
      </c>
      <c r="AD395" s="40" t="str">
        <f>IF(AND(E395&lt;&gt;'Povolené hodnoty'!$B$4,F395="5a"),I395-J395+L395-M395+O395-P395+R395-S395,"")</f>
        <v/>
      </c>
      <c r="AE395" s="40" t="str">
        <f>IF(AND(E395&lt;&gt;'Povolené hodnoty'!$B$4,F395="5b"),I395-J395+L395-M395+O395-P395+R395-S395,"")</f>
        <v/>
      </c>
      <c r="AF395" s="40" t="str">
        <f>IF(AND(E395&lt;&gt;'Povolené hodnoty'!$B$4,F395=6),I395+L395+O395+R395,"")</f>
        <v/>
      </c>
      <c r="AG395" s="41" t="str">
        <f>IF(AND(E395&lt;&gt;'Povolené hodnoty'!$B$4,F395=7),I395+L395+O395+R395,"")</f>
        <v/>
      </c>
      <c r="AH395" s="39" t="str">
        <f>IF(AND(E395&lt;&gt;'Povolené hodnoty'!$B$4,F395=10),J395+M395+P395+S395,"")</f>
        <v/>
      </c>
      <c r="AI395" s="40" t="str">
        <f>IF(AND(E395&lt;&gt;'Povolené hodnoty'!$B$4,F395=11),J395+M395+P395+S395,"")</f>
        <v/>
      </c>
      <c r="AJ395" s="40" t="str">
        <f>IF(AND(E395&lt;&gt;'Povolené hodnoty'!$B$4,F395=12),J395+M395+P395+S395,"")</f>
        <v/>
      </c>
      <c r="AK395" s="41" t="str">
        <f>IF(AND(E395&lt;&gt;'Povolené hodnoty'!$B$4,F395=13),J395+M395+P395+S395,"")</f>
        <v/>
      </c>
      <c r="AL395" s="39" t="str">
        <f>IF(AND($G395='Povolené hodnoty'!$B$13,$H395=AL$4),SUM($I395,$L395,$O395,$R395),"")</f>
        <v/>
      </c>
      <c r="AM395" s="458" t="str">
        <f>IF(AND($G395='Povolené hodnoty'!$B$13,$H395=AM$4),SUM($I395,$L395,$O395,$R395),"")</f>
        <v/>
      </c>
      <c r="AN395" s="458" t="str">
        <f>IF(AND($G395='Povolené hodnoty'!$B$13,$H395=AN$4),SUM($I395,$L395,$O395,$R395),"")</f>
        <v/>
      </c>
      <c r="AO395" s="458" t="str">
        <f>IF(AND($G395='Povolené hodnoty'!$B$13,$H395=AO$4),SUM($I395,$L395,$O395,$R395),"")</f>
        <v/>
      </c>
      <c r="AP395" s="458" t="str">
        <f>IF(AND($G395='Povolené hodnoty'!$B$13,$H395=AP$4),SUM($I395,$L395,$O395,$R395),"")</f>
        <v/>
      </c>
      <c r="AQ395" s="40" t="str">
        <f>IF(AND($G395='Povolené hodnoty'!$B$13,OR($H395=AQ$4,$H395='Povolené hodnoty'!$E$36)),SUM($I395,-$J395,$L395,-$M395,$O395,-$P395,$R395,-$S395),"")</f>
        <v/>
      </c>
      <c r="AR395" s="40" t="str">
        <f>IF(AND($G395='Povolené hodnoty'!$B$13,$H395=AR$4),SUM($I395,$L395,$O395,$R395),"")</f>
        <v/>
      </c>
      <c r="AS395" s="41" t="str">
        <f>IF(AND($G395='Povolené hodnoty'!$B$13,$H395=AS$4),SUM($I395,$L395,$O395,$R395),"")</f>
        <v/>
      </c>
      <c r="AT395" s="39" t="str">
        <f>IF(AND($G395='Povolené hodnoty'!$B$14,$H395=AT$4),SUM($I395,$L395,$O395,$R395),"")</f>
        <v/>
      </c>
      <c r="AU395" s="458" t="str">
        <f>IF(AND($G395='Povolené hodnoty'!$B$14,$H395=AU$4),SUM($I395,$L395,$O395,$R395),"")</f>
        <v/>
      </c>
      <c r="AV395" s="41" t="str">
        <f>IF(AND($G395='Povolené hodnoty'!$B$14,$H395=AV$4),SUM($I395,$L395,$O395,$R395),"")</f>
        <v/>
      </c>
      <c r="AW395" s="39" t="str">
        <f>IF(AND($G395='Povolené hodnoty'!$B$13,$H395=AW$4),SUM($J395,$M395,$P395,$S395),"")</f>
        <v/>
      </c>
      <c r="AX395" s="458" t="str">
        <f>IF(AND($G395='Povolené hodnoty'!$B$13,$H395=AX$4),SUM($J395,$M395,$P395,$S395),"")</f>
        <v/>
      </c>
      <c r="AY395" s="458" t="str">
        <f>IF(AND($G395='Povolené hodnoty'!$B$13,$H395=AY$4),SUM($J395,$M395,$P395,$S395),"")</f>
        <v/>
      </c>
      <c r="AZ395" s="458" t="str">
        <f>IF(AND($G395='Povolené hodnoty'!$B$13,$H395=AZ$4),SUM($J395,$M395,$P395,$S395),"")</f>
        <v/>
      </c>
      <c r="BA395" s="458" t="str">
        <f>IF(AND($G395='Povolené hodnoty'!$B$13,$H395=BA$4),SUM($J395,$M395,$P395,$S395),"")</f>
        <v/>
      </c>
      <c r="BB395" s="40" t="str">
        <f>IF(AND($G395='Povolené hodnoty'!$B$13,$H395=BB$4),SUM($J395,$M395,$P395,$S395),"")</f>
        <v/>
      </c>
      <c r="BC395" s="40" t="str">
        <f>IF(AND($G395='Povolené hodnoty'!$B$13,$H395=BC$4),SUM($J395,$M395,$P395,$S395),"")</f>
        <v/>
      </c>
      <c r="BD395" s="40" t="str">
        <f>IF(AND($G395='Povolené hodnoty'!$B$13,$H395=BD$4),SUM($J395,$M395,$P395,$S395),"")</f>
        <v/>
      </c>
      <c r="BE395" s="41" t="str">
        <f>IF(AND($G395='Povolené hodnoty'!$B$13,$H395=BE$4),SUM($J395,$M395,$P395,$S395),"")</f>
        <v/>
      </c>
      <c r="BF395" s="39" t="str">
        <f>IF(AND($G395='Povolené hodnoty'!$B$14,$H395=BF$4),SUM($J395,$M395,$P395,$S395),"")</f>
        <v/>
      </c>
      <c r="BG395" s="458" t="str">
        <f>IF(AND($G395='Povolené hodnoty'!$B$14,$H395=BG$4),SUM($J395,$M395,$P395,$S395),"")</f>
        <v/>
      </c>
      <c r="BH395" s="458" t="str">
        <f>IF(AND($G395='Povolené hodnoty'!$B$14,$H395=BH$4),SUM($J395,$M395,$P395,$S395),"")</f>
        <v/>
      </c>
      <c r="BI395" s="458" t="str">
        <f>IF(AND($G395='Povolené hodnoty'!$B$14,$H395=BI$4),SUM($J395,$M395,$P395,$S395),"")</f>
        <v/>
      </c>
      <c r="BJ395" s="458" t="str">
        <f>IF(AND($G395='Povolené hodnoty'!$B$14,$H395=BJ$4),SUM($J395,$M395,$P395,$S395),"")</f>
        <v/>
      </c>
      <c r="BK395" s="40" t="str">
        <f>IF(AND($G395='Povolené hodnoty'!$B$14,$H395=BK$4),SUM($J395,$M395,$P395,$S395),"")</f>
        <v/>
      </c>
      <c r="BL395" s="40" t="str">
        <f>IF(AND($G395='Povolené hodnoty'!$B$14,$H395=BL$4),SUM($J395,$M395,$P395,$S395),"")</f>
        <v/>
      </c>
      <c r="BM395" s="41" t="str">
        <f>IF(AND($G395='Povolené hodnoty'!$B$14,$H395=BM$4),SUM($J395,$M395,$P395,$S395),"")</f>
        <v/>
      </c>
      <c r="BO395" s="18" t="b">
        <f t="shared" si="246"/>
        <v>0</v>
      </c>
      <c r="BP395" s="18" t="b">
        <f t="shared" si="217"/>
        <v>0</v>
      </c>
      <c r="BQ395" s="18" t="b">
        <f>AND(E395&lt;&gt;'Povolené hodnoty'!$B$6,F395&lt;&gt;'Povolené hodnoty'!$D$7,F395&lt;&gt;'Povolené hodnoty'!$D$8,OR(SUM(I395,L395,O395,R395)&lt;&gt;SUM(W395:X395,AA395:AG395),SUM(J395,M395,P395,S395)&lt;&gt;SUM(Y395:Z395,AH395:AK395),COUNT(I395:J395,L395:M395,O395:P395,R395:S395)&lt;&gt;COUNT(W395:AK395)))</f>
        <v>0</v>
      </c>
      <c r="BR395" s="18" t="b">
        <f>OR(AND(E395='Povolené hodnoty'!$B$6,$BR$5),AND(E395='Povolené hodnoty'!$B$6,H395&lt;&gt;'Povolené hodnoty'!$E$26,H395&lt;&gt;'Povolené hodnoty'!$E$35),AND(E395&lt;&gt;'Povolené hodnoty'!$B$6,OR(H395='Povolené hodnoty'!$E$26,H395='Povolené hodnoty'!$E$35)))</f>
        <v>0</v>
      </c>
      <c r="BS395" s="18" t="b">
        <f>OR(AND(G395&lt;&gt;'Povolené hodnoty'!$B$13,OR(H395='Povolené hodnoty'!$E$21,H395='Povolené hodnoty'!$E$22,H395='Povolené hodnoty'!$E$23,H395='Povolené hodnoty'!$E$24,H395='Povolené hodnoty'!$E$26,H395='Povolené hodnoty'!$E$36)),COUNT(I395:J395,L395:M395,O395:P395,R395:S395)&lt;&gt;COUNT(AL395:BM395))</f>
        <v>0</v>
      </c>
      <c r="BT395" s="18" t="b">
        <f t="shared" si="218"/>
        <v>0</v>
      </c>
      <c r="BV395" s="39" t="str">
        <f t="shared" si="219"/>
        <v/>
      </c>
      <c r="BW395" s="458" t="str">
        <f t="shared" si="220"/>
        <v/>
      </c>
      <c r="BX395" s="458" t="str">
        <f t="shared" si="221"/>
        <v/>
      </c>
      <c r="BY395" s="458" t="str">
        <f t="shared" si="222"/>
        <v/>
      </c>
      <c r="BZ395" s="458" t="str">
        <f t="shared" si="223"/>
        <v/>
      </c>
      <c r="CA395" s="40" t="str">
        <f t="shared" si="224"/>
        <v/>
      </c>
      <c r="CB395" s="40" t="str">
        <f t="shared" si="225"/>
        <v/>
      </c>
      <c r="CC395" s="39" t="str">
        <f t="shared" si="226"/>
        <v/>
      </c>
      <c r="CD395" s="458" t="str">
        <f t="shared" si="227"/>
        <v/>
      </c>
      <c r="CE395" s="41" t="str">
        <f t="shared" si="228"/>
        <v/>
      </c>
      <c r="CF395" s="39" t="str">
        <f t="shared" si="229"/>
        <v/>
      </c>
      <c r="CG395" s="458" t="str">
        <f t="shared" si="230"/>
        <v/>
      </c>
      <c r="CH395" s="458" t="str">
        <f t="shared" si="231"/>
        <v/>
      </c>
      <c r="CI395" s="458" t="str">
        <f t="shared" si="232"/>
        <v/>
      </c>
      <c r="CJ395" s="458" t="str">
        <f t="shared" si="233"/>
        <v/>
      </c>
      <c r="CK395" s="40" t="str">
        <f t="shared" si="234"/>
        <v/>
      </c>
      <c r="CL395" s="40" t="str">
        <f t="shared" si="235"/>
        <v/>
      </c>
      <c r="CM395" s="40" t="str">
        <f t="shared" si="236"/>
        <v/>
      </c>
      <c r="CN395" s="39" t="str">
        <f t="shared" si="237"/>
        <v/>
      </c>
      <c r="CO395" s="458" t="str">
        <f t="shared" si="238"/>
        <v/>
      </c>
      <c r="CP395" s="458" t="str">
        <f t="shared" si="239"/>
        <v/>
      </c>
      <c r="CQ395" s="458" t="str">
        <f t="shared" si="240"/>
        <v/>
      </c>
      <c r="CR395" s="458" t="str">
        <f t="shared" si="241"/>
        <v/>
      </c>
      <c r="CS395" s="40" t="str">
        <f t="shared" si="242"/>
        <v/>
      </c>
      <c r="CT395" s="40" t="str">
        <f t="shared" si="243"/>
        <v/>
      </c>
      <c r="CU395" s="41" t="str">
        <f t="shared" si="244"/>
        <v/>
      </c>
    </row>
    <row r="396" spans="1:99" x14ac:dyDescent="0.2">
      <c r="A396" s="77">
        <f t="shared" si="245"/>
        <v>391</v>
      </c>
      <c r="B396" s="81"/>
      <c r="C396" s="82"/>
      <c r="D396" s="71"/>
      <c r="E396" s="72"/>
      <c r="F396" s="73"/>
      <c r="G396" s="443"/>
      <c r="H396" s="443"/>
      <c r="I396" s="74"/>
      <c r="J396" s="75"/>
      <c r="K396" s="41">
        <f t="shared" si="214"/>
        <v>3625</v>
      </c>
      <c r="L396" s="104"/>
      <c r="M396" s="105"/>
      <c r="N396" s="106">
        <f t="shared" si="215"/>
        <v>537.05999999999995</v>
      </c>
      <c r="O396" s="104"/>
      <c r="P396" s="105"/>
      <c r="Q396" s="106">
        <f t="shared" si="247"/>
        <v>10045.83</v>
      </c>
      <c r="R396" s="104"/>
      <c r="S396" s="105"/>
      <c r="T396" s="106">
        <f t="shared" si="248"/>
        <v>0</v>
      </c>
      <c r="U396" s="439"/>
      <c r="V396" s="42">
        <f t="shared" si="216"/>
        <v>391</v>
      </c>
      <c r="W396" s="39" t="str">
        <f>IF(AND(E396='Povolené hodnoty'!$B$4,F396=2),I396+L396+O396+R396,"")</f>
        <v/>
      </c>
      <c r="X396" s="41" t="str">
        <f>IF(AND(E396='Povolené hodnoty'!$B$4,F396=1),I396+L396+O396+R396,"")</f>
        <v/>
      </c>
      <c r="Y396" s="39" t="str">
        <f>IF(AND(E396='Povolené hodnoty'!$B$4,F396=10),J396+M396+P396+S396,"")</f>
        <v/>
      </c>
      <c r="Z396" s="41" t="str">
        <f>IF(AND(E396='Povolené hodnoty'!$B$4,F396=9),J396+M396+P396+S396,"")</f>
        <v/>
      </c>
      <c r="AA396" s="39" t="str">
        <f>IF(AND(E396&lt;&gt;'Povolené hodnoty'!$B$4,F396=2),I396+L396+O396+R396,"")</f>
        <v/>
      </c>
      <c r="AB396" s="40" t="str">
        <f>IF(AND(E396&lt;&gt;'Povolené hodnoty'!$B$4,F396=3),I396+L396+O396+R396,"")</f>
        <v/>
      </c>
      <c r="AC396" s="40" t="str">
        <f>IF(AND(E396&lt;&gt;'Povolené hodnoty'!$B$4,F396=4),I396+L396+O396+R396,"")</f>
        <v/>
      </c>
      <c r="AD396" s="40" t="str">
        <f>IF(AND(E396&lt;&gt;'Povolené hodnoty'!$B$4,F396="5a"),I396-J396+L396-M396+O396-P396+R396-S396,"")</f>
        <v/>
      </c>
      <c r="AE396" s="40" t="str">
        <f>IF(AND(E396&lt;&gt;'Povolené hodnoty'!$B$4,F396="5b"),I396-J396+L396-M396+O396-P396+R396-S396,"")</f>
        <v/>
      </c>
      <c r="AF396" s="40" t="str">
        <f>IF(AND(E396&lt;&gt;'Povolené hodnoty'!$B$4,F396=6),I396+L396+O396+R396,"")</f>
        <v/>
      </c>
      <c r="AG396" s="41" t="str">
        <f>IF(AND(E396&lt;&gt;'Povolené hodnoty'!$B$4,F396=7),I396+L396+O396+R396,"")</f>
        <v/>
      </c>
      <c r="AH396" s="39" t="str">
        <f>IF(AND(E396&lt;&gt;'Povolené hodnoty'!$B$4,F396=10),J396+M396+P396+S396,"")</f>
        <v/>
      </c>
      <c r="AI396" s="40" t="str">
        <f>IF(AND(E396&lt;&gt;'Povolené hodnoty'!$B$4,F396=11),J396+M396+P396+S396,"")</f>
        <v/>
      </c>
      <c r="AJ396" s="40" t="str">
        <f>IF(AND(E396&lt;&gt;'Povolené hodnoty'!$B$4,F396=12),J396+M396+P396+S396,"")</f>
        <v/>
      </c>
      <c r="AK396" s="41" t="str">
        <f>IF(AND(E396&lt;&gt;'Povolené hodnoty'!$B$4,F396=13),J396+M396+P396+S396,"")</f>
        <v/>
      </c>
      <c r="AL396" s="39" t="str">
        <f>IF(AND($G396='Povolené hodnoty'!$B$13,$H396=AL$4),SUM($I396,$L396,$O396,$R396),"")</f>
        <v/>
      </c>
      <c r="AM396" s="458" t="str">
        <f>IF(AND($G396='Povolené hodnoty'!$B$13,$H396=AM$4),SUM($I396,$L396,$O396,$R396),"")</f>
        <v/>
      </c>
      <c r="AN396" s="458" t="str">
        <f>IF(AND($G396='Povolené hodnoty'!$B$13,$H396=AN$4),SUM($I396,$L396,$O396,$R396),"")</f>
        <v/>
      </c>
      <c r="AO396" s="458" t="str">
        <f>IF(AND($G396='Povolené hodnoty'!$B$13,$H396=AO$4),SUM($I396,$L396,$O396,$R396),"")</f>
        <v/>
      </c>
      <c r="AP396" s="458" t="str">
        <f>IF(AND($G396='Povolené hodnoty'!$B$13,$H396=AP$4),SUM($I396,$L396,$O396,$R396),"")</f>
        <v/>
      </c>
      <c r="AQ396" s="40" t="str">
        <f>IF(AND($G396='Povolené hodnoty'!$B$13,OR($H396=AQ$4,$H396='Povolené hodnoty'!$E$36)),SUM($I396,-$J396,$L396,-$M396,$O396,-$P396,$R396,-$S396),"")</f>
        <v/>
      </c>
      <c r="AR396" s="40" t="str">
        <f>IF(AND($G396='Povolené hodnoty'!$B$13,$H396=AR$4),SUM($I396,$L396,$O396,$R396),"")</f>
        <v/>
      </c>
      <c r="AS396" s="41" t="str">
        <f>IF(AND($G396='Povolené hodnoty'!$B$13,$H396=AS$4),SUM($I396,$L396,$O396,$R396),"")</f>
        <v/>
      </c>
      <c r="AT396" s="39" t="str">
        <f>IF(AND($G396='Povolené hodnoty'!$B$14,$H396=AT$4),SUM($I396,$L396,$O396,$R396),"")</f>
        <v/>
      </c>
      <c r="AU396" s="458" t="str">
        <f>IF(AND($G396='Povolené hodnoty'!$B$14,$H396=AU$4),SUM($I396,$L396,$O396,$R396),"")</f>
        <v/>
      </c>
      <c r="AV396" s="41" t="str">
        <f>IF(AND($G396='Povolené hodnoty'!$B$14,$H396=AV$4),SUM($I396,$L396,$O396,$R396),"")</f>
        <v/>
      </c>
      <c r="AW396" s="39" t="str">
        <f>IF(AND($G396='Povolené hodnoty'!$B$13,$H396=AW$4),SUM($J396,$M396,$P396,$S396),"")</f>
        <v/>
      </c>
      <c r="AX396" s="458" t="str">
        <f>IF(AND($G396='Povolené hodnoty'!$B$13,$H396=AX$4),SUM($J396,$M396,$P396,$S396),"")</f>
        <v/>
      </c>
      <c r="AY396" s="458" t="str">
        <f>IF(AND($G396='Povolené hodnoty'!$B$13,$H396=AY$4),SUM($J396,$M396,$P396,$S396),"")</f>
        <v/>
      </c>
      <c r="AZ396" s="458" t="str">
        <f>IF(AND($G396='Povolené hodnoty'!$B$13,$H396=AZ$4),SUM($J396,$M396,$P396,$S396),"")</f>
        <v/>
      </c>
      <c r="BA396" s="458" t="str">
        <f>IF(AND($G396='Povolené hodnoty'!$B$13,$H396=BA$4),SUM($J396,$M396,$P396,$S396),"")</f>
        <v/>
      </c>
      <c r="BB396" s="40" t="str">
        <f>IF(AND($G396='Povolené hodnoty'!$B$13,$H396=BB$4),SUM($J396,$M396,$P396,$S396),"")</f>
        <v/>
      </c>
      <c r="BC396" s="40" t="str">
        <f>IF(AND($G396='Povolené hodnoty'!$B$13,$H396=BC$4),SUM($J396,$M396,$P396,$S396),"")</f>
        <v/>
      </c>
      <c r="BD396" s="40" t="str">
        <f>IF(AND($G396='Povolené hodnoty'!$B$13,$H396=BD$4),SUM($J396,$M396,$P396,$S396),"")</f>
        <v/>
      </c>
      <c r="BE396" s="41" t="str">
        <f>IF(AND($G396='Povolené hodnoty'!$B$13,$H396=BE$4),SUM($J396,$M396,$P396,$S396),"")</f>
        <v/>
      </c>
      <c r="BF396" s="39" t="str">
        <f>IF(AND($G396='Povolené hodnoty'!$B$14,$H396=BF$4),SUM($J396,$M396,$P396,$S396),"")</f>
        <v/>
      </c>
      <c r="BG396" s="458" t="str">
        <f>IF(AND($G396='Povolené hodnoty'!$B$14,$H396=BG$4),SUM($J396,$M396,$P396,$S396),"")</f>
        <v/>
      </c>
      <c r="BH396" s="458" t="str">
        <f>IF(AND($G396='Povolené hodnoty'!$B$14,$H396=BH$4),SUM($J396,$M396,$P396,$S396),"")</f>
        <v/>
      </c>
      <c r="BI396" s="458" t="str">
        <f>IF(AND($G396='Povolené hodnoty'!$B$14,$H396=BI$4),SUM($J396,$M396,$P396,$S396),"")</f>
        <v/>
      </c>
      <c r="BJ396" s="458" t="str">
        <f>IF(AND($G396='Povolené hodnoty'!$B$14,$H396=BJ$4),SUM($J396,$M396,$P396,$S396),"")</f>
        <v/>
      </c>
      <c r="BK396" s="40" t="str">
        <f>IF(AND($G396='Povolené hodnoty'!$B$14,$H396=BK$4),SUM($J396,$M396,$P396,$S396),"")</f>
        <v/>
      </c>
      <c r="BL396" s="40" t="str">
        <f>IF(AND($G396='Povolené hodnoty'!$B$14,$H396=BL$4),SUM($J396,$M396,$P396,$S396),"")</f>
        <v/>
      </c>
      <c r="BM396" s="41" t="str">
        <f>IF(AND($G396='Povolené hodnoty'!$B$14,$H396=BM$4),SUM($J396,$M396,$P396,$S396),"")</f>
        <v/>
      </c>
      <c r="BO396" s="18" t="b">
        <f t="shared" si="246"/>
        <v>0</v>
      </c>
      <c r="BP396" s="18" t="b">
        <f t="shared" si="217"/>
        <v>0</v>
      </c>
      <c r="BQ396" s="18" t="b">
        <f>AND(E396&lt;&gt;'Povolené hodnoty'!$B$6,F396&lt;&gt;'Povolené hodnoty'!$D$7,F396&lt;&gt;'Povolené hodnoty'!$D$8,OR(SUM(I396,L396,O396,R396)&lt;&gt;SUM(W396:X396,AA396:AG396),SUM(J396,M396,P396,S396)&lt;&gt;SUM(Y396:Z396,AH396:AK396),COUNT(I396:J396,L396:M396,O396:P396,R396:S396)&lt;&gt;COUNT(W396:AK396)))</f>
        <v>0</v>
      </c>
      <c r="BR396" s="18" t="b">
        <f>OR(AND(E396='Povolené hodnoty'!$B$6,$BR$5),AND(E396='Povolené hodnoty'!$B$6,H396&lt;&gt;'Povolené hodnoty'!$E$26,H396&lt;&gt;'Povolené hodnoty'!$E$35),AND(E396&lt;&gt;'Povolené hodnoty'!$B$6,OR(H396='Povolené hodnoty'!$E$26,H396='Povolené hodnoty'!$E$35)))</f>
        <v>0</v>
      </c>
      <c r="BS396" s="18" t="b">
        <f>OR(AND(G396&lt;&gt;'Povolené hodnoty'!$B$13,OR(H396='Povolené hodnoty'!$E$21,H396='Povolené hodnoty'!$E$22,H396='Povolené hodnoty'!$E$23,H396='Povolené hodnoty'!$E$24,H396='Povolené hodnoty'!$E$26,H396='Povolené hodnoty'!$E$36)),COUNT(I396:J396,L396:M396,O396:P396,R396:S396)&lt;&gt;COUNT(AL396:BM396))</f>
        <v>0</v>
      </c>
      <c r="BT396" s="18" t="b">
        <f t="shared" si="218"/>
        <v>0</v>
      </c>
      <c r="BV396" s="39" t="str">
        <f t="shared" si="219"/>
        <v/>
      </c>
      <c r="BW396" s="458" t="str">
        <f t="shared" si="220"/>
        <v/>
      </c>
      <c r="BX396" s="458" t="str">
        <f t="shared" si="221"/>
        <v/>
      </c>
      <c r="BY396" s="458" t="str">
        <f t="shared" si="222"/>
        <v/>
      </c>
      <c r="BZ396" s="458" t="str">
        <f t="shared" si="223"/>
        <v/>
      </c>
      <c r="CA396" s="40" t="str">
        <f t="shared" si="224"/>
        <v/>
      </c>
      <c r="CB396" s="40" t="str">
        <f t="shared" si="225"/>
        <v/>
      </c>
      <c r="CC396" s="39" t="str">
        <f t="shared" si="226"/>
        <v/>
      </c>
      <c r="CD396" s="458" t="str">
        <f t="shared" si="227"/>
        <v/>
      </c>
      <c r="CE396" s="41" t="str">
        <f t="shared" si="228"/>
        <v/>
      </c>
      <c r="CF396" s="39" t="str">
        <f t="shared" si="229"/>
        <v/>
      </c>
      <c r="CG396" s="458" t="str">
        <f t="shared" si="230"/>
        <v/>
      </c>
      <c r="CH396" s="458" t="str">
        <f t="shared" si="231"/>
        <v/>
      </c>
      <c r="CI396" s="458" t="str">
        <f t="shared" si="232"/>
        <v/>
      </c>
      <c r="CJ396" s="458" t="str">
        <f t="shared" si="233"/>
        <v/>
      </c>
      <c r="CK396" s="40" t="str">
        <f t="shared" si="234"/>
        <v/>
      </c>
      <c r="CL396" s="40" t="str">
        <f t="shared" si="235"/>
        <v/>
      </c>
      <c r="CM396" s="40" t="str">
        <f t="shared" si="236"/>
        <v/>
      </c>
      <c r="CN396" s="39" t="str">
        <f t="shared" si="237"/>
        <v/>
      </c>
      <c r="CO396" s="458" t="str">
        <f t="shared" si="238"/>
        <v/>
      </c>
      <c r="CP396" s="458" t="str">
        <f t="shared" si="239"/>
        <v/>
      </c>
      <c r="CQ396" s="458" t="str">
        <f t="shared" si="240"/>
        <v/>
      </c>
      <c r="CR396" s="458" t="str">
        <f t="shared" si="241"/>
        <v/>
      </c>
      <c r="CS396" s="40" t="str">
        <f t="shared" si="242"/>
        <v/>
      </c>
      <c r="CT396" s="40" t="str">
        <f t="shared" si="243"/>
        <v/>
      </c>
      <c r="CU396" s="41" t="str">
        <f t="shared" si="244"/>
        <v/>
      </c>
    </row>
    <row r="397" spans="1:99" x14ac:dyDescent="0.2">
      <c r="A397" s="77">
        <f t="shared" si="245"/>
        <v>392</v>
      </c>
      <c r="B397" s="81"/>
      <c r="C397" s="82"/>
      <c r="D397" s="71"/>
      <c r="E397" s="72"/>
      <c r="F397" s="73"/>
      <c r="G397" s="443"/>
      <c r="H397" s="443"/>
      <c r="I397" s="74"/>
      <c r="J397" s="75"/>
      <c r="K397" s="41">
        <f t="shared" si="214"/>
        <v>3625</v>
      </c>
      <c r="L397" s="104"/>
      <c r="M397" s="105"/>
      <c r="N397" s="106">
        <f t="shared" si="215"/>
        <v>537.05999999999995</v>
      </c>
      <c r="O397" s="104"/>
      <c r="P397" s="105"/>
      <c r="Q397" s="106">
        <f t="shared" si="247"/>
        <v>10045.83</v>
      </c>
      <c r="R397" s="104"/>
      <c r="S397" s="105"/>
      <c r="T397" s="106">
        <f t="shared" si="248"/>
        <v>0</v>
      </c>
      <c r="U397" s="439"/>
      <c r="V397" s="42">
        <f t="shared" si="216"/>
        <v>392</v>
      </c>
      <c r="W397" s="39" t="str">
        <f>IF(AND(E397='Povolené hodnoty'!$B$4,F397=2),I397+L397+O397+R397,"")</f>
        <v/>
      </c>
      <c r="X397" s="41" t="str">
        <f>IF(AND(E397='Povolené hodnoty'!$B$4,F397=1),I397+L397+O397+R397,"")</f>
        <v/>
      </c>
      <c r="Y397" s="39" t="str">
        <f>IF(AND(E397='Povolené hodnoty'!$B$4,F397=10),J397+M397+P397+S397,"")</f>
        <v/>
      </c>
      <c r="Z397" s="41" t="str">
        <f>IF(AND(E397='Povolené hodnoty'!$B$4,F397=9),J397+M397+P397+S397,"")</f>
        <v/>
      </c>
      <c r="AA397" s="39" t="str">
        <f>IF(AND(E397&lt;&gt;'Povolené hodnoty'!$B$4,F397=2),I397+L397+O397+R397,"")</f>
        <v/>
      </c>
      <c r="AB397" s="40" t="str">
        <f>IF(AND(E397&lt;&gt;'Povolené hodnoty'!$B$4,F397=3),I397+L397+O397+R397,"")</f>
        <v/>
      </c>
      <c r="AC397" s="40" t="str">
        <f>IF(AND(E397&lt;&gt;'Povolené hodnoty'!$B$4,F397=4),I397+L397+O397+R397,"")</f>
        <v/>
      </c>
      <c r="AD397" s="40" t="str">
        <f>IF(AND(E397&lt;&gt;'Povolené hodnoty'!$B$4,F397="5a"),I397-J397+L397-M397+O397-P397+R397-S397,"")</f>
        <v/>
      </c>
      <c r="AE397" s="40" t="str">
        <f>IF(AND(E397&lt;&gt;'Povolené hodnoty'!$B$4,F397="5b"),I397-J397+L397-M397+O397-P397+R397-S397,"")</f>
        <v/>
      </c>
      <c r="AF397" s="40" t="str">
        <f>IF(AND(E397&lt;&gt;'Povolené hodnoty'!$B$4,F397=6),I397+L397+O397+R397,"")</f>
        <v/>
      </c>
      <c r="AG397" s="41" t="str">
        <f>IF(AND(E397&lt;&gt;'Povolené hodnoty'!$B$4,F397=7),I397+L397+O397+R397,"")</f>
        <v/>
      </c>
      <c r="AH397" s="39" t="str">
        <f>IF(AND(E397&lt;&gt;'Povolené hodnoty'!$B$4,F397=10),J397+M397+P397+S397,"")</f>
        <v/>
      </c>
      <c r="AI397" s="40" t="str">
        <f>IF(AND(E397&lt;&gt;'Povolené hodnoty'!$B$4,F397=11),J397+M397+P397+S397,"")</f>
        <v/>
      </c>
      <c r="AJ397" s="40" t="str">
        <f>IF(AND(E397&lt;&gt;'Povolené hodnoty'!$B$4,F397=12),J397+M397+P397+S397,"")</f>
        <v/>
      </c>
      <c r="AK397" s="41" t="str">
        <f>IF(AND(E397&lt;&gt;'Povolené hodnoty'!$B$4,F397=13),J397+M397+P397+S397,"")</f>
        <v/>
      </c>
      <c r="AL397" s="39" t="str">
        <f>IF(AND($G397='Povolené hodnoty'!$B$13,$H397=AL$4),SUM($I397,$L397,$O397,$R397),"")</f>
        <v/>
      </c>
      <c r="AM397" s="458" t="str">
        <f>IF(AND($G397='Povolené hodnoty'!$B$13,$H397=AM$4),SUM($I397,$L397,$O397,$R397),"")</f>
        <v/>
      </c>
      <c r="AN397" s="458" t="str">
        <f>IF(AND($G397='Povolené hodnoty'!$B$13,$H397=AN$4),SUM($I397,$L397,$O397,$R397),"")</f>
        <v/>
      </c>
      <c r="AO397" s="458" t="str">
        <f>IF(AND($G397='Povolené hodnoty'!$B$13,$H397=AO$4),SUM($I397,$L397,$O397,$R397),"")</f>
        <v/>
      </c>
      <c r="AP397" s="458" t="str">
        <f>IF(AND($G397='Povolené hodnoty'!$B$13,$H397=AP$4),SUM($I397,$L397,$O397,$R397),"")</f>
        <v/>
      </c>
      <c r="AQ397" s="40" t="str">
        <f>IF(AND($G397='Povolené hodnoty'!$B$13,OR($H397=AQ$4,$H397='Povolené hodnoty'!$E$36)),SUM($I397,-$J397,$L397,-$M397,$O397,-$P397,$R397,-$S397),"")</f>
        <v/>
      </c>
      <c r="AR397" s="40" t="str">
        <f>IF(AND($G397='Povolené hodnoty'!$B$13,$H397=AR$4),SUM($I397,$L397,$O397,$R397),"")</f>
        <v/>
      </c>
      <c r="AS397" s="41" t="str">
        <f>IF(AND($G397='Povolené hodnoty'!$B$13,$H397=AS$4),SUM($I397,$L397,$O397,$R397),"")</f>
        <v/>
      </c>
      <c r="AT397" s="39" t="str">
        <f>IF(AND($G397='Povolené hodnoty'!$B$14,$H397=AT$4),SUM($I397,$L397,$O397,$R397),"")</f>
        <v/>
      </c>
      <c r="AU397" s="458" t="str">
        <f>IF(AND($G397='Povolené hodnoty'!$B$14,$H397=AU$4),SUM($I397,$L397,$O397,$R397),"")</f>
        <v/>
      </c>
      <c r="AV397" s="41" t="str">
        <f>IF(AND($G397='Povolené hodnoty'!$B$14,$H397=AV$4),SUM($I397,$L397,$O397,$R397),"")</f>
        <v/>
      </c>
      <c r="AW397" s="39" t="str">
        <f>IF(AND($G397='Povolené hodnoty'!$B$13,$H397=AW$4),SUM($J397,$M397,$P397,$S397),"")</f>
        <v/>
      </c>
      <c r="AX397" s="458" t="str">
        <f>IF(AND($G397='Povolené hodnoty'!$B$13,$H397=AX$4),SUM($J397,$M397,$P397,$S397),"")</f>
        <v/>
      </c>
      <c r="AY397" s="458" t="str">
        <f>IF(AND($G397='Povolené hodnoty'!$B$13,$H397=AY$4),SUM($J397,$M397,$P397,$S397),"")</f>
        <v/>
      </c>
      <c r="AZ397" s="458" t="str">
        <f>IF(AND($G397='Povolené hodnoty'!$B$13,$H397=AZ$4),SUM($J397,$M397,$P397,$S397),"")</f>
        <v/>
      </c>
      <c r="BA397" s="458" t="str">
        <f>IF(AND($G397='Povolené hodnoty'!$B$13,$H397=BA$4),SUM($J397,$M397,$P397,$S397),"")</f>
        <v/>
      </c>
      <c r="BB397" s="40" t="str">
        <f>IF(AND($G397='Povolené hodnoty'!$B$13,$H397=BB$4),SUM($J397,$M397,$P397,$S397),"")</f>
        <v/>
      </c>
      <c r="BC397" s="40" t="str">
        <f>IF(AND($G397='Povolené hodnoty'!$B$13,$H397=BC$4),SUM($J397,$M397,$P397,$S397),"")</f>
        <v/>
      </c>
      <c r="BD397" s="40" t="str">
        <f>IF(AND($G397='Povolené hodnoty'!$B$13,$H397=BD$4),SUM($J397,$M397,$P397,$S397),"")</f>
        <v/>
      </c>
      <c r="BE397" s="41" t="str">
        <f>IF(AND($G397='Povolené hodnoty'!$B$13,$H397=BE$4),SUM($J397,$M397,$P397,$S397),"")</f>
        <v/>
      </c>
      <c r="BF397" s="39" t="str">
        <f>IF(AND($G397='Povolené hodnoty'!$B$14,$H397=BF$4),SUM($J397,$M397,$P397,$S397),"")</f>
        <v/>
      </c>
      <c r="BG397" s="458" t="str">
        <f>IF(AND($G397='Povolené hodnoty'!$B$14,$H397=BG$4),SUM($J397,$M397,$P397,$S397),"")</f>
        <v/>
      </c>
      <c r="BH397" s="458" t="str">
        <f>IF(AND($G397='Povolené hodnoty'!$B$14,$H397=BH$4),SUM($J397,$M397,$P397,$S397),"")</f>
        <v/>
      </c>
      <c r="BI397" s="458" t="str">
        <f>IF(AND($G397='Povolené hodnoty'!$B$14,$H397=BI$4),SUM($J397,$M397,$P397,$S397),"")</f>
        <v/>
      </c>
      <c r="BJ397" s="458" t="str">
        <f>IF(AND($G397='Povolené hodnoty'!$B$14,$H397=BJ$4),SUM($J397,$M397,$P397,$S397),"")</f>
        <v/>
      </c>
      <c r="BK397" s="40" t="str">
        <f>IF(AND($G397='Povolené hodnoty'!$B$14,$H397=BK$4),SUM($J397,$M397,$P397,$S397),"")</f>
        <v/>
      </c>
      <c r="BL397" s="40" t="str">
        <f>IF(AND($G397='Povolené hodnoty'!$B$14,$H397=BL$4),SUM($J397,$M397,$P397,$S397),"")</f>
        <v/>
      </c>
      <c r="BM397" s="41" t="str">
        <f>IF(AND($G397='Povolené hodnoty'!$B$14,$H397=BM$4),SUM($J397,$M397,$P397,$S397),"")</f>
        <v/>
      </c>
      <c r="BO397" s="18" t="b">
        <f t="shared" si="246"/>
        <v>0</v>
      </c>
      <c r="BP397" s="18" t="b">
        <f t="shared" si="217"/>
        <v>0</v>
      </c>
      <c r="BQ397" s="18" t="b">
        <f>AND(E397&lt;&gt;'Povolené hodnoty'!$B$6,F397&lt;&gt;'Povolené hodnoty'!$D$7,F397&lt;&gt;'Povolené hodnoty'!$D$8,OR(SUM(I397,L397,O397,R397)&lt;&gt;SUM(W397:X397,AA397:AG397),SUM(J397,M397,P397,S397)&lt;&gt;SUM(Y397:Z397,AH397:AK397),COUNT(I397:J397,L397:M397,O397:P397,R397:S397)&lt;&gt;COUNT(W397:AK397)))</f>
        <v>0</v>
      </c>
      <c r="BR397" s="18" t="b">
        <f>OR(AND(E397='Povolené hodnoty'!$B$6,$BR$5),AND(E397='Povolené hodnoty'!$B$6,H397&lt;&gt;'Povolené hodnoty'!$E$26,H397&lt;&gt;'Povolené hodnoty'!$E$35),AND(E397&lt;&gt;'Povolené hodnoty'!$B$6,OR(H397='Povolené hodnoty'!$E$26,H397='Povolené hodnoty'!$E$35)))</f>
        <v>0</v>
      </c>
      <c r="BS397" s="18" t="b">
        <f>OR(AND(G397&lt;&gt;'Povolené hodnoty'!$B$13,OR(H397='Povolené hodnoty'!$E$21,H397='Povolené hodnoty'!$E$22,H397='Povolené hodnoty'!$E$23,H397='Povolené hodnoty'!$E$24,H397='Povolené hodnoty'!$E$26,H397='Povolené hodnoty'!$E$36)),COUNT(I397:J397,L397:M397,O397:P397,R397:S397)&lt;&gt;COUNT(AL397:BM397))</f>
        <v>0</v>
      </c>
      <c r="BT397" s="18" t="b">
        <f t="shared" si="218"/>
        <v>0</v>
      </c>
      <c r="BV397" s="39" t="str">
        <f t="shared" si="219"/>
        <v/>
      </c>
      <c r="BW397" s="458" t="str">
        <f t="shared" si="220"/>
        <v/>
      </c>
      <c r="BX397" s="458" t="str">
        <f t="shared" si="221"/>
        <v/>
      </c>
      <c r="BY397" s="458" t="str">
        <f t="shared" si="222"/>
        <v/>
      </c>
      <c r="BZ397" s="458" t="str">
        <f t="shared" si="223"/>
        <v/>
      </c>
      <c r="CA397" s="40" t="str">
        <f t="shared" si="224"/>
        <v/>
      </c>
      <c r="CB397" s="40" t="str">
        <f t="shared" si="225"/>
        <v/>
      </c>
      <c r="CC397" s="39" t="str">
        <f t="shared" si="226"/>
        <v/>
      </c>
      <c r="CD397" s="458" t="str">
        <f t="shared" si="227"/>
        <v/>
      </c>
      <c r="CE397" s="41" t="str">
        <f t="shared" si="228"/>
        <v/>
      </c>
      <c r="CF397" s="39" t="str">
        <f t="shared" si="229"/>
        <v/>
      </c>
      <c r="CG397" s="458" t="str">
        <f t="shared" si="230"/>
        <v/>
      </c>
      <c r="CH397" s="458" t="str">
        <f t="shared" si="231"/>
        <v/>
      </c>
      <c r="CI397" s="458" t="str">
        <f t="shared" si="232"/>
        <v/>
      </c>
      <c r="CJ397" s="458" t="str">
        <f t="shared" si="233"/>
        <v/>
      </c>
      <c r="CK397" s="40" t="str">
        <f t="shared" si="234"/>
        <v/>
      </c>
      <c r="CL397" s="40" t="str">
        <f t="shared" si="235"/>
        <v/>
      </c>
      <c r="CM397" s="40" t="str">
        <f t="shared" si="236"/>
        <v/>
      </c>
      <c r="CN397" s="39" t="str">
        <f t="shared" si="237"/>
        <v/>
      </c>
      <c r="CO397" s="458" t="str">
        <f t="shared" si="238"/>
        <v/>
      </c>
      <c r="CP397" s="458" t="str">
        <f t="shared" si="239"/>
        <v/>
      </c>
      <c r="CQ397" s="458" t="str">
        <f t="shared" si="240"/>
        <v/>
      </c>
      <c r="CR397" s="458" t="str">
        <f t="shared" si="241"/>
        <v/>
      </c>
      <c r="CS397" s="40" t="str">
        <f t="shared" si="242"/>
        <v/>
      </c>
      <c r="CT397" s="40" t="str">
        <f t="shared" si="243"/>
        <v/>
      </c>
      <c r="CU397" s="41" t="str">
        <f t="shared" si="244"/>
        <v/>
      </c>
    </row>
    <row r="398" spans="1:99" x14ac:dyDescent="0.2">
      <c r="A398" s="77">
        <f t="shared" si="245"/>
        <v>393</v>
      </c>
      <c r="B398" s="81"/>
      <c r="C398" s="82"/>
      <c r="D398" s="71"/>
      <c r="E398" s="72"/>
      <c r="F398" s="73"/>
      <c r="G398" s="443"/>
      <c r="H398" s="443"/>
      <c r="I398" s="74"/>
      <c r="J398" s="75"/>
      <c r="K398" s="41">
        <f t="shared" si="214"/>
        <v>3625</v>
      </c>
      <c r="L398" s="104"/>
      <c r="M398" s="105"/>
      <c r="N398" s="106">
        <f t="shared" si="215"/>
        <v>537.05999999999995</v>
      </c>
      <c r="O398" s="104"/>
      <c r="P398" s="105"/>
      <c r="Q398" s="106">
        <f t="shared" si="247"/>
        <v>10045.83</v>
      </c>
      <c r="R398" s="104"/>
      <c r="S398" s="105"/>
      <c r="T398" s="106">
        <f t="shared" si="248"/>
        <v>0</v>
      </c>
      <c r="U398" s="439"/>
      <c r="V398" s="42">
        <f t="shared" si="216"/>
        <v>393</v>
      </c>
      <c r="W398" s="39" t="str">
        <f>IF(AND(E398='Povolené hodnoty'!$B$4,F398=2),I398+L398+O398+R398,"")</f>
        <v/>
      </c>
      <c r="X398" s="41" t="str">
        <f>IF(AND(E398='Povolené hodnoty'!$B$4,F398=1),I398+L398+O398+R398,"")</f>
        <v/>
      </c>
      <c r="Y398" s="39" t="str">
        <f>IF(AND(E398='Povolené hodnoty'!$B$4,F398=10),J398+M398+P398+S398,"")</f>
        <v/>
      </c>
      <c r="Z398" s="41" t="str">
        <f>IF(AND(E398='Povolené hodnoty'!$B$4,F398=9),J398+M398+P398+S398,"")</f>
        <v/>
      </c>
      <c r="AA398" s="39" t="str">
        <f>IF(AND(E398&lt;&gt;'Povolené hodnoty'!$B$4,F398=2),I398+L398+O398+R398,"")</f>
        <v/>
      </c>
      <c r="AB398" s="40" t="str">
        <f>IF(AND(E398&lt;&gt;'Povolené hodnoty'!$B$4,F398=3),I398+L398+O398+R398,"")</f>
        <v/>
      </c>
      <c r="AC398" s="40" t="str">
        <f>IF(AND(E398&lt;&gt;'Povolené hodnoty'!$B$4,F398=4),I398+L398+O398+R398,"")</f>
        <v/>
      </c>
      <c r="AD398" s="40" t="str">
        <f>IF(AND(E398&lt;&gt;'Povolené hodnoty'!$B$4,F398="5a"),I398-J398+L398-M398+O398-P398+R398-S398,"")</f>
        <v/>
      </c>
      <c r="AE398" s="40" t="str">
        <f>IF(AND(E398&lt;&gt;'Povolené hodnoty'!$B$4,F398="5b"),I398-J398+L398-M398+O398-P398+R398-S398,"")</f>
        <v/>
      </c>
      <c r="AF398" s="40" t="str">
        <f>IF(AND(E398&lt;&gt;'Povolené hodnoty'!$B$4,F398=6),I398+L398+O398+R398,"")</f>
        <v/>
      </c>
      <c r="AG398" s="41" t="str">
        <f>IF(AND(E398&lt;&gt;'Povolené hodnoty'!$B$4,F398=7),I398+L398+O398+R398,"")</f>
        <v/>
      </c>
      <c r="AH398" s="39" t="str">
        <f>IF(AND(E398&lt;&gt;'Povolené hodnoty'!$B$4,F398=10),J398+M398+P398+S398,"")</f>
        <v/>
      </c>
      <c r="AI398" s="40" t="str">
        <f>IF(AND(E398&lt;&gt;'Povolené hodnoty'!$B$4,F398=11),J398+M398+P398+S398,"")</f>
        <v/>
      </c>
      <c r="AJ398" s="40" t="str">
        <f>IF(AND(E398&lt;&gt;'Povolené hodnoty'!$B$4,F398=12),J398+M398+P398+S398,"")</f>
        <v/>
      </c>
      <c r="AK398" s="41" t="str">
        <f>IF(AND(E398&lt;&gt;'Povolené hodnoty'!$B$4,F398=13),J398+M398+P398+S398,"")</f>
        <v/>
      </c>
      <c r="AL398" s="39" t="str">
        <f>IF(AND($G398='Povolené hodnoty'!$B$13,$H398=AL$4),SUM($I398,$L398,$O398,$R398),"")</f>
        <v/>
      </c>
      <c r="AM398" s="458" t="str">
        <f>IF(AND($G398='Povolené hodnoty'!$B$13,$H398=AM$4),SUM($I398,$L398,$O398,$R398),"")</f>
        <v/>
      </c>
      <c r="AN398" s="458" t="str">
        <f>IF(AND($G398='Povolené hodnoty'!$B$13,$H398=AN$4),SUM($I398,$L398,$O398,$R398),"")</f>
        <v/>
      </c>
      <c r="AO398" s="458" t="str">
        <f>IF(AND($G398='Povolené hodnoty'!$B$13,$H398=AO$4),SUM($I398,$L398,$O398,$R398),"")</f>
        <v/>
      </c>
      <c r="AP398" s="458" t="str">
        <f>IF(AND($G398='Povolené hodnoty'!$B$13,$H398=AP$4),SUM($I398,$L398,$O398,$R398),"")</f>
        <v/>
      </c>
      <c r="AQ398" s="40" t="str">
        <f>IF(AND($G398='Povolené hodnoty'!$B$13,OR($H398=AQ$4,$H398='Povolené hodnoty'!$E$36)),SUM($I398,-$J398,$L398,-$M398,$O398,-$P398,$R398,-$S398),"")</f>
        <v/>
      </c>
      <c r="AR398" s="40" t="str">
        <f>IF(AND($G398='Povolené hodnoty'!$B$13,$H398=AR$4),SUM($I398,$L398,$O398,$R398),"")</f>
        <v/>
      </c>
      <c r="AS398" s="41" t="str">
        <f>IF(AND($G398='Povolené hodnoty'!$B$13,$H398=AS$4),SUM($I398,$L398,$O398,$R398),"")</f>
        <v/>
      </c>
      <c r="AT398" s="39" t="str">
        <f>IF(AND($G398='Povolené hodnoty'!$B$14,$H398=AT$4),SUM($I398,$L398,$O398,$R398),"")</f>
        <v/>
      </c>
      <c r="AU398" s="458" t="str">
        <f>IF(AND($G398='Povolené hodnoty'!$B$14,$H398=AU$4),SUM($I398,$L398,$O398,$R398),"")</f>
        <v/>
      </c>
      <c r="AV398" s="41" t="str">
        <f>IF(AND($G398='Povolené hodnoty'!$B$14,$H398=AV$4),SUM($I398,$L398,$O398,$R398),"")</f>
        <v/>
      </c>
      <c r="AW398" s="39" t="str">
        <f>IF(AND($G398='Povolené hodnoty'!$B$13,$H398=AW$4),SUM($J398,$M398,$P398,$S398),"")</f>
        <v/>
      </c>
      <c r="AX398" s="458" t="str">
        <f>IF(AND($G398='Povolené hodnoty'!$B$13,$H398=AX$4),SUM($J398,$M398,$P398,$S398),"")</f>
        <v/>
      </c>
      <c r="AY398" s="458" t="str">
        <f>IF(AND($G398='Povolené hodnoty'!$B$13,$H398=AY$4),SUM($J398,$M398,$P398,$S398),"")</f>
        <v/>
      </c>
      <c r="AZ398" s="458" t="str">
        <f>IF(AND($G398='Povolené hodnoty'!$B$13,$H398=AZ$4),SUM($J398,$M398,$P398,$S398),"")</f>
        <v/>
      </c>
      <c r="BA398" s="458" t="str">
        <f>IF(AND($G398='Povolené hodnoty'!$B$13,$H398=BA$4),SUM($J398,$M398,$P398,$S398),"")</f>
        <v/>
      </c>
      <c r="BB398" s="40" t="str">
        <f>IF(AND($G398='Povolené hodnoty'!$B$13,$H398=BB$4),SUM($J398,$M398,$P398,$S398),"")</f>
        <v/>
      </c>
      <c r="BC398" s="40" t="str">
        <f>IF(AND($G398='Povolené hodnoty'!$B$13,$H398=BC$4),SUM($J398,$M398,$P398,$S398),"")</f>
        <v/>
      </c>
      <c r="BD398" s="40" t="str">
        <f>IF(AND($G398='Povolené hodnoty'!$B$13,$H398=BD$4),SUM($J398,$M398,$P398,$S398),"")</f>
        <v/>
      </c>
      <c r="BE398" s="41" t="str">
        <f>IF(AND($G398='Povolené hodnoty'!$B$13,$H398=BE$4),SUM($J398,$M398,$P398,$S398),"")</f>
        <v/>
      </c>
      <c r="BF398" s="39" t="str">
        <f>IF(AND($G398='Povolené hodnoty'!$B$14,$H398=BF$4),SUM($J398,$M398,$P398,$S398),"")</f>
        <v/>
      </c>
      <c r="BG398" s="458" t="str">
        <f>IF(AND($G398='Povolené hodnoty'!$B$14,$H398=BG$4),SUM($J398,$M398,$P398,$S398),"")</f>
        <v/>
      </c>
      <c r="BH398" s="458" t="str">
        <f>IF(AND($G398='Povolené hodnoty'!$B$14,$H398=BH$4),SUM($J398,$M398,$P398,$S398),"")</f>
        <v/>
      </c>
      <c r="BI398" s="458" t="str">
        <f>IF(AND($G398='Povolené hodnoty'!$B$14,$H398=BI$4),SUM($J398,$M398,$P398,$S398),"")</f>
        <v/>
      </c>
      <c r="BJ398" s="458" t="str">
        <f>IF(AND($G398='Povolené hodnoty'!$B$14,$H398=BJ$4),SUM($J398,$M398,$P398,$S398),"")</f>
        <v/>
      </c>
      <c r="BK398" s="40" t="str">
        <f>IF(AND($G398='Povolené hodnoty'!$B$14,$H398=BK$4),SUM($J398,$M398,$P398,$S398),"")</f>
        <v/>
      </c>
      <c r="BL398" s="40" t="str">
        <f>IF(AND($G398='Povolené hodnoty'!$B$14,$H398=BL$4),SUM($J398,$M398,$P398,$S398),"")</f>
        <v/>
      </c>
      <c r="BM398" s="41" t="str">
        <f>IF(AND($G398='Povolené hodnoty'!$B$14,$H398=BM$4),SUM($J398,$M398,$P398,$S398),"")</f>
        <v/>
      </c>
      <c r="BO398" s="18" t="b">
        <f t="shared" si="246"/>
        <v>0</v>
      </c>
      <c r="BP398" s="18" t="b">
        <f t="shared" si="217"/>
        <v>0</v>
      </c>
      <c r="BQ398" s="18" t="b">
        <f>AND(E398&lt;&gt;'Povolené hodnoty'!$B$6,F398&lt;&gt;'Povolené hodnoty'!$D$7,F398&lt;&gt;'Povolené hodnoty'!$D$8,OR(SUM(I398,L398,O398,R398)&lt;&gt;SUM(W398:X398,AA398:AG398),SUM(J398,M398,P398,S398)&lt;&gt;SUM(Y398:Z398,AH398:AK398),COUNT(I398:J398,L398:M398,O398:P398,R398:S398)&lt;&gt;COUNT(W398:AK398)))</f>
        <v>0</v>
      </c>
      <c r="BR398" s="18" t="b">
        <f>OR(AND(E398='Povolené hodnoty'!$B$6,$BR$5),AND(E398='Povolené hodnoty'!$B$6,H398&lt;&gt;'Povolené hodnoty'!$E$26,H398&lt;&gt;'Povolené hodnoty'!$E$35),AND(E398&lt;&gt;'Povolené hodnoty'!$B$6,OR(H398='Povolené hodnoty'!$E$26,H398='Povolené hodnoty'!$E$35)))</f>
        <v>0</v>
      </c>
      <c r="BS398" s="18" t="b">
        <f>OR(AND(G398&lt;&gt;'Povolené hodnoty'!$B$13,OR(H398='Povolené hodnoty'!$E$21,H398='Povolené hodnoty'!$E$22,H398='Povolené hodnoty'!$E$23,H398='Povolené hodnoty'!$E$24,H398='Povolené hodnoty'!$E$26,H398='Povolené hodnoty'!$E$36)),COUNT(I398:J398,L398:M398,O398:P398,R398:S398)&lt;&gt;COUNT(AL398:BM398))</f>
        <v>0</v>
      </c>
      <c r="BT398" s="18" t="b">
        <f t="shared" si="218"/>
        <v>0</v>
      </c>
      <c r="BV398" s="39" t="str">
        <f t="shared" si="219"/>
        <v/>
      </c>
      <c r="BW398" s="458" t="str">
        <f t="shared" si="220"/>
        <v/>
      </c>
      <c r="BX398" s="458" t="str">
        <f t="shared" si="221"/>
        <v/>
      </c>
      <c r="BY398" s="458" t="str">
        <f t="shared" si="222"/>
        <v/>
      </c>
      <c r="BZ398" s="458" t="str">
        <f t="shared" si="223"/>
        <v/>
      </c>
      <c r="CA398" s="40" t="str">
        <f t="shared" si="224"/>
        <v/>
      </c>
      <c r="CB398" s="40" t="str">
        <f t="shared" si="225"/>
        <v/>
      </c>
      <c r="CC398" s="39" t="str">
        <f t="shared" si="226"/>
        <v/>
      </c>
      <c r="CD398" s="458" t="str">
        <f t="shared" si="227"/>
        <v/>
      </c>
      <c r="CE398" s="41" t="str">
        <f t="shared" si="228"/>
        <v/>
      </c>
      <c r="CF398" s="39" t="str">
        <f t="shared" si="229"/>
        <v/>
      </c>
      <c r="CG398" s="458" t="str">
        <f t="shared" si="230"/>
        <v/>
      </c>
      <c r="CH398" s="458" t="str">
        <f t="shared" si="231"/>
        <v/>
      </c>
      <c r="CI398" s="458" t="str">
        <f t="shared" si="232"/>
        <v/>
      </c>
      <c r="CJ398" s="458" t="str">
        <f t="shared" si="233"/>
        <v/>
      </c>
      <c r="CK398" s="40" t="str">
        <f t="shared" si="234"/>
        <v/>
      </c>
      <c r="CL398" s="40" t="str">
        <f t="shared" si="235"/>
        <v/>
      </c>
      <c r="CM398" s="40" t="str">
        <f t="shared" si="236"/>
        <v/>
      </c>
      <c r="CN398" s="39" t="str">
        <f t="shared" si="237"/>
        <v/>
      </c>
      <c r="CO398" s="458" t="str">
        <f t="shared" si="238"/>
        <v/>
      </c>
      <c r="CP398" s="458" t="str">
        <f t="shared" si="239"/>
        <v/>
      </c>
      <c r="CQ398" s="458" t="str">
        <f t="shared" si="240"/>
        <v/>
      </c>
      <c r="CR398" s="458" t="str">
        <f t="shared" si="241"/>
        <v/>
      </c>
      <c r="CS398" s="40" t="str">
        <f t="shared" si="242"/>
        <v/>
      </c>
      <c r="CT398" s="40" t="str">
        <f t="shared" si="243"/>
        <v/>
      </c>
      <c r="CU398" s="41" t="str">
        <f t="shared" si="244"/>
        <v/>
      </c>
    </row>
    <row r="399" spans="1:99" x14ac:dyDescent="0.2">
      <c r="A399" s="77">
        <f t="shared" si="245"/>
        <v>394</v>
      </c>
      <c r="B399" s="81"/>
      <c r="C399" s="82"/>
      <c r="D399" s="71"/>
      <c r="E399" s="72"/>
      <c r="F399" s="73"/>
      <c r="G399" s="443"/>
      <c r="H399" s="443"/>
      <c r="I399" s="74"/>
      <c r="J399" s="75"/>
      <c r="K399" s="41">
        <f t="shared" si="214"/>
        <v>3625</v>
      </c>
      <c r="L399" s="104"/>
      <c r="M399" s="105"/>
      <c r="N399" s="106">
        <f t="shared" si="215"/>
        <v>537.05999999999995</v>
      </c>
      <c r="O399" s="104"/>
      <c r="P399" s="105"/>
      <c r="Q399" s="106">
        <f t="shared" si="247"/>
        <v>10045.83</v>
      </c>
      <c r="R399" s="104"/>
      <c r="S399" s="105"/>
      <c r="T399" s="106">
        <f t="shared" si="248"/>
        <v>0</v>
      </c>
      <c r="U399" s="439"/>
      <c r="V399" s="42">
        <f t="shared" si="216"/>
        <v>394</v>
      </c>
      <c r="W399" s="39" t="str">
        <f>IF(AND(E399='Povolené hodnoty'!$B$4,F399=2),I399+L399+O399+R399,"")</f>
        <v/>
      </c>
      <c r="X399" s="41" t="str">
        <f>IF(AND(E399='Povolené hodnoty'!$B$4,F399=1),I399+L399+O399+R399,"")</f>
        <v/>
      </c>
      <c r="Y399" s="39" t="str">
        <f>IF(AND(E399='Povolené hodnoty'!$B$4,F399=10),J399+M399+P399+S399,"")</f>
        <v/>
      </c>
      <c r="Z399" s="41" t="str">
        <f>IF(AND(E399='Povolené hodnoty'!$B$4,F399=9),J399+M399+P399+S399,"")</f>
        <v/>
      </c>
      <c r="AA399" s="39" t="str">
        <f>IF(AND(E399&lt;&gt;'Povolené hodnoty'!$B$4,F399=2),I399+L399+O399+R399,"")</f>
        <v/>
      </c>
      <c r="AB399" s="40" t="str">
        <f>IF(AND(E399&lt;&gt;'Povolené hodnoty'!$B$4,F399=3),I399+L399+O399+R399,"")</f>
        <v/>
      </c>
      <c r="AC399" s="40" t="str">
        <f>IF(AND(E399&lt;&gt;'Povolené hodnoty'!$B$4,F399=4),I399+L399+O399+R399,"")</f>
        <v/>
      </c>
      <c r="AD399" s="40" t="str">
        <f>IF(AND(E399&lt;&gt;'Povolené hodnoty'!$B$4,F399="5a"),I399-J399+L399-M399+O399-P399+R399-S399,"")</f>
        <v/>
      </c>
      <c r="AE399" s="40" t="str">
        <f>IF(AND(E399&lt;&gt;'Povolené hodnoty'!$B$4,F399="5b"),I399-J399+L399-M399+O399-P399+R399-S399,"")</f>
        <v/>
      </c>
      <c r="AF399" s="40" t="str">
        <f>IF(AND(E399&lt;&gt;'Povolené hodnoty'!$B$4,F399=6),I399+L399+O399+R399,"")</f>
        <v/>
      </c>
      <c r="AG399" s="41" t="str">
        <f>IF(AND(E399&lt;&gt;'Povolené hodnoty'!$B$4,F399=7),I399+L399+O399+R399,"")</f>
        <v/>
      </c>
      <c r="AH399" s="39" t="str">
        <f>IF(AND(E399&lt;&gt;'Povolené hodnoty'!$B$4,F399=10),J399+M399+P399+S399,"")</f>
        <v/>
      </c>
      <c r="AI399" s="40" t="str">
        <f>IF(AND(E399&lt;&gt;'Povolené hodnoty'!$B$4,F399=11),J399+M399+P399+S399,"")</f>
        <v/>
      </c>
      <c r="AJ399" s="40" t="str">
        <f>IF(AND(E399&lt;&gt;'Povolené hodnoty'!$B$4,F399=12),J399+M399+P399+S399,"")</f>
        <v/>
      </c>
      <c r="AK399" s="41" t="str">
        <f>IF(AND(E399&lt;&gt;'Povolené hodnoty'!$B$4,F399=13),J399+M399+P399+S399,"")</f>
        <v/>
      </c>
      <c r="AL399" s="39" t="str">
        <f>IF(AND($G399='Povolené hodnoty'!$B$13,$H399=AL$4),SUM($I399,$L399,$O399,$R399),"")</f>
        <v/>
      </c>
      <c r="AM399" s="458" t="str">
        <f>IF(AND($G399='Povolené hodnoty'!$B$13,$H399=AM$4),SUM($I399,$L399,$O399,$R399),"")</f>
        <v/>
      </c>
      <c r="AN399" s="458" t="str">
        <f>IF(AND($G399='Povolené hodnoty'!$B$13,$H399=AN$4),SUM($I399,$L399,$O399,$R399),"")</f>
        <v/>
      </c>
      <c r="AO399" s="458" t="str">
        <f>IF(AND($G399='Povolené hodnoty'!$B$13,$H399=AO$4),SUM($I399,$L399,$O399,$R399),"")</f>
        <v/>
      </c>
      <c r="AP399" s="458" t="str">
        <f>IF(AND($G399='Povolené hodnoty'!$B$13,$H399=AP$4),SUM($I399,$L399,$O399,$R399),"")</f>
        <v/>
      </c>
      <c r="AQ399" s="40" t="str">
        <f>IF(AND($G399='Povolené hodnoty'!$B$13,OR($H399=AQ$4,$H399='Povolené hodnoty'!$E$36)),SUM($I399,-$J399,$L399,-$M399,$O399,-$P399,$R399,-$S399),"")</f>
        <v/>
      </c>
      <c r="AR399" s="40" t="str">
        <f>IF(AND($G399='Povolené hodnoty'!$B$13,$H399=AR$4),SUM($I399,$L399,$O399,$R399),"")</f>
        <v/>
      </c>
      <c r="AS399" s="41" t="str">
        <f>IF(AND($G399='Povolené hodnoty'!$B$13,$H399=AS$4),SUM($I399,$L399,$O399,$R399),"")</f>
        <v/>
      </c>
      <c r="AT399" s="39" t="str">
        <f>IF(AND($G399='Povolené hodnoty'!$B$14,$H399=AT$4),SUM($I399,$L399,$O399,$R399),"")</f>
        <v/>
      </c>
      <c r="AU399" s="458" t="str">
        <f>IF(AND($G399='Povolené hodnoty'!$B$14,$H399=AU$4),SUM($I399,$L399,$O399,$R399),"")</f>
        <v/>
      </c>
      <c r="AV399" s="41" t="str">
        <f>IF(AND($G399='Povolené hodnoty'!$B$14,$H399=AV$4),SUM($I399,$L399,$O399,$R399),"")</f>
        <v/>
      </c>
      <c r="AW399" s="39" t="str">
        <f>IF(AND($G399='Povolené hodnoty'!$B$13,$H399=AW$4),SUM($J399,$M399,$P399,$S399),"")</f>
        <v/>
      </c>
      <c r="AX399" s="458" t="str">
        <f>IF(AND($G399='Povolené hodnoty'!$B$13,$H399=AX$4),SUM($J399,$M399,$P399,$S399),"")</f>
        <v/>
      </c>
      <c r="AY399" s="458" t="str">
        <f>IF(AND($G399='Povolené hodnoty'!$B$13,$H399=AY$4),SUM($J399,$M399,$P399,$S399),"")</f>
        <v/>
      </c>
      <c r="AZ399" s="458" t="str">
        <f>IF(AND($G399='Povolené hodnoty'!$B$13,$H399=AZ$4),SUM($J399,$M399,$P399,$S399),"")</f>
        <v/>
      </c>
      <c r="BA399" s="458" t="str">
        <f>IF(AND($G399='Povolené hodnoty'!$B$13,$H399=BA$4),SUM($J399,$M399,$P399,$S399),"")</f>
        <v/>
      </c>
      <c r="BB399" s="40" t="str">
        <f>IF(AND($G399='Povolené hodnoty'!$B$13,$H399=BB$4),SUM($J399,$M399,$P399,$S399),"")</f>
        <v/>
      </c>
      <c r="BC399" s="40" t="str">
        <f>IF(AND($G399='Povolené hodnoty'!$B$13,$H399=BC$4),SUM($J399,$M399,$P399,$S399),"")</f>
        <v/>
      </c>
      <c r="BD399" s="40" t="str">
        <f>IF(AND($G399='Povolené hodnoty'!$B$13,$H399=BD$4),SUM($J399,$M399,$P399,$S399),"")</f>
        <v/>
      </c>
      <c r="BE399" s="41" t="str">
        <f>IF(AND($G399='Povolené hodnoty'!$B$13,$H399=BE$4),SUM($J399,$M399,$P399,$S399),"")</f>
        <v/>
      </c>
      <c r="BF399" s="39" t="str">
        <f>IF(AND($G399='Povolené hodnoty'!$B$14,$H399=BF$4),SUM($J399,$M399,$P399,$S399),"")</f>
        <v/>
      </c>
      <c r="BG399" s="458" t="str">
        <f>IF(AND($G399='Povolené hodnoty'!$B$14,$H399=BG$4),SUM($J399,$M399,$P399,$S399),"")</f>
        <v/>
      </c>
      <c r="BH399" s="458" t="str">
        <f>IF(AND($G399='Povolené hodnoty'!$B$14,$H399=BH$4),SUM($J399,$M399,$P399,$S399),"")</f>
        <v/>
      </c>
      <c r="BI399" s="458" t="str">
        <f>IF(AND($G399='Povolené hodnoty'!$B$14,$H399=BI$4),SUM($J399,$M399,$P399,$S399),"")</f>
        <v/>
      </c>
      <c r="BJ399" s="458" t="str">
        <f>IF(AND($G399='Povolené hodnoty'!$B$14,$H399=BJ$4),SUM($J399,$M399,$P399,$S399),"")</f>
        <v/>
      </c>
      <c r="BK399" s="40" t="str">
        <f>IF(AND($G399='Povolené hodnoty'!$B$14,$H399=BK$4),SUM($J399,$M399,$P399,$S399),"")</f>
        <v/>
      </c>
      <c r="BL399" s="40" t="str">
        <f>IF(AND($G399='Povolené hodnoty'!$B$14,$H399=BL$4),SUM($J399,$M399,$P399,$S399),"")</f>
        <v/>
      </c>
      <c r="BM399" s="41" t="str">
        <f>IF(AND($G399='Povolené hodnoty'!$B$14,$H399=BM$4),SUM($J399,$M399,$P399,$S399),"")</f>
        <v/>
      </c>
      <c r="BO399" s="18" t="b">
        <f t="shared" si="246"/>
        <v>0</v>
      </c>
      <c r="BP399" s="18" t="b">
        <f t="shared" si="217"/>
        <v>0</v>
      </c>
      <c r="BQ399" s="18" t="b">
        <f>AND(E399&lt;&gt;'Povolené hodnoty'!$B$6,F399&lt;&gt;'Povolené hodnoty'!$D$7,F399&lt;&gt;'Povolené hodnoty'!$D$8,OR(SUM(I399,L399,O399,R399)&lt;&gt;SUM(W399:X399,AA399:AG399),SUM(J399,M399,P399,S399)&lt;&gt;SUM(Y399:Z399,AH399:AK399),COUNT(I399:J399,L399:M399,O399:P399,R399:S399)&lt;&gt;COUNT(W399:AK399)))</f>
        <v>0</v>
      </c>
      <c r="BR399" s="18" t="b">
        <f>OR(AND(E399='Povolené hodnoty'!$B$6,$BR$5),AND(E399='Povolené hodnoty'!$B$6,H399&lt;&gt;'Povolené hodnoty'!$E$26,H399&lt;&gt;'Povolené hodnoty'!$E$35),AND(E399&lt;&gt;'Povolené hodnoty'!$B$6,OR(H399='Povolené hodnoty'!$E$26,H399='Povolené hodnoty'!$E$35)))</f>
        <v>0</v>
      </c>
      <c r="BS399" s="18" t="b">
        <f>OR(AND(G399&lt;&gt;'Povolené hodnoty'!$B$13,OR(H399='Povolené hodnoty'!$E$21,H399='Povolené hodnoty'!$E$22,H399='Povolené hodnoty'!$E$23,H399='Povolené hodnoty'!$E$24,H399='Povolené hodnoty'!$E$26,H399='Povolené hodnoty'!$E$36)),COUNT(I399:J399,L399:M399,O399:P399,R399:S399)&lt;&gt;COUNT(AL399:BM399))</f>
        <v>0</v>
      </c>
      <c r="BT399" s="18" t="b">
        <f t="shared" si="218"/>
        <v>0</v>
      </c>
      <c r="BV399" s="39" t="str">
        <f t="shared" si="219"/>
        <v/>
      </c>
      <c r="BW399" s="458" t="str">
        <f t="shared" si="220"/>
        <v/>
      </c>
      <c r="BX399" s="458" t="str">
        <f t="shared" si="221"/>
        <v/>
      </c>
      <c r="BY399" s="458" t="str">
        <f t="shared" si="222"/>
        <v/>
      </c>
      <c r="BZ399" s="458" t="str">
        <f t="shared" si="223"/>
        <v/>
      </c>
      <c r="CA399" s="40" t="str">
        <f t="shared" si="224"/>
        <v/>
      </c>
      <c r="CB399" s="40" t="str">
        <f t="shared" si="225"/>
        <v/>
      </c>
      <c r="CC399" s="39" t="str">
        <f t="shared" si="226"/>
        <v/>
      </c>
      <c r="CD399" s="458" t="str">
        <f t="shared" si="227"/>
        <v/>
      </c>
      <c r="CE399" s="41" t="str">
        <f t="shared" si="228"/>
        <v/>
      </c>
      <c r="CF399" s="39" t="str">
        <f t="shared" si="229"/>
        <v/>
      </c>
      <c r="CG399" s="458" t="str">
        <f t="shared" si="230"/>
        <v/>
      </c>
      <c r="CH399" s="458" t="str">
        <f t="shared" si="231"/>
        <v/>
      </c>
      <c r="CI399" s="458" t="str">
        <f t="shared" si="232"/>
        <v/>
      </c>
      <c r="CJ399" s="458" t="str">
        <f t="shared" si="233"/>
        <v/>
      </c>
      <c r="CK399" s="40" t="str">
        <f t="shared" si="234"/>
        <v/>
      </c>
      <c r="CL399" s="40" t="str">
        <f t="shared" si="235"/>
        <v/>
      </c>
      <c r="CM399" s="40" t="str">
        <f t="shared" si="236"/>
        <v/>
      </c>
      <c r="CN399" s="39" t="str">
        <f t="shared" si="237"/>
        <v/>
      </c>
      <c r="CO399" s="458" t="str">
        <f t="shared" si="238"/>
        <v/>
      </c>
      <c r="CP399" s="458" t="str">
        <f t="shared" si="239"/>
        <v/>
      </c>
      <c r="CQ399" s="458" t="str">
        <f t="shared" si="240"/>
        <v/>
      </c>
      <c r="CR399" s="458" t="str">
        <f t="shared" si="241"/>
        <v/>
      </c>
      <c r="CS399" s="40" t="str">
        <f t="shared" si="242"/>
        <v/>
      </c>
      <c r="CT399" s="40" t="str">
        <f t="shared" si="243"/>
        <v/>
      </c>
      <c r="CU399" s="41" t="str">
        <f t="shared" si="244"/>
        <v/>
      </c>
    </row>
    <row r="400" spans="1:99" x14ac:dyDescent="0.2">
      <c r="A400" s="77">
        <f t="shared" si="245"/>
        <v>395</v>
      </c>
      <c r="B400" s="81"/>
      <c r="C400" s="82"/>
      <c r="D400" s="71"/>
      <c r="E400" s="72"/>
      <c r="F400" s="73"/>
      <c r="G400" s="443"/>
      <c r="H400" s="443"/>
      <c r="I400" s="74"/>
      <c r="J400" s="75"/>
      <c r="K400" s="41">
        <f t="shared" si="214"/>
        <v>3625</v>
      </c>
      <c r="L400" s="104"/>
      <c r="M400" s="105"/>
      <c r="N400" s="106">
        <f t="shared" si="215"/>
        <v>537.05999999999995</v>
      </c>
      <c r="O400" s="104"/>
      <c r="P400" s="105"/>
      <c r="Q400" s="106">
        <f t="shared" si="247"/>
        <v>10045.83</v>
      </c>
      <c r="R400" s="104"/>
      <c r="S400" s="105"/>
      <c r="T400" s="106">
        <f t="shared" si="248"/>
        <v>0</v>
      </c>
      <c r="U400" s="439"/>
      <c r="V400" s="42">
        <f t="shared" si="216"/>
        <v>395</v>
      </c>
      <c r="W400" s="39" t="str">
        <f>IF(AND(E400='Povolené hodnoty'!$B$4,F400=2),I400+L400+O400+R400,"")</f>
        <v/>
      </c>
      <c r="X400" s="41" t="str">
        <f>IF(AND(E400='Povolené hodnoty'!$B$4,F400=1),I400+L400+O400+R400,"")</f>
        <v/>
      </c>
      <c r="Y400" s="39" t="str">
        <f>IF(AND(E400='Povolené hodnoty'!$B$4,F400=10),J400+M400+P400+S400,"")</f>
        <v/>
      </c>
      <c r="Z400" s="41" t="str">
        <f>IF(AND(E400='Povolené hodnoty'!$B$4,F400=9),J400+M400+P400+S400,"")</f>
        <v/>
      </c>
      <c r="AA400" s="39" t="str">
        <f>IF(AND(E400&lt;&gt;'Povolené hodnoty'!$B$4,F400=2),I400+L400+O400+R400,"")</f>
        <v/>
      </c>
      <c r="AB400" s="40" t="str">
        <f>IF(AND(E400&lt;&gt;'Povolené hodnoty'!$B$4,F400=3),I400+L400+O400+R400,"")</f>
        <v/>
      </c>
      <c r="AC400" s="40" t="str">
        <f>IF(AND(E400&lt;&gt;'Povolené hodnoty'!$B$4,F400=4),I400+L400+O400+R400,"")</f>
        <v/>
      </c>
      <c r="AD400" s="40" t="str">
        <f>IF(AND(E400&lt;&gt;'Povolené hodnoty'!$B$4,F400="5a"),I400-J400+L400-M400+O400-P400+R400-S400,"")</f>
        <v/>
      </c>
      <c r="AE400" s="40" t="str">
        <f>IF(AND(E400&lt;&gt;'Povolené hodnoty'!$B$4,F400="5b"),I400-J400+L400-M400+O400-P400+R400-S400,"")</f>
        <v/>
      </c>
      <c r="AF400" s="40" t="str">
        <f>IF(AND(E400&lt;&gt;'Povolené hodnoty'!$B$4,F400=6),I400+L400+O400+R400,"")</f>
        <v/>
      </c>
      <c r="AG400" s="41" t="str">
        <f>IF(AND(E400&lt;&gt;'Povolené hodnoty'!$B$4,F400=7),I400+L400+O400+R400,"")</f>
        <v/>
      </c>
      <c r="AH400" s="39" t="str">
        <f>IF(AND(E400&lt;&gt;'Povolené hodnoty'!$B$4,F400=10),J400+M400+P400+S400,"")</f>
        <v/>
      </c>
      <c r="AI400" s="40" t="str">
        <f>IF(AND(E400&lt;&gt;'Povolené hodnoty'!$B$4,F400=11),J400+M400+P400+S400,"")</f>
        <v/>
      </c>
      <c r="AJ400" s="40" t="str">
        <f>IF(AND(E400&lt;&gt;'Povolené hodnoty'!$B$4,F400=12),J400+M400+P400+S400,"")</f>
        <v/>
      </c>
      <c r="AK400" s="41" t="str">
        <f>IF(AND(E400&lt;&gt;'Povolené hodnoty'!$B$4,F400=13),J400+M400+P400+S400,"")</f>
        <v/>
      </c>
      <c r="AL400" s="39" t="str">
        <f>IF(AND($G400='Povolené hodnoty'!$B$13,$H400=AL$4),SUM($I400,$L400,$O400,$R400),"")</f>
        <v/>
      </c>
      <c r="AM400" s="458" t="str">
        <f>IF(AND($G400='Povolené hodnoty'!$B$13,$H400=AM$4),SUM($I400,$L400,$O400,$R400),"")</f>
        <v/>
      </c>
      <c r="AN400" s="458" t="str">
        <f>IF(AND($G400='Povolené hodnoty'!$B$13,$H400=AN$4),SUM($I400,$L400,$O400,$R400),"")</f>
        <v/>
      </c>
      <c r="AO400" s="458" t="str">
        <f>IF(AND($G400='Povolené hodnoty'!$B$13,$H400=AO$4),SUM($I400,$L400,$O400,$R400),"")</f>
        <v/>
      </c>
      <c r="AP400" s="458" t="str">
        <f>IF(AND($G400='Povolené hodnoty'!$B$13,$H400=AP$4),SUM($I400,$L400,$O400,$R400),"")</f>
        <v/>
      </c>
      <c r="AQ400" s="40" t="str">
        <f>IF(AND($G400='Povolené hodnoty'!$B$13,OR($H400=AQ$4,$H400='Povolené hodnoty'!$E$36)),SUM($I400,-$J400,$L400,-$M400,$O400,-$P400,$R400,-$S400),"")</f>
        <v/>
      </c>
      <c r="AR400" s="40" t="str">
        <f>IF(AND($G400='Povolené hodnoty'!$B$13,$H400=AR$4),SUM($I400,$L400,$O400,$R400),"")</f>
        <v/>
      </c>
      <c r="AS400" s="41" t="str">
        <f>IF(AND($G400='Povolené hodnoty'!$B$13,$H400=AS$4),SUM($I400,$L400,$O400,$R400),"")</f>
        <v/>
      </c>
      <c r="AT400" s="39" t="str">
        <f>IF(AND($G400='Povolené hodnoty'!$B$14,$H400=AT$4),SUM($I400,$L400,$O400,$R400),"")</f>
        <v/>
      </c>
      <c r="AU400" s="458" t="str">
        <f>IF(AND($G400='Povolené hodnoty'!$B$14,$H400=AU$4),SUM($I400,$L400,$O400,$R400),"")</f>
        <v/>
      </c>
      <c r="AV400" s="41" t="str">
        <f>IF(AND($G400='Povolené hodnoty'!$B$14,$H400=AV$4),SUM($I400,$L400,$O400,$R400),"")</f>
        <v/>
      </c>
      <c r="AW400" s="39" t="str">
        <f>IF(AND($G400='Povolené hodnoty'!$B$13,$H400=AW$4),SUM($J400,$M400,$P400,$S400),"")</f>
        <v/>
      </c>
      <c r="AX400" s="458" t="str">
        <f>IF(AND($G400='Povolené hodnoty'!$B$13,$H400=AX$4),SUM($J400,$M400,$P400,$S400),"")</f>
        <v/>
      </c>
      <c r="AY400" s="458" t="str">
        <f>IF(AND($G400='Povolené hodnoty'!$B$13,$H400=AY$4),SUM($J400,$M400,$P400,$S400),"")</f>
        <v/>
      </c>
      <c r="AZ400" s="458" t="str">
        <f>IF(AND($G400='Povolené hodnoty'!$B$13,$H400=AZ$4),SUM($J400,$M400,$P400,$S400),"")</f>
        <v/>
      </c>
      <c r="BA400" s="458" t="str">
        <f>IF(AND($G400='Povolené hodnoty'!$B$13,$H400=BA$4),SUM($J400,$M400,$P400,$S400),"")</f>
        <v/>
      </c>
      <c r="BB400" s="40" t="str">
        <f>IF(AND($G400='Povolené hodnoty'!$B$13,$H400=BB$4),SUM($J400,$M400,$P400,$S400),"")</f>
        <v/>
      </c>
      <c r="BC400" s="40" t="str">
        <f>IF(AND($G400='Povolené hodnoty'!$B$13,$H400=BC$4),SUM($J400,$M400,$P400,$S400),"")</f>
        <v/>
      </c>
      <c r="BD400" s="40" t="str">
        <f>IF(AND($G400='Povolené hodnoty'!$B$13,$H400=BD$4),SUM($J400,$M400,$P400,$S400),"")</f>
        <v/>
      </c>
      <c r="BE400" s="41" t="str">
        <f>IF(AND($G400='Povolené hodnoty'!$B$13,$H400=BE$4),SUM($J400,$M400,$P400,$S400),"")</f>
        <v/>
      </c>
      <c r="BF400" s="39" t="str">
        <f>IF(AND($G400='Povolené hodnoty'!$B$14,$H400=BF$4),SUM($J400,$M400,$P400,$S400),"")</f>
        <v/>
      </c>
      <c r="BG400" s="458" t="str">
        <f>IF(AND($G400='Povolené hodnoty'!$B$14,$H400=BG$4),SUM($J400,$M400,$P400,$S400),"")</f>
        <v/>
      </c>
      <c r="BH400" s="458" t="str">
        <f>IF(AND($G400='Povolené hodnoty'!$B$14,$H400=BH$4),SUM($J400,$M400,$P400,$S400),"")</f>
        <v/>
      </c>
      <c r="BI400" s="458" t="str">
        <f>IF(AND($G400='Povolené hodnoty'!$B$14,$H400=BI$4),SUM($J400,$M400,$P400,$S400),"")</f>
        <v/>
      </c>
      <c r="BJ400" s="458" t="str">
        <f>IF(AND($G400='Povolené hodnoty'!$B$14,$H400=BJ$4),SUM($J400,$M400,$P400,$S400),"")</f>
        <v/>
      </c>
      <c r="BK400" s="40" t="str">
        <f>IF(AND($G400='Povolené hodnoty'!$B$14,$H400=BK$4),SUM($J400,$M400,$P400,$S400),"")</f>
        <v/>
      </c>
      <c r="BL400" s="40" t="str">
        <f>IF(AND($G400='Povolené hodnoty'!$B$14,$H400=BL$4),SUM($J400,$M400,$P400,$S400),"")</f>
        <v/>
      </c>
      <c r="BM400" s="41" t="str">
        <f>IF(AND($G400='Povolené hodnoty'!$B$14,$H400=BM$4),SUM($J400,$M400,$P400,$S400),"")</f>
        <v/>
      </c>
      <c r="BO400" s="18" t="b">
        <f t="shared" si="246"/>
        <v>0</v>
      </c>
      <c r="BP400" s="18" t="b">
        <f t="shared" si="217"/>
        <v>0</v>
      </c>
      <c r="BQ400" s="18" t="b">
        <f>AND(E400&lt;&gt;'Povolené hodnoty'!$B$6,F400&lt;&gt;'Povolené hodnoty'!$D$7,F400&lt;&gt;'Povolené hodnoty'!$D$8,OR(SUM(I400,L400,O400,R400)&lt;&gt;SUM(W400:X400,AA400:AG400),SUM(J400,M400,P400,S400)&lt;&gt;SUM(Y400:Z400,AH400:AK400),COUNT(I400:J400,L400:M400,O400:P400,R400:S400)&lt;&gt;COUNT(W400:AK400)))</f>
        <v>0</v>
      </c>
      <c r="BR400" s="18" t="b">
        <f>OR(AND(E400='Povolené hodnoty'!$B$6,$BR$5),AND(E400='Povolené hodnoty'!$B$6,H400&lt;&gt;'Povolené hodnoty'!$E$26,H400&lt;&gt;'Povolené hodnoty'!$E$35),AND(E400&lt;&gt;'Povolené hodnoty'!$B$6,OR(H400='Povolené hodnoty'!$E$26,H400='Povolené hodnoty'!$E$35)))</f>
        <v>0</v>
      </c>
      <c r="BS400" s="18" t="b">
        <f>OR(AND(G400&lt;&gt;'Povolené hodnoty'!$B$13,OR(H400='Povolené hodnoty'!$E$21,H400='Povolené hodnoty'!$E$22,H400='Povolené hodnoty'!$E$23,H400='Povolené hodnoty'!$E$24,H400='Povolené hodnoty'!$E$26,H400='Povolené hodnoty'!$E$36)),COUNT(I400:J400,L400:M400,O400:P400,R400:S400)&lt;&gt;COUNT(AL400:BM400))</f>
        <v>0</v>
      </c>
      <c r="BT400" s="18" t="b">
        <f t="shared" si="218"/>
        <v>0</v>
      </c>
      <c r="BV400" s="39" t="str">
        <f t="shared" si="219"/>
        <v/>
      </c>
      <c r="BW400" s="458" t="str">
        <f t="shared" si="220"/>
        <v/>
      </c>
      <c r="BX400" s="458" t="str">
        <f t="shared" si="221"/>
        <v/>
      </c>
      <c r="BY400" s="458" t="str">
        <f t="shared" si="222"/>
        <v/>
      </c>
      <c r="BZ400" s="458" t="str">
        <f t="shared" si="223"/>
        <v/>
      </c>
      <c r="CA400" s="40" t="str">
        <f t="shared" si="224"/>
        <v/>
      </c>
      <c r="CB400" s="40" t="str">
        <f t="shared" si="225"/>
        <v/>
      </c>
      <c r="CC400" s="39" t="str">
        <f t="shared" si="226"/>
        <v/>
      </c>
      <c r="CD400" s="458" t="str">
        <f t="shared" si="227"/>
        <v/>
      </c>
      <c r="CE400" s="41" t="str">
        <f t="shared" si="228"/>
        <v/>
      </c>
      <c r="CF400" s="39" t="str">
        <f t="shared" si="229"/>
        <v/>
      </c>
      <c r="CG400" s="458" t="str">
        <f t="shared" si="230"/>
        <v/>
      </c>
      <c r="CH400" s="458" t="str">
        <f t="shared" si="231"/>
        <v/>
      </c>
      <c r="CI400" s="458" t="str">
        <f t="shared" si="232"/>
        <v/>
      </c>
      <c r="CJ400" s="458" t="str">
        <f t="shared" si="233"/>
        <v/>
      </c>
      <c r="CK400" s="40" t="str">
        <f t="shared" si="234"/>
        <v/>
      </c>
      <c r="CL400" s="40" t="str">
        <f t="shared" si="235"/>
        <v/>
      </c>
      <c r="CM400" s="40" t="str">
        <f t="shared" si="236"/>
        <v/>
      </c>
      <c r="CN400" s="39" t="str">
        <f t="shared" si="237"/>
        <v/>
      </c>
      <c r="CO400" s="458" t="str">
        <f t="shared" si="238"/>
        <v/>
      </c>
      <c r="CP400" s="458" t="str">
        <f t="shared" si="239"/>
        <v/>
      </c>
      <c r="CQ400" s="458" t="str">
        <f t="shared" si="240"/>
        <v/>
      </c>
      <c r="CR400" s="458" t="str">
        <f t="shared" si="241"/>
        <v/>
      </c>
      <c r="CS400" s="40" t="str">
        <f t="shared" si="242"/>
        <v/>
      </c>
      <c r="CT400" s="40" t="str">
        <f t="shared" si="243"/>
        <v/>
      </c>
      <c r="CU400" s="41" t="str">
        <f t="shared" si="244"/>
        <v/>
      </c>
    </row>
    <row r="401" spans="1:99" x14ac:dyDescent="0.2">
      <c r="A401" s="77">
        <f t="shared" si="245"/>
        <v>396</v>
      </c>
      <c r="B401" s="81"/>
      <c r="C401" s="82"/>
      <c r="D401" s="71"/>
      <c r="E401" s="72"/>
      <c r="F401" s="73"/>
      <c r="G401" s="443"/>
      <c r="H401" s="443"/>
      <c r="I401" s="74"/>
      <c r="J401" s="75"/>
      <c r="K401" s="41">
        <f t="shared" si="214"/>
        <v>3625</v>
      </c>
      <c r="L401" s="104"/>
      <c r="M401" s="105"/>
      <c r="N401" s="106">
        <f t="shared" si="215"/>
        <v>537.05999999999995</v>
      </c>
      <c r="O401" s="104"/>
      <c r="P401" s="105"/>
      <c r="Q401" s="106">
        <f t="shared" si="247"/>
        <v>10045.83</v>
      </c>
      <c r="R401" s="104"/>
      <c r="S401" s="105"/>
      <c r="T401" s="106">
        <f t="shared" si="248"/>
        <v>0</v>
      </c>
      <c r="U401" s="439"/>
      <c r="V401" s="42">
        <f t="shared" si="216"/>
        <v>396</v>
      </c>
      <c r="W401" s="39" t="str">
        <f>IF(AND(E401='Povolené hodnoty'!$B$4,F401=2),I401+L401+O401+R401,"")</f>
        <v/>
      </c>
      <c r="X401" s="41" t="str">
        <f>IF(AND(E401='Povolené hodnoty'!$B$4,F401=1),I401+L401+O401+R401,"")</f>
        <v/>
      </c>
      <c r="Y401" s="39" t="str">
        <f>IF(AND(E401='Povolené hodnoty'!$B$4,F401=10),J401+M401+P401+S401,"")</f>
        <v/>
      </c>
      <c r="Z401" s="41" t="str">
        <f>IF(AND(E401='Povolené hodnoty'!$B$4,F401=9),J401+M401+P401+S401,"")</f>
        <v/>
      </c>
      <c r="AA401" s="39" t="str">
        <f>IF(AND(E401&lt;&gt;'Povolené hodnoty'!$B$4,F401=2),I401+L401+O401+R401,"")</f>
        <v/>
      </c>
      <c r="AB401" s="40" t="str">
        <f>IF(AND(E401&lt;&gt;'Povolené hodnoty'!$B$4,F401=3),I401+L401+O401+R401,"")</f>
        <v/>
      </c>
      <c r="AC401" s="40" t="str">
        <f>IF(AND(E401&lt;&gt;'Povolené hodnoty'!$B$4,F401=4),I401+L401+O401+R401,"")</f>
        <v/>
      </c>
      <c r="AD401" s="40" t="str">
        <f>IF(AND(E401&lt;&gt;'Povolené hodnoty'!$B$4,F401="5a"),I401-J401+L401-M401+O401-P401+R401-S401,"")</f>
        <v/>
      </c>
      <c r="AE401" s="40" t="str">
        <f>IF(AND(E401&lt;&gt;'Povolené hodnoty'!$B$4,F401="5b"),I401-J401+L401-M401+O401-P401+R401-S401,"")</f>
        <v/>
      </c>
      <c r="AF401" s="40" t="str">
        <f>IF(AND(E401&lt;&gt;'Povolené hodnoty'!$B$4,F401=6),I401+L401+O401+R401,"")</f>
        <v/>
      </c>
      <c r="AG401" s="41" t="str">
        <f>IF(AND(E401&lt;&gt;'Povolené hodnoty'!$B$4,F401=7),I401+L401+O401+R401,"")</f>
        <v/>
      </c>
      <c r="AH401" s="39" t="str">
        <f>IF(AND(E401&lt;&gt;'Povolené hodnoty'!$B$4,F401=10),J401+M401+P401+S401,"")</f>
        <v/>
      </c>
      <c r="AI401" s="40" t="str">
        <f>IF(AND(E401&lt;&gt;'Povolené hodnoty'!$B$4,F401=11),J401+M401+P401+S401,"")</f>
        <v/>
      </c>
      <c r="AJ401" s="40" t="str">
        <f>IF(AND(E401&lt;&gt;'Povolené hodnoty'!$B$4,F401=12),J401+M401+P401+S401,"")</f>
        <v/>
      </c>
      <c r="AK401" s="41" t="str">
        <f>IF(AND(E401&lt;&gt;'Povolené hodnoty'!$B$4,F401=13),J401+M401+P401+S401,"")</f>
        <v/>
      </c>
      <c r="AL401" s="39" t="str">
        <f>IF(AND($G401='Povolené hodnoty'!$B$13,$H401=AL$4),SUM($I401,$L401,$O401,$R401),"")</f>
        <v/>
      </c>
      <c r="AM401" s="458" t="str">
        <f>IF(AND($G401='Povolené hodnoty'!$B$13,$H401=AM$4),SUM($I401,$L401,$O401,$R401),"")</f>
        <v/>
      </c>
      <c r="AN401" s="458" t="str">
        <f>IF(AND($G401='Povolené hodnoty'!$B$13,$H401=AN$4),SUM($I401,$L401,$O401,$R401),"")</f>
        <v/>
      </c>
      <c r="AO401" s="458" t="str">
        <f>IF(AND($G401='Povolené hodnoty'!$B$13,$H401=AO$4),SUM($I401,$L401,$O401,$R401),"")</f>
        <v/>
      </c>
      <c r="AP401" s="458" t="str">
        <f>IF(AND($G401='Povolené hodnoty'!$B$13,$H401=AP$4),SUM($I401,$L401,$O401,$R401),"")</f>
        <v/>
      </c>
      <c r="AQ401" s="40" t="str">
        <f>IF(AND($G401='Povolené hodnoty'!$B$13,OR($H401=AQ$4,$H401='Povolené hodnoty'!$E$36)),SUM($I401,-$J401,$L401,-$M401,$O401,-$P401,$R401,-$S401),"")</f>
        <v/>
      </c>
      <c r="AR401" s="40" t="str">
        <f>IF(AND($G401='Povolené hodnoty'!$B$13,$H401=AR$4),SUM($I401,$L401,$O401,$R401),"")</f>
        <v/>
      </c>
      <c r="AS401" s="41" t="str">
        <f>IF(AND($G401='Povolené hodnoty'!$B$13,$H401=AS$4),SUM($I401,$L401,$O401,$R401),"")</f>
        <v/>
      </c>
      <c r="AT401" s="39" t="str">
        <f>IF(AND($G401='Povolené hodnoty'!$B$14,$H401=AT$4),SUM($I401,$L401,$O401,$R401),"")</f>
        <v/>
      </c>
      <c r="AU401" s="458" t="str">
        <f>IF(AND($G401='Povolené hodnoty'!$B$14,$H401=AU$4),SUM($I401,$L401,$O401,$R401),"")</f>
        <v/>
      </c>
      <c r="AV401" s="41" t="str">
        <f>IF(AND($G401='Povolené hodnoty'!$B$14,$H401=AV$4),SUM($I401,$L401,$O401,$R401),"")</f>
        <v/>
      </c>
      <c r="AW401" s="39" t="str">
        <f>IF(AND($G401='Povolené hodnoty'!$B$13,$H401=AW$4),SUM($J401,$M401,$P401,$S401),"")</f>
        <v/>
      </c>
      <c r="AX401" s="458" t="str">
        <f>IF(AND($G401='Povolené hodnoty'!$B$13,$H401=AX$4),SUM($J401,$M401,$P401,$S401),"")</f>
        <v/>
      </c>
      <c r="AY401" s="458" t="str">
        <f>IF(AND($G401='Povolené hodnoty'!$B$13,$H401=AY$4),SUM($J401,$M401,$P401,$S401),"")</f>
        <v/>
      </c>
      <c r="AZ401" s="458" t="str">
        <f>IF(AND($G401='Povolené hodnoty'!$B$13,$H401=AZ$4),SUM($J401,$M401,$P401,$S401),"")</f>
        <v/>
      </c>
      <c r="BA401" s="458" t="str">
        <f>IF(AND($G401='Povolené hodnoty'!$B$13,$H401=BA$4),SUM($J401,$M401,$P401,$S401),"")</f>
        <v/>
      </c>
      <c r="BB401" s="40" t="str">
        <f>IF(AND($G401='Povolené hodnoty'!$B$13,$H401=BB$4),SUM($J401,$M401,$P401,$S401),"")</f>
        <v/>
      </c>
      <c r="BC401" s="40" t="str">
        <f>IF(AND($G401='Povolené hodnoty'!$B$13,$H401=BC$4),SUM($J401,$M401,$P401,$S401),"")</f>
        <v/>
      </c>
      <c r="BD401" s="40" t="str">
        <f>IF(AND($G401='Povolené hodnoty'!$B$13,$H401=BD$4),SUM($J401,$M401,$P401,$S401),"")</f>
        <v/>
      </c>
      <c r="BE401" s="41" t="str">
        <f>IF(AND($G401='Povolené hodnoty'!$B$13,$H401=BE$4),SUM($J401,$M401,$P401,$S401),"")</f>
        <v/>
      </c>
      <c r="BF401" s="39" t="str">
        <f>IF(AND($G401='Povolené hodnoty'!$B$14,$H401=BF$4),SUM($J401,$M401,$P401,$S401),"")</f>
        <v/>
      </c>
      <c r="BG401" s="458" t="str">
        <f>IF(AND($G401='Povolené hodnoty'!$B$14,$H401=BG$4),SUM($J401,$M401,$P401,$S401),"")</f>
        <v/>
      </c>
      <c r="BH401" s="458" t="str">
        <f>IF(AND($G401='Povolené hodnoty'!$B$14,$H401=BH$4),SUM($J401,$M401,$P401,$S401),"")</f>
        <v/>
      </c>
      <c r="BI401" s="458" t="str">
        <f>IF(AND($G401='Povolené hodnoty'!$B$14,$H401=BI$4),SUM($J401,$M401,$P401,$S401),"")</f>
        <v/>
      </c>
      <c r="BJ401" s="458" t="str">
        <f>IF(AND($G401='Povolené hodnoty'!$B$14,$H401=BJ$4),SUM($J401,$M401,$P401,$S401),"")</f>
        <v/>
      </c>
      <c r="BK401" s="40" t="str">
        <f>IF(AND($G401='Povolené hodnoty'!$B$14,$H401=BK$4),SUM($J401,$M401,$P401,$S401),"")</f>
        <v/>
      </c>
      <c r="BL401" s="40" t="str">
        <f>IF(AND($G401='Povolené hodnoty'!$B$14,$H401=BL$4),SUM($J401,$M401,$P401,$S401),"")</f>
        <v/>
      </c>
      <c r="BM401" s="41" t="str">
        <f>IF(AND($G401='Povolené hodnoty'!$B$14,$H401=BM$4),SUM($J401,$M401,$P401,$S401),"")</f>
        <v/>
      </c>
      <c r="BO401" s="18" t="b">
        <f t="shared" si="246"/>
        <v>0</v>
      </c>
      <c r="BP401" s="18" t="b">
        <f t="shared" si="217"/>
        <v>0</v>
      </c>
      <c r="BQ401" s="18" t="b">
        <f>AND(E401&lt;&gt;'Povolené hodnoty'!$B$6,F401&lt;&gt;'Povolené hodnoty'!$D$7,F401&lt;&gt;'Povolené hodnoty'!$D$8,OR(SUM(I401,L401,O401,R401)&lt;&gt;SUM(W401:X401,AA401:AG401),SUM(J401,M401,P401,S401)&lt;&gt;SUM(Y401:Z401,AH401:AK401),COUNT(I401:J401,L401:M401,O401:P401,R401:S401)&lt;&gt;COUNT(W401:AK401)))</f>
        <v>0</v>
      </c>
      <c r="BR401" s="18" t="b">
        <f>OR(AND(E401='Povolené hodnoty'!$B$6,$BR$5),AND(E401='Povolené hodnoty'!$B$6,H401&lt;&gt;'Povolené hodnoty'!$E$26,H401&lt;&gt;'Povolené hodnoty'!$E$35),AND(E401&lt;&gt;'Povolené hodnoty'!$B$6,OR(H401='Povolené hodnoty'!$E$26,H401='Povolené hodnoty'!$E$35)))</f>
        <v>0</v>
      </c>
      <c r="BS401" s="18" t="b">
        <f>OR(AND(G401&lt;&gt;'Povolené hodnoty'!$B$13,OR(H401='Povolené hodnoty'!$E$21,H401='Povolené hodnoty'!$E$22,H401='Povolené hodnoty'!$E$23,H401='Povolené hodnoty'!$E$24,H401='Povolené hodnoty'!$E$26,H401='Povolené hodnoty'!$E$36)),COUNT(I401:J401,L401:M401,O401:P401,R401:S401)&lt;&gt;COUNT(AL401:BM401))</f>
        <v>0</v>
      </c>
      <c r="BT401" s="18" t="b">
        <f t="shared" si="218"/>
        <v>0</v>
      </c>
      <c r="BV401" s="39" t="str">
        <f t="shared" si="219"/>
        <v/>
      </c>
      <c r="BW401" s="458" t="str">
        <f t="shared" si="220"/>
        <v/>
      </c>
      <c r="BX401" s="458" t="str">
        <f t="shared" si="221"/>
        <v/>
      </c>
      <c r="BY401" s="458" t="str">
        <f t="shared" si="222"/>
        <v/>
      </c>
      <c r="BZ401" s="458" t="str">
        <f t="shared" si="223"/>
        <v/>
      </c>
      <c r="CA401" s="40" t="str">
        <f t="shared" si="224"/>
        <v/>
      </c>
      <c r="CB401" s="40" t="str">
        <f t="shared" si="225"/>
        <v/>
      </c>
      <c r="CC401" s="39" t="str">
        <f t="shared" si="226"/>
        <v/>
      </c>
      <c r="CD401" s="458" t="str">
        <f t="shared" si="227"/>
        <v/>
      </c>
      <c r="CE401" s="41" t="str">
        <f t="shared" si="228"/>
        <v/>
      </c>
      <c r="CF401" s="39" t="str">
        <f t="shared" si="229"/>
        <v/>
      </c>
      <c r="CG401" s="458" t="str">
        <f t="shared" si="230"/>
        <v/>
      </c>
      <c r="CH401" s="458" t="str">
        <f t="shared" si="231"/>
        <v/>
      </c>
      <c r="CI401" s="458" t="str">
        <f t="shared" si="232"/>
        <v/>
      </c>
      <c r="CJ401" s="458" t="str">
        <f t="shared" si="233"/>
        <v/>
      </c>
      <c r="CK401" s="40" t="str">
        <f t="shared" si="234"/>
        <v/>
      </c>
      <c r="CL401" s="40" t="str">
        <f t="shared" si="235"/>
        <v/>
      </c>
      <c r="CM401" s="40" t="str">
        <f t="shared" si="236"/>
        <v/>
      </c>
      <c r="CN401" s="39" t="str">
        <f t="shared" si="237"/>
        <v/>
      </c>
      <c r="CO401" s="458" t="str">
        <f t="shared" si="238"/>
        <v/>
      </c>
      <c r="CP401" s="458" t="str">
        <f t="shared" si="239"/>
        <v/>
      </c>
      <c r="CQ401" s="458" t="str">
        <f t="shared" si="240"/>
        <v/>
      </c>
      <c r="CR401" s="458" t="str">
        <f t="shared" si="241"/>
        <v/>
      </c>
      <c r="CS401" s="40" t="str">
        <f t="shared" si="242"/>
        <v/>
      </c>
      <c r="CT401" s="40" t="str">
        <f t="shared" si="243"/>
        <v/>
      </c>
      <c r="CU401" s="41" t="str">
        <f t="shared" si="244"/>
        <v/>
      </c>
    </row>
    <row r="402" spans="1:99" x14ac:dyDescent="0.2">
      <c r="A402" s="77">
        <f t="shared" si="245"/>
        <v>397</v>
      </c>
      <c r="B402" s="81"/>
      <c r="C402" s="82"/>
      <c r="D402" s="71"/>
      <c r="E402" s="72"/>
      <c r="F402" s="73"/>
      <c r="G402" s="443"/>
      <c r="H402" s="443"/>
      <c r="I402" s="74"/>
      <c r="J402" s="75"/>
      <c r="K402" s="41">
        <f t="shared" si="214"/>
        <v>3625</v>
      </c>
      <c r="L402" s="104"/>
      <c r="M402" s="105"/>
      <c r="N402" s="106">
        <f t="shared" si="215"/>
        <v>537.05999999999995</v>
      </c>
      <c r="O402" s="104"/>
      <c r="P402" s="105"/>
      <c r="Q402" s="106">
        <f t="shared" si="247"/>
        <v>10045.83</v>
      </c>
      <c r="R402" s="104"/>
      <c r="S402" s="105"/>
      <c r="T402" s="106">
        <f t="shared" si="248"/>
        <v>0</v>
      </c>
      <c r="U402" s="439"/>
      <c r="V402" s="42">
        <f t="shared" si="216"/>
        <v>397</v>
      </c>
      <c r="W402" s="39" t="str">
        <f>IF(AND(E402='Povolené hodnoty'!$B$4,F402=2),I402+L402+O402+R402,"")</f>
        <v/>
      </c>
      <c r="X402" s="41" t="str">
        <f>IF(AND(E402='Povolené hodnoty'!$B$4,F402=1),I402+L402+O402+R402,"")</f>
        <v/>
      </c>
      <c r="Y402" s="39" t="str">
        <f>IF(AND(E402='Povolené hodnoty'!$B$4,F402=10),J402+M402+P402+S402,"")</f>
        <v/>
      </c>
      <c r="Z402" s="41" t="str">
        <f>IF(AND(E402='Povolené hodnoty'!$B$4,F402=9),J402+M402+P402+S402,"")</f>
        <v/>
      </c>
      <c r="AA402" s="39" t="str">
        <f>IF(AND(E402&lt;&gt;'Povolené hodnoty'!$B$4,F402=2),I402+L402+O402+R402,"")</f>
        <v/>
      </c>
      <c r="AB402" s="40" t="str">
        <f>IF(AND(E402&lt;&gt;'Povolené hodnoty'!$B$4,F402=3),I402+L402+O402+R402,"")</f>
        <v/>
      </c>
      <c r="AC402" s="40" t="str">
        <f>IF(AND(E402&lt;&gt;'Povolené hodnoty'!$B$4,F402=4),I402+L402+O402+R402,"")</f>
        <v/>
      </c>
      <c r="AD402" s="40" t="str">
        <f>IF(AND(E402&lt;&gt;'Povolené hodnoty'!$B$4,F402="5a"),I402-J402+L402-M402+O402-P402+R402-S402,"")</f>
        <v/>
      </c>
      <c r="AE402" s="40" t="str">
        <f>IF(AND(E402&lt;&gt;'Povolené hodnoty'!$B$4,F402="5b"),I402-J402+L402-M402+O402-P402+R402-S402,"")</f>
        <v/>
      </c>
      <c r="AF402" s="40" t="str">
        <f>IF(AND(E402&lt;&gt;'Povolené hodnoty'!$B$4,F402=6),I402+L402+O402+R402,"")</f>
        <v/>
      </c>
      <c r="AG402" s="41" t="str">
        <f>IF(AND(E402&lt;&gt;'Povolené hodnoty'!$B$4,F402=7),I402+L402+O402+R402,"")</f>
        <v/>
      </c>
      <c r="AH402" s="39" t="str">
        <f>IF(AND(E402&lt;&gt;'Povolené hodnoty'!$B$4,F402=10),J402+M402+P402+S402,"")</f>
        <v/>
      </c>
      <c r="AI402" s="40" t="str">
        <f>IF(AND(E402&lt;&gt;'Povolené hodnoty'!$B$4,F402=11),J402+M402+P402+S402,"")</f>
        <v/>
      </c>
      <c r="AJ402" s="40" t="str">
        <f>IF(AND(E402&lt;&gt;'Povolené hodnoty'!$B$4,F402=12),J402+M402+P402+S402,"")</f>
        <v/>
      </c>
      <c r="AK402" s="41" t="str">
        <f>IF(AND(E402&lt;&gt;'Povolené hodnoty'!$B$4,F402=13),J402+M402+P402+S402,"")</f>
        <v/>
      </c>
      <c r="AL402" s="39" t="str">
        <f>IF(AND($G402='Povolené hodnoty'!$B$13,$H402=AL$4),SUM($I402,$L402,$O402,$R402),"")</f>
        <v/>
      </c>
      <c r="AM402" s="458" t="str">
        <f>IF(AND($G402='Povolené hodnoty'!$B$13,$H402=AM$4),SUM($I402,$L402,$O402,$R402),"")</f>
        <v/>
      </c>
      <c r="AN402" s="458" t="str">
        <f>IF(AND($G402='Povolené hodnoty'!$B$13,$H402=AN$4),SUM($I402,$L402,$O402,$R402),"")</f>
        <v/>
      </c>
      <c r="AO402" s="458" t="str">
        <f>IF(AND($G402='Povolené hodnoty'!$B$13,$H402=AO$4),SUM($I402,$L402,$O402,$R402),"")</f>
        <v/>
      </c>
      <c r="AP402" s="458" t="str">
        <f>IF(AND($G402='Povolené hodnoty'!$B$13,$H402=AP$4),SUM($I402,$L402,$O402,$R402),"")</f>
        <v/>
      </c>
      <c r="AQ402" s="40" t="str">
        <f>IF(AND($G402='Povolené hodnoty'!$B$13,OR($H402=AQ$4,$H402='Povolené hodnoty'!$E$36)),SUM($I402,-$J402,$L402,-$M402,$O402,-$P402,$R402,-$S402),"")</f>
        <v/>
      </c>
      <c r="AR402" s="40" t="str">
        <f>IF(AND($G402='Povolené hodnoty'!$B$13,$H402=AR$4),SUM($I402,$L402,$O402,$R402),"")</f>
        <v/>
      </c>
      <c r="AS402" s="41" t="str">
        <f>IF(AND($G402='Povolené hodnoty'!$B$13,$H402=AS$4),SUM($I402,$L402,$O402,$R402),"")</f>
        <v/>
      </c>
      <c r="AT402" s="39" t="str">
        <f>IF(AND($G402='Povolené hodnoty'!$B$14,$H402=AT$4),SUM($I402,$L402,$O402,$R402),"")</f>
        <v/>
      </c>
      <c r="AU402" s="458" t="str">
        <f>IF(AND($G402='Povolené hodnoty'!$B$14,$H402=AU$4),SUM($I402,$L402,$O402,$R402),"")</f>
        <v/>
      </c>
      <c r="AV402" s="41" t="str">
        <f>IF(AND($G402='Povolené hodnoty'!$B$14,$H402=AV$4),SUM($I402,$L402,$O402,$R402),"")</f>
        <v/>
      </c>
      <c r="AW402" s="39" t="str">
        <f>IF(AND($G402='Povolené hodnoty'!$B$13,$H402=AW$4),SUM($J402,$M402,$P402,$S402),"")</f>
        <v/>
      </c>
      <c r="AX402" s="458" t="str">
        <f>IF(AND($G402='Povolené hodnoty'!$B$13,$H402=AX$4),SUM($J402,$M402,$P402,$S402),"")</f>
        <v/>
      </c>
      <c r="AY402" s="458" t="str">
        <f>IF(AND($G402='Povolené hodnoty'!$B$13,$H402=AY$4),SUM($J402,$M402,$P402,$S402),"")</f>
        <v/>
      </c>
      <c r="AZ402" s="458" t="str">
        <f>IF(AND($G402='Povolené hodnoty'!$B$13,$H402=AZ$4),SUM($J402,$M402,$P402,$S402),"")</f>
        <v/>
      </c>
      <c r="BA402" s="458" t="str">
        <f>IF(AND($G402='Povolené hodnoty'!$B$13,$H402=BA$4),SUM($J402,$M402,$P402,$S402),"")</f>
        <v/>
      </c>
      <c r="BB402" s="40" t="str">
        <f>IF(AND($G402='Povolené hodnoty'!$B$13,$H402=BB$4),SUM($J402,$M402,$P402,$S402),"")</f>
        <v/>
      </c>
      <c r="BC402" s="40" t="str">
        <f>IF(AND($G402='Povolené hodnoty'!$B$13,$H402=BC$4),SUM($J402,$M402,$P402,$S402),"")</f>
        <v/>
      </c>
      <c r="BD402" s="40" t="str">
        <f>IF(AND($G402='Povolené hodnoty'!$B$13,$H402=BD$4),SUM($J402,$M402,$P402,$S402),"")</f>
        <v/>
      </c>
      <c r="BE402" s="41" t="str">
        <f>IF(AND($G402='Povolené hodnoty'!$B$13,$H402=BE$4),SUM($J402,$M402,$P402,$S402),"")</f>
        <v/>
      </c>
      <c r="BF402" s="39" t="str">
        <f>IF(AND($G402='Povolené hodnoty'!$B$14,$H402=BF$4),SUM($J402,$M402,$P402,$S402),"")</f>
        <v/>
      </c>
      <c r="BG402" s="458" t="str">
        <f>IF(AND($G402='Povolené hodnoty'!$B$14,$H402=BG$4),SUM($J402,$M402,$P402,$S402),"")</f>
        <v/>
      </c>
      <c r="BH402" s="458" t="str">
        <f>IF(AND($G402='Povolené hodnoty'!$B$14,$H402=BH$4),SUM($J402,$M402,$P402,$S402),"")</f>
        <v/>
      </c>
      <c r="BI402" s="458" t="str">
        <f>IF(AND($G402='Povolené hodnoty'!$B$14,$H402=BI$4),SUM($J402,$M402,$P402,$S402),"")</f>
        <v/>
      </c>
      <c r="BJ402" s="458" t="str">
        <f>IF(AND($G402='Povolené hodnoty'!$B$14,$H402=BJ$4),SUM($J402,$M402,$P402,$S402),"")</f>
        <v/>
      </c>
      <c r="BK402" s="40" t="str">
        <f>IF(AND($G402='Povolené hodnoty'!$B$14,$H402=BK$4),SUM($J402,$M402,$P402,$S402),"")</f>
        <v/>
      </c>
      <c r="BL402" s="40" t="str">
        <f>IF(AND($G402='Povolené hodnoty'!$B$14,$H402=BL$4),SUM($J402,$M402,$P402,$S402),"")</f>
        <v/>
      </c>
      <c r="BM402" s="41" t="str">
        <f>IF(AND($G402='Povolené hodnoty'!$B$14,$H402=BM$4),SUM($J402,$M402,$P402,$S402),"")</f>
        <v/>
      </c>
      <c r="BO402" s="18" t="b">
        <f t="shared" si="246"/>
        <v>0</v>
      </c>
      <c r="BP402" s="18" t="b">
        <f t="shared" si="217"/>
        <v>0</v>
      </c>
      <c r="BQ402" s="18" t="b">
        <f>AND(E402&lt;&gt;'Povolené hodnoty'!$B$6,F402&lt;&gt;'Povolené hodnoty'!$D$7,F402&lt;&gt;'Povolené hodnoty'!$D$8,OR(SUM(I402,L402,O402,R402)&lt;&gt;SUM(W402:X402,AA402:AG402),SUM(J402,M402,P402,S402)&lt;&gt;SUM(Y402:Z402,AH402:AK402),COUNT(I402:J402,L402:M402,O402:P402,R402:S402)&lt;&gt;COUNT(W402:AK402)))</f>
        <v>0</v>
      </c>
      <c r="BR402" s="18" t="b">
        <f>OR(AND(E402='Povolené hodnoty'!$B$6,$BR$5),AND(E402='Povolené hodnoty'!$B$6,H402&lt;&gt;'Povolené hodnoty'!$E$26,H402&lt;&gt;'Povolené hodnoty'!$E$35),AND(E402&lt;&gt;'Povolené hodnoty'!$B$6,OR(H402='Povolené hodnoty'!$E$26,H402='Povolené hodnoty'!$E$35)))</f>
        <v>0</v>
      </c>
      <c r="BS402" s="18" t="b">
        <f>OR(AND(G402&lt;&gt;'Povolené hodnoty'!$B$13,OR(H402='Povolené hodnoty'!$E$21,H402='Povolené hodnoty'!$E$22,H402='Povolené hodnoty'!$E$23,H402='Povolené hodnoty'!$E$24,H402='Povolené hodnoty'!$E$26,H402='Povolené hodnoty'!$E$36)),COUNT(I402:J402,L402:M402,O402:P402,R402:S402)&lt;&gt;COUNT(AL402:BM402))</f>
        <v>0</v>
      </c>
      <c r="BT402" s="18" t="b">
        <f t="shared" si="218"/>
        <v>0</v>
      </c>
      <c r="BV402" s="39" t="str">
        <f t="shared" si="219"/>
        <v/>
      </c>
      <c r="BW402" s="458" t="str">
        <f t="shared" si="220"/>
        <v/>
      </c>
      <c r="BX402" s="458" t="str">
        <f t="shared" si="221"/>
        <v/>
      </c>
      <c r="BY402" s="458" t="str">
        <f t="shared" si="222"/>
        <v/>
      </c>
      <c r="BZ402" s="458" t="str">
        <f t="shared" si="223"/>
        <v/>
      </c>
      <c r="CA402" s="40" t="str">
        <f t="shared" si="224"/>
        <v/>
      </c>
      <c r="CB402" s="40" t="str">
        <f t="shared" si="225"/>
        <v/>
      </c>
      <c r="CC402" s="39" t="str">
        <f t="shared" si="226"/>
        <v/>
      </c>
      <c r="CD402" s="458" t="str">
        <f t="shared" si="227"/>
        <v/>
      </c>
      <c r="CE402" s="41" t="str">
        <f t="shared" si="228"/>
        <v/>
      </c>
      <c r="CF402" s="39" t="str">
        <f t="shared" si="229"/>
        <v/>
      </c>
      <c r="CG402" s="458" t="str">
        <f t="shared" si="230"/>
        <v/>
      </c>
      <c r="CH402" s="458" t="str">
        <f t="shared" si="231"/>
        <v/>
      </c>
      <c r="CI402" s="458" t="str">
        <f t="shared" si="232"/>
        <v/>
      </c>
      <c r="CJ402" s="458" t="str">
        <f t="shared" si="233"/>
        <v/>
      </c>
      <c r="CK402" s="40" t="str">
        <f t="shared" si="234"/>
        <v/>
      </c>
      <c r="CL402" s="40" t="str">
        <f t="shared" si="235"/>
        <v/>
      </c>
      <c r="CM402" s="40" t="str">
        <f t="shared" si="236"/>
        <v/>
      </c>
      <c r="CN402" s="39" t="str">
        <f t="shared" si="237"/>
        <v/>
      </c>
      <c r="CO402" s="458" t="str">
        <f t="shared" si="238"/>
        <v/>
      </c>
      <c r="CP402" s="458" t="str">
        <f t="shared" si="239"/>
        <v/>
      </c>
      <c r="CQ402" s="458" t="str">
        <f t="shared" si="240"/>
        <v/>
      </c>
      <c r="CR402" s="458" t="str">
        <f t="shared" si="241"/>
        <v/>
      </c>
      <c r="CS402" s="40" t="str">
        <f t="shared" si="242"/>
        <v/>
      </c>
      <c r="CT402" s="40" t="str">
        <f t="shared" si="243"/>
        <v/>
      </c>
      <c r="CU402" s="41" t="str">
        <f t="shared" si="244"/>
        <v/>
      </c>
    </row>
    <row r="403" spans="1:99" x14ac:dyDescent="0.2">
      <c r="A403" s="77">
        <f t="shared" si="245"/>
        <v>398</v>
      </c>
      <c r="B403" s="81"/>
      <c r="C403" s="82"/>
      <c r="D403" s="71"/>
      <c r="E403" s="72"/>
      <c r="F403" s="73"/>
      <c r="G403" s="443"/>
      <c r="H403" s="443"/>
      <c r="I403" s="74"/>
      <c r="J403" s="75"/>
      <c r="K403" s="41">
        <f t="shared" si="214"/>
        <v>3625</v>
      </c>
      <c r="L403" s="104"/>
      <c r="M403" s="105"/>
      <c r="N403" s="106">
        <f t="shared" si="215"/>
        <v>537.05999999999995</v>
      </c>
      <c r="O403" s="104"/>
      <c r="P403" s="105"/>
      <c r="Q403" s="106">
        <f t="shared" si="247"/>
        <v>10045.83</v>
      </c>
      <c r="R403" s="104"/>
      <c r="S403" s="105"/>
      <c r="T403" s="106">
        <f t="shared" si="248"/>
        <v>0</v>
      </c>
      <c r="U403" s="439"/>
      <c r="V403" s="42">
        <f t="shared" si="216"/>
        <v>398</v>
      </c>
      <c r="W403" s="39" t="str">
        <f>IF(AND(E403='Povolené hodnoty'!$B$4,F403=2),I403+L403+O403+R403,"")</f>
        <v/>
      </c>
      <c r="X403" s="41" t="str">
        <f>IF(AND(E403='Povolené hodnoty'!$B$4,F403=1),I403+L403+O403+R403,"")</f>
        <v/>
      </c>
      <c r="Y403" s="39" t="str">
        <f>IF(AND(E403='Povolené hodnoty'!$B$4,F403=10),J403+M403+P403+S403,"")</f>
        <v/>
      </c>
      <c r="Z403" s="41" t="str">
        <f>IF(AND(E403='Povolené hodnoty'!$B$4,F403=9),J403+M403+P403+S403,"")</f>
        <v/>
      </c>
      <c r="AA403" s="39" t="str">
        <f>IF(AND(E403&lt;&gt;'Povolené hodnoty'!$B$4,F403=2),I403+L403+O403+R403,"")</f>
        <v/>
      </c>
      <c r="AB403" s="40" t="str">
        <f>IF(AND(E403&lt;&gt;'Povolené hodnoty'!$B$4,F403=3),I403+L403+O403+R403,"")</f>
        <v/>
      </c>
      <c r="AC403" s="40" t="str">
        <f>IF(AND(E403&lt;&gt;'Povolené hodnoty'!$B$4,F403=4),I403+L403+O403+R403,"")</f>
        <v/>
      </c>
      <c r="AD403" s="40" t="str">
        <f>IF(AND(E403&lt;&gt;'Povolené hodnoty'!$B$4,F403="5a"),I403-J403+L403-M403+O403-P403+R403-S403,"")</f>
        <v/>
      </c>
      <c r="AE403" s="40" t="str">
        <f>IF(AND(E403&lt;&gt;'Povolené hodnoty'!$B$4,F403="5b"),I403-J403+L403-M403+O403-P403+R403-S403,"")</f>
        <v/>
      </c>
      <c r="AF403" s="40" t="str">
        <f>IF(AND(E403&lt;&gt;'Povolené hodnoty'!$B$4,F403=6),I403+L403+O403+R403,"")</f>
        <v/>
      </c>
      <c r="AG403" s="41" t="str">
        <f>IF(AND(E403&lt;&gt;'Povolené hodnoty'!$B$4,F403=7),I403+L403+O403+R403,"")</f>
        <v/>
      </c>
      <c r="AH403" s="39" t="str">
        <f>IF(AND(E403&lt;&gt;'Povolené hodnoty'!$B$4,F403=10),J403+M403+P403+S403,"")</f>
        <v/>
      </c>
      <c r="AI403" s="40" t="str">
        <f>IF(AND(E403&lt;&gt;'Povolené hodnoty'!$B$4,F403=11),J403+M403+P403+S403,"")</f>
        <v/>
      </c>
      <c r="AJ403" s="40" t="str">
        <f>IF(AND(E403&lt;&gt;'Povolené hodnoty'!$B$4,F403=12),J403+M403+P403+S403,"")</f>
        <v/>
      </c>
      <c r="AK403" s="41" t="str">
        <f>IF(AND(E403&lt;&gt;'Povolené hodnoty'!$B$4,F403=13),J403+M403+P403+S403,"")</f>
        <v/>
      </c>
      <c r="AL403" s="39" t="str">
        <f>IF(AND($G403='Povolené hodnoty'!$B$13,$H403=AL$4),SUM($I403,$L403,$O403,$R403),"")</f>
        <v/>
      </c>
      <c r="AM403" s="458" t="str">
        <f>IF(AND($G403='Povolené hodnoty'!$B$13,$H403=AM$4),SUM($I403,$L403,$O403,$R403),"")</f>
        <v/>
      </c>
      <c r="AN403" s="458" t="str">
        <f>IF(AND($G403='Povolené hodnoty'!$B$13,$H403=AN$4),SUM($I403,$L403,$O403,$R403),"")</f>
        <v/>
      </c>
      <c r="AO403" s="458" t="str">
        <f>IF(AND($G403='Povolené hodnoty'!$B$13,$H403=AO$4),SUM($I403,$L403,$O403,$R403),"")</f>
        <v/>
      </c>
      <c r="AP403" s="458" t="str">
        <f>IF(AND($G403='Povolené hodnoty'!$B$13,$H403=AP$4),SUM($I403,$L403,$O403,$R403),"")</f>
        <v/>
      </c>
      <c r="AQ403" s="40" t="str">
        <f>IF(AND($G403='Povolené hodnoty'!$B$13,OR($H403=AQ$4,$H403='Povolené hodnoty'!$E$36)),SUM($I403,-$J403,$L403,-$M403,$O403,-$P403,$R403,-$S403),"")</f>
        <v/>
      </c>
      <c r="AR403" s="40" t="str">
        <f>IF(AND($G403='Povolené hodnoty'!$B$13,$H403=AR$4),SUM($I403,$L403,$O403,$R403),"")</f>
        <v/>
      </c>
      <c r="AS403" s="41" t="str">
        <f>IF(AND($G403='Povolené hodnoty'!$B$13,$H403=AS$4),SUM($I403,$L403,$O403,$R403),"")</f>
        <v/>
      </c>
      <c r="AT403" s="39" t="str">
        <f>IF(AND($G403='Povolené hodnoty'!$B$14,$H403=AT$4),SUM($I403,$L403,$O403,$R403),"")</f>
        <v/>
      </c>
      <c r="AU403" s="458" t="str">
        <f>IF(AND($G403='Povolené hodnoty'!$B$14,$H403=AU$4),SUM($I403,$L403,$O403,$R403),"")</f>
        <v/>
      </c>
      <c r="AV403" s="41" t="str">
        <f>IF(AND($G403='Povolené hodnoty'!$B$14,$H403=AV$4),SUM($I403,$L403,$O403,$R403),"")</f>
        <v/>
      </c>
      <c r="AW403" s="39" t="str">
        <f>IF(AND($G403='Povolené hodnoty'!$B$13,$H403=AW$4),SUM($J403,$M403,$P403,$S403),"")</f>
        <v/>
      </c>
      <c r="AX403" s="458" t="str">
        <f>IF(AND($G403='Povolené hodnoty'!$B$13,$H403=AX$4),SUM($J403,$M403,$P403,$S403),"")</f>
        <v/>
      </c>
      <c r="AY403" s="458" t="str">
        <f>IF(AND($G403='Povolené hodnoty'!$B$13,$H403=AY$4),SUM($J403,$M403,$P403,$S403),"")</f>
        <v/>
      </c>
      <c r="AZ403" s="458" t="str">
        <f>IF(AND($G403='Povolené hodnoty'!$B$13,$H403=AZ$4),SUM($J403,$M403,$P403,$S403),"")</f>
        <v/>
      </c>
      <c r="BA403" s="458" t="str">
        <f>IF(AND($G403='Povolené hodnoty'!$B$13,$H403=BA$4),SUM($J403,$M403,$P403,$S403),"")</f>
        <v/>
      </c>
      <c r="BB403" s="40" t="str">
        <f>IF(AND($G403='Povolené hodnoty'!$B$13,$H403=BB$4),SUM($J403,$M403,$P403,$S403),"")</f>
        <v/>
      </c>
      <c r="BC403" s="40" t="str">
        <f>IF(AND($G403='Povolené hodnoty'!$B$13,$H403=BC$4),SUM($J403,$M403,$P403,$S403),"")</f>
        <v/>
      </c>
      <c r="BD403" s="40" t="str">
        <f>IF(AND($G403='Povolené hodnoty'!$B$13,$H403=BD$4),SUM($J403,$M403,$P403,$S403),"")</f>
        <v/>
      </c>
      <c r="BE403" s="41" t="str">
        <f>IF(AND($G403='Povolené hodnoty'!$B$13,$H403=BE$4),SUM($J403,$M403,$P403,$S403),"")</f>
        <v/>
      </c>
      <c r="BF403" s="39" t="str">
        <f>IF(AND($G403='Povolené hodnoty'!$B$14,$H403=BF$4),SUM($J403,$M403,$P403,$S403),"")</f>
        <v/>
      </c>
      <c r="BG403" s="458" t="str">
        <f>IF(AND($G403='Povolené hodnoty'!$B$14,$H403=BG$4),SUM($J403,$M403,$P403,$S403),"")</f>
        <v/>
      </c>
      <c r="BH403" s="458" t="str">
        <f>IF(AND($G403='Povolené hodnoty'!$B$14,$H403=BH$4),SUM($J403,$M403,$P403,$S403),"")</f>
        <v/>
      </c>
      <c r="BI403" s="458" t="str">
        <f>IF(AND($G403='Povolené hodnoty'!$B$14,$H403=BI$4),SUM($J403,$M403,$P403,$S403),"")</f>
        <v/>
      </c>
      <c r="BJ403" s="458" t="str">
        <f>IF(AND($G403='Povolené hodnoty'!$B$14,$H403=BJ$4),SUM($J403,$M403,$P403,$S403),"")</f>
        <v/>
      </c>
      <c r="BK403" s="40" t="str">
        <f>IF(AND($G403='Povolené hodnoty'!$B$14,$H403=BK$4),SUM($J403,$M403,$P403,$S403),"")</f>
        <v/>
      </c>
      <c r="BL403" s="40" t="str">
        <f>IF(AND($G403='Povolené hodnoty'!$B$14,$H403=BL$4),SUM($J403,$M403,$P403,$S403),"")</f>
        <v/>
      </c>
      <c r="BM403" s="41" t="str">
        <f>IF(AND($G403='Povolené hodnoty'!$B$14,$H403=BM$4),SUM($J403,$M403,$P403,$S403),"")</f>
        <v/>
      </c>
      <c r="BO403" s="18" t="b">
        <f t="shared" si="246"/>
        <v>0</v>
      </c>
      <c r="BP403" s="18" t="b">
        <f t="shared" si="217"/>
        <v>0</v>
      </c>
      <c r="BQ403" s="18" t="b">
        <f>AND(E403&lt;&gt;'Povolené hodnoty'!$B$6,F403&lt;&gt;'Povolené hodnoty'!$D$7,F403&lt;&gt;'Povolené hodnoty'!$D$8,OR(SUM(I403,L403,O403,R403)&lt;&gt;SUM(W403:X403,AA403:AG403),SUM(J403,M403,P403,S403)&lt;&gt;SUM(Y403:Z403,AH403:AK403),COUNT(I403:J403,L403:M403,O403:P403,R403:S403)&lt;&gt;COUNT(W403:AK403)))</f>
        <v>0</v>
      </c>
      <c r="BR403" s="18" t="b">
        <f>OR(AND(E403='Povolené hodnoty'!$B$6,$BR$5),AND(E403='Povolené hodnoty'!$B$6,H403&lt;&gt;'Povolené hodnoty'!$E$26,H403&lt;&gt;'Povolené hodnoty'!$E$35),AND(E403&lt;&gt;'Povolené hodnoty'!$B$6,OR(H403='Povolené hodnoty'!$E$26,H403='Povolené hodnoty'!$E$35)))</f>
        <v>0</v>
      </c>
      <c r="BS403" s="18" t="b">
        <f>OR(AND(G403&lt;&gt;'Povolené hodnoty'!$B$13,OR(H403='Povolené hodnoty'!$E$21,H403='Povolené hodnoty'!$E$22,H403='Povolené hodnoty'!$E$23,H403='Povolené hodnoty'!$E$24,H403='Povolené hodnoty'!$E$26,H403='Povolené hodnoty'!$E$36)),COUNT(I403:J403,L403:M403,O403:P403,R403:S403)&lt;&gt;COUNT(AL403:BM403))</f>
        <v>0</v>
      </c>
      <c r="BT403" s="18" t="b">
        <f t="shared" si="218"/>
        <v>0</v>
      </c>
      <c r="BV403" s="39" t="str">
        <f t="shared" si="219"/>
        <v/>
      </c>
      <c r="BW403" s="458" t="str">
        <f t="shared" si="220"/>
        <v/>
      </c>
      <c r="BX403" s="458" t="str">
        <f t="shared" si="221"/>
        <v/>
      </c>
      <c r="BY403" s="458" t="str">
        <f t="shared" si="222"/>
        <v/>
      </c>
      <c r="BZ403" s="458" t="str">
        <f t="shared" si="223"/>
        <v/>
      </c>
      <c r="CA403" s="40" t="str">
        <f t="shared" si="224"/>
        <v/>
      </c>
      <c r="CB403" s="40" t="str">
        <f t="shared" si="225"/>
        <v/>
      </c>
      <c r="CC403" s="39" t="str">
        <f t="shared" si="226"/>
        <v/>
      </c>
      <c r="CD403" s="458" t="str">
        <f t="shared" si="227"/>
        <v/>
      </c>
      <c r="CE403" s="41" t="str">
        <f t="shared" si="228"/>
        <v/>
      </c>
      <c r="CF403" s="39" t="str">
        <f t="shared" si="229"/>
        <v/>
      </c>
      <c r="CG403" s="458" t="str">
        <f t="shared" si="230"/>
        <v/>
      </c>
      <c r="CH403" s="458" t="str">
        <f t="shared" si="231"/>
        <v/>
      </c>
      <c r="CI403" s="458" t="str">
        <f t="shared" si="232"/>
        <v/>
      </c>
      <c r="CJ403" s="458" t="str">
        <f t="shared" si="233"/>
        <v/>
      </c>
      <c r="CK403" s="40" t="str">
        <f t="shared" si="234"/>
        <v/>
      </c>
      <c r="CL403" s="40" t="str">
        <f t="shared" si="235"/>
        <v/>
      </c>
      <c r="CM403" s="40" t="str">
        <f t="shared" si="236"/>
        <v/>
      </c>
      <c r="CN403" s="39" t="str">
        <f t="shared" si="237"/>
        <v/>
      </c>
      <c r="CO403" s="458" t="str">
        <f t="shared" si="238"/>
        <v/>
      </c>
      <c r="CP403" s="458" t="str">
        <f t="shared" si="239"/>
        <v/>
      </c>
      <c r="CQ403" s="458" t="str">
        <f t="shared" si="240"/>
        <v/>
      </c>
      <c r="CR403" s="458" t="str">
        <f t="shared" si="241"/>
        <v/>
      </c>
      <c r="CS403" s="40" t="str">
        <f t="shared" si="242"/>
        <v/>
      </c>
      <c r="CT403" s="40" t="str">
        <f t="shared" si="243"/>
        <v/>
      </c>
      <c r="CU403" s="41" t="str">
        <f t="shared" si="244"/>
        <v/>
      </c>
    </row>
    <row r="404" spans="1:99" x14ac:dyDescent="0.2">
      <c r="A404" s="77">
        <f t="shared" si="245"/>
        <v>399</v>
      </c>
      <c r="B404" s="81"/>
      <c r="C404" s="82"/>
      <c r="D404" s="71"/>
      <c r="E404" s="72"/>
      <c r="F404" s="73"/>
      <c r="G404" s="443"/>
      <c r="H404" s="443"/>
      <c r="I404" s="74"/>
      <c r="J404" s="75"/>
      <c r="K404" s="41">
        <f t="shared" si="214"/>
        <v>3625</v>
      </c>
      <c r="L404" s="104"/>
      <c r="M404" s="105"/>
      <c r="N404" s="106">
        <f t="shared" si="215"/>
        <v>537.05999999999995</v>
      </c>
      <c r="O404" s="104"/>
      <c r="P404" s="105"/>
      <c r="Q404" s="106">
        <f t="shared" si="247"/>
        <v>10045.83</v>
      </c>
      <c r="R404" s="104"/>
      <c r="S404" s="105"/>
      <c r="T404" s="106">
        <f t="shared" si="248"/>
        <v>0</v>
      </c>
      <c r="U404" s="439"/>
      <c r="V404" s="42">
        <f t="shared" si="216"/>
        <v>399</v>
      </c>
      <c r="W404" s="39" t="str">
        <f>IF(AND(E404='Povolené hodnoty'!$B$4,F404=2),I404+L404+O404+R404,"")</f>
        <v/>
      </c>
      <c r="X404" s="41" t="str">
        <f>IF(AND(E404='Povolené hodnoty'!$B$4,F404=1),I404+L404+O404+R404,"")</f>
        <v/>
      </c>
      <c r="Y404" s="39" t="str">
        <f>IF(AND(E404='Povolené hodnoty'!$B$4,F404=10),J404+M404+P404+S404,"")</f>
        <v/>
      </c>
      <c r="Z404" s="41" t="str">
        <f>IF(AND(E404='Povolené hodnoty'!$B$4,F404=9),J404+M404+P404+S404,"")</f>
        <v/>
      </c>
      <c r="AA404" s="39" t="str">
        <f>IF(AND(E404&lt;&gt;'Povolené hodnoty'!$B$4,F404=2),I404+L404+O404+R404,"")</f>
        <v/>
      </c>
      <c r="AB404" s="40" t="str">
        <f>IF(AND(E404&lt;&gt;'Povolené hodnoty'!$B$4,F404=3),I404+L404+O404+R404,"")</f>
        <v/>
      </c>
      <c r="AC404" s="40" t="str">
        <f>IF(AND(E404&lt;&gt;'Povolené hodnoty'!$B$4,F404=4),I404+L404+O404+R404,"")</f>
        <v/>
      </c>
      <c r="AD404" s="40" t="str">
        <f>IF(AND(E404&lt;&gt;'Povolené hodnoty'!$B$4,F404="5a"),I404-J404+L404-M404+O404-P404+R404-S404,"")</f>
        <v/>
      </c>
      <c r="AE404" s="40" t="str">
        <f>IF(AND(E404&lt;&gt;'Povolené hodnoty'!$B$4,F404="5b"),I404-J404+L404-M404+O404-P404+R404-S404,"")</f>
        <v/>
      </c>
      <c r="AF404" s="40" t="str">
        <f>IF(AND(E404&lt;&gt;'Povolené hodnoty'!$B$4,F404=6),I404+L404+O404+R404,"")</f>
        <v/>
      </c>
      <c r="AG404" s="41" t="str">
        <f>IF(AND(E404&lt;&gt;'Povolené hodnoty'!$B$4,F404=7),I404+L404+O404+R404,"")</f>
        <v/>
      </c>
      <c r="AH404" s="39" t="str">
        <f>IF(AND(E404&lt;&gt;'Povolené hodnoty'!$B$4,F404=10),J404+M404+P404+S404,"")</f>
        <v/>
      </c>
      <c r="AI404" s="40" t="str">
        <f>IF(AND(E404&lt;&gt;'Povolené hodnoty'!$B$4,F404=11),J404+M404+P404+S404,"")</f>
        <v/>
      </c>
      <c r="AJ404" s="40" t="str">
        <f>IF(AND(E404&lt;&gt;'Povolené hodnoty'!$B$4,F404=12),J404+M404+P404+S404,"")</f>
        <v/>
      </c>
      <c r="AK404" s="41" t="str">
        <f>IF(AND(E404&lt;&gt;'Povolené hodnoty'!$B$4,F404=13),J404+M404+P404+S404,"")</f>
        <v/>
      </c>
      <c r="AL404" s="39" t="str">
        <f>IF(AND($G404='Povolené hodnoty'!$B$13,$H404=AL$4),SUM($I404,$L404,$O404,$R404),"")</f>
        <v/>
      </c>
      <c r="AM404" s="458" t="str">
        <f>IF(AND($G404='Povolené hodnoty'!$B$13,$H404=AM$4),SUM($I404,$L404,$O404,$R404),"")</f>
        <v/>
      </c>
      <c r="AN404" s="458" t="str">
        <f>IF(AND($G404='Povolené hodnoty'!$B$13,$H404=AN$4),SUM($I404,$L404,$O404,$R404),"")</f>
        <v/>
      </c>
      <c r="AO404" s="458" t="str">
        <f>IF(AND($G404='Povolené hodnoty'!$B$13,$H404=AO$4),SUM($I404,$L404,$O404,$R404),"")</f>
        <v/>
      </c>
      <c r="AP404" s="458" t="str">
        <f>IF(AND($G404='Povolené hodnoty'!$B$13,$H404=AP$4),SUM($I404,$L404,$O404,$R404),"")</f>
        <v/>
      </c>
      <c r="AQ404" s="40" t="str">
        <f>IF(AND($G404='Povolené hodnoty'!$B$13,OR($H404=AQ$4,$H404='Povolené hodnoty'!$E$36)),SUM($I404,-$J404,$L404,-$M404,$O404,-$P404,$R404,-$S404),"")</f>
        <v/>
      </c>
      <c r="AR404" s="40" t="str">
        <f>IF(AND($G404='Povolené hodnoty'!$B$13,$H404=AR$4),SUM($I404,$L404,$O404,$R404),"")</f>
        <v/>
      </c>
      <c r="AS404" s="41" t="str">
        <f>IF(AND($G404='Povolené hodnoty'!$B$13,$H404=AS$4),SUM($I404,$L404,$O404,$R404),"")</f>
        <v/>
      </c>
      <c r="AT404" s="39" t="str">
        <f>IF(AND($G404='Povolené hodnoty'!$B$14,$H404=AT$4),SUM($I404,$L404,$O404,$R404),"")</f>
        <v/>
      </c>
      <c r="AU404" s="458" t="str">
        <f>IF(AND($G404='Povolené hodnoty'!$B$14,$H404=AU$4),SUM($I404,$L404,$O404,$R404),"")</f>
        <v/>
      </c>
      <c r="AV404" s="41" t="str">
        <f>IF(AND($G404='Povolené hodnoty'!$B$14,$H404=AV$4),SUM($I404,$L404,$O404,$R404),"")</f>
        <v/>
      </c>
      <c r="AW404" s="39" t="str">
        <f>IF(AND($G404='Povolené hodnoty'!$B$13,$H404=AW$4),SUM($J404,$M404,$P404,$S404),"")</f>
        <v/>
      </c>
      <c r="AX404" s="458" t="str">
        <f>IF(AND($G404='Povolené hodnoty'!$B$13,$H404=AX$4),SUM($J404,$M404,$P404,$S404),"")</f>
        <v/>
      </c>
      <c r="AY404" s="458" t="str">
        <f>IF(AND($G404='Povolené hodnoty'!$B$13,$H404=AY$4),SUM($J404,$M404,$P404,$S404),"")</f>
        <v/>
      </c>
      <c r="AZ404" s="458" t="str">
        <f>IF(AND($G404='Povolené hodnoty'!$B$13,$H404=AZ$4),SUM($J404,$M404,$P404,$S404),"")</f>
        <v/>
      </c>
      <c r="BA404" s="458" t="str">
        <f>IF(AND($G404='Povolené hodnoty'!$B$13,$H404=BA$4),SUM($J404,$M404,$P404,$S404),"")</f>
        <v/>
      </c>
      <c r="BB404" s="40" t="str">
        <f>IF(AND($G404='Povolené hodnoty'!$B$13,$H404=BB$4),SUM($J404,$M404,$P404,$S404),"")</f>
        <v/>
      </c>
      <c r="BC404" s="40" t="str">
        <f>IF(AND($G404='Povolené hodnoty'!$B$13,$H404=BC$4),SUM($J404,$M404,$P404,$S404),"")</f>
        <v/>
      </c>
      <c r="BD404" s="40" t="str">
        <f>IF(AND($G404='Povolené hodnoty'!$B$13,$H404=BD$4),SUM($J404,$M404,$P404,$S404),"")</f>
        <v/>
      </c>
      <c r="BE404" s="41" t="str">
        <f>IF(AND($G404='Povolené hodnoty'!$B$13,$H404=BE$4),SUM($J404,$M404,$P404,$S404),"")</f>
        <v/>
      </c>
      <c r="BF404" s="39" t="str">
        <f>IF(AND($G404='Povolené hodnoty'!$B$14,$H404=BF$4),SUM($J404,$M404,$P404,$S404),"")</f>
        <v/>
      </c>
      <c r="BG404" s="458" t="str">
        <f>IF(AND($G404='Povolené hodnoty'!$B$14,$H404=BG$4),SUM($J404,$M404,$P404,$S404),"")</f>
        <v/>
      </c>
      <c r="BH404" s="458" t="str">
        <f>IF(AND($G404='Povolené hodnoty'!$B$14,$H404=BH$4),SUM($J404,$M404,$P404,$S404),"")</f>
        <v/>
      </c>
      <c r="BI404" s="458" t="str">
        <f>IF(AND($G404='Povolené hodnoty'!$B$14,$H404=BI$4),SUM($J404,$M404,$P404,$S404),"")</f>
        <v/>
      </c>
      <c r="BJ404" s="458" t="str">
        <f>IF(AND($G404='Povolené hodnoty'!$B$14,$H404=BJ$4),SUM($J404,$M404,$P404,$S404),"")</f>
        <v/>
      </c>
      <c r="BK404" s="40" t="str">
        <f>IF(AND($G404='Povolené hodnoty'!$B$14,$H404=BK$4),SUM($J404,$M404,$P404,$S404),"")</f>
        <v/>
      </c>
      <c r="BL404" s="40" t="str">
        <f>IF(AND($G404='Povolené hodnoty'!$B$14,$H404=BL$4),SUM($J404,$M404,$P404,$S404),"")</f>
        <v/>
      </c>
      <c r="BM404" s="41" t="str">
        <f>IF(AND($G404='Povolené hodnoty'!$B$14,$H404=BM$4),SUM($J404,$M404,$P404,$S404),"")</f>
        <v/>
      </c>
      <c r="BO404" s="18" t="b">
        <f t="shared" si="246"/>
        <v>0</v>
      </c>
      <c r="BP404" s="18" t="b">
        <f t="shared" si="217"/>
        <v>0</v>
      </c>
      <c r="BQ404" s="18" t="b">
        <f>AND(E404&lt;&gt;'Povolené hodnoty'!$B$6,F404&lt;&gt;'Povolené hodnoty'!$D$7,F404&lt;&gt;'Povolené hodnoty'!$D$8,OR(SUM(I404,L404,O404,R404)&lt;&gt;SUM(W404:X404,AA404:AG404),SUM(J404,M404,P404,S404)&lt;&gt;SUM(Y404:Z404,AH404:AK404),COUNT(I404:J404,L404:M404,O404:P404,R404:S404)&lt;&gt;COUNT(W404:AK404)))</f>
        <v>0</v>
      </c>
      <c r="BR404" s="18" t="b">
        <f>OR(AND(E404='Povolené hodnoty'!$B$6,$BR$5),AND(E404='Povolené hodnoty'!$B$6,H404&lt;&gt;'Povolené hodnoty'!$E$26,H404&lt;&gt;'Povolené hodnoty'!$E$35),AND(E404&lt;&gt;'Povolené hodnoty'!$B$6,OR(H404='Povolené hodnoty'!$E$26,H404='Povolené hodnoty'!$E$35)))</f>
        <v>0</v>
      </c>
      <c r="BS404" s="18" t="b">
        <f>OR(AND(G404&lt;&gt;'Povolené hodnoty'!$B$13,OR(H404='Povolené hodnoty'!$E$21,H404='Povolené hodnoty'!$E$22,H404='Povolené hodnoty'!$E$23,H404='Povolené hodnoty'!$E$24,H404='Povolené hodnoty'!$E$26,H404='Povolené hodnoty'!$E$36)),COUNT(I404:J404,L404:M404,O404:P404,R404:S404)&lt;&gt;COUNT(AL404:BM404))</f>
        <v>0</v>
      </c>
      <c r="BT404" s="18" t="b">
        <f t="shared" si="218"/>
        <v>0</v>
      </c>
      <c r="BV404" s="39" t="str">
        <f t="shared" si="219"/>
        <v/>
      </c>
      <c r="BW404" s="458" t="str">
        <f t="shared" si="220"/>
        <v/>
      </c>
      <c r="BX404" s="458" t="str">
        <f t="shared" si="221"/>
        <v/>
      </c>
      <c r="BY404" s="458" t="str">
        <f t="shared" si="222"/>
        <v/>
      </c>
      <c r="BZ404" s="458" t="str">
        <f t="shared" si="223"/>
        <v/>
      </c>
      <c r="CA404" s="40" t="str">
        <f t="shared" si="224"/>
        <v/>
      </c>
      <c r="CB404" s="40" t="str">
        <f t="shared" si="225"/>
        <v/>
      </c>
      <c r="CC404" s="39" t="str">
        <f t="shared" si="226"/>
        <v/>
      </c>
      <c r="CD404" s="458" t="str">
        <f t="shared" si="227"/>
        <v/>
      </c>
      <c r="CE404" s="41" t="str">
        <f t="shared" si="228"/>
        <v/>
      </c>
      <c r="CF404" s="39" t="str">
        <f t="shared" si="229"/>
        <v/>
      </c>
      <c r="CG404" s="458" t="str">
        <f t="shared" si="230"/>
        <v/>
      </c>
      <c r="CH404" s="458" t="str">
        <f t="shared" si="231"/>
        <v/>
      </c>
      <c r="CI404" s="458" t="str">
        <f t="shared" si="232"/>
        <v/>
      </c>
      <c r="CJ404" s="458" t="str">
        <f t="shared" si="233"/>
        <v/>
      </c>
      <c r="CK404" s="40" t="str">
        <f t="shared" si="234"/>
        <v/>
      </c>
      <c r="CL404" s="40" t="str">
        <f t="shared" si="235"/>
        <v/>
      </c>
      <c r="CM404" s="40" t="str">
        <f t="shared" si="236"/>
        <v/>
      </c>
      <c r="CN404" s="39" t="str">
        <f t="shared" si="237"/>
        <v/>
      </c>
      <c r="CO404" s="458" t="str">
        <f t="shared" si="238"/>
        <v/>
      </c>
      <c r="CP404" s="458" t="str">
        <f t="shared" si="239"/>
        <v/>
      </c>
      <c r="CQ404" s="458" t="str">
        <f t="shared" si="240"/>
        <v/>
      </c>
      <c r="CR404" s="458" t="str">
        <f t="shared" si="241"/>
        <v/>
      </c>
      <c r="CS404" s="40" t="str">
        <f t="shared" si="242"/>
        <v/>
      </c>
      <c r="CT404" s="40" t="str">
        <f t="shared" si="243"/>
        <v/>
      </c>
      <c r="CU404" s="41" t="str">
        <f t="shared" si="244"/>
        <v/>
      </c>
    </row>
    <row r="405" spans="1:99" x14ac:dyDescent="0.2">
      <c r="A405" s="77">
        <f t="shared" si="245"/>
        <v>400</v>
      </c>
      <c r="B405" s="81"/>
      <c r="C405" s="82"/>
      <c r="D405" s="71"/>
      <c r="E405" s="72"/>
      <c r="F405" s="73"/>
      <c r="G405" s="443"/>
      <c r="H405" s="443"/>
      <c r="I405" s="74"/>
      <c r="J405" s="75"/>
      <c r="K405" s="41">
        <f t="shared" si="214"/>
        <v>3625</v>
      </c>
      <c r="L405" s="104"/>
      <c r="M405" s="105"/>
      <c r="N405" s="106">
        <f t="shared" si="215"/>
        <v>537.05999999999995</v>
      </c>
      <c r="O405" s="104"/>
      <c r="P405" s="105"/>
      <c r="Q405" s="106">
        <f t="shared" si="247"/>
        <v>10045.83</v>
      </c>
      <c r="R405" s="104"/>
      <c r="S405" s="105"/>
      <c r="T405" s="106">
        <f t="shared" si="248"/>
        <v>0</v>
      </c>
      <c r="U405" s="439"/>
      <c r="V405" s="42">
        <f t="shared" si="216"/>
        <v>400</v>
      </c>
      <c r="W405" s="39" t="str">
        <f>IF(AND(E405='Povolené hodnoty'!$B$4,F405=2),I405+L405+O405+R405,"")</f>
        <v/>
      </c>
      <c r="X405" s="41" t="str">
        <f>IF(AND(E405='Povolené hodnoty'!$B$4,F405=1),I405+L405+O405+R405,"")</f>
        <v/>
      </c>
      <c r="Y405" s="39" t="str">
        <f>IF(AND(E405='Povolené hodnoty'!$B$4,F405=10),J405+M405+P405+S405,"")</f>
        <v/>
      </c>
      <c r="Z405" s="41" t="str">
        <f>IF(AND(E405='Povolené hodnoty'!$B$4,F405=9),J405+M405+P405+S405,"")</f>
        <v/>
      </c>
      <c r="AA405" s="39" t="str">
        <f>IF(AND(E405&lt;&gt;'Povolené hodnoty'!$B$4,F405=2),I405+L405+O405+R405,"")</f>
        <v/>
      </c>
      <c r="AB405" s="40" t="str">
        <f>IF(AND(E405&lt;&gt;'Povolené hodnoty'!$B$4,F405=3),I405+L405+O405+R405,"")</f>
        <v/>
      </c>
      <c r="AC405" s="40" t="str">
        <f>IF(AND(E405&lt;&gt;'Povolené hodnoty'!$B$4,F405=4),I405+L405+O405+R405,"")</f>
        <v/>
      </c>
      <c r="AD405" s="40" t="str">
        <f>IF(AND(E405&lt;&gt;'Povolené hodnoty'!$B$4,F405="5a"),I405-J405+L405-M405+O405-P405+R405-S405,"")</f>
        <v/>
      </c>
      <c r="AE405" s="40" t="str">
        <f>IF(AND(E405&lt;&gt;'Povolené hodnoty'!$B$4,F405="5b"),I405-J405+L405-M405+O405-P405+R405-S405,"")</f>
        <v/>
      </c>
      <c r="AF405" s="40" t="str">
        <f>IF(AND(E405&lt;&gt;'Povolené hodnoty'!$B$4,F405=6),I405+L405+O405+R405,"")</f>
        <v/>
      </c>
      <c r="AG405" s="41" t="str">
        <f>IF(AND(E405&lt;&gt;'Povolené hodnoty'!$B$4,F405=7),I405+L405+O405+R405,"")</f>
        <v/>
      </c>
      <c r="AH405" s="39" t="str">
        <f>IF(AND(E405&lt;&gt;'Povolené hodnoty'!$B$4,F405=10),J405+M405+P405+S405,"")</f>
        <v/>
      </c>
      <c r="AI405" s="40" t="str">
        <f>IF(AND(E405&lt;&gt;'Povolené hodnoty'!$B$4,F405=11),J405+M405+P405+S405,"")</f>
        <v/>
      </c>
      <c r="AJ405" s="40" t="str">
        <f>IF(AND(E405&lt;&gt;'Povolené hodnoty'!$B$4,F405=12),J405+M405+P405+S405,"")</f>
        <v/>
      </c>
      <c r="AK405" s="41" t="str">
        <f>IF(AND(E405&lt;&gt;'Povolené hodnoty'!$B$4,F405=13),J405+M405+P405+S405,"")</f>
        <v/>
      </c>
      <c r="AL405" s="39" t="str">
        <f>IF(AND($G405='Povolené hodnoty'!$B$13,$H405=AL$4),SUM($I405,$L405,$O405,$R405),"")</f>
        <v/>
      </c>
      <c r="AM405" s="458" t="str">
        <f>IF(AND($G405='Povolené hodnoty'!$B$13,$H405=AM$4),SUM($I405,$L405,$O405,$R405),"")</f>
        <v/>
      </c>
      <c r="AN405" s="458" t="str">
        <f>IF(AND($G405='Povolené hodnoty'!$B$13,$H405=AN$4),SUM($I405,$L405,$O405,$R405),"")</f>
        <v/>
      </c>
      <c r="AO405" s="458" t="str">
        <f>IF(AND($G405='Povolené hodnoty'!$B$13,$H405=AO$4),SUM($I405,$L405,$O405,$R405),"")</f>
        <v/>
      </c>
      <c r="AP405" s="458" t="str">
        <f>IF(AND($G405='Povolené hodnoty'!$B$13,$H405=AP$4),SUM($I405,$L405,$O405,$R405),"")</f>
        <v/>
      </c>
      <c r="AQ405" s="40" t="str">
        <f>IF(AND($G405='Povolené hodnoty'!$B$13,OR($H405=AQ$4,$H405='Povolené hodnoty'!$E$36)),SUM($I405,-$J405,$L405,-$M405,$O405,-$P405,$R405,-$S405),"")</f>
        <v/>
      </c>
      <c r="AR405" s="40" t="str">
        <f>IF(AND($G405='Povolené hodnoty'!$B$13,$H405=AR$4),SUM($I405,$L405,$O405,$R405),"")</f>
        <v/>
      </c>
      <c r="AS405" s="41" t="str">
        <f>IF(AND($G405='Povolené hodnoty'!$B$13,$H405=AS$4),SUM($I405,$L405,$O405,$R405),"")</f>
        <v/>
      </c>
      <c r="AT405" s="39" t="str">
        <f>IF(AND($G405='Povolené hodnoty'!$B$14,$H405=AT$4),SUM($I405,$L405,$O405,$R405),"")</f>
        <v/>
      </c>
      <c r="AU405" s="458" t="str">
        <f>IF(AND($G405='Povolené hodnoty'!$B$14,$H405=AU$4),SUM($I405,$L405,$O405,$R405),"")</f>
        <v/>
      </c>
      <c r="AV405" s="41" t="str">
        <f>IF(AND($G405='Povolené hodnoty'!$B$14,$H405=AV$4),SUM($I405,$L405,$O405,$R405),"")</f>
        <v/>
      </c>
      <c r="AW405" s="39" t="str">
        <f>IF(AND($G405='Povolené hodnoty'!$B$13,$H405=AW$4),SUM($J405,$M405,$P405,$S405),"")</f>
        <v/>
      </c>
      <c r="AX405" s="458" t="str">
        <f>IF(AND($G405='Povolené hodnoty'!$B$13,$H405=AX$4),SUM($J405,$M405,$P405,$S405),"")</f>
        <v/>
      </c>
      <c r="AY405" s="458" t="str">
        <f>IF(AND($G405='Povolené hodnoty'!$B$13,$H405=AY$4),SUM($J405,$M405,$P405,$S405),"")</f>
        <v/>
      </c>
      <c r="AZ405" s="458" t="str">
        <f>IF(AND($G405='Povolené hodnoty'!$B$13,$H405=AZ$4),SUM($J405,$M405,$P405,$S405),"")</f>
        <v/>
      </c>
      <c r="BA405" s="458" t="str">
        <f>IF(AND($G405='Povolené hodnoty'!$B$13,$H405=BA$4),SUM($J405,$M405,$P405,$S405),"")</f>
        <v/>
      </c>
      <c r="BB405" s="40" t="str">
        <f>IF(AND($G405='Povolené hodnoty'!$B$13,$H405=BB$4),SUM($J405,$M405,$P405,$S405),"")</f>
        <v/>
      </c>
      <c r="BC405" s="40" t="str">
        <f>IF(AND($G405='Povolené hodnoty'!$B$13,$H405=BC$4),SUM($J405,$M405,$P405,$S405),"")</f>
        <v/>
      </c>
      <c r="BD405" s="40" t="str">
        <f>IF(AND($G405='Povolené hodnoty'!$B$13,$H405=BD$4),SUM($J405,$M405,$P405,$S405),"")</f>
        <v/>
      </c>
      <c r="BE405" s="41" t="str">
        <f>IF(AND($G405='Povolené hodnoty'!$B$13,$H405=BE$4),SUM($J405,$M405,$P405,$S405),"")</f>
        <v/>
      </c>
      <c r="BF405" s="39" t="str">
        <f>IF(AND($G405='Povolené hodnoty'!$B$14,$H405=BF$4),SUM($J405,$M405,$P405,$S405),"")</f>
        <v/>
      </c>
      <c r="BG405" s="458" t="str">
        <f>IF(AND($G405='Povolené hodnoty'!$B$14,$H405=BG$4),SUM($J405,$M405,$P405,$S405),"")</f>
        <v/>
      </c>
      <c r="BH405" s="458" t="str">
        <f>IF(AND($G405='Povolené hodnoty'!$B$14,$H405=BH$4),SUM($J405,$M405,$P405,$S405),"")</f>
        <v/>
      </c>
      <c r="BI405" s="458" t="str">
        <f>IF(AND($G405='Povolené hodnoty'!$B$14,$H405=BI$4),SUM($J405,$M405,$P405,$S405),"")</f>
        <v/>
      </c>
      <c r="BJ405" s="458" t="str">
        <f>IF(AND($G405='Povolené hodnoty'!$B$14,$H405=BJ$4),SUM($J405,$M405,$P405,$S405),"")</f>
        <v/>
      </c>
      <c r="BK405" s="40" t="str">
        <f>IF(AND($G405='Povolené hodnoty'!$B$14,$H405=BK$4),SUM($J405,$M405,$P405,$S405),"")</f>
        <v/>
      </c>
      <c r="BL405" s="40" t="str">
        <f>IF(AND($G405='Povolené hodnoty'!$B$14,$H405=BL$4),SUM($J405,$M405,$P405,$S405),"")</f>
        <v/>
      </c>
      <c r="BM405" s="41" t="str">
        <f>IF(AND($G405='Povolené hodnoty'!$B$14,$H405=BM$4),SUM($J405,$M405,$P405,$S405),"")</f>
        <v/>
      </c>
      <c r="BO405" s="18" t="b">
        <f t="shared" si="246"/>
        <v>0</v>
      </c>
      <c r="BP405" s="18" t="b">
        <f t="shared" si="217"/>
        <v>0</v>
      </c>
      <c r="BQ405" s="18" t="b">
        <f>AND(E405&lt;&gt;'Povolené hodnoty'!$B$6,F405&lt;&gt;'Povolené hodnoty'!$D$7,F405&lt;&gt;'Povolené hodnoty'!$D$8,OR(SUM(I405,L405,O405,R405)&lt;&gt;SUM(W405:X405,AA405:AG405),SUM(J405,M405,P405,S405)&lt;&gt;SUM(Y405:Z405,AH405:AK405),COUNT(I405:J405,L405:M405,O405:P405,R405:S405)&lt;&gt;COUNT(W405:AK405)))</f>
        <v>0</v>
      </c>
      <c r="BR405" s="18" t="b">
        <f>OR(AND(E405='Povolené hodnoty'!$B$6,$BR$5),AND(E405='Povolené hodnoty'!$B$6,H405&lt;&gt;'Povolené hodnoty'!$E$26,H405&lt;&gt;'Povolené hodnoty'!$E$35),AND(E405&lt;&gt;'Povolené hodnoty'!$B$6,OR(H405='Povolené hodnoty'!$E$26,H405='Povolené hodnoty'!$E$35)))</f>
        <v>0</v>
      </c>
      <c r="BS405" s="18" t="b">
        <f>OR(AND(G405&lt;&gt;'Povolené hodnoty'!$B$13,OR(H405='Povolené hodnoty'!$E$21,H405='Povolené hodnoty'!$E$22,H405='Povolené hodnoty'!$E$23,H405='Povolené hodnoty'!$E$24,H405='Povolené hodnoty'!$E$26,H405='Povolené hodnoty'!$E$36)),COUNT(I405:J405,L405:M405,O405:P405,R405:S405)&lt;&gt;COUNT(AL405:BM405))</f>
        <v>0</v>
      </c>
      <c r="BT405" s="18" t="b">
        <f t="shared" si="218"/>
        <v>0</v>
      </c>
      <c r="BV405" s="39" t="str">
        <f t="shared" si="219"/>
        <v/>
      </c>
      <c r="BW405" s="458" t="str">
        <f t="shared" si="220"/>
        <v/>
      </c>
      <c r="BX405" s="458" t="str">
        <f t="shared" si="221"/>
        <v/>
      </c>
      <c r="BY405" s="458" t="str">
        <f t="shared" si="222"/>
        <v/>
      </c>
      <c r="BZ405" s="458" t="str">
        <f t="shared" si="223"/>
        <v/>
      </c>
      <c r="CA405" s="40" t="str">
        <f t="shared" si="224"/>
        <v/>
      </c>
      <c r="CB405" s="40" t="str">
        <f t="shared" si="225"/>
        <v/>
      </c>
      <c r="CC405" s="39" t="str">
        <f t="shared" si="226"/>
        <v/>
      </c>
      <c r="CD405" s="458" t="str">
        <f t="shared" si="227"/>
        <v/>
      </c>
      <c r="CE405" s="41" t="str">
        <f t="shared" si="228"/>
        <v/>
      </c>
      <c r="CF405" s="39" t="str">
        <f t="shared" si="229"/>
        <v/>
      </c>
      <c r="CG405" s="458" t="str">
        <f t="shared" si="230"/>
        <v/>
      </c>
      <c r="CH405" s="458" t="str">
        <f t="shared" si="231"/>
        <v/>
      </c>
      <c r="CI405" s="458" t="str">
        <f t="shared" si="232"/>
        <v/>
      </c>
      <c r="CJ405" s="458" t="str">
        <f t="shared" si="233"/>
        <v/>
      </c>
      <c r="CK405" s="40" t="str">
        <f t="shared" si="234"/>
        <v/>
      </c>
      <c r="CL405" s="40" t="str">
        <f t="shared" si="235"/>
        <v/>
      </c>
      <c r="CM405" s="40" t="str">
        <f t="shared" si="236"/>
        <v/>
      </c>
      <c r="CN405" s="39" t="str">
        <f t="shared" si="237"/>
        <v/>
      </c>
      <c r="CO405" s="458" t="str">
        <f t="shared" si="238"/>
        <v/>
      </c>
      <c r="CP405" s="458" t="str">
        <f t="shared" si="239"/>
        <v/>
      </c>
      <c r="CQ405" s="458" t="str">
        <f t="shared" si="240"/>
        <v/>
      </c>
      <c r="CR405" s="458" t="str">
        <f t="shared" si="241"/>
        <v/>
      </c>
      <c r="CS405" s="40" t="str">
        <f t="shared" si="242"/>
        <v/>
      </c>
      <c r="CT405" s="40" t="str">
        <f t="shared" si="243"/>
        <v/>
      </c>
      <c r="CU405" s="41" t="str">
        <f t="shared" si="244"/>
        <v/>
      </c>
    </row>
    <row r="406" spans="1:99" x14ac:dyDescent="0.2">
      <c r="A406" s="77">
        <f t="shared" si="245"/>
        <v>401</v>
      </c>
      <c r="B406" s="81"/>
      <c r="C406" s="82"/>
      <c r="D406" s="71"/>
      <c r="E406" s="72"/>
      <c r="F406" s="73"/>
      <c r="G406" s="443"/>
      <c r="H406" s="443"/>
      <c r="I406" s="74"/>
      <c r="J406" s="75"/>
      <c r="K406" s="41">
        <f t="shared" si="214"/>
        <v>3625</v>
      </c>
      <c r="L406" s="104"/>
      <c r="M406" s="105"/>
      <c r="N406" s="106">
        <f t="shared" si="215"/>
        <v>537.05999999999995</v>
      </c>
      <c r="O406" s="104"/>
      <c r="P406" s="105"/>
      <c r="Q406" s="106">
        <f t="shared" si="247"/>
        <v>10045.83</v>
      </c>
      <c r="R406" s="104"/>
      <c r="S406" s="105"/>
      <c r="T406" s="106">
        <f t="shared" si="248"/>
        <v>0</v>
      </c>
      <c r="U406" s="439"/>
      <c r="V406" s="42">
        <f t="shared" si="216"/>
        <v>401</v>
      </c>
      <c r="W406" s="39" t="str">
        <f>IF(AND(E406='Povolené hodnoty'!$B$4,F406=2),I406+L406+O406+R406,"")</f>
        <v/>
      </c>
      <c r="X406" s="41" t="str">
        <f>IF(AND(E406='Povolené hodnoty'!$B$4,F406=1),I406+L406+O406+R406,"")</f>
        <v/>
      </c>
      <c r="Y406" s="39" t="str">
        <f>IF(AND(E406='Povolené hodnoty'!$B$4,F406=10),J406+M406+P406+S406,"")</f>
        <v/>
      </c>
      <c r="Z406" s="41" t="str">
        <f>IF(AND(E406='Povolené hodnoty'!$B$4,F406=9),J406+M406+P406+S406,"")</f>
        <v/>
      </c>
      <c r="AA406" s="39" t="str">
        <f>IF(AND(E406&lt;&gt;'Povolené hodnoty'!$B$4,F406=2),I406+L406+O406+R406,"")</f>
        <v/>
      </c>
      <c r="AB406" s="40" t="str">
        <f>IF(AND(E406&lt;&gt;'Povolené hodnoty'!$B$4,F406=3),I406+L406+O406+R406,"")</f>
        <v/>
      </c>
      <c r="AC406" s="40" t="str">
        <f>IF(AND(E406&lt;&gt;'Povolené hodnoty'!$B$4,F406=4),I406+L406+O406+R406,"")</f>
        <v/>
      </c>
      <c r="AD406" s="40" t="str">
        <f>IF(AND(E406&lt;&gt;'Povolené hodnoty'!$B$4,F406="5a"),I406-J406+L406-M406+O406-P406+R406-S406,"")</f>
        <v/>
      </c>
      <c r="AE406" s="40" t="str">
        <f>IF(AND(E406&lt;&gt;'Povolené hodnoty'!$B$4,F406="5b"),I406-J406+L406-M406+O406-P406+R406-S406,"")</f>
        <v/>
      </c>
      <c r="AF406" s="40" t="str">
        <f>IF(AND(E406&lt;&gt;'Povolené hodnoty'!$B$4,F406=6),I406+L406+O406+R406,"")</f>
        <v/>
      </c>
      <c r="AG406" s="41" t="str">
        <f>IF(AND(E406&lt;&gt;'Povolené hodnoty'!$B$4,F406=7),I406+L406+O406+R406,"")</f>
        <v/>
      </c>
      <c r="AH406" s="39" t="str">
        <f>IF(AND(E406&lt;&gt;'Povolené hodnoty'!$B$4,F406=10),J406+M406+P406+S406,"")</f>
        <v/>
      </c>
      <c r="AI406" s="40" t="str">
        <f>IF(AND(E406&lt;&gt;'Povolené hodnoty'!$B$4,F406=11),J406+M406+P406+S406,"")</f>
        <v/>
      </c>
      <c r="AJ406" s="40" t="str">
        <f>IF(AND(E406&lt;&gt;'Povolené hodnoty'!$B$4,F406=12),J406+M406+P406+S406,"")</f>
        <v/>
      </c>
      <c r="AK406" s="41" t="str">
        <f>IF(AND(E406&lt;&gt;'Povolené hodnoty'!$B$4,F406=13),J406+M406+P406+S406,"")</f>
        <v/>
      </c>
      <c r="AL406" s="39" t="str">
        <f>IF(AND($G406='Povolené hodnoty'!$B$13,$H406=AL$4),SUM($I406,$L406,$O406,$R406),"")</f>
        <v/>
      </c>
      <c r="AM406" s="458" t="str">
        <f>IF(AND($G406='Povolené hodnoty'!$B$13,$H406=AM$4),SUM($I406,$L406,$O406,$R406),"")</f>
        <v/>
      </c>
      <c r="AN406" s="458" t="str">
        <f>IF(AND($G406='Povolené hodnoty'!$B$13,$H406=AN$4),SUM($I406,$L406,$O406,$R406),"")</f>
        <v/>
      </c>
      <c r="AO406" s="458" t="str">
        <f>IF(AND($G406='Povolené hodnoty'!$B$13,$H406=AO$4),SUM($I406,$L406,$O406,$R406),"")</f>
        <v/>
      </c>
      <c r="AP406" s="458" t="str">
        <f>IF(AND($G406='Povolené hodnoty'!$B$13,$H406=AP$4),SUM($I406,$L406,$O406,$R406),"")</f>
        <v/>
      </c>
      <c r="AQ406" s="40" t="str">
        <f>IF(AND($G406='Povolené hodnoty'!$B$13,OR($H406=AQ$4,$H406='Povolené hodnoty'!$E$36)),SUM($I406,-$J406,$L406,-$M406,$O406,-$P406,$R406,-$S406),"")</f>
        <v/>
      </c>
      <c r="AR406" s="40" t="str">
        <f>IF(AND($G406='Povolené hodnoty'!$B$13,$H406=AR$4),SUM($I406,$L406,$O406,$R406),"")</f>
        <v/>
      </c>
      <c r="AS406" s="41" t="str">
        <f>IF(AND($G406='Povolené hodnoty'!$B$13,$H406=AS$4),SUM($I406,$L406,$O406,$R406),"")</f>
        <v/>
      </c>
      <c r="AT406" s="39" t="str">
        <f>IF(AND($G406='Povolené hodnoty'!$B$14,$H406=AT$4),SUM($I406,$L406,$O406,$R406),"")</f>
        <v/>
      </c>
      <c r="AU406" s="458" t="str">
        <f>IF(AND($G406='Povolené hodnoty'!$B$14,$H406=AU$4),SUM($I406,$L406,$O406,$R406),"")</f>
        <v/>
      </c>
      <c r="AV406" s="41" t="str">
        <f>IF(AND($G406='Povolené hodnoty'!$B$14,$H406=AV$4),SUM($I406,$L406,$O406,$R406),"")</f>
        <v/>
      </c>
      <c r="AW406" s="39" t="str">
        <f>IF(AND($G406='Povolené hodnoty'!$B$13,$H406=AW$4),SUM($J406,$M406,$P406,$S406),"")</f>
        <v/>
      </c>
      <c r="AX406" s="458" t="str">
        <f>IF(AND($G406='Povolené hodnoty'!$B$13,$H406=AX$4),SUM($J406,$M406,$P406,$S406),"")</f>
        <v/>
      </c>
      <c r="AY406" s="458" t="str">
        <f>IF(AND($G406='Povolené hodnoty'!$B$13,$H406=AY$4),SUM($J406,$M406,$P406,$S406),"")</f>
        <v/>
      </c>
      <c r="AZ406" s="458" t="str">
        <f>IF(AND($G406='Povolené hodnoty'!$B$13,$H406=AZ$4),SUM($J406,$M406,$P406,$S406),"")</f>
        <v/>
      </c>
      <c r="BA406" s="458" t="str">
        <f>IF(AND($G406='Povolené hodnoty'!$B$13,$H406=BA$4),SUM($J406,$M406,$P406,$S406),"")</f>
        <v/>
      </c>
      <c r="BB406" s="40" t="str">
        <f>IF(AND($G406='Povolené hodnoty'!$B$13,$H406=BB$4),SUM($J406,$M406,$P406,$S406),"")</f>
        <v/>
      </c>
      <c r="BC406" s="40" t="str">
        <f>IF(AND($G406='Povolené hodnoty'!$B$13,$H406=BC$4),SUM($J406,$M406,$P406,$S406),"")</f>
        <v/>
      </c>
      <c r="BD406" s="40" t="str">
        <f>IF(AND($G406='Povolené hodnoty'!$B$13,$H406=BD$4),SUM($J406,$M406,$P406,$S406),"")</f>
        <v/>
      </c>
      <c r="BE406" s="41" t="str">
        <f>IF(AND($G406='Povolené hodnoty'!$B$13,$H406=BE$4),SUM($J406,$M406,$P406,$S406),"")</f>
        <v/>
      </c>
      <c r="BF406" s="39" t="str">
        <f>IF(AND($G406='Povolené hodnoty'!$B$14,$H406=BF$4),SUM($J406,$M406,$P406,$S406),"")</f>
        <v/>
      </c>
      <c r="BG406" s="458" t="str">
        <f>IF(AND($G406='Povolené hodnoty'!$B$14,$H406=BG$4),SUM($J406,$M406,$P406,$S406),"")</f>
        <v/>
      </c>
      <c r="BH406" s="458" t="str">
        <f>IF(AND($G406='Povolené hodnoty'!$B$14,$H406=BH$4),SUM($J406,$M406,$P406,$S406),"")</f>
        <v/>
      </c>
      <c r="BI406" s="458" t="str">
        <f>IF(AND($G406='Povolené hodnoty'!$B$14,$H406=BI$4),SUM($J406,$M406,$P406,$S406),"")</f>
        <v/>
      </c>
      <c r="BJ406" s="458" t="str">
        <f>IF(AND($G406='Povolené hodnoty'!$B$14,$H406=BJ$4),SUM($J406,$M406,$P406,$S406),"")</f>
        <v/>
      </c>
      <c r="BK406" s="40" t="str">
        <f>IF(AND($G406='Povolené hodnoty'!$B$14,$H406=BK$4),SUM($J406,$M406,$P406,$S406),"")</f>
        <v/>
      </c>
      <c r="BL406" s="40" t="str">
        <f>IF(AND($G406='Povolené hodnoty'!$B$14,$H406=BL$4),SUM($J406,$M406,$P406,$S406),"")</f>
        <v/>
      </c>
      <c r="BM406" s="41" t="str">
        <f>IF(AND($G406='Povolené hodnoty'!$B$14,$H406=BM$4),SUM($J406,$M406,$P406,$S406),"")</f>
        <v/>
      </c>
      <c r="BO406" s="18" t="b">
        <f t="shared" si="246"/>
        <v>0</v>
      </c>
      <c r="BP406" s="18" t="b">
        <f t="shared" si="217"/>
        <v>0</v>
      </c>
      <c r="BQ406" s="18" t="b">
        <f>AND(E406&lt;&gt;'Povolené hodnoty'!$B$6,F406&lt;&gt;'Povolené hodnoty'!$D$7,F406&lt;&gt;'Povolené hodnoty'!$D$8,OR(SUM(I406,L406,O406,R406)&lt;&gt;SUM(W406:X406,AA406:AG406),SUM(J406,M406,P406,S406)&lt;&gt;SUM(Y406:Z406,AH406:AK406),COUNT(I406:J406,L406:M406,O406:P406,R406:S406)&lt;&gt;COUNT(W406:AK406)))</f>
        <v>0</v>
      </c>
      <c r="BR406" s="18" t="b">
        <f>OR(AND(E406='Povolené hodnoty'!$B$6,$BR$5),AND(E406='Povolené hodnoty'!$B$6,H406&lt;&gt;'Povolené hodnoty'!$E$26,H406&lt;&gt;'Povolené hodnoty'!$E$35),AND(E406&lt;&gt;'Povolené hodnoty'!$B$6,OR(H406='Povolené hodnoty'!$E$26,H406='Povolené hodnoty'!$E$35)))</f>
        <v>0</v>
      </c>
      <c r="BS406" s="18" t="b">
        <f>OR(AND(G406&lt;&gt;'Povolené hodnoty'!$B$13,OR(H406='Povolené hodnoty'!$E$21,H406='Povolené hodnoty'!$E$22,H406='Povolené hodnoty'!$E$23,H406='Povolené hodnoty'!$E$24,H406='Povolené hodnoty'!$E$26,H406='Povolené hodnoty'!$E$36)),COUNT(I406:J406,L406:M406,O406:P406,R406:S406)&lt;&gt;COUNT(AL406:BM406))</f>
        <v>0</v>
      </c>
      <c r="BT406" s="18" t="b">
        <f t="shared" si="218"/>
        <v>0</v>
      </c>
      <c r="BV406" s="39" t="str">
        <f t="shared" si="219"/>
        <v/>
      </c>
      <c r="BW406" s="458" t="str">
        <f t="shared" si="220"/>
        <v/>
      </c>
      <c r="BX406" s="458" t="str">
        <f t="shared" si="221"/>
        <v/>
      </c>
      <c r="BY406" s="458" t="str">
        <f t="shared" si="222"/>
        <v/>
      </c>
      <c r="BZ406" s="458" t="str">
        <f t="shared" si="223"/>
        <v/>
      </c>
      <c r="CA406" s="40" t="str">
        <f t="shared" si="224"/>
        <v/>
      </c>
      <c r="CB406" s="40" t="str">
        <f t="shared" si="225"/>
        <v/>
      </c>
      <c r="CC406" s="39" t="str">
        <f t="shared" si="226"/>
        <v/>
      </c>
      <c r="CD406" s="458" t="str">
        <f t="shared" si="227"/>
        <v/>
      </c>
      <c r="CE406" s="41" t="str">
        <f t="shared" si="228"/>
        <v/>
      </c>
      <c r="CF406" s="39" t="str">
        <f t="shared" si="229"/>
        <v/>
      </c>
      <c r="CG406" s="458" t="str">
        <f t="shared" si="230"/>
        <v/>
      </c>
      <c r="CH406" s="458" t="str">
        <f t="shared" si="231"/>
        <v/>
      </c>
      <c r="CI406" s="458" t="str">
        <f t="shared" si="232"/>
        <v/>
      </c>
      <c r="CJ406" s="458" t="str">
        <f t="shared" si="233"/>
        <v/>
      </c>
      <c r="CK406" s="40" t="str">
        <f t="shared" si="234"/>
        <v/>
      </c>
      <c r="CL406" s="40" t="str">
        <f t="shared" si="235"/>
        <v/>
      </c>
      <c r="CM406" s="40" t="str">
        <f t="shared" si="236"/>
        <v/>
      </c>
      <c r="CN406" s="39" t="str">
        <f t="shared" si="237"/>
        <v/>
      </c>
      <c r="CO406" s="458" t="str">
        <f t="shared" si="238"/>
        <v/>
      </c>
      <c r="CP406" s="458" t="str">
        <f t="shared" si="239"/>
        <v/>
      </c>
      <c r="CQ406" s="458" t="str">
        <f t="shared" si="240"/>
        <v/>
      </c>
      <c r="CR406" s="458" t="str">
        <f t="shared" si="241"/>
        <v/>
      </c>
      <c r="CS406" s="40" t="str">
        <f t="shared" si="242"/>
        <v/>
      </c>
      <c r="CT406" s="40" t="str">
        <f t="shared" si="243"/>
        <v/>
      </c>
      <c r="CU406" s="41" t="str">
        <f t="shared" si="244"/>
        <v/>
      </c>
    </row>
    <row r="407" spans="1:99" x14ac:dyDescent="0.2">
      <c r="A407" s="77">
        <f t="shared" si="245"/>
        <v>402</v>
      </c>
      <c r="B407" s="81"/>
      <c r="C407" s="82"/>
      <c r="D407" s="71"/>
      <c r="E407" s="72"/>
      <c r="F407" s="73"/>
      <c r="G407" s="443"/>
      <c r="H407" s="443"/>
      <c r="I407" s="74"/>
      <c r="J407" s="75"/>
      <c r="K407" s="41">
        <f t="shared" si="214"/>
        <v>3625</v>
      </c>
      <c r="L407" s="104"/>
      <c r="M407" s="105"/>
      <c r="N407" s="106">
        <f t="shared" si="215"/>
        <v>537.05999999999995</v>
      </c>
      <c r="O407" s="104"/>
      <c r="P407" s="105"/>
      <c r="Q407" s="106">
        <f t="shared" si="247"/>
        <v>10045.83</v>
      </c>
      <c r="R407" s="104"/>
      <c r="S407" s="105"/>
      <c r="T407" s="106">
        <f t="shared" si="248"/>
        <v>0</v>
      </c>
      <c r="U407" s="439"/>
      <c r="V407" s="42">
        <f t="shared" si="216"/>
        <v>402</v>
      </c>
      <c r="W407" s="39" t="str">
        <f>IF(AND(E407='Povolené hodnoty'!$B$4,F407=2),I407+L407+O407+R407,"")</f>
        <v/>
      </c>
      <c r="X407" s="41" t="str">
        <f>IF(AND(E407='Povolené hodnoty'!$B$4,F407=1),I407+L407+O407+R407,"")</f>
        <v/>
      </c>
      <c r="Y407" s="39" t="str">
        <f>IF(AND(E407='Povolené hodnoty'!$B$4,F407=10),J407+M407+P407+S407,"")</f>
        <v/>
      </c>
      <c r="Z407" s="41" t="str">
        <f>IF(AND(E407='Povolené hodnoty'!$B$4,F407=9),J407+M407+P407+S407,"")</f>
        <v/>
      </c>
      <c r="AA407" s="39" t="str">
        <f>IF(AND(E407&lt;&gt;'Povolené hodnoty'!$B$4,F407=2),I407+L407+O407+R407,"")</f>
        <v/>
      </c>
      <c r="AB407" s="40" t="str">
        <f>IF(AND(E407&lt;&gt;'Povolené hodnoty'!$B$4,F407=3),I407+L407+O407+R407,"")</f>
        <v/>
      </c>
      <c r="AC407" s="40" t="str">
        <f>IF(AND(E407&lt;&gt;'Povolené hodnoty'!$B$4,F407=4),I407+L407+O407+R407,"")</f>
        <v/>
      </c>
      <c r="AD407" s="40" t="str">
        <f>IF(AND(E407&lt;&gt;'Povolené hodnoty'!$B$4,F407="5a"),I407-J407+L407-M407+O407-P407+R407-S407,"")</f>
        <v/>
      </c>
      <c r="AE407" s="40" t="str">
        <f>IF(AND(E407&lt;&gt;'Povolené hodnoty'!$B$4,F407="5b"),I407-J407+L407-M407+O407-P407+R407-S407,"")</f>
        <v/>
      </c>
      <c r="AF407" s="40" t="str">
        <f>IF(AND(E407&lt;&gt;'Povolené hodnoty'!$B$4,F407=6),I407+L407+O407+R407,"")</f>
        <v/>
      </c>
      <c r="AG407" s="41" t="str">
        <f>IF(AND(E407&lt;&gt;'Povolené hodnoty'!$B$4,F407=7),I407+L407+O407+R407,"")</f>
        <v/>
      </c>
      <c r="AH407" s="39" t="str">
        <f>IF(AND(E407&lt;&gt;'Povolené hodnoty'!$B$4,F407=10),J407+M407+P407+S407,"")</f>
        <v/>
      </c>
      <c r="AI407" s="40" t="str">
        <f>IF(AND(E407&lt;&gt;'Povolené hodnoty'!$B$4,F407=11),J407+M407+P407+S407,"")</f>
        <v/>
      </c>
      <c r="AJ407" s="40" t="str">
        <f>IF(AND(E407&lt;&gt;'Povolené hodnoty'!$B$4,F407=12),J407+M407+P407+S407,"")</f>
        <v/>
      </c>
      <c r="AK407" s="41" t="str">
        <f>IF(AND(E407&lt;&gt;'Povolené hodnoty'!$B$4,F407=13),J407+M407+P407+S407,"")</f>
        <v/>
      </c>
      <c r="AL407" s="39" t="str">
        <f>IF(AND($G407='Povolené hodnoty'!$B$13,$H407=AL$4),SUM($I407,$L407,$O407,$R407),"")</f>
        <v/>
      </c>
      <c r="AM407" s="458" t="str">
        <f>IF(AND($G407='Povolené hodnoty'!$B$13,$H407=AM$4),SUM($I407,$L407,$O407,$R407),"")</f>
        <v/>
      </c>
      <c r="AN407" s="458" t="str">
        <f>IF(AND($G407='Povolené hodnoty'!$B$13,$H407=AN$4),SUM($I407,$L407,$O407,$R407),"")</f>
        <v/>
      </c>
      <c r="AO407" s="458" t="str">
        <f>IF(AND($G407='Povolené hodnoty'!$B$13,$H407=AO$4),SUM($I407,$L407,$O407,$R407),"")</f>
        <v/>
      </c>
      <c r="AP407" s="458" t="str">
        <f>IF(AND($G407='Povolené hodnoty'!$B$13,$H407=AP$4),SUM($I407,$L407,$O407,$R407),"")</f>
        <v/>
      </c>
      <c r="AQ407" s="40" t="str">
        <f>IF(AND($G407='Povolené hodnoty'!$B$13,OR($H407=AQ$4,$H407='Povolené hodnoty'!$E$36)),SUM($I407,-$J407,$L407,-$M407,$O407,-$P407,$R407,-$S407),"")</f>
        <v/>
      </c>
      <c r="AR407" s="40" t="str">
        <f>IF(AND($G407='Povolené hodnoty'!$B$13,$H407=AR$4),SUM($I407,$L407,$O407,$R407),"")</f>
        <v/>
      </c>
      <c r="AS407" s="41" t="str">
        <f>IF(AND($G407='Povolené hodnoty'!$B$13,$H407=AS$4),SUM($I407,$L407,$O407,$R407),"")</f>
        <v/>
      </c>
      <c r="AT407" s="39" t="str">
        <f>IF(AND($G407='Povolené hodnoty'!$B$14,$H407=AT$4),SUM($I407,$L407,$O407,$R407),"")</f>
        <v/>
      </c>
      <c r="AU407" s="458" t="str">
        <f>IF(AND($G407='Povolené hodnoty'!$B$14,$H407=AU$4),SUM($I407,$L407,$O407,$R407),"")</f>
        <v/>
      </c>
      <c r="AV407" s="41" t="str">
        <f>IF(AND($G407='Povolené hodnoty'!$B$14,$H407=AV$4),SUM($I407,$L407,$O407,$R407),"")</f>
        <v/>
      </c>
      <c r="AW407" s="39" t="str">
        <f>IF(AND($G407='Povolené hodnoty'!$B$13,$H407=AW$4),SUM($J407,$M407,$P407,$S407),"")</f>
        <v/>
      </c>
      <c r="AX407" s="458" t="str">
        <f>IF(AND($G407='Povolené hodnoty'!$B$13,$H407=AX$4),SUM($J407,$M407,$P407,$S407),"")</f>
        <v/>
      </c>
      <c r="AY407" s="458" t="str">
        <f>IF(AND($G407='Povolené hodnoty'!$B$13,$H407=AY$4),SUM($J407,$M407,$P407,$S407),"")</f>
        <v/>
      </c>
      <c r="AZ407" s="458" t="str">
        <f>IF(AND($G407='Povolené hodnoty'!$B$13,$H407=AZ$4),SUM($J407,$M407,$P407,$S407),"")</f>
        <v/>
      </c>
      <c r="BA407" s="458" t="str">
        <f>IF(AND($G407='Povolené hodnoty'!$B$13,$H407=BA$4),SUM($J407,$M407,$P407,$S407),"")</f>
        <v/>
      </c>
      <c r="BB407" s="40" t="str">
        <f>IF(AND($G407='Povolené hodnoty'!$B$13,$H407=BB$4),SUM($J407,$M407,$P407,$S407),"")</f>
        <v/>
      </c>
      <c r="BC407" s="40" t="str">
        <f>IF(AND($G407='Povolené hodnoty'!$B$13,$H407=BC$4),SUM($J407,$M407,$P407,$S407),"")</f>
        <v/>
      </c>
      <c r="BD407" s="40" t="str">
        <f>IF(AND($G407='Povolené hodnoty'!$B$13,$H407=BD$4),SUM($J407,$M407,$P407,$S407),"")</f>
        <v/>
      </c>
      <c r="BE407" s="41" t="str">
        <f>IF(AND($G407='Povolené hodnoty'!$B$13,$H407=BE$4),SUM($J407,$M407,$P407,$S407),"")</f>
        <v/>
      </c>
      <c r="BF407" s="39" t="str">
        <f>IF(AND($G407='Povolené hodnoty'!$B$14,$H407=BF$4),SUM($J407,$M407,$P407,$S407),"")</f>
        <v/>
      </c>
      <c r="BG407" s="458" t="str">
        <f>IF(AND($G407='Povolené hodnoty'!$B$14,$H407=BG$4),SUM($J407,$M407,$P407,$S407),"")</f>
        <v/>
      </c>
      <c r="BH407" s="458" t="str">
        <f>IF(AND($G407='Povolené hodnoty'!$B$14,$H407=BH$4),SUM($J407,$M407,$P407,$S407),"")</f>
        <v/>
      </c>
      <c r="BI407" s="458" t="str">
        <f>IF(AND($G407='Povolené hodnoty'!$B$14,$H407=BI$4),SUM($J407,$M407,$P407,$S407),"")</f>
        <v/>
      </c>
      <c r="BJ407" s="458" t="str">
        <f>IF(AND($G407='Povolené hodnoty'!$B$14,$H407=BJ$4),SUM($J407,$M407,$P407,$S407),"")</f>
        <v/>
      </c>
      <c r="BK407" s="40" t="str">
        <f>IF(AND($G407='Povolené hodnoty'!$B$14,$H407=BK$4),SUM($J407,$M407,$P407,$S407),"")</f>
        <v/>
      </c>
      <c r="BL407" s="40" t="str">
        <f>IF(AND($G407='Povolené hodnoty'!$B$14,$H407=BL$4),SUM($J407,$M407,$P407,$S407),"")</f>
        <v/>
      </c>
      <c r="BM407" s="41" t="str">
        <f>IF(AND($G407='Povolené hodnoty'!$B$14,$H407=BM$4),SUM($J407,$M407,$P407,$S407),"")</f>
        <v/>
      </c>
      <c r="BO407" s="18" t="b">
        <f t="shared" si="246"/>
        <v>0</v>
      </c>
      <c r="BP407" s="18" t="b">
        <f t="shared" si="217"/>
        <v>0</v>
      </c>
      <c r="BQ407" s="18" t="b">
        <f>AND(E407&lt;&gt;'Povolené hodnoty'!$B$6,F407&lt;&gt;'Povolené hodnoty'!$D$7,F407&lt;&gt;'Povolené hodnoty'!$D$8,OR(SUM(I407,L407,O407,R407)&lt;&gt;SUM(W407:X407,AA407:AG407),SUM(J407,M407,P407,S407)&lt;&gt;SUM(Y407:Z407,AH407:AK407),COUNT(I407:J407,L407:M407,O407:P407,R407:S407)&lt;&gt;COUNT(W407:AK407)))</f>
        <v>0</v>
      </c>
      <c r="BR407" s="18" t="b">
        <f>OR(AND(E407='Povolené hodnoty'!$B$6,$BR$5),AND(E407='Povolené hodnoty'!$B$6,H407&lt;&gt;'Povolené hodnoty'!$E$26,H407&lt;&gt;'Povolené hodnoty'!$E$35),AND(E407&lt;&gt;'Povolené hodnoty'!$B$6,OR(H407='Povolené hodnoty'!$E$26,H407='Povolené hodnoty'!$E$35)))</f>
        <v>0</v>
      </c>
      <c r="BS407" s="18" t="b">
        <f>OR(AND(G407&lt;&gt;'Povolené hodnoty'!$B$13,OR(H407='Povolené hodnoty'!$E$21,H407='Povolené hodnoty'!$E$22,H407='Povolené hodnoty'!$E$23,H407='Povolené hodnoty'!$E$24,H407='Povolené hodnoty'!$E$26,H407='Povolené hodnoty'!$E$36)),COUNT(I407:J407,L407:M407,O407:P407,R407:S407)&lt;&gt;COUNT(AL407:BM407))</f>
        <v>0</v>
      </c>
      <c r="BT407" s="18" t="b">
        <f t="shared" si="218"/>
        <v>0</v>
      </c>
      <c r="BV407" s="39" t="str">
        <f t="shared" si="219"/>
        <v/>
      </c>
      <c r="BW407" s="458" t="str">
        <f t="shared" si="220"/>
        <v/>
      </c>
      <c r="BX407" s="458" t="str">
        <f t="shared" si="221"/>
        <v/>
      </c>
      <c r="BY407" s="458" t="str">
        <f t="shared" si="222"/>
        <v/>
      </c>
      <c r="BZ407" s="458" t="str">
        <f t="shared" si="223"/>
        <v/>
      </c>
      <c r="CA407" s="40" t="str">
        <f t="shared" si="224"/>
        <v/>
      </c>
      <c r="CB407" s="40" t="str">
        <f t="shared" si="225"/>
        <v/>
      </c>
      <c r="CC407" s="39" t="str">
        <f t="shared" si="226"/>
        <v/>
      </c>
      <c r="CD407" s="458" t="str">
        <f t="shared" si="227"/>
        <v/>
      </c>
      <c r="CE407" s="41" t="str">
        <f t="shared" si="228"/>
        <v/>
      </c>
      <c r="CF407" s="39" t="str">
        <f t="shared" si="229"/>
        <v/>
      </c>
      <c r="CG407" s="458" t="str">
        <f t="shared" si="230"/>
        <v/>
      </c>
      <c r="CH407" s="458" t="str">
        <f t="shared" si="231"/>
        <v/>
      </c>
      <c r="CI407" s="458" t="str">
        <f t="shared" si="232"/>
        <v/>
      </c>
      <c r="CJ407" s="458" t="str">
        <f t="shared" si="233"/>
        <v/>
      </c>
      <c r="CK407" s="40" t="str">
        <f t="shared" si="234"/>
        <v/>
      </c>
      <c r="CL407" s="40" t="str">
        <f t="shared" si="235"/>
        <v/>
      </c>
      <c r="CM407" s="40" t="str">
        <f t="shared" si="236"/>
        <v/>
      </c>
      <c r="CN407" s="39" t="str">
        <f t="shared" si="237"/>
        <v/>
      </c>
      <c r="CO407" s="458" t="str">
        <f t="shared" si="238"/>
        <v/>
      </c>
      <c r="CP407" s="458" t="str">
        <f t="shared" si="239"/>
        <v/>
      </c>
      <c r="CQ407" s="458" t="str">
        <f t="shared" si="240"/>
        <v/>
      </c>
      <c r="CR407" s="458" t="str">
        <f t="shared" si="241"/>
        <v/>
      </c>
      <c r="CS407" s="40" t="str">
        <f t="shared" si="242"/>
        <v/>
      </c>
      <c r="CT407" s="40" t="str">
        <f t="shared" si="243"/>
        <v/>
      </c>
      <c r="CU407" s="41" t="str">
        <f t="shared" si="244"/>
        <v/>
      </c>
    </row>
    <row r="408" spans="1:99" x14ac:dyDescent="0.2">
      <c r="A408" s="77">
        <f t="shared" si="245"/>
        <v>403</v>
      </c>
      <c r="B408" s="81"/>
      <c r="C408" s="82"/>
      <c r="D408" s="71"/>
      <c r="E408" s="72"/>
      <c r="F408" s="73"/>
      <c r="G408" s="443"/>
      <c r="H408" s="443"/>
      <c r="I408" s="74"/>
      <c r="J408" s="75"/>
      <c r="K408" s="41">
        <f t="shared" si="214"/>
        <v>3625</v>
      </c>
      <c r="L408" s="104"/>
      <c r="M408" s="105"/>
      <c r="N408" s="106">
        <f t="shared" si="215"/>
        <v>537.05999999999995</v>
      </c>
      <c r="O408" s="104"/>
      <c r="P408" s="105"/>
      <c r="Q408" s="106">
        <f t="shared" si="247"/>
        <v>10045.83</v>
      </c>
      <c r="R408" s="104"/>
      <c r="S408" s="105"/>
      <c r="T408" s="106">
        <f t="shared" si="248"/>
        <v>0</v>
      </c>
      <c r="U408" s="439"/>
      <c r="V408" s="42">
        <f t="shared" si="216"/>
        <v>403</v>
      </c>
      <c r="W408" s="39" t="str">
        <f>IF(AND(E408='Povolené hodnoty'!$B$4,F408=2),I408+L408+O408+R408,"")</f>
        <v/>
      </c>
      <c r="X408" s="41" t="str">
        <f>IF(AND(E408='Povolené hodnoty'!$B$4,F408=1),I408+L408+O408+R408,"")</f>
        <v/>
      </c>
      <c r="Y408" s="39" t="str">
        <f>IF(AND(E408='Povolené hodnoty'!$B$4,F408=10),J408+M408+P408+S408,"")</f>
        <v/>
      </c>
      <c r="Z408" s="41" t="str">
        <f>IF(AND(E408='Povolené hodnoty'!$B$4,F408=9),J408+M408+P408+S408,"")</f>
        <v/>
      </c>
      <c r="AA408" s="39" t="str">
        <f>IF(AND(E408&lt;&gt;'Povolené hodnoty'!$B$4,F408=2),I408+L408+O408+R408,"")</f>
        <v/>
      </c>
      <c r="AB408" s="40" t="str">
        <f>IF(AND(E408&lt;&gt;'Povolené hodnoty'!$B$4,F408=3),I408+L408+O408+R408,"")</f>
        <v/>
      </c>
      <c r="AC408" s="40" t="str">
        <f>IF(AND(E408&lt;&gt;'Povolené hodnoty'!$B$4,F408=4),I408+L408+O408+R408,"")</f>
        <v/>
      </c>
      <c r="AD408" s="40" t="str">
        <f>IF(AND(E408&lt;&gt;'Povolené hodnoty'!$B$4,F408="5a"),I408-J408+L408-M408+O408-P408+R408-S408,"")</f>
        <v/>
      </c>
      <c r="AE408" s="40" t="str">
        <f>IF(AND(E408&lt;&gt;'Povolené hodnoty'!$B$4,F408="5b"),I408-J408+L408-M408+O408-P408+R408-S408,"")</f>
        <v/>
      </c>
      <c r="AF408" s="40" t="str">
        <f>IF(AND(E408&lt;&gt;'Povolené hodnoty'!$B$4,F408=6),I408+L408+O408+R408,"")</f>
        <v/>
      </c>
      <c r="AG408" s="41" t="str">
        <f>IF(AND(E408&lt;&gt;'Povolené hodnoty'!$B$4,F408=7),I408+L408+O408+R408,"")</f>
        <v/>
      </c>
      <c r="AH408" s="39" t="str">
        <f>IF(AND(E408&lt;&gt;'Povolené hodnoty'!$B$4,F408=10),J408+M408+P408+S408,"")</f>
        <v/>
      </c>
      <c r="AI408" s="40" t="str">
        <f>IF(AND(E408&lt;&gt;'Povolené hodnoty'!$B$4,F408=11),J408+M408+P408+S408,"")</f>
        <v/>
      </c>
      <c r="AJ408" s="40" t="str">
        <f>IF(AND(E408&lt;&gt;'Povolené hodnoty'!$B$4,F408=12),J408+M408+P408+S408,"")</f>
        <v/>
      </c>
      <c r="AK408" s="41" t="str">
        <f>IF(AND(E408&lt;&gt;'Povolené hodnoty'!$B$4,F408=13),J408+M408+P408+S408,"")</f>
        <v/>
      </c>
      <c r="AL408" s="39" t="str">
        <f>IF(AND($G408='Povolené hodnoty'!$B$13,$H408=AL$4),SUM($I408,$L408,$O408,$R408),"")</f>
        <v/>
      </c>
      <c r="AM408" s="458" t="str">
        <f>IF(AND($G408='Povolené hodnoty'!$B$13,$H408=AM$4),SUM($I408,$L408,$O408,$R408),"")</f>
        <v/>
      </c>
      <c r="AN408" s="458" t="str">
        <f>IF(AND($G408='Povolené hodnoty'!$B$13,$H408=AN$4),SUM($I408,$L408,$O408,$R408),"")</f>
        <v/>
      </c>
      <c r="AO408" s="458" t="str">
        <f>IF(AND($G408='Povolené hodnoty'!$B$13,$H408=AO$4),SUM($I408,$L408,$O408,$R408),"")</f>
        <v/>
      </c>
      <c r="AP408" s="458" t="str">
        <f>IF(AND($G408='Povolené hodnoty'!$B$13,$H408=AP$4),SUM($I408,$L408,$O408,$R408),"")</f>
        <v/>
      </c>
      <c r="AQ408" s="40" t="str">
        <f>IF(AND($G408='Povolené hodnoty'!$B$13,OR($H408=AQ$4,$H408='Povolené hodnoty'!$E$36)),SUM($I408,-$J408,$L408,-$M408,$O408,-$P408,$R408,-$S408),"")</f>
        <v/>
      </c>
      <c r="AR408" s="40" t="str">
        <f>IF(AND($G408='Povolené hodnoty'!$B$13,$H408=AR$4),SUM($I408,$L408,$O408,$R408),"")</f>
        <v/>
      </c>
      <c r="AS408" s="41" t="str">
        <f>IF(AND($G408='Povolené hodnoty'!$B$13,$H408=AS$4),SUM($I408,$L408,$O408,$R408),"")</f>
        <v/>
      </c>
      <c r="AT408" s="39" t="str">
        <f>IF(AND($G408='Povolené hodnoty'!$B$14,$H408=AT$4),SUM($I408,$L408,$O408,$R408),"")</f>
        <v/>
      </c>
      <c r="AU408" s="458" t="str">
        <f>IF(AND($G408='Povolené hodnoty'!$B$14,$H408=AU$4),SUM($I408,$L408,$O408,$R408),"")</f>
        <v/>
      </c>
      <c r="AV408" s="41" t="str">
        <f>IF(AND($G408='Povolené hodnoty'!$B$14,$H408=AV$4),SUM($I408,$L408,$O408,$R408),"")</f>
        <v/>
      </c>
      <c r="AW408" s="39" t="str">
        <f>IF(AND($G408='Povolené hodnoty'!$B$13,$H408=AW$4),SUM($J408,$M408,$P408,$S408),"")</f>
        <v/>
      </c>
      <c r="AX408" s="458" t="str">
        <f>IF(AND($G408='Povolené hodnoty'!$B$13,$H408=AX$4),SUM($J408,$M408,$P408,$S408),"")</f>
        <v/>
      </c>
      <c r="AY408" s="458" t="str">
        <f>IF(AND($G408='Povolené hodnoty'!$B$13,$H408=AY$4),SUM($J408,$M408,$P408,$S408),"")</f>
        <v/>
      </c>
      <c r="AZ408" s="458" t="str">
        <f>IF(AND($G408='Povolené hodnoty'!$B$13,$H408=AZ$4),SUM($J408,$M408,$P408,$S408),"")</f>
        <v/>
      </c>
      <c r="BA408" s="458" t="str">
        <f>IF(AND($G408='Povolené hodnoty'!$B$13,$H408=BA$4),SUM($J408,$M408,$P408,$S408),"")</f>
        <v/>
      </c>
      <c r="BB408" s="40" t="str">
        <f>IF(AND($G408='Povolené hodnoty'!$B$13,$H408=BB$4),SUM($J408,$M408,$P408,$S408),"")</f>
        <v/>
      </c>
      <c r="BC408" s="40" t="str">
        <f>IF(AND($G408='Povolené hodnoty'!$B$13,$H408=BC$4),SUM($J408,$M408,$P408,$S408),"")</f>
        <v/>
      </c>
      <c r="BD408" s="40" t="str">
        <f>IF(AND($G408='Povolené hodnoty'!$B$13,$H408=BD$4),SUM($J408,$M408,$P408,$S408),"")</f>
        <v/>
      </c>
      <c r="BE408" s="41" t="str">
        <f>IF(AND($G408='Povolené hodnoty'!$B$13,$H408=BE$4),SUM($J408,$M408,$P408,$S408),"")</f>
        <v/>
      </c>
      <c r="BF408" s="39" t="str">
        <f>IF(AND($G408='Povolené hodnoty'!$B$14,$H408=BF$4),SUM($J408,$M408,$P408,$S408),"")</f>
        <v/>
      </c>
      <c r="BG408" s="458" t="str">
        <f>IF(AND($G408='Povolené hodnoty'!$B$14,$H408=BG$4),SUM($J408,$M408,$P408,$S408),"")</f>
        <v/>
      </c>
      <c r="BH408" s="458" t="str">
        <f>IF(AND($G408='Povolené hodnoty'!$B$14,$H408=BH$4),SUM($J408,$M408,$P408,$S408),"")</f>
        <v/>
      </c>
      <c r="BI408" s="458" t="str">
        <f>IF(AND($G408='Povolené hodnoty'!$B$14,$H408=BI$4),SUM($J408,$M408,$P408,$S408),"")</f>
        <v/>
      </c>
      <c r="BJ408" s="458" t="str">
        <f>IF(AND($G408='Povolené hodnoty'!$B$14,$H408=BJ$4),SUM($J408,$M408,$P408,$S408),"")</f>
        <v/>
      </c>
      <c r="BK408" s="40" t="str">
        <f>IF(AND($G408='Povolené hodnoty'!$B$14,$H408=BK$4),SUM($J408,$M408,$P408,$S408),"")</f>
        <v/>
      </c>
      <c r="BL408" s="40" t="str">
        <f>IF(AND($G408='Povolené hodnoty'!$B$14,$H408=BL$4),SUM($J408,$M408,$P408,$S408),"")</f>
        <v/>
      </c>
      <c r="BM408" s="41" t="str">
        <f>IF(AND($G408='Povolené hodnoty'!$B$14,$H408=BM$4),SUM($J408,$M408,$P408,$S408),"")</f>
        <v/>
      </c>
      <c r="BO408" s="18" t="b">
        <f t="shared" si="246"/>
        <v>0</v>
      </c>
      <c r="BP408" s="18" t="b">
        <f t="shared" si="217"/>
        <v>0</v>
      </c>
      <c r="BQ408" s="18" t="b">
        <f>AND(E408&lt;&gt;'Povolené hodnoty'!$B$6,F408&lt;&gt;'Povolené hodnoty'!$D$7,F408&lt;&gt;'Povolené hodnoty'!$D$8,OR(SUM(I408,L408,O408,R408)&lt;&gt;SUM(W408:X408,AA408:AG408),SUM(J408,M408,P408,S408)&lt;&gt;SUM(Y408:Z408,AH408:AK408),COUNT(I408:J408,L408:M408,O408:P408,R408:S408)&lt;&gt;COUNT(W408:AK408)))</f>
        <v>0</v>
      </c>
      <c r="BR408" s="18" t="b">
        <f>OR(AND(E408='Povolené hodnoty'!$B$6,$BR$5),AND(E408='Povolené hodnoty'!$B$6,H408&lt;&gt;'Povolené hodnoty'!$E$26,H408&lt;&gt;'Povolené hodnoty'!$E$35),AND(E408&lt;&gt;'Povolené hodnoty'!$B$6,OR(H408='Povolené hodnoty'!$E$26,H408='Povolené hodnoty'!$E$35)))</f>
        <v>0</v>
      </c>
      <c r="BS408" s="18" t="b">
        <f>OR(AND(G408&lt;&gt;'Povolené hodnoty'!$B$13,OR(H408='Povolené hodnoty'!$E$21,H408='Povolené hodnoty'!$E$22,H408='Povolené hodnoty'!$E$23,H408='Povolené hodnoty'!$E$24,H408='Povolené hodnoty'!$E$26,H408='Povolené hodnoty'!$E$36)),COUNT(I408:J408,L408:M408,O408:P408,R408:S408)&lt;&gt;COUNT(AL408:BM408))</f>
        <v>0</v>
      </c>
      <c r="BT408" s="18" t="b">
        <f t="shared" si="218"/>
        <v>0</v>
      </c>
      <c r="BV408" s="39" t="str">
        <f t="shared" si="219"/>
        <v/>
      </c>
      <c r="BW408" s="458" t="str">
        <f t="shared" si="220"/>
        <v/>
      </c>
      <c r="BX408" s="458" t="str">
        <f t="shared" si="221"/>
        <v/>
      </c>
      <c r="BY408" s="458" t="str">
        <f t="shared" si="222"/>
        <v/>
      </c>
      <c r="BZ408" s="458" t="str">
        <f t="shared" si="223"/>
        <v/>
      </c>
      <c r="CA408" s="40" t="str">
        <f t="shared" si="224"/>
        <v/>
      </c>
      <c r="CB408" s="40" t="str">
        <f t="shared" si="225"/>
        <v/>
      </c>
      <c r="CC408" s="39" t="str">
        <f t="shared" si="226"/>
        <v/>
      </c>
      <c r="CD408" s="458" t="str">
        <f t="shared" si="227"/>
        <v/>
      </c>
      <c r="CE408" s="41" t="str">
        <f t="shared" si="228"/>
        <v/>
      </c>
      <c r="CF408" s="39" t="str">
        <f t="shared" si="229"/>
        <v/>
      </c>
      <c r="CG408" s="458" t="str">
        <f t="shared" si="230"/>
        <v/>
      </c>
      <c r="CH408" s="458" t="str">
        <f t="shared" si="231"/>
        <v/>
      </c>
      <c r="CI408" s="458" t="str">
        <f t="shared" si="232"/>
        <v/>
      </c>
      <c r="CJ408" s="458" t="str">
        <f t="shared" si="233"/>
        <v/>
      </c>
      <c r="CK408" s="40" t="str">
        <f t="shared" si="234"/>
        <v/>
      </c>
      <c r="CL408" s="40" t="str">
        <f t="shared" si="235"/>
        <v/>
      </c>
      <c r="CM408" s="40" t="str">
        <f t="shared" si="236"/>
        <v/>
      </c>
      <c r="CN408" s="39" t="str">
        <f t="shared" si="237"/>
        <v/>
      </c>
      <c r="CO408" s="458" t="str">
        <f t="shared" si="238"/>
        <v/>
      </c>
      <c r="CP408" s="458" t="str">
        <f t="shared" si="239"/>
        <v/>
      </c>
      <c r="CQ408" s="458" t="str">
        <f t="shared" si="240"/>
        <v/>
      </c>
      <c r="CR408" s="458" t="str">
        <f t="shared" si="241"/>
        <v/>
      </c>
      <c r="CS408" s="40" t="str">
        <f t="shared" si="242"/>
        <v/>
      </c>
      <c r="CT408" s="40" t="str">
        <f t="shared" si="243"/>
        <v/>
      </c>
      <c r="CU408" s="41" t="str">
        <f t="shared" si="244"/>
        <v/>
      </c>
    </row>
    <row r="409" spans="1:99" x14ac:dyDescent="0.2">
      <c r="A409" s="77">
        <f t="shared" si="245"/>
        <v>404</v>
      </c>
      <c r="B409" s="81"/>
      <c r="C409" s="82"/>
      <c r="D409" s="71"/>
      <c r="E409" s="72"/>
      <c r="F409" s="73"/>
      <c r="G409" s="443"/>
      <c r="H409" s="443"/>
      <c r="I409" s="74"/>
      <c r="J409" s="75"/>
      <c r="K409" s="41">
        <f t="shared" si="214"/>
        <v>3625</v>
      </c>
      <c r="L409" s="104"/>
      <c r="M409" s="105"/>
      <c r="N409" s="106">
        <f t="shared" si="215"/>
        <v>537.05999999999995</v>
      </c>
      <c r="O409" s="104"/>
      <c r="P409" s="105"/>
      <c r="Q409" s="106">
        <f t="shared" si="247"/>
        <v>10045.83</v>
      </c>
      <c r="R409" s="104"/>
      <c r="S409" s="105"/>
      <c r="T409" s="106">
        <f t="shared" si="248"/>
        <v>0</v>
      </c>
      <c r="U409" s="439"/>
      <c r="V409" s="42">
        <f t="shared" si="216"/>
        <v>404</v>
      </c>
      <c r="W409" s="39" t="str">
        <f>IF(AND(E409='Povolené hodnoty'!$B$4,F409=2),I409+L409+O409+R409,"")</f>
        <v/>
      </c>
      <c r="X409" s="41" t="str">
        <f>IF(AND(E409='Povolené hodnoty'!$B$4,F409=1),I409+L409+O409+R409,"")</f>
        <v/>
      </c>
      <c r="Y409" s="39" t="str">
        <f>IF(AND(E409='Povolené hodnoty'!$B$4,F409=10),J409+M409+P409+S409,"")</f>
        <v/>
      </c>
      <c r="Z409" s="41" t="str">
        <f>IF(AND(E409='Povolené hodnoty'!$B$4,F409=9),J409+M409+P409+S409,"")</f>
        <v/>
      </c>
      <c r="AA409" s="39" t="str">
        <f>IF(AND(E409&lt;&gt;'Povolené hodnoty'!$B$4,F409=2),I409+L409+O409+R409,"")</f>
        <v/>
      </c>
      <c r="AB409" s="40" t="str">
        <f>IF(AND(E409&lt;&gt;'Povolené hodnoty'!$B$4,F409=3),I409+L409+O409+R409,"")</f>
        <v/>
      </c>
      <c r="AC409" s="40" t="str">
        <f>IF(AND(E409&lt;&gt;'Povolené hodnoty'!$B$4,F409=4),I409+L409+O409+R409,"")</f>
        <v/>
      </c>
      <c r="AD409" s="40" t="str">
        <f>IF(AND(E409&lt;&gt;'Povolené hodnoty'!$B$4,F409="5a"),I409-J409+L409-M409+O409-P409+R409-S409,"")</f>
        <v/>
      </c>
      <c r="AE409" s="40" t="str">
        <f>IF(AND(E409&lt;&gt;'Povolené hodnoty'!$B$4,F409="5b"),I409-J409+L409-M409+O409-P409+R409-S409,"")</f>
        <v/>
      </c>
      <c r="AF409" s="40" t="str">
        <f>IF(AND(E409&lt;&gt;'Povolené hodnoty'!$B$4,F409=6),I409+L409+O409+R409,"")</f>
        <v/>
      </c>
      <c r="AG409" s="41" t="str">
        <f>IF(AND(E409&lt;&gt;'Povolené hodnoty'!$B$4,F409=7),I409+L409+O409+R409,"")</f>
        <v/>
      </c>
      <c r="AH409" s="39" t="str">
        <f>IF(AND(E409&lt;&gt;'Povolené hodnoty'!$B$4,F409=10),J409+M409+P409+S409,"")</f>
        <v/>
      </c>
      <c r="AI409" s="40" t="str">
        <f>IF(AND(E409&lt;&gt;'Povolené hodnoty'!$B$4,F409=11),J409+M409+P409+S409,"")</f>
        <v/>
      </c>
      <c r="AJ409" s="40" t="str">
        <f>IF(AND(E409&lt;&gt;'Povolené hodnoty'!$B$4,F409=12),J409+M409+P409+S409,"")</f>
        <v/>
      </c>
      <c r="AK409" s="41" t="str">
        <f>IF(AND(E409&lt;&gt;'Povolené hodnoty'!$B$4,F409=13),J409+M409+P409+S409,"")</f>
        <v/>
      </c>
      <c r="AL409" s="39" t="str">
        <f>IF(AND($G409='Povolené hodnoty'!$B$13,$H409=AL$4),SUM($I409,$L409,$O409,$R409),"")</f>
        <v/>
      </c>
      <c r="AM409" s="458" t="str">
        <f>IF(AND($G409='Povolené hodnoty'!$B$13,$H409=AM$4),SUM($I409,$L409,$O409,$R409),"")</f>
        <v/>
      </c>
      <c r="AN409" s="458" t="str">
        <f>IF(AND($G409='Povolené hodnoty'!$B$13,$H409=AN$4),SUM($I409,$L409,$O409,$R409),"")</f>
        <v/>
      </c>
      <c r="AO409" s="458" t="str">
        <f>IF(AND($G409='Povolené hodnoty'!$B$13,$H409=AO$4),SUM($I409,$L409,$O409,$R409),"")</f>
        <v/>
      </c>
      <c r="AP409" s="458" t="str">
        <f>IF(AND($G409='Povolené hodnoty'!$B$13,$H409=AP$4),SUM($I409,$L409,$O409,$R409),"")</f>
        <v/>
      </c>
      <c r="AQ409" s="40" t="str">
        <f>IF(AND($G409='Povolené hodnoty'!$B$13,OR($H409=AQ$4,$H409='Povolené hodnoty'!$E$36)),SUM($I409,-$J409,$L409,-$M409,$O409,-$P409,$R409,-$S409),"")</f>
        <v/>
      </c>
      <c r="AR409" s="40" t="str">
        <f>IF(AND($G409='Povolené hodnoty'!$B$13,$H409=AR$4),SUM($I409,$L409,$O409,$R409),"")</f>
        <v/>
      </c>
      <c r="AS409" s="41" t="str">
        <f>IF(AND($G409='Povolené hodnoty'!$B$13,$H409=AS$4),SUM($I409,$L409,$O409,$R409),"")</f>
        <v/>
      </c>
      <c r="AT409" s="39" t="str">
        <f>IF(AND($G409='Povolené hodnoty'!$B$14,$H409=AT$4),SUM($I409,$L409,$O409,$R409),"")</f>
        <v/>
      </c>
      <c r="AU409" s="458" t="str">
        <f>IF(AND($G409='Povolené hodnoty'!$B$14,$H409=AU$4),SUM($I409,$L409,$O409,$R409),"")</f>
        <v/>
      </c>
      <c r="AV409" s="41" t="str">
        <f>IF(AND($G409='Povolené hodnoty'!$B$14,$H409=AV$4),SUM($I409,$L409,$O409,$R409),"")</f>
        <v/>
      </c>
      <c r="AW409" s="39" t="str">
        <f>IF(AND($G409='Povolené hodnoty'!$B$13,$H409=AW$4),SUM($J409,$M409,$P409,$S409),"")</f>
        <v/>
      </c>
      <c r="AX409" s="458" t="str">
        <f>IF(AND($G409='Povolené hodnoty'!$B$13,$H409=AX$4),SUM($J409,$M409,$P409,$S409),"")</f>
        <v/>
      </c>
      <c r="AY409" s="458" t="str">
        <f>IF(AND($G409='Povolené hodnoty'!$B$13,$H409=AY$4),SUM($J409,$M409,$P409,$S409),"")</f>
        <v/>
      </c>
      <c r="AZ409" s="458" t="str">
        <f>IF(AND($G409='Povolené hodnoty'!$B$13,$H409=AZ$4),SUM($J409,$M409,$P409,$S409),"")</f>
        <v/>
      </c>
      <c r="BA409" s="458" t="str">
        <f>IF(AND($G409='Povolené hodnoty'!$B$13,$H409=BA$4),SUM($J409,$M409,$P409,$S409),"")</f>
        <v/>
      </c>
      <c r="BB409" s="40" t="str">
        <f>IF(AND($G409='Povolené hodnoty'!$B$13,$H409=BB$4),SUM($J409,$M409,$P409,$S409),"")</f>
        <v/>
      </c>
      <c r="BC409" s="40" t="str">
        <f>IF(AND($G409='Povolené hodnoty'!$B$13,$H409=BC$4),SUM($J409,$M409,$P409,$S409),"")</f>
        <v/>
      </c>
      <c r="BD409" s="40" t="str">
        <f>IF(AND($G409='Povolené hodnoty'!$B$13,$H409=BD$4),SUM($J409,$M409,$P409,$S409),"")</f>
        <v/>
      </c>
      <c r="BE409" s="41" t="str">
        <f>IF(AND($G409='Povolené hodnoty'!$B$13,$H409=BE$4),SUM($J409,$M409,$P409,$S409),"")</f>
        <v/>
      </c>
      <c r="BF409" s="39" t="str">
        <f>IF(AND($G409='Povolené hodnoty'!$B$14,$H409=BF$4),SUM($J409,$M409,$P409,$S409),"")</f>
        <v/>
      </c>
      <c r="BG409" s="458" t="str">
        <f>IF(AND($G409='Povolené hodnoty'!$B$14,$H409=BG$4),SUM($J409,$M409,$P409,$S409),"")</f>
        <v/>
      </c>
      <c r="BH409" s="458" t="str">
        <f>IF(AND($G409='Povolené hodnoty'!$B$14,$H409=BH$4),SUM($J409,$M409,$P409,$S409),"")</f>
        <v/>
      </c>
      <c r="BI409" s="458" t="str">
        <f>IF(AND($G409='Povolené hodnoty'!$B$14,$H409=BI$4),SUM($J409,$M409,$P409,$S409),"")</f>
        <v/>
      </c>
      <c r="BJ409" s="458" t="str">
        <f>IF(AND($G409='Povolené hodnoty'!$B$14,$H409=BJ$4),SUM($J409,$M409,$P409,$S409),"")</f>
        <v/>
      </c>
      <c r="BK409" s="40" t="str">
        <f>IF(AND($G409='Povolené hodnoty'!$B$14,$H409=BK$4),SUM($J409,$M409,$P409,$S409),"")</f>
        <v/>
      </c>
      <c r="BL409" s="40" t="str">
        <f>IF(AND($G409='Povolené hodnoty'!$B$14,$H409=BL$4),SUM($J409,$M409,$P409,$S409),"")</f>
        <v/>
      </c>
      <c r="BM409" s="41" t="str">
        <f>IF(AND($G409='Povolené hodnoty'!$B$14,$H409=BM$4),SUM($J409,$M409,$P409,$S409),"")</f>
        <v/>
      </c>
      <c r="BO409" s="18" t="b">
        <f t="shared" si="246"/>
        <v>0</v>
      </c>
      <c r="BP409" s="18" t="b">
        <f t="shared" si="217"/>
        <v>0</v>
      </c>
      <c r="BQ409" s="18" t="b">
        <f>AND(E409&lt;&gt;'Povolené hodnoty'!$B$6,F409&lt;&gt;'Povolené hodnoty'!$D$7,F409&lt;&gt;'Povolené hodnoty'!$D$8,OR(SUM(I409,L409,O409,R409)&lt;&gt;SUM(W409:X409,AA409:AG409),SUM(J409,M409,P409,S409)&lt;&gt;SUM(Y409:Z409,AH409:AK409),COUNT(I409:J409,L409:M409,O409:P409,R409:S409)&lt;&gt;COUNT(W409:AK409)))</f>
        <v>0</v>
      </c>
      <c r="BR409" s="18" t="b">
        <f>OR(AND(E409='Povolené hodnoty'!$B$6,$BR$5),AND(E409='Povolené hodnoty'!$B$6,H409&lt;&gt;'Povolené hodnoty'!$E$26,H409&lt;&gt;'Povolené hodnoty'!$E$35),AND(E409&lt;&gt;'Povolené hodnoty'!$B$6,OR(H409='Povolené hodnoty'!$E$26,H409='Povolené hodnoty'!$E$35)))</f>
        <v>0</v>
      </c>
      <c r="BS409" s="18" t="b">
        <f>OR(AND(G409&lt;&gt;'Povolené hodnoty'!$B$13,OR(H409='Povolené hodnoty'!$E$21,H409='Povolené hodnoty'!$E$22,H409='Povolené hodnoty'!$E$23,H409='Povolené hodnoty'!$E$24,H409='Povolené hodnoty'!$E$26,H409='Povolené hodnoty'!$E$36)),COUNT(I409:J409,L409:M409,O409:P409,R409:S409)&lt;&gt;COUNT(AL409:BM409))</f>
        <v>0</v>
      </c>
      <c r="BT409" s="18" t="b">
        <f t="shared" si="218"/>
        <v>0</v>
      </c>
      <c r="BV409" s="39" t="str">
        <f t="shared" si="219"/>
        <v/>
      </c>
      <c r="BW409" s="458" t="str">
        <f t="shared" si="220"/>
        <v/>
      </c>
      <c r="BX409" s="458" t="str">
        <f t="shared" si="221"/>
        <v/>
      </c>
      <c r="BY409" s="458" t="str">
        <f t="shared" si="222"/>
        <v/>
      </c>
      <c r="BZ409" s="458" t="str">
        <f t="shared" si="223"/>
        <v/>
      </c>
      <c r="CA409" s="40" t="str">
        <f t="shared" si="224"/>
        <v/>
      </c>
      <c r="CB409" s="40" t="str">
        <f t="shared" si="225"/>
        <v/>
      </c>
      <c r="CC409" s="39" t="str">
        <f t="shared" si="226"/>
        <v/>
      </c>
      <c r="CD409" s="458" t="str">
        <f t="shared" si="227"/>
        <v/>
      </c>
      <c r="CE409" s="41" t="str">
        <f t="shared" si="228"/>
        <v/>
      </c>
      <c r="CF409" s="39" t="str">
        <f t="shared" si="229"/>
        <v/>
      </c>
      <c r="CG409" s="458" t="str">
        <f t="shared" si="230"/>
        <v/>
      </c>
      <c r="CH409" s="458" t="str">
        <f t="shared" si="231"/>
        <v/>
      </c>
      <c r="CI409" s="458" t="str">
        <f t="shared" si="232"/>
        <v/>
      </c>
      <c r="CJ409" s="458" t="str">
        <f t="shared" si="233"/>
        <v/>
      </c>
      <c r="CK409" s="40" t="str">
        <f t="shared" si="234"/>
        <v/>
      </c>
      <c r="CL409" s="40" t="str">
        <f t="shared" si="235"/>
        <v/>
      </c>
      <c r="CM409" s="40" t="str">
        <f t="shared" si="236"/>
        <v/>
      </c>
      <c r="CN409" s="39" t="str">
        <f t="shared" si="237"/>
        <v/>
      </c>
      <c r="CO409" s="458" t="str">
        <f t="shared" si="238"/>
        <v/>
      </c>
      <c r="CP409" s="458" t="str">
        <f t="shared" si="239"/>
        <v/>
      </c>
      <c r="CQ409" s="458" t="str">
        <f t="shared" si="240"/>
        <v/>
      </c>
      <c r="CR409" s="458" t="str">
        <f t="shared" si="241"/>
        <v/>
      </c>
      <c r="CS409" s="40" t="str">
        <f t="shared" si="242"/>
        <v/>
      </c>
      <c r="CT409" s="40" t="str">
        <f t="shared" si="243"/>
        <v/>
      </c>
      <c r="CU409" s="41" t="str">
        <f t="shared" si="244"/>
        <v/>
      </c>
    </row>
    <row r="410" spans="1:99" x14ac:dyDescent="0.2">
      <c r="A410" s="77">
        <f t="shared" si="245"/>
        <v>405</v>
      </c>
      <c r="B410" s="81"/>
      <c r="C410" s="82"/>
      <c r="D410" s="71"/>
      <c r="E410" s="72"/>
      <c r="F410" s="73"/>
      <c r="G410" s="443"/>
      <c r="H410" s="443"/>
      <c r="I410" s="74"/>
      <c r="J410" s="75"/>
      <c r="K410" s="41">
        <f t="shared" si="214"/>
        <v>3625</v>
      </c>
      <c r="L410" s="104"/>
      <c r="M410" s="105"/>
      <c r="N410" s="106">
        <f t="shared" si="215"/>
        <v>537.05999999999995</v>
      </c>
      <c r="O410" s="104"/>
      <c r="P410" s="105"/>
      <c r="Q410" s="106">
        <f t="shared" si="247"/>
        <v>10045.83</v>
      </c>
      <c r="R410" s="104"/>
      <c r="S410" s="105"/>
      <c r="T410" s="106">
        <f t="shared" si="248"/>
        <v>0</v>
      </c>
      <c r="U410" s="439"/>
      <c r="V410" s="42">
        <f t="shared" si="216"/>
        <v>405</v>
      </c>
      <c r="W410" s="39" t="str">
        <f>IF(AND(E410='Povolené hodnoty'!$B$4,F410=2),I410+L410+O410+R410,"")</f>
        <v/>
      </c>
      <c r="X410" s="41" t="str">
        <f>IF(AND(E410='Povolené hodnoty'!$B$4,F410=1),I410+L410+O410+R410,"")</f>
        <v/>
      </c>
      <c r="Y410" s="39" t="str">
        <f>IF(AND(E410='Povolené hodnoty'!$B$4,F410=10),J410+M410+P410+S410,"")</f>
        <v/>
      </c>
      <c r="Z410" s="41" t="str">
        <f>IF(AND(E410='Povolené hodnoty'!$B$4,F410=9),J410+M410+P410+S410,"")</f>
        <v/>
      </c>
      <c r="AA410" s="39" t="str">
        <f>IF(AND(E410&lt;&gt;'Povolené hodnoty'!$B$4,F410=2),I410+L410+O410+R410,"")</f>
        <v/>
      </c>
      <c r="AB410" s="40" t="str">
        <f>IF(AND(E410&lt;&gt;'Povolené hodnoty'!$B$4,F410=3),I410+L410+O410+R410,"")</f>
        <v/>
      </c>
      <c r="AC410" s="40" t="str">
        <f>IF(AND(E410&lt;&gt;'Povolené hodnoty'!$B$4,F410=4),I410+L410+O410+R410,"")</f>
        <v/>
      </c>
      <c r="AD410" s="40" t="str">
        <f>IF(AND(E410&lt;&gt;'Povolené hodnoty'!$B$4,F410="5a"),I410-J410+L410-M410+O410-P410+R410-S410,"")</f>
        <v/>
      </c>
      <c r="AE410" s="40" t="str">
        <f>IF(AND(E410&lt;&gt;'Povolené hodnoty'!$B$4,F410="5b"),I410-J410+L410-M410+O410-P410+R410-S410,"")</f>
        <v/>
      </c>
      <c r="AF410" s="40" t="str">
        <f>IF(AND(E410&lt;&gt;'Povolené hodnoty'!$B$4,F410=6),I410+L410+O410+R410,"")</f>
        <v/>
      </c>
      <c r="AG410" s="41" t="str">
        <f>IF(AND(E410&lt;&gt;'Povolené hodnoty'!$B$4,F410=7),I410+L410+O410+R410,"")</f>
        <v/>
      </c>
      <c r="AH410" s="39" t="str">
        <f>IF(AND(E410&lt;&gt;'Povolené hodnoty'!$B$4,F410=10),J410+M410+P410+S410,"")</f>
        <v/>
      </c>
      <c r="AI410" s="40" t="str">
        <f>IF(AND(E410&lt;&gt;'Povolené hodnoty'!$B$4,F410=11),J410+M410+P410+S410,"")</f>
        <v/>
      </c>
      <c r="AJ410" s="40" t="str">
        <f>IF(AND(E410&lt;&gt;'Povolené hodnoty'!$B$4,F410=12),J410+M410+P410+S410,"")</f>
        <v/>
      </c>
      <c r="AK410" s="41" t="str">
        <f>IF(AND(E410&lt;&gt;'Povolené hodnoty'!$B$4,F410=13),J410+M410+P410+S410,"")</f>
        <v/>
      </c>
      <c r="AL410" s="39" t="str">
        <f>IF(AND($G410='Povolené hodnoty'!$B$13,$H410=AL$4),SUM($I410,$L410,$O410,$R410),"")</f>
        <v/>
      </c>
      <c r="AM410" s="458" t="str">
        <f>IF(AND($G410='Povolené hodnoty'!$B$13,$H410=AM$4),SUM($I410,$L410,$O410,$R410),"")</f>
        <v/>
      </c>
      <c r="AN410" s="458" t="str">
        <f>IF(AND($G410='Povolené hodnoty'!$B$13,$H410=AN$4),SUM($I410,$L410,$O410,$R410),"")</f>
        <v/>
      </c>
      <c r="AO410" s="458" t="str">
        <f>IF(AND($G410='Povolené hodnoty'!$B$13,$H410=AO$4),SUM($I410,$L410,$O410,$R410),"")</f>
        <v/>
      </c>
      <c r="AP410" s="458" t="str">
        <f>IF(AND($G410='Povolené hodnoty'!$B$13,$H410=AP$4),SUM($I410,$L410,$O410,$R410),"")</f>
        <v/>
      </c>
      <c r="AQ410" s="40" t="str">
        <f>IF(AND($G410='Povolené hodnoty'!$B$13,OR($H410=AQ$4,$H410='Povolené hodnoty'!$E$36)),SUM($I410,-$J410,$L410,-$M410,$O410,-$P410,$R410,-$S410),"")</f>
        <v/>
      </c>
      <c r="AR410" s="40" t="str">
        <f>IF(AND($G410='Povolené hodnoty'!$B$13,$H410=AR$4),SUM($I410,$L410,$O410,$R410),"")</f>
        <v/>
      </c>
      <c r="AS410" s="41" t="str">
        <f>IF(AND($G410='Povolené hodnoty'!$B$13,$H410=AS$4),SUM($I410,$L410,$O410,$R410),"")</f>
        <v/>
      </c>
      <c r="AT410" s="39" t="str">
        <f>IF(AND($G410='Povolené hodnoty'!$B$14,$H410=AT$4),SUM($I410,$L410,$O410,$R410),"")</f>
        <v/>
      </c>
      <c r="AU410" s="458" t="str">
        <f>IF(AND($G410='Povolené hodnoty'!$B$14,$H410=AU$4),SUM($I410,$L410,$O410,$R410),"")</f>
        <v/>
      </c>
      <c r="AV410" s="41" t="str">
        <f>IF(AND($G410='Povolené hodnoty'!$B$14,$H410=AV$4),SUM($I410,$L410,$O410,$R410),"")</f>
        <v/>
      </c>
      <c r="AW410" s="39" t="str">
        <f>IF(AND($G410='Povolené hodnoty'!$B$13,$H410=AW$4),SUM($J410,$M410,$P410,$S410),"")</f>
        <v/>
      </c>
      <c r="AX410" s="458" t="str">
        <f>IF(AND($G410='Povolené hodnoty'!$B$13,$H410=AX$4),SUM($J410,$M410,$P410,$S410),"")</f>
        <v/>
      </c>
      <c r="AY410" s="458" t="str">
        <f>IF(AND($G410='Povolené hodnoty'!$B$13,$H410=AY$4),SUM($J410,$M410,$P410,$S410),"")</f>
        <v/>
      </c>
      <c r="AZ410" s="458" t="str">
        <f>IF(AND($G410='Povolené hodnoty'!$B$13,$H410=AZ$4),SUM($J410,$M410,$P410,$S410),"")</f>
        <v/>
      </c>
      <c r="BA410" s="458" t="str">
        <f>IF(AND($G410='Povolené hodnoty'!$B$13,$H410=BA$4),SUM($J410,$M410,$P410,$S410),"")</f>
        <v/>
      </c>
      <c r="BB410" s="40" t="str">
        <f>IF(AND($G410='Povolené hodnoty'!$B$13,$H410=BB$4),SUM($J410,$M410,$P410,$S410),"")</f>
        <v/>
      </c>
      <c r="BC410" s="40" t="str">
        <f>IF(AND($G410='Povolené hodnoty'!$B$13,$H410=BC$4),SUM($J410,$M410,$P410,$S410),"")</f>
        <v/>
      </c>
      <c r="BD410" s="40" t="str">
        <f>IF(AND($G410='Povolené hodnoty'!$B$13,$H410=BD$4),SUM($J410,$M410,$P410,$S410),"")</f>
        <v/>
      </c>
      <c r="BE410" s="41" t="str">
        <f>IF(AND($G410='Povolené hodnoty'!$B$13,$H410=BE$4),SUM($J410,$M410,$P410,$S410),"")</f>
        <v/>
      </c>
      <c r="BF410" s="39" t="str">
        <f>IF(AND($G410='Povolené hodnoty'!$B$14,$H410=BF$4),SUM($J410,$M410,$P410,$S410),"")</f>
        <v/>
      </c>
      <c r="BG410" s="458" t="str">
        <f>IF(AND($G410='Povolené hodnoty'!$B$14,$H410=BG$4),SUM($J410,$M410,$P410,$S410),"")</f>
        <v/>
      </c>
      <c r="BH410" s="458" t="str">
        <f>IF(AND($G410='Povolené hodnoty'!$B$14,$H410=BH$4),SUM($J410,$M410,$P410,$S410),"")</f>
        <v/>
      </c>
      <c r="BI410" s="458" t="str">
        <f>IF(AND($G410='Povolené hodnoty'!$B$14,$H410=BI$4),SUM($J410,$M410,$P410,$S410),"")</f>
        <v/>
      </c>
      <c r="BJ410" s="458" t="str">
        <f>IF(AND($G410='Povolené hodnoty'!$B$14,$H410=BJ$4),SUM($J410,$M410,$P410,$S410),"")</f>
        <v/>
      </c>
      <c r="BK410" s="40" t="str">
        <f>IF(AND($G410='Povolené hodnoty'!$B$14,$H410=BK$4),SUM($J410,$M410,$P410,$S410),"")</f>
        <v/>
      </c>
      <c r="BL410" s="40" t="str">
        <f>IF(AND($G410='Povolené hodnoty'!$B$14,$H410=BL$4),SUM($J410,$M410,$P410,$S410),"")</f>
        <v/>
      </c>
      <c r="BM410" s="41" t="str">
        <f>IF(AND($G410='Povolené hodnoty'!$B$14,$H410=BM$4),SUM($J410,$M410,$P410,$S410),"")</f>
        <v/>
      </c>
      <c r="BO410" s="18" t="b">
        <f t="shared" si="246"/>
        <v>0</v>
      </c>
      <c r="BP410" s="18" t="b">
        <f t="shared" si="217"/>
        <v>0</v>
      </c>
      <c r="BQ410" s="18" t="b">
        <f>AND(E410&lt;&gt;'Povolené hodnoty'!$B$6,F410&lt;&gt;'Povolené hodnoty'!$D$7,F410&lt;&gt;'Povolené hodnoty'!$D$8,OR(SUM(I410,L410,O410,R410)&lt;&gt;SUM(W410:X410,AA410:AG410),SUM(J410,M410,P410,S410)&lt;&gt;SUM(Y410:Z410,AH410:AK410),COUNT(I410:J410,L410:M410,O410:P410,R410:S410)&lt;&gt;COUNT(W410:AK410)))</f>
        <v>0</v>
      </c>
      <c r="BR410" s="18" t="b">
        <f>OR(AND(E410='Povolené hodnoty'!$B$6,$BR$5),AND(E410='Povolené hodnoty'!$B$6,H410&lt;&gt;'Povolené hodnoty'!$E$26,H410&lt;&gt;'Povolené hodnoty'!$E$35),AND(E410&lt;&gt;'Povolené hodnoty'!$B$6,OR(H410='Povolené hodnoty'!$E$26,H410='Povolené hodnoty'!$E$35)))</f>
        <v>0</v>
      </c>
      <c r="BS410" s="18" t="b">
        <f>OR(AND(G410&lt;&gt;'Povolené hodnoty'!$B$13,OR(H410='Povolené hodnoty'!$E$21,H410='Povolené hodnoty'!$E$22,H410='Povolené hodnoty'!$E$23,H410='Povolené hodnoty'!$E$24,H410='Povolené hodnoty'!$E$26,H410='Povolené hodnoty'!$E$36)),COUNT(I410:J410,L410:M410,O410:P410,R410:S410)&lt;&gt;COUNT(AL410:BM410))</f>
        <v>0</v>
      </c>
      <c r="BT410" s="18" t="b">
        <f t="shared" si="218"/>
        <v>0</v>
      </c>
      <c r="BV410" s="39" t="str">
        <f t="shared" si="219"/>
        <v/>
      </c>
      <c r="BW410" s="458" t="str">
        <f t="shared" si="220"/>
        <v/>
      </c>
      <c r="BX410" s="458" t="str">
        <f t="shared" si="221"/>
        <v/>
      </c>
      <c r="BY410" s="458" t="str">
        <f t="shared" si="222"/>
        <v/>
      </c>
      <c r="BZ410" s="458" t="str">
        <f t="shared" si="223"/>
        <v/>
      </c>
      <c r="CA410" s="40" t="str">
        <f t="shared" si="224"/>
        <v/>
      </c>
      <c r="CB410" s="40" t="str">
        <f t="shared" si="225"/>
        <v/>
      </c>
      <c r="CC410" s="39" t="str">
        <f t="shared" si="226"/>
        <v/>
      </c>
      <c r="CD410" s="458" t="str">
        <f t="shared" si="227"/>
        <v/>
      </c>
      <c r="CE410" s="41" t="str">
        <f t="shared" si="228"/>
        <v/>
      </c>
      <c r="CF410" s="39" t="str">
        <f t="shared" si="229"/>
        <v/>
      </c>
      <c r="CG410" s="458" t="str">
        <f t="shared" si="230"/>
        <v/>
      </c>
      <c r="CH410" s="458" t="str">
        <f t="shared" si="231"/>
        <v/>
      </c>
      <c r="CI410" s="458" t="str">
        <f t="shared" si="232"/>
        <v/>
      </c>
      <c r="CJ410" s="458" t="str">
        <f t="shared" si="233"/>
        <v/>
      </c>
      <c r="CK410" s="40" t="str">
        <f t="shared" si="234"/>
        <v/>
      </c>
      <c r="CL410" s="40" t="str">
        <f t="shared" si="235"/>
        <v/>
      </c>
      <c r="CM410" s="40" t="str">
        <f t="shared" si="236"/>
        <v/>
      </c>
      <c r="CN410" s="39" t="str">
        <f t="shared" si="237"/>
        <v/>
      </c>
      <c r="CO410" s="458" t="str">
        <f t="shared" si="238"/>
        <v/>
      </c>
      <c r="CP410" s="458" t="str">
        <f t="shared" si="239"/>
        <v/>
      </c>
      <c r="CQ410" s="458" t="str">
        <f t="shared" si="240"/>
        <v/>
      </c>
      <c r="CR410" s="458" t="str">
        <f t="shared" si="241"/>
        <v/>
      </c>
      <c r="CS410" s="40" t="str">
        <f t="shared" si="242"/>
        <v/>
      </c>
      <c r="CT410" s="40" t="str">
        <f t="shared" si="243"/>
        <v/>
      </c>
      <c r="CU410" s="41" t="str">
        <f t="shared" si="244"/>
        <v/>
      </c>
    </row>
    <row r="411" spans="1:99" x14ac:dyDescent="0.2">
      <c r="A411" s="77">
        <f t="shared" si="245"/>
        <v>406</v>
      </c>
      <c r="B411" s="81"/>
      <c r="C411" s="82"/>
      <c r="D411" s="71"/>
      <c r="E411" s="72"/>
      <c r="F411" s="73"/>
      <c r="G411" s="443"/>
      <c r="H411" s="443"/>
      <c r="I411" s="74"/>
      <c r="J411" s="75"/>
      <c r="K411" s="41">
        <f t="shared" si="214"/>
        <v>3625</v>
      </c>
      <c r="L411" s="104"/>
      <c r="M411" s="105"/>
      <c r="N411" s="106">
        <f t="shared" si="215"/>
        <v>537.05999999999995</v>
      </c>
      <c r="O411" s="104"/>
      <c r="P411" s="105"/>
      <c r="Q411" s="106">
        <f t="shared" si="247"/>
        <v>10045.83</v>
      </c>
      <c r="R411" s="104"/>
      <c r="S411" s="105"/>
      <c r="T411" s="106">
        <f t="shared" si="248"/>
        <v>0</v>
      </c>
      <c r="U411" s="439"/>
      <c r="V411" s="42">
        <f t="shared" si="216"/>
        <v>406</v>
      </c>
      <c r="W411" s="39" t="str">
        <f>IF(AND(E411='Povolené hodnoty'!$B$4,F411=2),I411+L411+O411+R411,"")</f>
        <v/>
      </c>
      <c r="X411" s="41" t="str">
        <f>IF(AND(E411='Povolené hodnoty'!$B$4,F411=1),I411+L411+O411+R411,"")</f>
        <v/>
      </c>
      <c r="Y411" s="39" t="str">
        <f>IF(AND(E411='Povolené hodnoty'!$B$4,F411=10),J411+M411+P411+S411,"")</f>
        <v/>
      </c>
      <c r="Z411" s="41" t="str">
        <f>IF(AND(E411='Povolené hodnoty'!$B$4,F411=9),J411+M411+P411+S411,"")</f>
        <v/>
      </c>
      <c r="AA411" s="39" t="str">
        <f>IF(AND(E411&lt;&gt;'Povolené hodnoty'!$B$4,F411=2),I411+L411+O411+R411,"")</f>
        <v/>
      </c>
      <c r="AB411" s="40" t="str">
        <f>IF(AND(E411&lt;&gt;'Povolené hodnoty'!$B$4,F411=3),I411+L411+O411+R411,"")</f>
        <v/>
      </c>
      <c r="AC411" s="40" t="str">
        <f>IF(AND(E411&lt;&gt;'Povolené hodnoty'!$B$4,F411=4),I411+L411+O411+R411,"")</f>
        <v/>
      </c>
      <c r="AD411" s="40" t="str">
        <f>IF(AND(E411&lt;&gt;'Povolené hodnoty'!$B$4,F411="5a"),I411-J411+L411-M411+O411-P411+R411-S411,"")</f>
        <v/>
      </c>
      <c r="AE411" s="40" t="str">
        <f>IF(AND(E411&lt;&gt;'Povolené hodnoty'!$B$4,F411="5b"),I411-J411+L411-M411+O411-P411+R411-S411,"")</f>
        <v/>
      </c>
      <c r="AF411" s="40" t="str">
        <f>IF(AND(E411&lt;&gt;'Povolené hodnoty'!$B$4,F411=6),I411+L411+O411+R411,"")</f>
        <v/>
      </c>
      <c r="AG411" s="41" t="str">
        <f>IF(AND(E411&lt;&gt;'Povolené hodnoty'!$B$4,F411=7),I411+L411+O411+R411,"")</f>
        <v/>
      </c>
      <c r="AH411" s="39" t="str">
        <f>IF(AND(E411&lt;&gt;'Povolené hodnoty'!$B$4,F411=10),J411+M411+P411+S411,"")</f>
        <v/>
      </c>
      <c r="AI411" s="40" t="str">
        <f>IF(AND(E411&lt;&gt;'Povolené hodnoty'!$B$4,F411=11),J411+M411+P411+S411,"")</f>
        <v/>
      </c>
      <c r="AJ411" s="40" t="str">
        <f>IF(AND(E411&lt;&gt;'Povolené hodnoty'!$B$4,F411=12),J411+M411+P411+S411,"")</f>
        <v/>
      </c>
      <c r="AK411" s="41" t="str">
        <f>IF(AND(E411&lt;&gt;'Povolené hodnoty'!$B$4,F411=13),J411+M411+P411+S411,"")</f>
        <v/>
      </c>
      <c r="AL411" s="39" t="str">
        <f>IF(AND($G411='Povolené hodnoty'!$B$13,$H411=AL$4),SUM($I411,$L411,$O411,$R411),"")</f>
        <v/>
      </c>
      <c r="AM411" s="458" t="str">
        <f>IF(AND($G411='Povolené hodnoty'!$B$13,$H411=AM$4),SUM($I411,$L411,$O411,$R411),"")</f>
        <v/>
      </c>
      <c r="AN411" s="458" t="str">
        <f>IF(AND($G411='Povolené hodnoty'!$B$13,$H411=AN$4),SUM($I411,$L411,$O411,$R411),"")</f>
        <v/>
      </c>
      <c r="AO411" s="458" t="str">
        <f>IF(AND($G411='Povolené hodnoty'!$B$13,$H411=AO$4),SUM($I411,$L411,$O411,$R411),"")</f>
        <v/>
      </c>
      <c r="AP411" s="458" t="str">
        <f>IF(AND($G411='Povolené hodnoty'!$B$13,$H411=AP$4),SUM($I411,$L411,$O411,$R411),"")</f>
        <v/>
      </c>
      <c r="AQ411" s="40" t="str">
        <f>IF(AND($G411='Povolené hodnoty'!$B$13,OR($H411=AQ$4,$H411='Povolené hodnoty'!$E$36)),SUM($I411,-$J411,$L411,-$M411,$O411,-$P411,$R411,-$S411),"")</f>
        <v/>
      </c>
      <c r="AR411" s="40" t="str">
        <f>IF(AND($G411='Povolené hodnoty'!$B$13,$H411=AR$4),SUM($I411,$L411,$O411,$R411),"")</f>
        <v/>
      </c>
      <c r="AS411" s="41" t="str">
        <f>IF(AND($G411='Povolené hodnoty'!$B$13,$H411=AS$4),SUM($I411,$L411,$O411,$R411),"")</f>
        <v/>
      </c>
      <c r="AT411" s="39" t="str">
        <f>IF(AND($G411='Povolené hodnoty'!$B$14,$H411=AT$4),SUM($I411,$L411,$O411,$R411),"")</f>
        <v/>
      </c>
      <c r="AU411" s="458" t="str">
        <f>IF(AND($G411='Povolené hodnoty'!$B$14,$H411=AU$4),SUM($I411,$L411,$O411,$R411),"")</f>
        <v/>
      </c>
      <c r="AV411" s="41" t="str">
        <f>IF(AND($G411='Povolené hodnoty'!$B$14,$H411=AV$4),SUM($I411,$L411,$O411,$R411),"")</f>
        <v/>
      </c>
      <c r="AW411" s="39" t="str">
        <f>IF(AND($G411='Povolené hodnoty'!$B$13,$H411=AW$4),SUM($J411,$M411,$P411,$S411),"")</f>
        <v/>
      </c>
      <c r="AX411" s="458" t="str">
        <f>IF(AND($G411='Povolené hodnoty'!$B$13,$H411=AX$4),SUM($J411,$M411,$P411,$S411),"")</f>
        <v/>
      </c>
      <c r="AY411" s="458" t="str">
        <f>IF(AND($G411='Povolené hodnoty'!$B$13,$H411=AY$4),SUM($J411,$M411,$P411,$S411),"")</f>
        <v/>
      </c>
      <c r="AZ411" s="458" t="str">
        <f>IF(AND($G411='Povolené hodnoty'!$B$13,$H411=AZ$4),SUM($J411,$M411,$P411,$S411),"")</f>
        <v/>
      </c>
      <c r="BA411" s="458" t="str">
        <f>IF(AND($G411='Povolené hodnoty'!$B$13,$H411=BA$4),SUM($J411,$M411,$P411,$S411),"")</f>
        <v/>
      </c>
      <c r="BB411" s="40" t="str">
        <f>IF(AND($G411='Povolené hodnoty'!$B$13,$H411=BB$4),SUM($J411,$M411,$P411,$S411),"")</f>
        <v/>
      </c>
      <c r="BC411" s="40" t="str">
        <f>IF(AND($G411='Povolené hodnoty'!$B$13,$H411=BC$4),SUM($J411,$M411,$P411,$S411),"")</f>
        <v/>
      </c>
      <c r="BD411" s="40" t="str">
        <f>IF(AND($G411='Povolené hodnoty'!$B$13,$H411=BD$4),SUM($J411,$M411,$P411,$S411),"")</f>
        <v/>
      </c>
      <c r="BE411" s="41" t="str">
        <f>IF(AND($G411='Povolené hodnoty'!$B$13,$H411=BE$4),SUM($J411,$M411,$P411,$S411),"")</f>
        <v/>
      </c>
      <c r="BF411" s="39" t="str">
        <f>IF(AND($G411='Povolené hodnoty'!$B$14,$H411=BF$4),SUM($J411,$M411,$P411,$S411),"")</f>
        <v/>
      </c>
      <c r="BG411" s="458" t="str">
        <f>IF(AND($G411='Povolené hodnoty'!$B$14,$H411=BG$4),SUM($J411,$M411,$P411,$S411),"")</f>
        <v/>
      </c>
      <c r="BH411" s="458" t="str">
        <f>IF(AND($G411='Povolené hodnoty'!$B$14,$H411=BH$4),SUM($J411,$M411,$P411,$S411),"")</f>
        <v/>
      </c>
      <c r="BI411" s="458" t="str">
        <f>IF(AND($G411='Povolené hodnoty'!$B$14,$H411=BI$4),SUM($J411,$M411,$P411,$S411),"")</f>
        <v/>
      </c>
      <c r="BJ411" s="458" t="str">
        <f>IF(AND($G411='Povolené hodnoty'!$B$14,$H411=BJ$4),SUM($J411,$M411,$P411,$S411),"")</f>
        <v/>
      </c>
      <c r="BK411" s="40" t="str">
        <f>IF(AND($G411='Povolené hodnoty'!$B$14,$H411=BK$4),SUM($J411,$M411,$P411,$S411),"")</f>
        <v/>
      </c>
      <c r="BL411" s="40" t="str">
        <f>IF(AND($G411='Povolené hodnoty'!$B$14,$H411=BL$4),SUM($J411,$M411,$P411,$S411),"")</f>
        <v/>
      </c>
      <c r="BM411" s="41" t="str">
        <f>IF(AND($G411='Povolené hodnoty'!$B$14,$H411=BM$4),SUM($J411,$M411,$P411,$S411),"")</f>
        <v/>
      </c>
      <c r="BO411" s="18" t="b">
        <f t="shared" si="246"/>
        <v>0</v>
      </c>
      <c r="BP411" s="18" t="b">
        <f t="shared" si="217"/>
        <v>0</v>
      </c>
      <c r="BQ411" s="18" t="b">
        <f>AND(E411&lt;&gt;'Povolené hodnoty'!$B$6,F411&lt;&gt;'Povolené hodnoty'!$D$7,F411&lt;&gt;'Povolené hodnoty'!$D$8,OR(SUM(I411,L411,O411,R411)&lt;&gt;SUM(W411:X411,AA411:AG411),SUM(J411,M411,P411,S411)&lt;&gt;SUM(Y411:Z411,AH411:AK411),COUNT(I411:J411,L411:M411,O411:P411,R411:S411)&lt;&gt;COUNT(W411:AK411)))</f>
        <v>0</v>
      </c>
      <c r="BR411" s="18" t="b">
        <f>OR(AND(E411='Povolené hodnoty'!$B$6,$BR$5),AND(E411='Povolené hodnoty'!$B$6,H411&lt;&gt;'Povolené hodnoty'!$E$26,H411&lt;&gt;'Povolené hodnoty'!$E$35),AND(E411&lt;&gt;'Povolené hodnoty'!$B$6,OR(H411='Povolené hodnoty'!$E$26,H411='Povolené hodnoty'!$E$35)))</f>
        <v>0</v>
      </c>
      <c r="BS411" s="18" t="b">
        <f>OR(AND(G411&lt;&gt;'Povolené hodnoty'!$B$13,OR(H411='Povolené hodnoty'!$E$21,H411='Povolené hodnoty'!$E$22,H411='Povolené hodnoty'!$E$23,H411='Povolené hodnoty'!$E$24,H411='Povolené hodnoty'!$E$26,H411='Povolené hodnoty'!$E$36)),COUNT(I411:J411,L411:M411,O411:P411,R411:S411)&lt;&gt;COUNT(AL411:BM411))</f>
        <v>0</v>
      </c>
      <c r="BT411" s="18" t="b">
        <f t="shared" si="218"/>
        <v>0</v>
      </c>
      <c r="BV411" s="39" t="str">
        <f t="shared" si="219"/>
        <v/>
      </c>
      <c r="BW411" s="458" t="str">
        <f t="shared" si="220"/>
        <v/>
      </c>
      <c r="BX411" s="458" t="str">
        <f t="shared" si="221"/>
        <v/>
      </c>
      <c r="BY411" s="458" t="str">
        <f t="shared" si="222"/>
        <v/>
      </c>
      <c r="BZ411" s="458" t="str">
        <f t="shared" si="223"/>
        <v/>
      </c>
      <c r="CA411" s="40" t="str">
        <f t="shared" si="224"/>
        <v/>
      </c>
      <c r="CB411" s="40" t="str">
        <f t="shared" si="225"/>
        <v/>
      </c>
      <c r="CC411" s="39" t="str">
        <f t="shared" si="226"/>
        <v/>
      </c>
      <c r="CD411" s="458" t="str">
        <f t="shared" si="227"/>
        <v/>
      </c>
      <c r="CE411" s="41" t="str">
        <f t="shared" si="228"/>
        <v/>
      </c>
      <c r="CF411" s="39" t="str">
        <f t="shared" si="229"/>
        <v/>
      </c>
      <c r="CG411" s="458" t="str">
        <f t="shared" si="230"/>
        <v/>
      </c>
      <c r="CH411" s="458" t="str">
        <f t="shared" si="231"/>
        <v/>
      </c>
      <c r="CI411" s="458" t="str">
        <f t="shared" si="232"/>
        <v/>
      </c>
      <c r="CJ411" s="458" t="str">
        <f t="shared" si="233"/>
        <v/>
      </c>
      <c r="CK411" s="40" t="str">
        <f t="shared" si="234"/>
        <v/>
      </c>
      <c r="CL411" s="40" t="str">
        <f t="shared" si="235"/>
        <v/>
      </c>
      <c r="CM411" s="40" t="str">
        <f t="shared" si="236"/>
        <v/>
      </c>
      <c r="CN411" s="39" t="str">
        <f t="shared" si="237"/>
        <v/>
      </c>
      <c r="CO411" s="458" t="str">
        <f t="shared" si="238"/>
        <v/>
      </c>
      <c r="CP411" s="458" t="str">
        <f t="shared" si="239"/>
        <v/>
      </c>
      <c r="CQ411" s="458" t="str">
        <f t="shared" si="240"/>
        <v/>
      </c>
      <c r="CR411" s="458" t="str">
        <f t="shared" si="241"/>
        <v/>
      </c>
      <c r="CS411" s="40" t="str">
        <f t="shared" si="242"/>
        <v/>
      </c>
      <c r="CT411" s="40" t="str">
        <f t="shared" si="243"/>
        <v/>
      </c>
      <c r="CU411" s="41" t="str">
        <f t="shared" si="244"/>
        <v/>
      </c>
    </row>
    <row r="412" spans="1:99" x14ac:dyDescent="0.2">
      <c r="A412" s="77">
        <f t="shared" si="245"/>
        <v>407</v>
      </c>
      <c r="B412" s="81"/>
      <c r="C412" s="82"/>
      <c r="D412" s="71"/>
      <c r="E412" s="72"/>
      <c r="F412" s="73"/>
      <c r="G412" s="443"/>
      <c r="H412" s="443"/>
      <c r="I412" s="74"/>
      <c r="J412" s="75"/>
      <c r="K412" s="41">
        <f t="shared" si="214"/>
        <v>3625</v>
      </c>
      <c r="L412" s="104"/>
      <c r="M412" s="105"/>
      <c r="N412" s="106">
        <f t="shared" si="215"/>
        <v>537.05999999999995</v>
      </c>
      <c r="O412" s="104"/>
      <c r="P412" s="105"/>
      <c r="Q412" s="106">
        <f t="shared" si="247"/>
        <v>10045.83</v>
      </c>
      <c r="R412" s="104"/>
      <c r="S412" s="105"/>
      <c r="T412" s="106">
        <f t="shared" si="248"/>
        <v>0</v>
      </c>
      <c r="U412" s="439"/>
      <c r="V412" s="42">
        <f t="shared" si="216"/>
        <v>407</v>
      </c>
      <c r="W412" s="39" t="str">
        <f>IF(AND(E412='Povolené hodnoty'!$B$4,F412=2),I412+L412+O412+R412,"")</f>
        <v/>
      </c>
      <c r="X412" s="41" t="str">
        <f>IF(AND(E412='Povolené hodnoty'!$B$4,F412=1),I412+L412+O412+R412,"")</f>
        <v/>
      </c>
      <c r="Y412" s="39" t="str">
        <f>IF(AND(E412='Povolené hodnoty'!$B$4,F412=10),J412+M412+P412+S412,"")</f>
        <v/>
      </c>
      <c r="Z412" s="41" t="str">
        <f>IF(AND(E412='Povolené hodnoty'!$B$4,F412=9),J412+M412+P412+S412,"")</f>
        <v/>
      </c>
      <c r="AA412" s="39" t="str">
        <f>IF(AND(E412&lt;&gt;'Povolené hodnoty'!$B$4,F412=2),I412+L412+O412+R412,"")</f>
        <v/>
      </c>
      <c r="AB412" s="40" t="str">
        <f>IF(AND(E412&lt;&gt;'Povolené hodnoty'!$B$4,F412=3),I412+L412+O412+R412,"")</f>
        <v/>
      </c>
      <c r="AC412" s="40" t="str">
        <f>IF(AND(E412&lt;&gt;'Povolené hodnoty'!$B$4,F412=4),I412+L412+O412+R412,"")</f>
        <v/>
      </c>
      <c r="AD412" s="40" t="str">
        <f>IF(AND(E412&lt;&gt;'Povolené hodnoty'!$B$4,F412="5a"),I412-J412+L412-M412+O412-P412+R412-S412,"")</f>
        <v/>
      </c>
      <c r="AE412" s="40" t="str">
        <f>IF(AND(E412&lt;&gt;'Povolené hodnoty'!$B$4,F412="5b"),I412-J412+L412-M412+O412-P412+R412-S412,"")</f>
        <v/>
      </c>
      <c r="AF412" s="40" t="str">
        <f>IF(AND(E412&lt;&gt;'Povolené hodnoty'!$B$4,F412=6),I412+L412+O412+R412,"")</f>
        <v/>
      </c>
      <c r="AG412" s="41" t="str">
        <f>IF(AND(E412&lt;&gt;'Povolené hodnoty'!$B$4,F412=7),I412+L412+O412+R412,"")</f>
        <v/>
      </c>
      <c r="AH412" s="39" t="str">
        <f>IF(AND(E412&lt;&gt;'Povolené hodnoty'!$B$4,F412=10),J412+M412+P412+S412,"")</f>
        <v/>
      </c>
      <c r="AI412" s="40" t="str">
        <f>IF(AND(E412&lt;&gt;'Povolené hodnoty'!$B$4,F412=11),J412+M412+P412+S412,"")</f>
        <v/>
      </c>
      <c r="AJ412" s="40" t="str">
        <f>IF(AND(E412&lt;&gt;'Povolené hodnoty'!$B$4,F412=12),J412+M412+P412+S412,"")</f>
        <v/>
      </c>
      <c r="AK412" s="41" t="str">
        <f>IF(AND(E412&lt;&gt;'Povolené hodnoty'!$B$4,F412=13),J412+M412+P412+S412,"")</f>
        <v/>
      </c>
      <c r="AL412" s="39" t="str">
        <f>IF(AND($G412='Povolené hodnoty'!$B$13,$H412=AL$4),SUM($I412,$L412,$O412,$R412),"")</f>
        <v/>
      </c>
      <c r="AM412" s="458" t="str">
        <f>IF(AND($G412='Povolené hodnoty'!$B$13,$H412=AM$4),SUM($I412,$L412,$O412,$R412),"")</f>
        <v/>
      </c>
      <c r="AN412" s="458" t="str">
        <f>IF(AND($G412='Povolené hodnoty'!$B$13,$H412=AN$4),SUM($I412,$L412,$O412,$R412),"")</f>
        <v/>
      </c>
      <c r="AO412" s="458" t="str">
        <f>IF(AND($G412='Povolené hodnoty'!$B$13,$H412=AO$4),SUM($I412,$L412,$O412,$R412),"")</f>
        <v/>
      </c>
      <c r="AP412" s="458" t="str">
        <f>IF(AND($G412='Povolené hodnoty'!$B$13,$H412=AP$4),SUM($I412,$L412,$O412,$R412),"")</f>
        <v/>
      </c>
      <c r="AQ412" s="40" t="str">
        <f>IF(AND($G412='Povolené hodnoty'!$B$13,OR($H412=AQ$4,$H412='Povolené hodnoty'!$E$36)),SUM($I412,-$J412,$L412,-$M412,$O412,-$P412,$R412,-$S412),"")</f>
        <v/>
      </c>
      <c r="AR412" s="40" t="str">
        <f>IF(AND($G412='Povolené hodnoty'!$B$13,$H412=AR$4),SUM($I412,$L412,$O412,$R412),"")</f>
        <v/>
      </c>
      <c r="AS412" s="41" t="str">
        <f>IF(AND($G412='Povolené hodnoty'!$B$13,$H412=AS$4),SUM($I412,$L412,$O412,$R412),"")</f>
        <v/>
      </c>
      <c r="AT412" s="39" t="str">
        <f>IF(AND($G412='Povolené hodnoty'!$B$14,$H412=AT$4),SUM($I412,$L412,$O412,$R412),"")</f>
        <v/>
      </c>
      <c r="AU412" s="458" t="str">
        <f>IF(AND($G412='Povolené hodnoty'!$B$14,$H412=AU$4),SUM($I412,$L412,$O412,$R412),"")</f>
        <v/>
      </c>
      <c r="AV412" s="41" t="str">
        <f>IF(AND($G412='Povolené hodnoty'!$B$14,$H412=AV$4),SUM($I412,$L412,$O412,$R412),"")</f>
        <v/>
      </c>
      <c r="AW412" s="39" t="str">
        <f>IF(AND($G412='Povolené hodnoty'!$B$13,$H412=AW$4),SUM($J412,$M412,$P412,$S412),"")</f>
        <v/>
      </c>
      <c r="AX412" s="458" t="str">
        <f>IF(AND($G412='Povolené hodnoty'!$B$13,$H412=AX$4),SUM($J412,$M412,$P412,$S412),"")</f>
        <v/>
      </c>
      <c r="AY412" s="458" t="str">
        <f>IF(AND($G412='Povolené hodnoty'!$B$13,$H412=AY$4),SUM($J412,$M412,$P412,$S412),"")</f>
        <v/>
      </c>
      <c r="AZ412" s="458" t="str">
        <f>IF(AND($G412='Povolené hodnoty'!$B$13,$H412=AZ$4),SUM($J412,$M412,$P412,$S412),"")</f>
        <v/>
      </c>
      <c r="BA412" s="458" t="str">
        <f>IF(AND($G412='Povolené hodnoty'!$B$13,$H412=BA$4),SUM($J412,$M412,$P412,$S412),"")</f>
        <v/>
      </c>
      <c r="BB412" s="40" t="str">
        <f>IF(AND($G412='Povolené hodnoty'!$B$13,$H412=BB$4),SUM($J412,$M412,$P412,$S412),"")</f>
        <v/>
      </c>
      <c r="BC412" s="40" t="str">
        <f>IF(AND($G412='Povolené hodnoty'!$B$13,$H412=BC$4),SUM($J412,$M412,$P412,$S412),"")</f>
        <v/>
      </c>
      <c r="BD412" s="40" t="str">
        <f>IF(AND($G412='Povolené hodnoty'!$B$13,$H412=BD$4),SUM($J412,$M412,$P412,$S412),"")</f>
        <v/>
      </c>
      <c r="BE412" s="41" t="str">
        <f>IF(AND($G412='Povolené hodnoty'!$B$13,$H412=BE$4),SUM($J412,$M412,$P412,$S412),"")</f>
        <v/>
      </c>
      <c r="BF412" s="39" t="str">
        <f>IF(AND($G412='Povolené hodnoty'!$B$14,$H412=BF$4),SUM($J412,$M412,$P412,$S412),"")</f>
        <v/>
      </c>
      <c r="BG412" s="458" t="str">
        <f>IF(AND($G412='Povolené hodnoty'!$B$14,$H412=BG$4),SUM($J412,$M412,$P412,$S412),"")</f>
        <v/>
      </c>
      <c r="BH412" s="458" t="str">
        <f>IF(AND($G412='Povolené hodnoty'!$B$14,$H412=BH$4),SUM($J412,$M412,$P412,$S412),"")</f>
        <v/>
      </c>
      <c r="BI412" s="458" t="str">
        <f>IF(AND($G412='Povolené hodnoty'!$B$14,$H412=BI$4),SUM($J412,$M412,$P412,$S412),"")</f>
        <v/>
      </c>
      <c r="BJ412" s="458" t="str">
        <f>IF(AND($G412='Povolené hodnoty'!$B$14,$H412=BJ$4),SUM($J412,$M412,$P412,$S412),"")</f>
        <v/>
      </c>
      <c r="BK412" s="40" t="str">
        <f>IF(AND($G412='Povolené hodnoty'!$B$14,$H412=BK$4),SUM($J412,$M412,$P412,$S412),"")</f>
        <v/>
      </c>
      <c r="BL412" s="40" t="str">
        <f>IF(AND($G412='Povolené hodnoty'!$B$14,$H412=BL$4),SUM($J412,$M412,$P412,$S412),"")</f>
        <v/>
      </c>
      <c r="BM412" s="41" t="str">
        <f>IF(AND($G412='Povolené hodnoty'!$B$14,$H412=BM$4),SUM($J412,$M412,$P412,$S412),"")</f>
        <v/>
      </c>
      <c r="BO412" s="18" t="b">
        <f t="shared" si="246"/>
        <v>0</v>
      </c>
      <c r="BP412" s="18" t="b">
        <f t="shared" si="217"/>
        <v>0</v>
      </c>
      <c r="BQ412" s="18" t="b">
        <f>AND(E412&lt;&gt;'Povolené hodnoty'!$B$6,F412&lt;&gt;'Povolené hodnoty'!$D$7,F412&lt;&gt;'Povolené hodnoty'!$D$8,OR(SUM(I412,L412,O412,R412)&lt;&gt;SUM(W412:X412,AA412:AG412),SUM(J412,M412,P412,S412)&lt;&gt;SUM(Y412:Z412,AH412:AK412),COUNT(I412:J412,L412:M412,O412:P412,R412:S412)&lt;&gt;COUNT(W412:AK412)))</f>
        <v>0</v>
      </c>
      <c r="BR412" s="18" t="b">
        <f>OR(AND(E412='Povolené hodnoty'!$B$6,$BR$5),AND(E412='Povolené hodnoty'!$B$6,H412&lt;&gt;'Povolené hodnoty'!$E$26,H412&lt;&gt;'Povolené hodnoty'!$E$35),AND(E412&lt;&gt;'Povolené hodnoty'!$B$6,OR(H412='Povolené hodnoty'!$E$26,H412='Povolené hodnoty'!$E$35)))</f>
        <v>0</v>
      </c>
      <c r="BS412" s="18" t="b">
        <f>OR(AND(G412&lt;&gt;'Povolené hodnoty'!$B$13,OR(H412='Povolené hodnoty'!$E$21,H412='Povolené hodnoty'!$E$22,H412='Povolené hodnoty'!$E$23,H412='Povolené hodnoty'!$E$24,H412='Povolené hodnoty'!$E$26,H412='Povolené hodnoty'!$E$36)),COUNT(I412:J412,L412:M412,O412:P412,R412:S412)&lt;&gt;COUNT(AL412:BM412))</f>
        <v>0</v>
      </c>
      <c r="BT412" s="18" t="b">
        <f t="shared" si="218"/>
        <v>0</v>
      </c>
      <c r="BV412" s="39" t="str">
        <f t="shared" si="219"/>
        <v/>
      </c>
      <c r="BW412" s="458" t="str">
        <f t="shared" si="220"/>
        <v/>
      </c>
      <c r="BX412" s="458" t="str">
        <f t="shared" si="221"/>
        <v/>
      </c>
      <c r="BY412" s="458" t="str">
        <f t="shared" si="222"/>
        <v/>
      </c>
      <c r="BZ412" s="458" t="str">
        <f t="shared" si="223"/>
        <v/>
      </c>
      <c r="CA412" s="40" t="str">
        <f t="shared" si="224"/>
        <v/>
      </c>
      <c r="CB412" s="40" t="str">
        <f t="shared" si="225"/>
        <v/>
      </c>
      <c r="CC412" s="39" t="str">
        <f t="shared" si="226"/>
        <v/>
      </c>
      <c r="CD412" s="458" t="str">
        <f t="shared" si="227"/>
        <v/>
      </c>
      <c r="CE412" s="41" t="str">
        <f t="shared" si="228"/>
        <v/>
      </c>
      <c r="CF412" s="39" t="str">
        <f t="shared" si="229"/>
        <v/>
      </c>
      <c r="CG412" s="458" t="str">
        <f t="shared" si="230"/>
        <v/>
      </c>
      <c r="CH412" s="458" t="str">
        <f t="shared" si="231"/>
        <v/>
      </c>
      <c r="CI412" s="458" t="str">
        <f t="shared" si="232"/>
        <v/>
      </c>
      <c r="CJ412" s="458" t="str">
        <f t="shared" si="233"/>
        <v/>
      </c>
      <c r="CK412" s="40" t="str">
        <f t="shared" si="234"/>
        <v/>
      </c>
      <c r="CL412" s="40" t="str">
        <f t="shared" si="235"/>
        <v/>
      </c>
      <c r="CM412" s="40" t="str">
        <f t="shared" si="236"/>
        <v/>
      </c>
      <c r="CN412" s="39" t="str">
        <f t="shared" si="237"/>
        <v/>
      </c>
      <c r="CO412" s="458" t="str">
        <f t="shared" si="238"/>
        <v/>
      </c>
      <c r="CP412" s="458" t="str">
        <f t="shared" si="239"/>
        <v/>
      </c>
      <c r="CQ412" s="458" t="str">
        <f t="shared" si="240"/>
        <v/>
      </c>
      <c r="CR412" s="458" t="str">
        <f t="shared" si="241"/>
        <v/>
      </c>
      <c r="CS412" s="40" t="str">
        <f t="shared" si="242"/>
        <v/>
      </c>
      <c r="CT412" s="40" t="str">
        <f t="shared" si="243"/>
        <v/>
      </c>
      <c r="CU412" s="41" t="str">
        <f t="shared" si="244"/>
        <v/>
      </c>
    </row>
    <row r="413" spans="1:99" x14ac:dyDescent="0.2">
      <c r="A413" s="77">
        <f t="shared" si="245"/>
        <v>408</v>
      </c>
      <c r="B413" s="81"/>
      <c r="C413" s="82"/>
      <c r="D413" s="71"/>
      <c r="E413" s="72"/>
      <c r="F413" s="73"/>
      <c r="G413" s="443"/>
      <c r="H413" s="443"/>
      <c r="I413" s="74"/>
      <c r="J413" s="75"/>
      <c r="K413" s="41">
        <f t="shared" si="214"/>
        <v>3625</v>
      </c>
      <c r="L413" s="104"/>
      <c r="M413" s="105"/>
      <c r="N413" s="106">
        <f t="shared" si="215"/>
        <v>537.05999999999995</v>
      </c>
      <c r="O413" s="104"/>
      <c r="P413" s="105"/>
      <c r="Q413" s="106">
        <f t="shared" si="247"/>
        <v>10045.83</v>
      </c>
      <c r="R413" s="104"/>
      <c r="S413" s="105"/>
      <c r="T413" s="106">
        <f t="shared" si="248"/>
        <v>0</v>
      </c>
      <c r="U413" s="439"/>
      <c r="V413" s="42">
        <f t="shared" si="216"/>
        <v>408</v>
      </c>
      <c r="W413" s="39" t="str">
        <f>IF(AND(E413='Povolené hodnoty'!$B$4,F413=2),I413+L413+O413+R413,"")</f>
        <v/>
      </c>
      <c r="X413" s="41" t="str">
        <f>IF(AND(E413='Povolené hodnoty'!$B$4,F413=1),I413+L413+O413+R413,"")</f>
        <v/>
      </c>
      <c r="Y413" s="39" t="str">
        <f>IF(AND(E413='Povolené hodnoty'!$B$4,F413=10),J413+M413+P413+S413,"")</f>
        <v/>
      </c>
      <c r="Z413" s="41" t="str">
        <f>IF(AND(E413='Povolené hodnoty'!$B$4,F413=9),J413+M413+P413+S413,"")</f>
        <v/>
      </c>
      <c r="AA413" s="39" t="str">
        <f>IF(AND(E413&lt;&gt;'Povolené hodnoty'!$B$4,F413=2),I413+L413+O413+R413,"")</f>
        <v/>
      </c>
      <c r="AB413" s="40" t="str">
        <f>IF(AND(E413&lt;&gt;'Povolené hodnoty'!$B$4,F413=3),I413+L413+O413+R413,"")</f>
        <v/>
      </c>
      <c r="AC413" s="40" t="str">
        <f>IF(AND(E413&lt;&gt;'Povolené hodnoty'!$B$4,F413=4),I413+L413+O413+R413,"")</f>
        <v/>
      </c>
      <c r="AD413" s="40" t="str">
        <f>IF(AND(E413&lt;&gt;'Povolené hodnoty'!$B$4,F413="5a"),I413-J413+L413-M413+O413-P413+R413-S413,"")</f>
        <v/>
      </c>
      <c r="AE413" s="40" t="str">
        <f>IF(AND(E413&lt;&gt;'Povolené hodnoty'!$B$4,F413="5b"),I413-J413+L413-M413+O413-P413+R413-S413,"")</f>
        <v/>
      </c>
      <c r="AF413" s="40" t="str">
        <f>IF(AND(E413&lt;&gt;'Povolené hodnoty'!$B$4,F413=6),I413+L413+O413+R413,"")</f>
        <v/>
      </c>
      <c r="AG413" s="41" t="str">
        <f>IF(AND(E413&lt;&gt;'Povolené hodnoty'!$B$4,F413=7),I413+L413+O413+R413,"")</f>
        <v/>
      </c>
      <c r="AH413" s="39" t="str">
        <f>IF(AND(E413&lt;&gt;'Povolené hodnoty'!$B$4,F413=10),J413+M413+P413+S413,"")</f>
        <v/>
      </c>
      <c r="AI413" s="40" t="str">
        <f>IF(AND(E413&lt;&gt;'Povolené hodnoty'!$B$4,F413=11),J413+M413+P413+S413,"")</f>
        <v/>
      </c>
      <c r="AJ413" s="40" t="str">
        <f>IF(AND(E413&lt;&gt;'Povolené hodnoty'!$B$4,F413=12),J413+M413+P413+S413,"")</f>
        <v/>
      </c>
      <c r="AK413" s="41" t="str">
        <f>IF(AND(E413&lt;&gt;'Povolené hodnoty'!$B$4,F413=13),J413+M413+P413+S413,"")</f>
        <v/>
      </c>
      <c r="AL413" s="39" t="str">
        <f>IF(AND($G413='Povolené hodnoty'!$B$13,$H413=AL$4),SUM($I413,$L413,$O413,$R413),"")</f>
        <v/>
      </c>
      <c r="AM413" s="458" t="str">
        <f>IF(AND($G413='Povolené hodnoty'!$B$13,$H413=AM$4),SUM($I413,$L413,$O413,$R413),"")</f>
        <v/>
      </c>
      <c r="AN413" s="458" t="str">
        <f>IF(AND($G413='Povolené hodnoty'!$B$13,$H413=AN$4),SUM($I413,$L413,$O413,$R413),"")</f>
        <v/>
      </c>
      <c r="AO413" s="458" t="str">
        <f>IF(AND($G413='Povolené hodnoty'!$B$13,$H413=AO$4),SUM($I413,$L413,$O413,$R413),"")</f>
        <v/>
      </c>
      <c r="AP413" s="458" t="str">
        <f>IF(AND($G413='Povolené hodnoty'!$B$13,$H413=AP$4),SUM($I413,$L413,$O413,$R413),"")</f>
        <v/>
      </c>
      <c r="AQ413" s="40" t="str">
        <f>IF(AND($G413='Povolené hodnoty'!$B$13,OR($H413=AQ$4,$H413='Povolené hodnoty'!$E$36)),SUM($I413,-$J413,$L413,-$M413,$O413,-$P413,$R413,-$S413),"")</f>
        <v/>
      </c>
      <c r="AR413" s="40" t="str">
        <f>IF(AND($G413='Povolené hodnoty'!$B$13,$H413=AR$4),SUM($I413,$L413,$O413,$R413),"")</f>
        <v/>
      </c>
      <c r="AS413" s="41" t="str">
        <f>IF(AND($G413='Povolené hodnoty'!$B$13,$H413=AS$4),SUM($I413,$L413,$O413,$R413),"")</f>
        <v/>
      </c>
      <c r="AT413" s="39" t="str">
        <f>IF(AND($G413='Povolené hodnoty'!$B$14,$H413=AT$4),SUM($I413,$L413,$O413,$R413),"")</f>
        <v/>
      </c>
      <c r="AU413" s="458" t="str">
        <f>IF(AND($G413='Povolené hodnoty'!$B$14,$H413=AU$4),SUM($I413,$L413,$O413,$R413),"")</f>
        <v/>
      </c>
      <c r="AV413" s="41" t="str">
        <f>IF(AND($G413='Povolené hodnoty'!$B$14,$H413=AV$4),SUM($I413,$L413,$O413,$R413),"")</f>
        <v/>
      </c>
      <c r="AW413" s="39" t="str">
        <f>IF(AND($G413='Povolené hodnoty'!$B$13,$H413=AW$4),SUM($J413,$M413,$P413,$S413),"")</f>
        <v/>
      </c>
      <c r="AX413" s="458" t="str">
        <f>IF(AND($G413='Povolené hodnoty'!$B$13,$H413=AX$4),SUM($J413,$M413,$P413,$S413),"")</f>
        <v/>
      </c>
      <c r="AY413" s="458" t="str">
        <f>IF(AND($G413='Povolené hodnoty'!$B$13,$H413=AY$4),SUM($J413,$M413,$P413,$S413),"")</f>
        <v/>
      </c>
      <c r="AZ413" s="458" t="str">
        <f>IF(AND($G413='Povolené hodnoty'!$B$13,$H413=AZ$4),SUM($J413,$M413,$P413,$S413),"")</f>
        <v/>
      </c>
      <c r="BA413" s="458" t="str">
        <f>IF(AND($G413='Povolené hodnoty'!$B$13,$H413=BA$4),SUM($J413,$M413,$P413,$S413),"")</f>
        <v/>
      </c>
      <c r="BB413" s="40" t="str">
        <f>IF(AND($G413='Povolené hodnoty'!$B$13,$H413=BB$4),SUM($J413,$M413,$P413,$S413),"")</f>
        <v/>
      </c>
      <c r="BC413" s="40" t="str">
        <f>IF(AND($G413='Povolené hodnoty'!$B$13,$H413=BC$4),SUM($J413,$M413,$P413,$S413),"")</f>
        <v/>
      </c>
      <c r="BD413" s="40" t="str">
        <f>IF(AND($G413='Povolené hodnoty'!$B$13,$H413=BD$4),SUM($J413,$M413,$P413,$S413),"")</f>
        <v/>
      </c>
      <c r="BE413" s="41" t="str">
        <f>IF(AND($G413='Povolené hodnoty'!$B$13,$H413=BE$4),SUM($J413,$M413,$P413,$S413),"")</f>
        <v/>
      </c>
      <c r="BF413" s="39" t="str">
        <f>IF(AND($G413='Povolené hodnoty'!$B$14,$H413=BF$4),SUM($J413,$M413,$P413,$S413),"")</f>
        <v/>
      </c>
      <c r="BG413" s="458" t="str">
        <f>IF(AND($G413='Povolené hodnoty'!$B$14,$H413=BG$4),SUM($J413,$M413,$P413,$S413),"")</f>
        <v/>
      </c>
      <c r="BH413" s="458" t="str">
        <f>IF(AND($G413='Povolené hodnoty'!$B$14,$H413=BH$4),SUM($J413,$M413,$P413,$S413),"")</f>
        <v/>
      </c>
      <c r="BI413" s="458" t="str">
        <f>IF(AND($G413='Povolené hodnoty'!$B$14,$H413=BI$4),SUM($J413,$M413,$P413,$S413),"")</f>
        <v/>
      </c>
      <c r="BJ413" s="458" t="str">
        <f>IF(AND($G413='Povolené hodnoty'!$B$14,$H413=BJ$4),SUM($J413,$M413,$P413,$S413),"")</f>
        <v/>
      </c>
      <c r="BK413" s="40" t="str">
        <f>IF(AND($G413='Povolené hodnoty'!$B$14,$H413=BK$4),SUM($J413,$M413,$P413,$S413),"")</f>
        <v/>
      </c>
      <c r="BL413" s="40" t="str">
        <f>IF(AND($G413='Povolené hodnoty'!$B$14,$H413=BL$4),SUM($J413,$M413,$P413,$S413),"")</f>
        <v/>
      </c>
      <c r="BM413" s="41" t="str">
        <f>IF(AND($G413='Povolené hodnoty'!$B$14,$H413=BM$4),SUM($J413,$M413,$P413,$S413),"")</f>
        <v/>
      </c>
      <c r="BO413" s="18" t="b">
        <f t="shared" si="246"/>
        <v>0</v>
      </c>
      <c r="BP413" s="18" t="b">
        <f t="shared" si="217"/>
        <v>0</v>
      </c>
      <c r="BQ413" s="18" t="b">
        <f>AND(E413&lt;&gt;'Povolené hodnoty'!$B$6,F413&lt;&gt;'Povolené hodnoty'!$D$7,F413&lt;&gt;'Povolené hodnoty'!$D$8,OR(SUM(I413,L413,O413,R413)&lt;&gt;SUM(W413:X413,AA413:AG413),SUM(J413,M413,P413,S413)&lt;&gt;SUM(Y413:Z413,AH413:AK413),COUNT(I413:J413,L413:M413,O413:P413,R413:S413)&lt;&gt;COUNT(W413:AK413)))</f>
        <v>0</v>
      </c>
      <c r="BR413" s="18" t="b">
        <f>OR(AND(E413='Povolené hodnoty'!$B$6,$BR$5),AND(E413='Povolené hodnoty'!$B$6,H413&lt;&gt;'Povolené hodnoty'!$E$26,H413&lt;&gt;'Povolené hodnoty'!$E$35),AND(E413&lt;&gt;'Povolené hodnoty'!$B$6,OR(H413='Povolené hodnoty'!$E$26,H413='Povolené hodnoty'!$E$35)))</f>
        <v>0</v>
      </c>
      <c r="BS413" s="18" t="b">
        <f>OR(AND(G413&lt;&gt;'Povolené hodnoty'!$B$13,OR(H413='Povolené hodnoty'!$E$21,H413='Povolené hodnoty'!$E$22,H413='Povolené hodnoty'!$E$23,H413='Povolené hodnoty'!$E$24,H413='Povolené hodnoty'!$E$26,H413='Povolené hodnoty'!$E$36)),COUNT(I413:J413,L413:M413,O413:P413,R413:S413)&lt;&gt;COUNT(AL413:BM413))</f>
        <v>0</v>
      </c>
      <c r="BT413" s="18" t="b">
        <f t="shared" si="218"/>
        <v>0</v>
      </c>
      <c r="BV413" s="39" t="str">
        <f t="shared" si="219"/>
        <v/>
      </c>
      <c r="BW413" s="458" t="str">
        <f t="shared" si="220"/>
        <v/>
      </c>
      <c r="BX413" s="458" t="str">
        <f t="shared" si="221"/>
        <v/>
      </c>
      <c r="BY413" s="458" t="str">
        <f t="shared" si="222"/>
        <v/>
      </c>
      <c r="BZ413" s="458" t="str">
        <f t="shared" si="223"/>
        <v/>
      </c>
      <c r="CA413" s="40" t="str">
        <f t="shared" si="224"/>
        <v/>
      </c>
      <c r="CB413" s="40" t="str">
        <f t="shared" si="225"/>
        <v/>
      </c>
      <c r="CC413" s="39" t="str">
        <f t="shared" si="226"/>
        <v/>
      </c>
      <c r="CD413" s="458" t="str">
        <f t="shared" si="227"/>
        <v/>
      </c>
      <c r="CE413" s="41" t="str">
        <f t="shared" si="228"/>
        <v/>
      </c>
      <c r="CF413" s="39" t="str">
        <f t="shared" si="229"/>
        <v/>
      </c>
      <c r="CG413" s="458" t="str">
        <f t="shared" si="230"/>
        <v/>
      </c>
      <c r="CH413" s="458" t="str">
        <f t="shared" si="231"/>
        <v/>
      </c>
      <c r="CI413" s="458" t="str">
        <f t="shared" si="232"/>
        <v/>
      </c>
      <c r="CJ413" s="458" t="str">
        <f t="shared" si="233"/>
        <v/>
      </c>
      <c r="CK413" s="40" t="str">
        <f t="shared" si="234"/>
        <v/>
      </c>
      <c r="CL413" s="40" t="str">
        <f t="shared" si="235"/>
        <v/>
      </c>
      <c r="CM413" s="40" t="str">
        <f t="shared" si="236"/>
        <v/>
      </c>
      <c r="CN413" s="39" t="str">
        <f t="shared" si="237"/>
        <v/>
      </c>
      <c r="CO413" s="458" t="str">
        <f t="shared" si="238"/>
        <v/>
      </c>
      <c r="CP413" s="458" t="str">
        <f t="shared" si="239"/>
        <v/>
      </c>
      <c r="CQ413" s="458" t="str">
        <f t="shared" si="240"/>
        <v/>
      </c>
      <c r="CR413" s="458" t="str">
        <f t="shared" si="241"/>
        <v/>
      </c>
      <c r="CS413" s="40" t="str">
        <f t="shared" si="242"/>
        <v/>
      </c>
      <c r="CT413" s="40" t="str">
        <f t="shared" si="243"/>
        <v/>
      </c>
      <c r="CU413" s="41" t="str">
        <f t="shared" si="244"/>
        <v/>
      </c>
    </row>
    <row r="414" spans="1:99" x14ac:dyDescent="0.2">
      <c r="A414" s="77">
        <f t="shared" si="245"/>
        <v>409</v>
      </c>
      <c r="B414" s="81"/>
      <c r="C414" s="82"/>
      <c r="D414" s="71"/>
      <c r="E414" s="72"/>
      <c r="F414" s="73"/>
      <c r="G414" s="443"/>
      <c r="H414" s="443"/>
      <c r="I414" s="74"/>
      <c r="J414" s="75"/>
      <c r="K414" s="41">
        <f t="shared" si="214"/>
        <v>3625</v>
      </c>
      <c r="L414" s="104"/>
      <c r="M414" s="105"/>
      <c r="N414" s="106">
        <f t="shared" si="215"/>
        <v>537.05999999999995</v>
      </c>
      <c r="O414" s="104"/>
      <c r="P414" s="105"/>
      <c r="Q414" s="106">
        <f t="shared" si="247"/>
        <v>10045.83</v>
      </c>
      <c r="R414" s="104"/>
      <c r="S414" s="105"/>
      <c r="T414" s="106">
        <f t="shared" si="248"/>
        <v>0</v>
      </c>
      <c r="U414" s="439"/>
      <c r="V414" s="42">
        <f t="shared" si="216"/>
        <v>409</v>
      </c>
      <c r="W414" s="39" t="str">
        <f>IF(AND(E414='Povolené hodnoty'!$B$4,F414=2),I414+L414+O414+R414,"")</f>
        <v/>
      </c>
      <c r="X414" s="41" t="str">
        <f>IF(AND(E414='Povolené hodnoty'!$B$4,F414=1),I414+L414+O414+R414,"")</f>
        <v/>
      </c>
      <c r="Y414" s="39" t="str">
        <f>IF(AND(E414='Povolené hodnoty'!$B$4,F414=10),J414+M414+P414+S414,"")</f>
        <v/>
      </c>
      <c r="Z414" s="41" t="str">
        <f>IF(AND(E414='Povolené hodnoty'!$B$4,F414=9),J414+M414+P414+S414,"")</f>
        <v/>
      </c>
      <c r="AA414" s="39" t="str">
        <f>IF(AND(E414&lt;&gt;'Povolené hodnoty'!$B$4,F414=2),I414+L414+O414+R414,"")</f>
        <v/>
      </c>
      <c r="AB414" s="40" t="str">
        <f>IF(AND(E414&lt;&gt;'Povolené hodnoty'!$B$4,F414=3),I414+L414+O414+R414,"")</f>
        <v/>
      </c>
      <c r="AC414" s="40" t="str">
        <f>IF(AND(E414&lt;&gt;'Povolené hodnoty'!$B$4,F414=4),I414+L414+O414+R414,"")</f>
        <v/>
      </c>
      <c r="AD414" s="40" t="str">
        <f>IF(AND(E414&lt;&gt;'Povolené hodnoty'!$B$4,F414="5a"),I414-J414+L414-M414+O414-P414+R414-S414,"")</f>
        <v/>
      </c>
      <c r="AE414" s="40" t="str">
        <f>IF(AND(E414&lt;&gt;'Povolené hodnoty'!$B$4,F414="5b"),I414-J414+L414-M414+O414-P414+R414-S414,"")</f>
        <v/>
      </c>
      <c r="AF414" s="40" t="str">
        <f>IF(AND(E414&lt;&gt;'Povolené hodnoty'!$B$4,F414=6),I414+L414+O414+R414,"")</f>
        <v/>
      </c>
      <c r="AG414" s="41" t="str">
        <f>IF(AND(E414&lt;&gt;'Povolené hodnoty'!$B$4,F414=7),I414+L414+O414+R414,"")</f>
        <v/>
      </c>
      <c r="AH414" s="39" t="str">
        <f>IF(AND(E414&lt;&gt;'Povolené hodnoty'!$B$4,F414=10),J414+M414+P414+S414,"")</f>
        <v/>
      </c>
      <c r="AI414" s="40" t="str">
        <f>IF(AND(E414&lt;&gt;'Povolené hodnoty'!$B$4,F414=11),J414+M414+P414+S414,"")</f>
        <v/>
      </c>
      <c r="AJ414" s="40" t="str">
        <f>IF(AND(E414&lt;&gt;'Povolené hodnoty'!$B$4,F414=12),J414+M414+P414+S414,"")</f>
        <v/>
      </c>
      <c r="AK414" s="41" t="str">
        <f>IF(AND(E414&lt;&gt;'Povolené hodnoty'!$B$4,F414=13),J414+M414+P414+S414,"")</f>
        <v/>
      </c>
      <c r="AL414" s="39" t="str">
        <f>IF(AND($G414='Povolené hodnoty'!$B$13,$H414=AL$4),SUM($I414,$L414,$O414,$R414),"")</f>
        <v/>
      </c>
      <c r="AM414" s="458" t="str">
        <f>IF(AND($G414='Povolené hodnoty'!$B$13,$H414=AM$4),SUM($I414,$L414,$O414,$R414),"")</f>
        <v/>
      </c>
      <c r="AN414" s="458" t="str">
        <f>IF(AND($G414='Povolené hodnoty'!$B$13,$H414=AN$4),SUM($I414,$L414,$O414,$R414),"")</f>
        <v/>
      </c>
      <c r="AO414" s="458" t="str">
        <f>IF(AND($G414='Povolené hodnoty'!$B$13,$H414=AO$4),SUM($I414,$L414,$O414,$R414),"")</f>
        <v/>
      </c>
      <c r="AP414" s="458" t="str">
        <f>IF(AND($G414='Povolené hodnoty'!$B$13,$H414=AP$4),SUM($I414,$L414,$O414,$R414),"")</f>
        <v/>
      </c>
      <c r="AQ414" s="40" t="str">
        <f>IF(AND($G414='Povolené hodnoty'!$B$13,OR($H414=AQ$4,$H414='Povolené hodnoty'!$E$36)),SUM($I414,-$J414,$L414,-$M414,$O414,-$P414,$R414,-$S414),"")</f>
        <v/>
      </c>
      <c r="AR414" s="40" t="str">
        <f>IF(AND($G414='Povolené hodnoty'!$B$13,$H414=AR$4),SUM($I414,$L414,$O414,$R414),"")</f>
        <v/>
      </c>
      <c r="AS414" s="41" t="str">
        <f>IF(AND($G414='Povolené hodnoty'!$B$13,$H414=AS$4),SUM($I414,$L414,$O414,$R414),"")</f>
        <v/>
      </c>
      <c r="AT414" s="39" t="str">
        <f>IF(AND($G414='Povolené hodnoty'!$B$14,$H414=AT$4),SUM($I414,$L414,$O414,$R414),"")</f>
        <v/>
      </c>
      <c r="AU414" s="458" t="str">
        <f>IF(AND($G414='Povolené hodnoty'!$B$14,$H414=AU$4),SUM($I414,$L414,$O414,$R414),"")</f>
        <v/>
      </c>
      <c r="AV414" s="41" t="str">
        <f>IF(AND($G414='Povolené hodnoty'!$B$14,$H414=AV$4),SUM($I414,$L414,$O414,$R414),"")</f>
        <v/>
      </c>
      <c r="AW414" s="39" t="str">
        <f>IF(AND($G414='Povolené hodnoty'!$B$13,$H414=AW$4),SUM($J414,$M414,$P414,$S414),"")</f>
        <v/>
      </c>
      <c r="AX414" s="458" t="str">
        <f>IF(AND($G414='Povolené hodnoty'!$B$13,$H414=AX$4),SUM($J414,$M414,$P414,$S414),"")</f>
        <v/>
      </c>
      <c r="AY414" s="458" t="str">
        <f>IF(AND($G414='Povolené hodnoty'!$B$13,$H414=AY$4),SUM($J414,$M414,$P414,$S414),"")</f>
        <v/>
      </c>
      <c r="AZ414" s="458" t="str">
        <f>IF(AND($G414='Povolené hodnoty'!$B$13,$H414=AZ$4),SUM($J414,$M414,$P414,$S414),"")</f>
        <v/>
      </c>
      <c r="BA414" s="458" t="str">
        <f>IF(AND($G414='Povolené hodnoty'!$B$13,$H414=BA$4),SUM($J414,$M414,$P414,$S414),"")</f>
        <v/>
      </c>
      <c r="BB414" s="40" t="str">
        <f>IF(AND($G414='Povolené hodnoty'!$B$13,$H414=BB$4),SUM($J414,$M414,$P414,$S414),"")</f>
        <v/>
      </c>
      <c r="BC414" s="40" t="str">
        <f>IF(AND($G414='Povolené hodnoty'!$B$13,$H414=BC$4),SUM($J414,$M414,$P414,$S414),"")</f>
        <v/>
      </c>
      <c r="BD414" s="40" t="str">
        <f>IF(AND($G414='Povolené hodnoty'!$B$13,$H414=BD$4),SUM($J414,$M414,$P414,$S414),"")</f>
        <v/>
      </c>
      <c r="BE414" s="41" t="str">
        <f>IF(AND($G414='Povolené hodnoty'!$B$13,$H414=BE$4),SUM($J414,$M414,$P414,$S414),"")</f>
        <v/>
      </c>
      <c r="BF414" s="39" t="str">
        <f>IF(AND($G414='Povolené hodnoty'!$B$14,$H414=BF$4),SUM($J414,$M414,$P414,$S414),"")</f>
        <v/>
      </c>
      <c r="BG414" s="458" t="str">
        <f>IF(AND($G414='Povolené hodnoty'!$B$14,$H414=BG$4),SUM($J414,$M414,$P414,$S414),"")</f>
        <v/>
      </c>
      <c r="BH414" s="458" t="str">
        <f>IF(AND($G414='Povolené hodnoty'!$B$14,$H414=BH$4),SUM($J414,$M414,$P414,$S414),"")</f>
        <v/>
      </c>
      <c r="BI414" s="458" t="str">
        <f>IF(AND($G414='Povolené hodnoty'!$B$14,$H414=BI$4),SUM($J414,$M414,$P414,$S414),"")</f>
        <v/>
      </c>
      <c r="BJ414" s="458" t="str">
        <f>IF(AND($G414='Povolené hodnoty'!$B$14,$H414=BJ$4),SUM($J414,$M414,$P414,$S414),"")</f>
        <v/>
      </c>
      <c r="BK414" s="40" t="str">
        <f>IF(AND($G414='Povolené hodnoty'!$B$14,$H414=BK$4),SUM($J414,$M414,$P414,$S414),"")</f>
        <v/>
      </c>
      <c r="BL414" s="40" t="str">
        <f>IF(AND($G414='Povolené hodnoty'!$B$14,$H414=BL$4),SUM($J414,$M414,$P414,$S414),"")</f>
        <v/>
      </c>
      <c r="BM414" s="41" t="str">
        <f>IF(AND($G414='Povolené hodnoty'!$B$14,$H414=BM$4),SUM($J414,$M414,$P414,$S414),"")</f>
        <v/>
      </c>
      <c r="BO414" s="18" t="b">
        <f t="shared" si="246"/>
        <v>0</v>
      </c>
      <c r="BP414" s="18" t="b">
        <f t="shared" si="217"/>
        <v>0</v>
      </c>
      <c r="BQ414" s="18" t="b">
        <f>AND(E414&lt;&gt;'Povolené hodnoty'!$B$6,F414&lt;&gt;'Povolené hodnoty'!$D$7,F414&lt;&gt;'Povolené hodnoty'!$D$8,OR(SUM(I414,L414,O414,R414)&lt;&gt;SUM(W414:X414,AA414:AG414),SUM(J414,M414,P414,S414)&lt;&gt;SUM(Y414:Z414,AH414:AK414),COUNT(I414:J414,L414:M414,O414:P414,R414:S414)&lt;&gt;COUNT(W414:AK414)))</f>
        <v>0</v>
      </c>
      <c r="BR414" s="18" t="b">
        <f>OR(AND(E414='Povolené hodnoty'!$B$6,$BR$5),AND(E414='Povolené hodnoty'!$B$6,H414&lt;&gt;'Povolené hodnoty'!$E$26,H414&lt;&gt;'Povolené hodnoty'!$E$35),AND(E414&lt;&gt;'Povolené hodnoty'!$B$6,OR(H414='Povolené hodnoty'!$E$26,H414='Povolené hodnoty'!$E$35)))</f>
        <v>0</v>
      </c>
      <c r="BS414" s="18" t="b">
        <f>OR(AND(G414&lt;&gt;'Povolené hodnoty'!$B$13,OR(H414='Povolené hodnoty'!$E$21,H414='Povolené hodnoty'!$E$22,H414='Povolené hodnoty'!$E$23,H414='Povolené hodnoty'!$E$24,H414='Povolené hodnoty'!$E$26,H414='Povolené hodnoty'!$E$36)),COUNT(I414:J414,L414:M414,O414:P414,R414:S414)&lt;&gt;COUNT(AL414:BM414))</f>
        <v>0</v>
      </c>
      <c r="BT414" s="18" t="b">
        <f t="shared" si="218"/>
        <v>0</v>
      </c>
      <c r="BV414" s="39" t="str">
        <f t="shared" si="219"/>
        <v/>
      </c>
      <c r="BW414" s="458" t="str">
        <f t="shared" si="220"/>
        <v/>
      </c>
      <c r="BX414" s="458" t="str">
        <f t="shared" si="221"/>
        <v/>
      </c>
      <c r="BY414" s="458" t="str">
        <f t="shared" si="222"/>
        <v/>
      </c>
      <c r="BZ414" s="458" t="str">
        <f t="shared" si="223"/>
        <v/>
      </c>
      <c r="CA414" s="40" t="str">
        <f t="shared" si="224"/>
        <v/>
      </c>
      <c r="CB414" s="40" t="str">
        <f t="shared" si="225"/>
        <v/>
      </c>
      <c r="CC414" s="39" t="str">
        <f t="shared" si="226"/>
        <v/>
      </c>
      <c r="CD414" s="458" t="str">
        <f t="shared" si="227"/>
        <v/>
      </c>
      <c r="CE414" s="41" t="str">
        <f t="shared" si="228"/>
        <v/>
      </c>
      <c r="CF414" s="39" t="str">
        <f t="shared" si="229"/>
        <v/>
      </c>
      <c r="CG414" s="458" t="str">
        <f t="shared" si="230"/>
        <v/>
      </c>
      <c r="CH414" s="458" t="str">
        <f t="shared" si="231"/>
        <v/>
      </c>
      <c r="CI414" s="458" t="str">
        <f t="shared" si="232"/>
        <v/>
      </c>
      <c r="CJ414" s="458" t="str">
        <f t="shared" si="233"/>
        <v/>
      </c>
      <c r="CK414" s="40" t="str">
        <f t="shared" si="234"/>
        <v/>
      </c>
      <c r="CL414" s="40" t="str">
        <f t="shared" si="235"/>
        <v/>
      </c>
      <c r="CM414" s="40" t="str">
        <f t="shared" si="236"/>
        <v/>
      </c>
      <c r="CN414" s="39" t="str">
        <f t="shared" si="237"/>
        <v/>
      </c>
      <c r="CO414" s="458" t="str">
        <f t="shared" si="238"/>
        <v/>
      </c>
      <c r="CP414" s="458" t="str">
        <f t="shared" si="239"/>
        <v/>
      </c>
      <c r="CQ414" s="458" t="str">
        <f t="shared" si="240"/>
        <v/>
      </c>
      <c r="CR414" s="458" t="str">
        <f t="shared" si="241"/>
        <v/>
      </c>
      <c r="CS414" s="40" t="str">
        <f t="shared" si="242"/>
        <v/>
      </c>
      <c r="CT414" s="40" t="str">
        <f t="shared" si="243"/>
        <v/>
      </c>
      <c r="CU414" s="41" t="str">
        <f t="shared" si="244"/>
        <v/>
      </c>
    </row>
    <row r="415" spans="1:99" x14ac:dyDescent="0.2">
      <c r="A415" s="77">
        <f t="shared" si="245"/>
        <v>410</v>
      </c>
      <c r="B415" s="81"/>
      <c r="C415" s="82"/>
      <c r="D415" s="71"/>
      <c r="E415" s="72"/>
      <c r="F415" s="73"/>
      <c r="G415" s="443"/>
      <c r="H415" s="443"/>
      <c r="I415" s="74"/>
      <c r="J415" s="75"/>
      <c r="K415" s="41">
        <f t="shared" si="214"/>
        <v>3625</v>
      </c>
      <c r="L415" s="104"/>
      <c r="M415" s="105"/>
      <c r="N415" s="106">
        <f t="shared" si="215"/>
        <v>537.05999999999995</v>
      </c>
      <c r="O415" s="104"/>
      <c r="P415" s="105"/>
      <c r="Q415" s="106">
        <f t="shared" si="247"/>
        <v>10045.83</v>
      </c>
      <c r="R415" s="104"/>
      <c r="S415" s="105"/>
      <c r="T415" s="106">
        <f t="shared" si="248"/>
        <v>0</v>
      </c>
      <c r="U415" s="439"/>
      <c r="V415" s="42">
        <f t="shared" si="216"/>
        <v>410</v>
      </c>
      <c r="W415" s="39" t="str">
        <f>IF(AND(E415='Povolené hodnoty'!$B$4,F415=2),I415+L415+O415+R415,"")</f>
        <v/>
      </c>
      <c r="X415" s="41" t="str">
        <f>IF(AND(E415='Povolené hodnoty'!$B$4,F415=1),I415+L415+O415+R415,"")</f>
        <v/>
      </c>
      <c r="Y415" s="39" t="str">
        <f>IF(AND(E415='Povolené hodnoty'!$B$4,F415=10),J415+M415+P415+S415,"")</f>
        <v/>
      </c>
      <c r="Z415" s="41" t="str">
        <f>IF(AND(E415='Povolené hodnoty'!$B$4,F415=9),J415+M415+P415+S415,"")</f>
        <v/>
      </c>
      <c r="AA415" s="39" t="str">
        <f>IF(AND(E415&lt;&gt;'Povolené hodnoty'!$B$4,F415=2),I415+L415+O415+R415,"")</f>
        <v/>
      </c>
      <c r="AB415" s="40" t="str">
        <f>IF(AND(E415&lt;&gt;'Povolené hodnoty'!$B$4,F415=3),I415+L415+O415+R415,"")</f>
        <v/>
      </c>
      <c r="AC415" s="40" t="str">
        <f>IF(AND(E415&lt;&gt;'Povolené hodnoty'!$B$4,F415=4),I415+L415+O415+R415,"")</f>
        <v/>
      </c>
      <c r="AD415" s="40" t="str">
        <f>IF(AND(E415&lt;&gt;'Povolené hodnoty'!$B$4,F415="5a"),I415-J415+L415-M415+O415-P415+R415-S415,"")</f>
        <v/>
      </c>
      <c r="AE415" s="40" t="str">
        <f>IF(AND(E415&lt;&gt;'Povolené hodnoty'!$B$4,F415="5b"),I415-J415+L415-M415+O415-P415+R415-S415,"")</f>
        <v/>
      </c>
      <c r="AF415" s="40" t="str">
        <f>IF(AND(E415&lt;&gt;'Povolené hodnoty'!$B$4,F415=6),I415+L415+O415+R415,"")</f>
        <v/>
      </c>
      <c r="AG415" s="41" t="str">
        <f>IF(AND(E415&lt;&gt;'Povolené hodnoty'!$B$4,F415=7),I415+L415+O415+R415,"")</f>
        <v/>
      </c>
      <c r="AH415" s="39" t="str">
        <f>IF(AND(E415&lt;&gt;'Povolené hodnoty'!$B$4,F415=10),J415+M415+P415+S415,"")</f>
        <v/>
      </c>
      <c r="AI415" s="40" t="str">
        <f>IF(AND(E415&lt;&gt;'Povolené hodnoty'!$B$4,F415=11),J415+M415+P415+S415,"")</f>
        <v/>
      </c>
      <c r="AJ415" s="40" t="str">
        <f>IF(AND(E415&lt;&gt;'Povolené hodnoty'!$B$4,F415=12),J415+M415+P415+S415,"")</f>
        <v/>
      </c>
      <c r="AK415" s="41" t="str">
        <f>IF(AND(E415&lt;&gt;'Povolené hodnoty'!$B$4,F415=13),J415+M415+P415+S415,"")</f>
        <v/>
      </c>
      <c r="AL415" s="39" t="str">
        <f>IF(AND($G415='Povolené hodnoty'!$B$13,$H415=AL$4),SUM($I415,$L415,$O415,$R415),"")</f>
        <v/>
      </c>
      <c r="AM415" s="458" t="str">
        <f>IF(AND($G415='Povolené hodnoty'!$B$13,$H415=AM$4),SUM($I415,$L415,$O415,$R415),"")</f>
        <v/>
      </c>
      <c r="AN415" s="458" t="str">
        <f>IF(AND($G415='Povolené hodnoty'!$B$13,$H415=AN$4),SUM($I415,$L415,$O415,$R415),"")</f>
        <v/>
      </c>
      <c r="AO415" s="458" t="str">
        <f>IF(AND($G415='Povolené hodnoty'!$B$13,$H415=AO$4),SUM($I415,$L415,$O415,$R415),"")</f>
        <v/>
      </c>
      <c r="AP415" s="458" t="str">
        <f>IF(AND($G415='Povolené hodnoty'!$B$13,$H415=AP$4),SUM($I415,$L415,$O415,$R415),"")</f>
        <v/>
      </c>
      <c r="AQ415" s="40" t="str">
        <f>IF(AND($G415='Povolené hodnoty'!$B$13,OR($H415=AQ$4,$H415='Povolené hodnoty'!$E$36)),SUM($I415,-$J415,$L415,-$M415,$O415,-$P415,$R415,-$S415),"")</f>
        <v/>
      </c>
      <c r="AR415" s="40" t="str">
        <f>IF(AND($G415='Povolené hodnoty'!$B$13,$H415=AR$4),SUM($I415,$L415,$O415,$R415),"")</f>
        <v/>
      </c>
      <c r="AS415" s="41" t="str">
        <f>IF(AND($G415='Povolené hodnoty'!$B$13,$H415=AS$4),SUM($I415,$L415,$O415,$R415),"")</f>
        <v/>
      </c>
      <c r="AT415" s="39" t="str">
        <f>IF(AND($G415='Povolené hodnoty'!$B$14,$H415=AT$4),SUM($I415,$L415,$O415,$R415),"")</f>
        <v/>
      </c>
      <c r="AU415" s="458" t="str">
        <f>IF(AND($G415='Povolené hodnoty'!$B$14,$H415=AU$4),SUM($I415,$L415,$O415,$R415),"")</f>
        <v/>
      </c>
      <c r="AV415" s="41" t="str">
        <f>IF(AND($G415='Povolené hodnoty'!$B$14,$H415=AV$4),SUM($I415,$L415,$O415,$R415),"")</f>
        <v/>
      </c>
      <c r="AW415" s="39" t="str">
        <f>IF(AND($G415='Povolené hodnoty'!$B$13,$H415=AW$4),SUM($J415,$M415,$P415,$S415),"")</f>
        <v/>
      </c>
      <c r="AX415" s="458" t="str">
        <f>IF(AND($G415='Povolené hodnoty'!$B$13,$H415=AX$4),SUM($J415,$M415,$P415,$S415),"")</f>
        <v/>
      </c>
      <c r="AY415" s="458" t="str">
        <f>IF(AND($G415='Povolené hodnoty'!$B$13,$H415=AY$4),SUM($J415,$M415,$P415,$S415),"")</f>
        <v/>
      </c>
      <c r="AZ415" s="458" t="str">
        <f>IF(AND($G415='Povolené hodnoty'!$B$13,$H415=AZ$4),SUM($J415,$M415,$P415,$S415),"")</f>
        <v/>
      </c>
      <c r="BA415" s="458" t="str">
        <f>IF(AND($G415='Povolené hodnoty'!$B$13,$H415=BA$4),SUM($J415,$M415,$P415,$S415),"")</f>
        <v/>
      </c>
      <c r="BB415" s="40" t="str">
        <f>IF(AND($G415='Povolené hodnoty'!$B$13,$H415=BB$4),SUM($J415,$M415,$P415,$S415),"")</f>
        <v/>
      </c>
      <c r="BC415" s="40" t="str">
        <f>IF(AND($G415='Povolené hodnoty'!$B$13,$H415=BC$4),SUM($J415,$M415,$P415,$S415),"")</f>
        <v/>
      </c>
      <c r="BD415" s="40" t="str">
        <f>IF(AND($G415='Povolené hodnoty'!$B$13,$H415=BD$4),SUM($J415,$M415,$P415,$S415),"")</f>
        <v/>
      </c>
      <c r="BE415" s="41" t="str">
        <f>IF(AND($G415='Povolené hodnoty'!$B$13,$H415=BE$4),SUM($J415,$M415,$P415,$S415),"")</f>
        <v/>
      </c>
      <c r="BF415" s="39" t="str">
        <f>IF(AND($G415='Povolené hodnoty'!$B$14,$H415=BF$4),SUM($J415,$M415,$P415,$S415),"")</f>
        <v/>
      </c>
      <c r="BG415" s="458" t="str">
        <f>IF(AND($G415='Povolené hodnoty'!$B$14,$H415=BG$4),SUM($J415,$M415,$P415,$S415),"")</f>
        <v/>
      </c>
      <c r="BH415" s="458" t="str">
        <f>IF(AND($G415='Povolené hodnoty'!$B$14,$H415=BH$4),SUM($J415,$M415,$P415,$S415),"")</f>
        <v/>
      </c>
      <c r="BI415" s="458" t="str">
        <f>IF(AND($G415='Povolené hodnoty'!$B$14,$H415=BI$4),SUM($J415,$M415,$P415,$S415),"")</f>
        <v/>
      </c>
      <c r="BJ415" s="458" t="str">
        <f>IF(AND($G415='Povolené hodnoty'!$B$14,$H415=BJ$4),SUM($J415,$M415,$P415,$S415),"")</f>
        <v/>
      </c>
      <c r="BK415" s="40" t="str">
        <f>IF(AND($G415='Povolené hodnoty'!$B$14,$H415=BK$4),SUM($J415,$M415,$P415,$S415),"")</f>
        <v/>
      </c>
      <c r="BL415" s="40" t="str">
        <f>IF(AND($G415='Povolené hodnoty'!$B$14,$H415=BL$4),SUM($J415,$M415,$P415,$S415),"")</f>
        <v/>
      </c>
      <c r="BM415" s="41" t="str">
        <f>IF(AND($G415='Povolené hodnoty'!$B$14,$H415=BM$4),SUM($J415,$M415,$P415,$S415),"")</f>
        <v/>
      </c>
      <c r="BO415" s="18" t="b">
        <f t="shared" si="246"/>
        <v>0</v>
      </c>
      <c r="BP415" s="18" t="b">
        <f t="shared" si="217"/>
        <v>0</v>
      </c>
      <c r="BQ415" s="18" t="b">
        <f>AND(E415&lt;&gt;'Povolené hodnoty'!$B$6,F415&lt;&gt;'Povolené hodnoty'!$D$7,F415&lt;&gt;'Povolené hodnoty'!$D$8,OR(SUM(I415,L415,O415,R415)&lt;&gt;SUM(W415:X415,AA415:AG415),SUM(J415,M415,P415,S415)&lt;&gt;SUM(Y415:Z415,AH415:AK415),COUNT(I415:J415,L415:M415,O415:P415,R415:S415)&lt;&gt;COUNT(W415:AK415)))</f>
        <v>0</v>
      </c>
      <c r="BR415" s="18" t="b">
        <f>OR(AND(E415='Povolené hodnoty'!$B$6,$BR$5),AND(E415='Povolené hodnoty'!$B$6,H415&lt;&gt;'Povolené hodnoty'!$E$26,H415&lt;&gt;'Povolené hodnoty'!$E$35),AND(E415&lt;&gt;'Povolené hodnoty'!$B$6,OR(H415='Povolené hodnoty'!$E$26,H415='Povolené hodnoty'!$E$35)))</f>
        <v>0</v>
      </c>
      <c r="BS415" s="18" t="b">
        <f>OR(AND(G415&lt;&gt;'Povolené hodnoty'!$B$13,OR(H415='Povolené hodnoty'!$E$21,H415='Povolené hodnoty'!$E$22,H415='Povolené hodnoty'!$E$23,H415='Povolené hodnoty'!$E$24,H415='Povolené hodnoty'!$E$26,H415='Povolené hodnoty'!$E$36)),COUNT(I415:J415,L415:M415,O415:P415,R415:S415)&lt;&gt;COUNT(AL415:BM415))</f>
        <v>0</v>
      </c>
      <c r="BT415" s="18" t="b">
        <f t="shared" si="218"/>
        <v>0</v>
      </c>
      <c r="BV415" s="39" t="str">
        <f t="shared" si="219"/>
        <v/>
      </c>
      <c r="BW415" s="458" t="str">
        <f t="shared" si="220"/>
        <v/>
      </c>
      <c r="BX415" s="458" t="str">
        <f t="shared" si="221"/>
        <v/>
      </c>
      <c r="BY415" s="458" t="str">
        <f t="shared" si="222"/>
        <v/>
      </c>
      <c r="BZ415" s="458" t="str">
        <f t="shared" si="223"/>
        <v/>
      </c>
      <c r="CA415" s="40" t="str">
        <f t="shared" si="224"/>
        <v/>
      </c>
      <c r="CB415" s="40" t="str">
        <f t="shared" si="225"/>
        <v/>
      </c>
      <c r="CC415" s="39" t="str">
        <f t="shared" si="226"/>
        <v/>
      </c>
      <c r="CD415" s="458" t="str">
        <f t="shared" si="227"/>
        <v/>
      </c>
      <c r="CE415" s="41" t="str">
        <f t="shared" si="228"/>
        <v/>
      </c>
      <c r="CF415" s="39" t="str">
        <f t="shared" si="229"/>
        <v/>
      </c>
      <c r="CG415" s="458" t="str">
        <f t="shared" si="230"/>
        <v/>
      </c>
      <c r="CH415" s="458" t="str">
        <f t="shared" si="231"/>
        <v/>
      </c>
      <c r="CI415" s="458" t="str">
        <f t="shared" si="232"/>
        <v/>
      </c>
      <c r="CJ415" s="458" t="str">
        <f t="shared" si="233"/>
        <v/>
      </c>
      <c r="CK415" s="40" t="str">
        <f t="shared" si="234"/>
        <v/>
      </c>
      <c r="CL415" s="40" t="str">
        <f t="shared" si="235"/>
        <v/>
      </c>
      <c r="CM415" s="40" t="str">
        <f t="shared" si="236"/>
        <v/>
      </c>
      <c r="CN415" s="39" t="str">
        <f t="shared" si="237"/>
        <v/>
      </c>
      <c r="CO415" s="458" t="str">
        <f t="shared" si="238"/>
        <v/>
      </c>
      <c r="CP415" s="458" t="str">
        <f t="shared" si="239"/>
        <v/>
      </c>
      <c r="CQ415" s="458" t="str">
        <f t="shared" si="240"/>
        <v/>
      </c>
      <c r="CR415" s="458" t="str">
        <f t="shared" si="241"/>
        <v/>
      </c>
      <c r="CS415" s="40" t="str">
        <f t="shared" si="242"/>
        <v/>
      </c>
      <c r="CT415" s="40" t="str">
        <f t="shared" si="243"/>
        <v/>
      </c>
      <c r="CU415" s="41" t="str">
        <f t="shared" si="244"/>
        <v/>
      </c>
    </row>
    <row r="416" spans="1:99" x14ac:dyDescent="0.2">
      <c r="A416" s="77">
        <f t="shared" si="245"/>
        <v>411</v>
      </c>
      <c r="B416" s="81"/>
      <c r="C416" s="82"/>
      <c r="D416" s="71"/>
      <c r="E416" s="72"/>
      <c r="F416" s="73"/>
      <c r="G416" s="443"/>
      <c r="H416" s="443"/>
      <c r="I416" s="74"/>
      <c r="J416" s="75"/>
      <c r="K416" s="41">
        <f t="shared" si="214"/>
        <v>3625</v>
      </c>
      <c r="L416" s="104"/>
      <c r="M416" s="105"/>
      <c r="N416" s="106">
        <f t="shared" si="215"/>
        <v>537.05999999999995</v>
      </c>
      <c r="O416" s="104"/>
      <c r="P416" s="105"/>
      <c r="Q416" s="106">
        <f t="shared" si="247"/>
        <v>10045.83</v>
      </c>
      <c r="R416" s="104"/>
      <c r="S416" s="105"/>
      <c r="T416" s="106">
        <f t="shared" si="248"/>
        <v>0</v>
      </c>
      <c r="U416" s="439"/>
      <c r="V416" s="42">
        <f t="shared" si="216"/>
        <v>411</v>
      </c>
      <c r="W416" s="39" t="str">
        <f>IF(AND(E416='Povolené hodnoty'!$B$4,F416=2),I416+L416+O416+R416,"")</f>
        <v/>
      </c>
      <c r="X416" s="41" t="str">
        <f>IF(AND(E416='Povolené hodnoty'!$B$4,F416=1),I416+L416+O416+R416,"")</f>
        <v/>
      </c>
      <c r="Y416" s="39" t="str">
        <f>IF(AND(E416='Povolené hodnoty'!$B$4,F416=10),J416+M416+P416+S416,"")</f>
        <v/>
      </c>
      <c r="Z416" s="41" t="str">
        <f>IF(AND(E416='Povolené hodnoty'!$B$4,F416=9),J416+M416+P416+S416,"")</f>
        <v/>
      </c>
      <c r="AA416" s="39" t="str">
        <f>IF(AND(E416&lt;&gt;'Povolené hodnoty'!$B$4,F416=2),I416+L416+O416+R416,"")</f>
        <v/>
      </c>
      <c r="AB416" s="40" t="str">
        <f>IF(AND(E416&lt;&gt;'Povolené hodnoty'!$B$4,F416=3),I416+L416+O416+R416,"")</f>
        <v/>
      </c>
      <c r="AC416" s="40" t="str">
        <f>IF(AND(E416&lt;&gt;'Povolené hodnoty'!$B$4,F416=4),I416+L416+O416+R416,"")</f>
        <v/>
      </c>
      <c r="AD416" s="40" t="str">
        <f>IF(AND(E416&lt;&gt;'Povolené hodnoty'!$B$4,F416="5a"),I416-J416+L416-M416+O416-P416+R416-S416,"")</f>
        <v/>
      </c>
      <c r="AE416" s="40" t="str">
        <f>IF(AND(E416&lt;&gt;'Povolené hodnoty'!$B$4,F416="5b"),I416-J416+L416-M416+O416-P416+R416-S416,"")</f>
        <v/>
      </c>
      <c r="AF416" s="40" t="str">
        <f>IF(AND(E416&lt;&gt;'Povolené hodnoty'!$B$4,F416=6),I416+L416+O416+R416,"")</f>
        <v/>
      </c>
      <c r="AG416" s="41" t="str">
        <f>IF(AND(E416&lt;&gt;'Povolené hodnoty'!$B$4,F416=7),I416+L416+O416+R416,"")</f>
        <v/>
      </c>
      <c r="AH416" s="39" t="str">
        <f>IF(AND(E416&lt;&gt;'Povolené hodnoty'!$B$4,F416=10),J416+M416+P416+S416,"")</f>
        <v/>
      </c>
      <c r="AI416" s="40" t="str">
        <f>IF(AND(E416&lt;&gt;'Povolené hodnoty'!$B$4,F416=11),J416+M416+P416+S416,"")</f>
        <v/>
      </c>
      <c r="AJ416" s="40" t="str">
        <f>IF(AND(E416&lt;&gt;'Povolené hodnoty'!$B$4,F416=12),J416+M416+P416+S416,"")</f>
        <v/>
      </c>
      <c r="AK416" s="41" t="str">
        <f>IF(AND(E416&lt;&gt;'Povolené hodnoty'!$B$4,F416=13),J416+M416+P416+S416,"")</f>
        <v/>
      </c>
      <c r="AL416" s="39" t="str">
        <f>IF(AND($G416='Povolené hodnoty'!$B$13,$H416=AL$4),SUM($I416,$L416,$O416,$R416),"")</f>
        <v/>
      </c>
      <c r="AM416" s="458" t="str">
        <f>IF(AND($G416='Povolené hodnoty'!$B$13,$H416=AM$4),SUM($I416,$L416,$O416,$R416),"")</f>
        <v/>
      </c>
      <c r="AN416" s="458" t="str">
        <f>IF(AND($G416='Povolené hodnoty'!$B$13,$H416=AN$4),SUM($I416,$L416,$O416,$R416),"")</f>
        <v/>
      </c>
      <c r="AO416" s="458" t="str">
        <f>IF(AND($G416='Povolené hodnoty'!$B$13,$H416=AO$4),SUM($I416,$L416,$O416,$R416),"")</f>
        <v/>
      </c>
      <c r="AP416" s="458" t="str">
        <f>IF(AND($G416='Povolené hodnoty'!$B$13,$H416=AP$4),SUM($I416,$L416,$O416,$R416),"")</f>
        <v/>
      </c>
      <c r="AQ416" s="40" t="str">
        <f>IF(AND($G416='Povolené hodnoty'!$B$13,OR($H416=AQ$4,$H416='Povolené hodnoty'!$E$36)),SUM($I416,-$J416,$L416,-$M416,$O416,-$P416,$R416,-$S416),"")</f>
        <v/>
      </c>
      <c r="AR416" s="40" t="str">
        <f>IF(AND($G416='Povolené hodnoty'!$B$13,$H416=AR$4),SUM($I416,$L416,$O416,$R416),"")</f>
        <v/>
      </c>
      <c r="AS416" s="41" t="str">
        <f>IF(AND($G416='Povolené hodnoty'!$B$13,$H416=AS$4),SUM($I416,$L416,$O416,$R416),"")</f>
        <v/>
      </c>
      <c r="AT416" s="39" t="str">
        <f>IF(AND($G416='Povolené hodnoty'!$B$14,$H416=AT$4),SUM($I416,$L416,$O416,$R416),"")</f>
        <v/>
      </c>
      <c r="AU416" s="458" t="str">
        <f>IF(AND($G416='Povolené hodnoty'!$B$14,$H416=AU$4),SUM($I416,$L416,$O416,$R416),"")</f>
        <v/>
      </c>
      <c r="AV416" s="41" t="str">
        <f>IF(AND($G416='Povolené hodnoty'!$B$14,$H416=AV$4),SUM($I416,$L416,$O416,$R416),"")</f>
        <v/>
      </c>
      <c r="AW416" s="39" t="str">
        <f>IF(AND($G416='Povolené hodnoty'!$B$13,$H416=AW$4),SUM($J416,$M416,$P416,$S416),"")</f>
        <v/>
      </c>
      <c r="AX416" s="458" t="str">
        <f>IF(AND($G416='Povolené hodnoty'!$B$13,$H416=AX$4),SUM($J416,$M416,$P416,$S416),"")</f>
        <v/>
      </c>
      <c r="AY416" s="458" t="str">
        <f>IF(AND($G416='Povolené hodnoty'!$B$13,$H416=AY$4),SUM($J416,$M416,$P416,$S416),"")</f>
        <v/>
      </c>
      <c r="AZ416" s="458" t="str">
        <f>IF(AND($G416='Povolené hodnoty'!$B$13,$H416=AZ$4),SUM($J416,$M416,$P416,$S416),"")</f>
        <v/>
      </c>
      <c r="BA416" s="458" t="str">
        <f>IF(AND($G416='Povolené hodnoty'!$B$13,$H416=BA$4),SUM($J416,$M416,$P416,$S416),"")</f>
        <v/>
      </c>
      <c r="BB416" s="40" t="str">
        <f>IF(AND($G416='Povolené hodnoty'!$B$13,$H416=BB$4),SUM($J416,$M416,$P416,$S416),"")</f>
        <v/>
      </c>
      <c r="BC416" s="40" t="str">
        <f>IF(AND($G416='Povolené hodnoty'!$B$13,$H416=BC$4),SUM($J416,$M416,$P416,$S416),"")</f>
        <v/>
      </c>
      <c r="BD416" s="40" t="str">
        <f>IF(AND($G416='Povolené hodnoty'!$B$13,$H416=BD$4),SUM($J416,$M416,$P416,$S416),"")</f>
        <v/>
      </c>
      <c r="BE416" s="41" t="str">
        <f>IF(AND($G416='Povolené hodnoty'!$B$13,$H416=BE$4),SUM($J416,$M416,$P416,$S416),"")</f>
        <v/>
      </c>
      <c r="BF416" s="39" t="str">
        <f>IF(AND($G416='Povolené hodnoty'!$B$14,$H416=BF$4),SUM($J416,$M416,$P416,$S416),"")</f>
        <v/>
      </c>
      <c r="BG416" s="458" t="str">
        <f>IF(AND($G416='Povolené hodnoty'!$B$14,$H416=BG$4),SUM($J416,$M416,$P416,$S416),"")</f>
        <v/>
      </c>
      <c r="BH416" s="458" t="str">
        <f>IF(AND($G416='Povolené hodnoty'!$B$14,$H416=BH$4),SUM($J416,$M416,$P416,$S416),"")</f>
        <v/>
      </c>
      <c r="BI416" s="458" t="str">
        <f>IF(AND($G416='Povolené hodnoty'!$B$14,$H416=BI$4),SUM($J416,$M416,$P416,$S416),"")</f>
        <v/>
      </c>
      <c r="BJ416" s="458" t="str">
        <f>IF(AND($G416='Povolené hodnoty'!$B$14,$H416=BJ$4),SUM($J416,$M416,$P416,$S416),"")</f>
        <v/>
      </c>
      <c r="BK416" s="40" t="str">
        <f>IF(AND($G416='Povolené hodnoty'!$B$14,$H416=BK$4),SUM($J416,$M416,$P416,$S416),"")</f>
        <v/>
      </c>
      <c r="BL416" s="40" t="str">
        <f>IF(AND($G416='Povolené hodnoty'!$B$14,$H416=BL$4),SUM($J416,$M416,$P416,$S416),"")</f>
        <v/>
      </c>
      <c r="BM416" s="41" t="str">
        <f>IF(AND($G416='Povolené hodnoty'!$B$14,$H416=BM$4),SUM($J416,$M416,$P416,$S416),"")</f>
        <v/>
      </c>
      <c r="BO416" s="18" t="b">
        <f t="shared" si="246"/>
        <v>0</v>
      </c>
      <c r="BP416" s="18" t="b">
        <f t="shared" si="217"/>
        <v>0</v>
      </c>
      <c r="BQ416" s="18" t="b">
        <f>AND(E416&lt;&gt;'Povolené hodnoty'!$B$6,F416&lt;&gt;'Povolené hodnoty'!$D$7,F416&lt;&gt;'Povolené hodnoty'!$D$8,OR(SUM(I416,L416,O416,R416)&lt;&gt;SUM(W416:X416,AA416:AG416),SUM(J416,M416,P416,S416)&lt;&gt;SUM(Y416:Z416,AH416:AK416),COUNT(I416:J416,L416:M416,O416:P416,R416:S416)&lt;&gt;COUNT(W416:AK416)))</f>
        <v>0</v>
      </c>
      <c r="BR416" s="18" t="b">
        <f>OR(AND(E416='Povolené hodnoty'!$B$6,$BR$5),AND(E416='Povolené hodnoty'!$B$6,H416&lt;&gt;'Povolené hodnoty'!$E$26,H416&lt;&gt;'Povolené hodnoty'!$E$35),AND(E416&lt;&gt;'Povolené hodnoty'!$B$6,OR(H416='Povolené hodnoty'!$E$26,H416='Povolené hodnoty'!$E$35)))</f>
        <v>0</v>
      </c>
      <c r="BS416" s="18" t="b">
        <f>OR(AND(G416&lt;&gt;'Povolené hodnoty'!$B$13,OR(H416='Povolené hodnoty'!$E$21,H416='Povolené hodnoty'!$E$22,H416='Povolené hodnoty'!$E$23,H416='Povolené hodnoty'!$E$24,H416='Povolené hodnoty'!$E$26,H416='Povolené hodnoty'!$E$36)),COUNT(I416:J416,L416:M416,O416:P416,R416:S416)&lt;&gt;COUNT(AL416:BM416))</f>
        <v>0</v>
      </c>
      <c r="BT416" s="18" t="b">
        <f t="shared" si="218"/>
        <v>0</v>
      </c>
      <c r="BV416" s="39" t="str">
        <f t="shared" si="219"/>
        <v/>
      </c>
      <c r="BW416" s="458" t="str">
        <f t="shared" si="220"/>
        <v/>
      </c>
      <c r="BX416" s="458" t="str">
        <f t="shared" si="221"/>
        <v/>
      </c>
      <c r="BY416" s="458" t="str">
        <f t="shared" si="222"/>
        <v/>
      </c>
      <c r="BZ416" s="458" t="str">
        <f t="shared" si="223"/>
        <v/>
      </c>
      <c r="CA416" s="40" t="str">
        <f t="shared" si="224"/>
        <v/>
      </c>
      <c r="CB416" s="40" t="str">
        <f t="shared" si="225"/>
        <v/>
      </c>
      <c r="CC416" s="39" t="str">
        <f t="shared" si="226"/>
        <v/>
      </c>
      <c r="CD416" s="458" t="str">
        <f t="shared" si="227"/>
        <v/>
      </c>
      <c r="CE416" s="41" t="str">
        <f t="shared" si="228"/>
        <v/>
      </c>
      <c r="CF416" s="39" t="str">
        <f t="shared" si="229"/>
        <v/>
      </c>
      <c r="CG416" s="458" t="str">
        <f t="shared" si="230"/>
        <v/>
      </c>
      <c r="CH416" s="458" t="str">
        <f t="shared" si="231"/>
        <v/>
      </c>
      <c r="CI416" s="458" t="str">
        <f t="shared" si="232"/>
        <v/>
      </c>
      <c r="CJ416" s="458" t="str">
        <f t="shared" si="233"/>
        <v/>
      </c>
      <c r="CK416" s="40" t="str">
        <f t="shared" si="234"/>
        <v/>
      </c>
      <c r="CL416" s="40" t="str">
        <f t="shared" si="235"/>
        <v/>
      </c>
      <c r="CM416" s="40" t="str">
        <f t="shared" si="236"/>
        <v/>
      </c>
      <c r="CN416" s="39" t="str">
        <f t="shared" si="237"/>
        <v/>
      </c>
      <c r="CO416" s="458" t="str">
        <f t="shared" si="238"/>
        <v/>
      </c>
      <c r="CP416" s="458" t="str">
        <f t="shared" si="239"/>
        <v/>
      </c>
      <c r="CQ416" s="458" t="str">
        <f t="shared" si="240"/>
        <v/>
      </c>
      <c r="CR416" s="458" t="str">
        <f t="shared" si="241"/>
        <v/>
      </c>
      <c r="CS416" s="40" t="str">
        <f t="shared" si="242"/>
        <v/>
      </c>
      <c r="CT416" s="40" t="str">
        <f t="shared" si="243"/>
        <v/>
      </c>
      <c r="CU416" s="41" t="str">
        <f t="shared" si="244"/>
        <v/>
      </c>
    </row>
    <row r="417" spans="1:99" x14ac:dyDescent="0.2">
      <c r="A417" s="77">
        <f t="shared" si="245"/>
        <v>412</v>
      </c>
      <c r="B417" s="81"/>
      <c r="C417" s="82"/>
      <c r="D417" s="71"/>
      <c r="E417" s="72"/>
      <c r="F417" s="73"/>
      <c r="G417" s="443"/>
      <c r="H417" s="443"/>
      <c r="I417" s="74"/>
      <c r="J417" s="75"/>
      <c r="K417" s="41">
        <f t="shared" si="214"/>
        <v>3625</v>
      </c>
      <c r="L417" s="104"/>
      <c r="M417" s="105"/>
      <c r="N417" s="106">
        <f t="shared" si="215"/>
        <v>537.05999999999995</v>
      </c>
      <c r="O417" s="104"/>
      <c r="P417" s="105"/>
      <c r="Q417" s="106">
        <f t="shared" si="247"/>
        <v>10045.83</v>
      </c>
      <c r="R417" s="104"/>
      <c r="S417" s="105"/>
      <c r="T417" s="106">
        <f t="shared" si="248"/>
        <v>0</v>
      </c>
      <c r="U417" s="439"/>
      <c r="V417" s="42">
        <f t="shared" si="216"/>
        <v>412</v>
      </c>
      <c r="W417" s="39" t="str">
        <f>IF(AND(E417='Povolené hodnoty'!$B$4,F417=2),I417+L417+O417+R417,"")</f>
        <v/>
      </c>
      <c r="X417" s="41" t="str">
        <f>IF(AND(E417='Povolené hodnoty'!$B$4,F417=1),I417+L417+O417+R417,"")</f>
        <v/>
      </c>
      <c r="Y417" s="39" t="str">
        <f>IF(AND(E417='Povolené hodnoty'!$B$4,F417=10),J417+M417+P417+S417,"")</f>
        <v/>
      </c>
      <c r="Z417" s="41" t="str">
        <f>IF(AND(E417='Povolené hodnoty'!$B$4,F417=9),J417+M417+P417+S417,"")</f>
        <v/>
      </c>
      <c r="AA417" s="39" t="str">
        <f>IF(AND(E417&lt;&gt;'Povolené hodnoty'!$B$4,F417=2),I417+L417+O417+R417,"")</f>
        <v/>
      </c>
      <c r="AB417" s="40" t="str">
        <f>IF(AND(E417&lt;&gt;'Povolené hodnoty'!$B$4,F417=3),I417+L417+O417+R417,"")</f>
        <v/>
      </c>
      <c r="AC417" s="40" t="str">
        <f>IF(AND(E417&lt;&gt;'Povolené hodnoty'!$B$4,F417=4),I417+L417+O417+R417,"")</f>
        <v/>
      </c>
      <c r="AD417" s="40" t="str">
        <f>IF(AND(E417&lt;&gt;'Povolené hodnoty'!$B$4,F417="5a"),I417-J417+L417-M417+O417-P417+R417-S417,"")</f>
        <v/>
      </c>
      <c r="AE417" s="40" t="str">
        <f>IF(AND(E417&lt;&gt;'Povolené hodnoty'!$B$4,F417="5b"),I417-J417+L417-M417+O417-P417+R417-S417,"")</f>
        <v/>
      </c>
      <c r="AF417" s="40" t="str">
        <f>IF(AND(E417&lt;&gt;'Povolené hodnoty'!$B$4,F417=6),I417+L417+O417+R417,"")</f>
        <v/>
      </c>
      <c r="AG417" s="41" t="str">
        <f>IF(AND(E417&lt;&gt;'Povolené hodnoty'!$B$4,F417=7),I417+L417+O417+R417,"")</f>
        <v/>
      </c>
      <c r="AH417" s="39" t="str">
        <f>IF(AND(E417&lt;&gt;'Povolené hodnoty'!$B$4,F417=10),J417+M417+P417+S417,"")</f>
        <v/>
      </c>
      <c r="AI417" s="40" t="str">
        <f>IF(AND(E417&lt;&gt;'Povolené hodnoty'!$B$4,F417=11),J417+M417+P417+S417,"")</f>
        <v/>
      </c>
      <c r="AJ417" s="40" t="str">
        <f>IF(AND(E417&lt;&gt;'Povolené hodnoty'!$B$4,F417=12),J417+M417+P417+S417,"")</f>
        <v/>
      </c>
      <c r="AK417" s="41" t="str">
        <f>IF(AND(E417&lt;&gt;'Povolené hodnoty'!$B$4,F417=13),J417+M417+P417+S417,"")</f>
        <v/>
      </c>
      <c r="AL417" s="39" t="str">
        <f>IF(AND($G417='Povolené hodnoty'!$B$13,$H417=AL$4),SUM($I417,$L417,$O417,$R417),"")</f>
        <v/>
      </c>
      <c r="AM417" s="458" t="str">
        <f>IF(AND($G417='Povolené hodnoty'!$B$13,$H417=AM$4),SUM($I417,$L417,$O417,$R417),"")</f>
        <v/>
      </c>
      <c r="AN417" s="458" t="str">
        <f>IF(AND($G417='Povolené hodnoty'!$B$13,$H417=AN$4),SUM($I417,$L417,$O417,$R417),"")</f>
        <v/>
      </c>
      <c r="AO417" s="458" t="str">
        <f>IF(AND($G417='Povolené hodnoty'!$B$13,$H417=AO$4),SUM($I417,$L417,$O417,$R417),"")</f>
        <v/>
      </c>
      <c r="AP417" s="458" t="str">
        <f>IF(AND($G417='Povolené hodnoty'!$B$13,$H417=AP$4),SUM($I417,$L417,$O417,$R417),"")</f>
        <v/>
      </c>
      <c r="AQ417" s="40" t="str">
        <f>IF(AND($G417='Povolené hodnoty'!$B$13,OR($H417=AQ$4,$H417='Povolené hodnoty'!$E$36)),SUM($I417,-$J417,$L417,-$M417,$O417,-$P417,$R417,-$S417),"")</f>
        <v/>
      </c>
      <c r="AR417" s="40" t="str">
        <f>IF(AND($G417='Povolené hodnoty'!$B$13,$H417=AR$4),SUM($I417,$L417,$O417,$R417),"")</f>
        <v/>
      </c>
      <c r="AS417" s="41" t="str">
        <f>IF(AND($G417='Povolené hodnoty'!$B$13,$H417=AS$4),SUM($I417,$L417,$O417,$R417),"")</f>
        <v/>
      </c>
      <c r="AT417" s="39" t="str">
        <f>IF(AND($G417='Povolené hodnoty'!$B$14,$H417=AT$4),SUM($I417,$L417,$O417,$R417),"")</f>
        <v/>
      </c>
      <c r="AU417" s="458" t="str">
        <f>IF(AND($G417='Povolené hodnoty'!$B$14,$H417=AU$4),SUM($I417,$L417,$O417,$R417),"")</f>
        <v/>
      </c>
      <c r="AV417" s="41" t="str">
        <f>IF(AND($G417='Povolené hodnoty'!$B$14,$H417=AV$4),SUM($I417,$L417,$O417,$R417),"")</f>
        <v/>
      </c>
      <c r="AW417" s="39" t="str">
        <f>IF(AND($G417='Povolené hodnoty'!$B$13,$H417=AW$4),SUM($J417,$M417,$P417,$S417),"")</f>
        <v/>
      </c>
      <c r="AX417" s="458" t="str">
        <f>IF(AND($G417='Povolené hodnoty'!$B$13,$H417=AX$4),SUM($J417,$M417,$P417,$S417),"")</f>
        <v/>
      </c>
      <c r="AY417" s="458" t="str">
        <f>IF(AND($G417='Povolené hodnoty'!$B$13,$H417=AY$4),SUM($J417,$M417,$P417,$S417),"")</f>
        <v/>
      </c>
      <c r="AZ417" s="458" t="str">
        <f>IF(AND($G417='Povolené hodnoty'!$B$13,$H417=AZ$4),SUM($J417,$M417,$P417,$S417),"")</f>
        <v/>
      </c>
      <c r="BA417" s="458" t="str">
        <f>IF(AND($G417='Povolené hodnoty'!$B$13,$H417=BA$4),SUM($J417,$M417,$P417,$S417),"")</f>
        <v/>
      </c>
      <c r="BB417" s="40" t="str">
        <f>IF(AND($G417='Povolené hodnoty'!$B$13,$H417=BB$4),SUM($J417,$M417,$P417,$S417),"")</f>
        <v/>
      </c>
      <c r="BC417" s="40" t="str">
        <f>IF(AND($G417='Povolené hodnoty'!$B$13,$H417=BC$4),SUM($J417,$M417,$P417,$S417),"")</f>
        <v/>
      </c>
      <c r="BD417" s="40" t="str">
        <f>IF(AND($G417='Povolené hodnoty'!$B$13,$H417=BD$4),SUM($J417,$M417,$P417,$S417),"")</f>
        <v/>
      </c>
      <c r="BE417" s="41" t="str">
        <f>IF(AND($G417='Povolené hodnoty'!$B$13,$H417=BE$4),SUM($J417,$M417,$P417,$S417),"")</f>
        <v/>
      </c>
      <c r="BF417" s="39" t="str">
        <f>IF(AND($G417='Povolené hodnoty'!$B$14,$H417=BF$4),SUM($J417,$M417,$P417,$S417),"")</f>
        <v/>
      </c>
      <c r="BG417" s="458" t="str">
        <f>IF(AND($G417='Povolené hodnoty'!$B$14,$H417=BG$4),SUM($J417,$M417,$P417,$S417),"")</f>
        <v/>
      </c>
      <c r="BH417" s="458" t="str">
        <f>IF(AND($G417='Povolené hodnoty'!$B$14,$H417=BH$4),SUM($J417,$M417,$P417,$S417),"")</f>
        <v/>
      </c>
      <c r="BI417" s="458" t="str">
        <f>IF(AND($G417='Povolené hodnoty'!$B$14,$H417=BI$4),SUM($J417,$M417,$P417,$S417),"")</f>
        <v/>
      </c>
      <c r="BJ417" s="458" t="str">
        <f>IF(AND($G417='Povolené hodnoty'!$B$14,$H417=BJ$4),SUM($J417,$M417,$P417,$S417),"")</f>
        <v/>
      </c>
      <c r="BK417" s="40" t="str">
        <f>IF(AND($G417='Povolené hodnoty'!$B$14,$H417=BK$4),SUM($J417,$M417,$P417,$S417),"")</f>
        <v/>
      </c>
      <c r="BL417" s="40" t="str">
        <f>IF(AND($G417='Povolené hodnoty'!$B$14,$H417=BL$4),SUM($J417,$M417,$P417,$S417),"")</f>
        <v/>
      </c>
      <c r="BM417" s="41" t="str">
        <f>IF(AND($G417='Povolené hodnoty'!$B$14,$H417=BM$4),SUM($J417,$M417,$P417,$S417),"")</f>
        <v/>
      </c>
      <c r="BO417" s="18" t="b">
        <f t="shared" si="246"/>
        <v>0</v>
      </c>
      <c r="BP417" s="18" t="b">
        <f t="shared" si="217"/>
        <v>0</v>
      </c>
      <c r="BQ417" s="18" t="b">
        <f>AND(E417&lt;&gt;'Povolené hodnoty'!$B$6,F417&lt;&gt;'Povolené hodnoty'!$D$7,F417&lt;&gt;'Povolené hodnoty'!$D$8,OR(SUM(I417,L417,O417,R417)&lt;&gt;SUM(W417:X417,AA417:AG417),SUM(J417,M417,P417,S417)&lt;&gt;SUM(Y417:Z417,AH417:AK417),COUNT(I417:J417,L417:M417,O417:P417,R417:S417)&lt;&gt;COUNT(W417:AK417)))</f>
        <v>0</v>
      </c>
      <c r="BR417" s="18" t="b">
        <f>OR(AND(E417='Povolené hodnoty'!$B$6,$BR$5),AND(E417='Povolené hodnoty'!$B$6,H417&lt;&gt;'Povolené hodnoty'!$E$26,H417&lt;&gt;'Povolené hodnoty'!$E$35),AND(E417&lt;&gt;'Povolené hodnoty'!$B$6,OR(H417='Povolené hodnoty'!$E$26,H417='Povolené hodnoty'!$E$35)))</f>
        <v>0</v>
      </c>
      <c r="BS417" s="18" t="b">
        <f>OR(AND(G417&lt;&gt;'Povolené hodnoty'!$B$13,OR(H417='Povolené hodnoty'!$E$21,H417='Povolené hodnoty'!$E$22,H417='Povolené hodnoty'!$E$23,H417='Povolené hodnoty'!$E$24,H417='Povolené hodnoty'!$E$26,H417='Povolené hodnoty'!$E$36)),COUNT(I417:J417,L417:M417,O417:P417,R417:S417)&lt;&gt;COUNT(AL417:BM417))</f>
        <v>0</v>
      </c>
      <c r="BT417" s="18" t="b">
        <f t="shared" si="218"/>
        <v>0</v>
      </c>
      <c r="BV417" s="39" t="str">
        <f t="shared" si="219"/>
        <v/>
      </c>
      <c r="BW417" s="458" t="str">
        <f t="shared" si="220"/>
        <v/>
      </c>
      <c r="BX417" s="458" t="str">
        <f t="shared" si="221"/>
        <v/>
      </c>
      <c r="BY417" s="458" t="str">
        <f t="shared" si="222"/>
        <v/>
      </c>
      <c r="BZ417" s="458" t="str">
        <f t="shared" si="223"/>
        <v/>
      </c>
      <c r="CA417" s="40" t="str">
        <f t="shared" si="224"/>
        <v/>
      </c>
      <c r="CB417" s="40" t="str">
        <f t="shared" si="225"/>
        <v/>
      </c>
      <c r="CC417" s="39" t="str">
        <f t="shared" si="226"/>
        <v/>
      </c>
      <c r="CD417" s="458" t="str">
        <f t="shared" si="227"/>
        <v/>
      </c>
      <c r="CE417" s="41" t="str">
        <f t="shared" si="228"/>
        <v/>
      </c>
      <c r="CF417" s="39" t="str">
        <f t="shared" si="229"/>
        <v/>
      </c>
      <c r="CG417" s="458" t="str">
        <f t="shared" si="230"/>
        <v/>
      </c>
      <c r="CH417" s="458" t="str">
        <f t="shared" si="231"/>
        <v/>
      </c>
      <c r="CI417" s="458" t="str">
        <f t="shared" si="232"/>
        <v/>
      </c>
      <c r="CJ417" s="458" t="str">
        <f t="shared" si="233"/>
        <v/>
      </c>
      <c r="CK417" s="40" t="str">
        <f t="shared" si="234"/>
        <v/>
      </c>
      <c r="CL417" s="40" t="str">
        <f t="shared" si="235"/>
        <v/>
      </c>
      <c r="CM417" s="40" t="str">
        <f t="shared" si="236"/>
        <v/>
      </c>
      <c r="CN417" s="39" t="str">
        <f t="shared" si="237"/>
        <v/>
      </c>
      <c r="CO417" s="458" t="str">
        <f t="shared" si="238"/>
        <v/>
      </c>
      <c r="CP417" s="458" t="str">
        <f t="shared" si="239"/>
        <v/>
      </c>
      <c r="CQ417" s="458" t="str">
        <f t="shared" si="240"/>
        <v/>
      </c>
      <c r="CR417" s="458" t="str">
        <f t="shared" si="241"/>
        <v/>
      </c>
      <c r="CS417" s="40" t="str">
        <f t="shared" si="242"/>
        <v/>
      </c>
      <c r="CT417" s="40" t="str">
        <f t="shared" si="243"/>
        <v/>
      </c>
      <c r="CU417" s="41" t="str">
        <f t="shared" si="244"/>
        <v/>
      </c>
    </row>
    <row r="418" spans="1:99" x14ac:dyDescent="0.2">
      <c r="A418" s="77">
        <f t="shared" si="245"/>
        <v>413</v>
      </c>
      <c r="B418" s="81"/>
      <c r="C418" s="82"/>
      <c r="D418" s="71"/>
      <c r="E418" s="72"/>
      <c r="F418" s="73"/>
      <c r="G418" s="443"/>
      <c r="H418" s="443"/>
      <c r="I418" s="74"/>
      <c r="J418" s="75"/>
      <c r="K418" s="41">
        <f t="shared" si="214"/>
        <v>3625</v>
      </c>
      <c r="L418" s="104"/>
      <c r="M418" s="105"/>
      <c r="N418" s="106">
        <f t="shared" si="215"/>
        <v>537.05999999999995</v>
      </c>
      <c r="O418" s="104"/>
      <c r="P418" s="105"/>
      <c r="Q418" s="106">
        <f t="shared" si="247"/>
        <v>10045.83</v>
      </c>
      <c r="R418" s="104"/>
      <c r="S418" s="105"/>
      <c r="T418" s="106">
        <f t="shared" si="248"/>
        <v>0</v>
      </c>
      <c r="U418" s="439"/>
      <c r="V418" s="42">
        <f t="shared" si="216"/>
        <v>413</v>
      </c>
      <c r="W418" s="39" t="str">
        <f>IF(AND(E418='Povolené hodnoty'!$B$4,F418=2),I418+L418+O418+R418,"")</f>
        <v/>
      </c>
      <c r="X418" s="41" t="str">
        <f>IF(AND(E418='Povolené hodnoty'!$B$4,F418=1),I418+L418+O418+R418,"")</f>
        <v/>
      </c>
      <c r="Y418" s="39" t="str">
        <f>IF(AND(E418='Povolené hodnoty'!$B$4,F418=10),J418+M418+P418+S418,"")</f>
        <v/>
      </c>
      <c r="Z418" s="41" t="str">
        <f>IF(AND(E418='Povolené hodnoty'!$B$4,F418=9),J418+M418+P418+S418,"")</f>
        <v/>
      </c>
      <c r="AA418" s="39" t="str">
        <f>IF(AND(E418&lt;&gt;'Povolené hodnoty'!$B$4,F418=2),I418+L418+O418+R418,"")</f>
        <v/>
      </c>
      <c r="AB418" s="40" t="str">
        <f>IF(AND(E418&lt;&gt;'Povolené hodnoty'!$B$4,F418=3),I418+L418+O418+R418,"")</f>
        <v/>
      </c>
      <c r="AC418" s="40" t="str">
        <f>IF(AND(E418&lt;&gt;'Povolené hodnoty'!$B$4,F418=4),I418+L418+O418+R418,"")</f>
        <v/>
      </c>
      <c r="AD418" s="40" t="str">
        <f>IF(AND(E418&lt;&gt;'Povolené hodnoty'!$B$4,F418="5a"),I418-J418+L418-M418+O418-P418+R418-S418,"")</f>
        <v/>
      </c>
      <c r="AE418" s="40" t="str">
        <f>IF(AND(E418&lt;&gt;'Povolené hodnoty'!$B$4,F418="5b"),I418-J418+L418-M418+O418-P418+R418-S418,"")</f>
        <v/>
      </c>
      <c r="AF418" s="40" t="str">
        <f>IF(AND(E418&lt;&gt;'Povolené hodnoty'!$B$4,F418=6),I418+L418+O418+R418,"")</f>
        <v/>
      </c>
      <c r="AG418" s="41" t="str">
        <f>IF(AND(E418&lt;&gt;'Povolené hodnoty'!$B$4,F418=7),I418+L418+O418+R418,"")</f>
        <v/>
      </c>
      <c r="AH418" s="39" t="str">
        <f>IF(AND(E418&lt;&gt;'Povolené hodnoty'!$B$4,F418=10),J418+M418+P418+S418,"")</f>
        <v/>
      </c>
      <c r="AI418" s="40" t="str">
        <f>IF(AND(E418&lt;&gt;'Povolené hodnoty'!$B$4,F418=11),J418+M418+P418+S418,"")</f>
        <v/>
      </c>
      <c r="AJ418" s="40" t="str">
        <f>IF(AND(E418&lt;&gt;'Povolené hodnoty'!$B$4,F418=12),J418+M418+P418+S418,"")</f>
        <v/>
      </c>
      <c r="AK418" s="41" t="str">
        <f>IF(AND(E418&lt;&gt;'Povolené hodnoty'!$B$4,F418=13),J418+M418+P418+S418,"")</f>
        <v/>
      </c>
      <c r="AL418" s="39" t="str">
        <f>IF(AND($G418='Povolené hodnoty'!$B$13,$H418=AL$4),SUM($I418,$L418,$O418,$R418),"")</f>
        <v/>
      </c>
      <c r="AM418" s="458" t="str">
        <f>IF(AND($G418='Povolené hodnoty'!$B$13,$H418=AM$4),SUM($I418,$L418,$O418,$R418),"")</f>
        <v/>
      </c>
      <c r="AN418" s="458" t="str">
        <f>IF(AND($G418='Povolené hodnoty'!$B$13,$H418=AN$4),SUM($I418,$L418,$O418,$R418),"")</f>
        <v/>
      </c>
      <c r="AO418" s="458" t="str">
        <f>IF(AND($G418='Povolené hodnoty'!$B$13,$H418=AO$4),SUM($I418,$L418,$O418,$R418),"")</f>
        <v/>
      </c>
      <c r="AP418" s="458" t="str">
        <f>IF(AND($G418='Povolené hodnoty'!$B$13,$H418=AP$4),SUM($I418,$L418,$O418,$R418),"")</f>
        <v/>
      </c>
      <c r="AQ418" s="40" t="str">
        <f>IF(AND($G418='Povolené hodnoty'!$B$13,OR($H418=AQ$4,$H418='Povolené hodnoty'!$E$36)),SUM($I418,-$J418,$L418,-$M418,$O418,-$P418,$R418,-$S418),"")</f>
        <v/>
      </c>
      <c r="AR418" s="40" t="str">
        <f>IF(AND($G418='Povolené hodnoty'!$B$13,$H418=AR$4),SUM($I418,$L418,$O418,$R418),"")</f>
        <v/>
      </c>
      <c r="AS418" s="41" t="str">
        <f>IF(AND($G418='Povolené hodnoty'!$B$13,$H418=AS$4),SUM($I418,$L418,$O418,$R418),"")</f>
        <v/>
      </c>
      <c r="AT418" s="39" t="str">
        <f>IF(AND($G418='Povolené hodnoty'!$B$14,$H418=AT$4),SUM($I418,$L418,$O418,$R418),"")</f>
        <v/>
      </c>
      <c r="AU418" s="458" t="str">
        <f>IF(AND($G418='Povolené hodnoty'!$B$14,$H418=AU$4),SUM($I418,$L418,$O418,$R418),"")</f>
        <v/>
      </c>
      <c r="AV418" s="41" t="str">
        <f>IF(AND($G418='Povolené hodnoty'!$B$14,$H418=AV$4),SUM($I418,$L418,$O418,$R418),"")</f>
        <v/>
      </c>
      <c r="AW418" s="39" t="str">
        <f>IF(AND($G418='Povolené hodnoty'!$B$13,$H418=AW$4),SUM($J418,$M418,$P418,$S418),"")</f>
        <v/>
      </c>
      <c r="AX418" s="458" t="str">
        <f>IF(AND($G418='Povolené hodnoty'!$B$13,$H418=AX$4),SUM($J418,$M418,$P418,$S418),"")</f>
        <v/>
      </c>
      <c r="AY418" s="458" t="str">
        <f>IF(AND($G418='Povolené hodnoty'!$B$13,$H418=AY$4),SUM($J418,$M418,$P418,$S418),"")</f>
        <v/>
      </c>
      <c r="AZ418" s="458" t="str">
        <f>IF(AND($G418='Povolené hodnoty'!$B$13,$H418=AZ$4),SUM($J418,$M418,$P418,$S418),"")</f>
        <v/>
      </c>
      <c r="BA418" s="458" t="str">
        <f>IF(AND($G418='Povolené hodnoty'!$B$13,$H418=BA$4),SUM($J418,$M418,$P418,$S418),"")</f>
        <v/>
      </c>
      <c r="BB418" s="40" t="str">
        <f>IF(AND($G418='Povolené hodnoty'!$B$13,$H418=BB$4),SUM($J418,$M418,$P418,$S418),"")</f>
        <v/>
      </c>
      <c r="BC418" s="40" t="str">
        <f>IF(AND($G418='Povolené hodnoty'!$B$13,$H418=BC$4),SUM($J418,$M418,$P418,$S418),"")</f>
        <v/>
      </c>
      <c r="BD418" s="40" t="str">
        <f>IF(AND($G418='Povolené hodnoty'!$B$13,$H418=BD$4),SUM($J418,$M418,$P418,$S418),"")</f>
        <v/>
      </c>
      <c r="BE418" s="41" t="str">
        <f>IF(AND($G418='Povolené hodnoty'!$B$13,$H418=BE$4),SUM($J418,$M418,$P418,$S418),"")</f>
        <v/>
      </c>
      <c r="BF418" s="39" t="str">
        <f>IF(AND($G418='Povolené hodnoty'!$B$14,$H418=BF$4),SUM($J418,$M418,$P418,$S418),"")</f>
        <v/>
      </c>
      <c r="BG418" s="458" t="str">
        <f>IF(AND($G418='Povolené hodnoty'!$B$14,$H418=BG$4),SUM($J418,$M418,$P418,$S418),"")</f>
        <v/>
      </c>
      <c r="BH418" s="458" t="str">
        <f>IF(AND($G418='Povolené hodnoty'!$B$14,$H418=BH$4),SUM($J418,$M418,$P418,$S418),"")</f>
        <v/>
      </c>
      <c r="BI418" s="458" t="str">
        <f>IF(AND($G418='Povolené hodnoty'!$B$14,$H418=BI$4),SUM($J418,$M418,$P418,$S418),"")</f>
        <v/>
      </c>
      <c r="BJ418" s="458" t="str">
        <f>IF(AND($G418='Povolené hodnoty'!$B$14,$H418=BJ$4),SUM($J418,$M418,$P418,$S418),"")</f>
        <v/>
      </c>
      <c r="BK418" s="40" t="str">
        <f>IF(AND($G418='Povolené hodnoty'!$B$14,$H418=BK$4),SUM($J418,$M418,$P418,$S418),"")</f>
        <v/>
      </c>
      <c r="BL418" s="40" t="str">
        <f>IF(AND($G418='Povolené hodnoty'!$B$14,$H418=BL$4),SUM($J418,$M418,$P418,$S418),"")</f>
        <v/>
      </c>
      <c r="BM418" s="41" t="str">
        <f>IF(AND($G418='Povolené hodnoty'!$B$14,$H418=BM$4),SUM($J418,$M418,$P418,$S418),"")</f>
        <v/>
      </c>
      <c r="BO418" s="18" t="b">
        <f t="shared" si="246"/>
        <v>0</v>
      </c>
      <c r="BP418" s="18" t="b">
        <f t="shared" si="217"/>
        <v>0</v>
      </c>
      <c r="BQ418" s="18" t="b">
        <f>AND(E418&lt;&gt;'Povolené hodnoty'!$B$6,F418&lt;&gt;'Povolené hodnoty'!$D$7,F418&lt;&gt;'Povolené hodnoty'!$D$8,OR(SUM(I418,L418,O418,R418)&lt;&gt;SUM(W418:X418,AA418:AG418),SUM(J418,M418,P418,S418)&lt;&gt;SUM(Y418:Z418,AH418:AK418),COUNT(I418:J418,L418:M418,O418:P418,R418:S418)&lt;&gt;COUNT(W418:AK418)))</f>
        <v>0</v>
      </c>
      <c r="BR418" s="18" t="b">
        <f>OR(AND(E418='Povolené hodnoty'!$B$6,$BR$5),AND(E418='Povolené hodnoty'!$B$6,H418&lt;&gt;'Povolené hodnoty'!$E$26,H418&lt;&gt;'Povolené hodnoty'!$E$35),AND(E418&lt;&gt;'Povolené hodnoty'!$B$6,OR(H418='Povolené hodnoty'!$E$26,H418='Povolené hodnoty'!$E$35)))</f>
        <v>0</v>
      </c>
      <c r="BS418" s="18" t="b">
        <f>OR(AND(G418&lt;&gt;'Povolené hodnoty'!$B$13,OR(H418='Povolené hodnoty'!$E$21,H418='Povolené hodnoty'!$E$22,H418='Povolené hodnoty'!$E$23,H418='Povolené hodnoty'!$E$24,H418='Povolené hodnoty'!$E$26,H418='Povolené hodnoty'!$E$36)),COUNT(I418:J418,L418:M418,O418:P418,R418:S418)&lt;&gt;COUNT(AL418:BM418))</f>
        <v>0</v>
      </c>
      <c r="BT418" s="18" t="b">
        <f t="shared" si="218"/>
        <v>0</v>
      </c>
      <c r="BV418" s="39" t="str">
        <f t="shared" si="219"/>
        <v/>
      </c>
      <c r="BW418" s="458" t="str">
        <f t="shared" si="220"/>
        <v/>
      </c>
      <c r="BX418" s="458" t="str">
        <f t="shared" si="221"/>
        <v/>
      </c>
      <c r="BY418" s="458" t="str">
        <f t="shared" si="222"/>
        <v/>
      </c>
      <c r="BZ418" s="458" t="str">
        <f t="shared" si="223"/>
        <v/>
      </c>
      <c r="CA418" s="40" t="str">
        <f t="shared" si="224"/>
        <v/>
      </c>
      <c r="CB418" s="40" t="str">
        <f t="shared" si="225"/>
        <v/>
      </c>
      <c r="CC418" s="39" t="str">
        <f t="shared" si="226"/>
        <v/>
      </c>
      <c r="CD418" s="458" t="str">
        <f t="shared" si="227"/>
        <v/>
      </c>
      <c r="CE418" s="41" t="str">
        <f t="shared" si="228"/>
        <v/>
      </c>
      <c r="CF418" s="39" t="str">
        <f t="shared" si="229"/>
        <v/>
      </c>
      <c r="CG418" s="458" t="str">
        <f t="shared" si="230"/>
        <v/>
      </c>
      <c r="CH418" s="458" t="str">
        <f t="shared" si="231"/>
        <v/>
      </c>
      <c r="CI418" s="458" t="str">
        <f t="shared" si="232"/>
        <v/>
      </c>
      <c r="CJ418" s="458" t="str">
        <f t="shared" si="233"/>
        <v/>
      </c>
      <c r="CK418" s="40" t="str">
        <f t="shared" si="234"/>
        <v/>
      </c>
      <c r="CL418" s="40" t="str">
        <f t="shared" si="235"/>
        <v/>
      </c>
      <c r="CM418" s="40" t="str">
        <f t="shared" si="236"/>
        <v/>
      </c>
      <c r="CN418" s="39" t="str">
        <f t="shared" si="237"/>
        <v/>
      </c>
      <c r="CO418" s="458" t="str">
        <f t="shared" si="238"/>
        <v/>
      </c>
      <c r="CP418" s="458" t="str">
        <f t="shared" si="239"/>
        <v/>
      </c>
      <c r="CQ418" s="458" t="str">
        <f t="shared" si="240"/>
        <v/>
      </c>
      <c r="CR418" s="458" t="str">
        <f t="shared" si="241"/>
        <v/>
      </c>
      <c r="CS418" s="40" t="str">
        <f t="shared" si="242"/>
        <v/>
      </c>
      <c r="CT418" s="40" t="str">
        <f t="shared" si="243"/>
        <v/>
      </c>
      <c r="CU418" s="41" t="str">
        <f t="shared" si="244"/>
        <v/>
      </c>
    </row>
    <row r="419" spans="1:99" x14ac:dyDescent="0.2">
      <c r="A419" s="77">
        <f t="shared" si="245"/>
        <v>414</v>
      </c>
      <c r="B419" s="81"/>
      <c r="C419" s="82"/>
      <c r="D419" s="71"/>
      <c r="E419" s="72"/>
      <c r="F419" s="73"/>
      <c r="G419" s="443"/>
      <c r="H419" s="443"/>
      <c r="I419" s="74"/>
      <c r="J419" s="75"/>
      <c r="K419" s="41">
        <f t="shared" si="214"/>
        <v>3625</v>
      </c>
      <c r="L419" s="104"/>
      <c r="M419" s="105"/>
      <c r="N419" s="106">
        <f t="shared" si="215"/>
        <v>537.05999999999995</v>
      </c>
      <c r="O419" s="104"/>
      <c r="P419" s="105"/>
      <c r="Q419" s="106">
        <f t="shared" si="247"/>
        <v>10045.83</v>
      </c>
      <c r="R419" s="104"/>
      <c r="S419" s="105"/>
      <c r="T419" s="106">
        <f t="shared" si="248"/>
        <v>0</v>
      </c>
      <c r="U419" s="439"/>
      <c r="V419" s="42">
        <f t="shared" si="216"/>
        <v>414</v>
      </c>
      <c r="W419" s="39" t="str">
        <f>IF(AND(E419='Povolené hodnoty'!$B$4,F419=2),I419+L419+O419+R419,"")</f>
        <v/>
      </c>
      <c r="X419" s="41" t="str">
        <f>IF(AND(E419='Povolené hodnoty'!$B$4,F419=1),I419+L419+O419+R419,"")</f>
        <v/>
      </c>
      <c r="Y419" s="39" t="str">
        <f>IF(AND(E419='Povolené hodnoty'!$B$4,F419=10),J419+M419+P419+S419,"")</f>
        <v/>
      </c>
      <c r="Z419" s="41" t="str">
        <f>IF(AND(E419='Povolené hodnoty'!$B$4,F419=9),J419+M419+P419+S419,"")</f>
        <v/>
      </c>
      <c r="AA419" s="39" t="str">
        <f>IF(AND(E419&lt;&gt;'Povolené hodnoty'!$B$4,F419=2),I419+L419+O419+R419,"")</f>
        <v/>
      </c>
      <c r="AB419" s="40" t="str">
        <f>IF(AND(E419&lt;&gt;'Povolené hodnoty'!$B$4,F419=3),I419+L419+O419+R419,"")</f>
        <v/>
      </c>
      <c r="AC419" s="40" t="str">
        <f>IF(AND(E419&lt;&gt;'Povolené hodnoty'!$B$4,F419=4),I419+L419+O419+R419,"")</f>
        <v/>
      </c>
      <c r="AD419" s="40" t="str">
        <f>IF(AND(E419&lt;&gt;'Povolené hodnoty'!$B$4,F419="5a"),I419-J419+L419-M419+O419-P419+R419-S419,"")</f>
        <v/>
      </c>
      <c r="AE419" s="40" t="str">
        <f>IF(AND(E419&lt;&gt;'Povolené hodnoty'!$B$4,F419="5b"),I419-J419+L419-M419+O419-P419+R419-S419,"")</f>
        <v/>
      </c>
      <c r="AF419" s="40" t="str">
        <f>IF(AND(E419&lt;&gt;'Povolené hodnoty'!$B$4,F419=6),I419+L419+O419+R419,"")</f>
        <v/>
      </c>
      <c r="AG419" s="41" t="str">
        <f>IF(AND(E419&lt;&gt;'Povolené hodnoty'!$B$4,F419=7),I419+L419+O419+R419,"")</f>
        <v/>
      </c>
      <c r="AH419" s="39" t="str">
        <f>IF(AND(E419&lt;&gt;'Povolené hodnoty'!$B$4,F419=10),J419+M419+P419+S419,"")</f>
        <v/>
      </c>
      <c r="AI419" s="40" t="str">
        <f>IF(AND(E419&lt;&gt;'Povolené hodnoty'!$B$4,F419=11),J419+M419+P419+S419,"")</f>
        <v/>
      </c>
      <c r="AJ419" s="40" t="str">
        <f>IF(AND(E419&lt;&gt;'Povolené hodnoty'!$B$4,F419=12),J419+M419+P419+S419,"")</f>
        <v/>
      </c>
      <c r="AK419" s="41" t="str">
        <f>IF(AND(E419&lt;&gt;'Povolené hodnoty'!$B$4,F419=13),J419+M419+P419+S419,"")</f>
        <v/>
      </c>
      <c r="AL419" s="39" t="str">
        <f>IF(AND($G419='Povolené hodnoty'!$B$13,$H419=AL$4),SUM($I419,$L419,$O419,$R419),"")</f>
        <v/>
      </c>
      <c r="AM419" s="458" t="str">
        <f>IF(AND($G419='Povolené hodnoty'!$B$13,$H419=AM$4),SUM($I419,$L419,$O419,$R419),"")</f>
        <v/>
      </c>
      <c r="AN419" s="458" t="str">
        <f>IF(AND($G419='Povolené hodnoty'!$B$13,$H419=AN$4),SUM($I419,$L419,$O419,$R419),"")</f>
        <v/>
      </c>
      <c r="AO419" s="458" t="str">
        <f>IF(AND($G419='Povolené hodnoty'!$B$13,$H419=AO$4),SUM($I419,$L419,$O419,$R419),"")</f>
        <v/>
      </c>
      <c r="AP419" s="458" t="str">
        <f>IF(AND($G419='Povolené hodnoty'!$B$13,$H419=AP$4),SUM($I419,$L419,$O419,$R419),"")</f>
        <v/>
      </c>
      <c r="AQ419" s="40" t="str">
        <f>IF(AND($G419='Povolené hodnoty'!$B$13,OR($H419=AQ$4,$H419='Povolené hodnoty'!$E$36)),SUM($I419,-$J419,$L419,-$M419,$O419,-$P419,$R419,-$S419),"")</f>
        <v/>
      </c>
      <c r="AR419" s="40" t="str">
        <f>IF(AND($G419='Povolené hodnoty'!$B$13,$H419=AR$4),SUM($I419,$L419,$O419,$R419),"")</f>
        <v/>
      </c>
      <c r="AS419" s="41" t="str">
        <f>IF(AND($G419='Povolené hodnoty'!$B$13,$H419=AS$4),SUM($I419,$L419,$O419,$R419),"")</f>
        <v/>
      </c>
      <c r="AT419" s="39" t="str">
        <f>IF(AND($G419='Povolené hodnoty'!$B$14,$H419=AT$4),SUM($I419,$L419,$O419,$R419),"")</f>
        <v/>
      </c>
      <c r="AU419" s="458" t="str">
        <f>IF(AND($G419='Povolené hodnoty'!$B$14,$H419=AU$4),SUM($I419,$L419,$O419,$R419),"")</f>
        <v/>
      </c>
      <c r="AV419" s="41" t="str">
        <f>IF(AND($G419='Povolené hodnoty'!$B$14,$H419=AV$4),SUM($I419,$L419,$O419,$R419),"")</f>
        <v/>
      </c>
      <c r="AW419" s="39" t="str">
        <f>IF(AND($G419='Povolené hodnoty'!$B$13,$H419=AW$4),SUM($J419,$M419,$P419,$S419),"")</f>
        <v/>
      </c>
      <c r="AX419" s="458" t="str">
        <f>IF(AND($G419='Povolené hodnoty'!$B$13,$H419=AX$4),SUM($J419,$M419,$P419,$S419),"")</f>
        <v/>
      </c>
      <c r="AY419" s="458" t="str">
        <f>IF(AND($G419='Povolené hodnoty'!$B$13,$H419=AY$4),SUM($J419,$M419,$P419,$S419),"")</f>
        <v/>
      </c>
      <c r="AZ419" s="458" t="str">
        <f>IF(AND($G419='Povolené hodnoty'!$B$13,$H419=AZ$4),SUM($J419,$M419,$P419,$S419),"")</f>
        <v/>
      </c>
      <c r="BA419" s="458" t="str">
        <f>IF(AND($G419='Povolené hodnoty'!$B$13,$H419=BA$4),SUM($J419,$M419,$P419,$S419),"")</f>
        <v/>
      </c>
      <c r="BB419" s="40" t="str">
        <f>IF(AND($G419='Povolené hodnoty'!$B$13,$H419=BB$4),SUM($J419,$M419,$P419,$S419),"")</f>
        <v/>
      </c>
      <c r="BC419" s="40" t="str">
        <f>IF(AND($G419='Povolené hodnoty'!$B$13,$H419=BC$4),SUM($J419,$M419,$P419,$S419),"")</f>
        <v/>
      </c>
      <c r="BD419" s="40" t="str">
        <f>IF(AND($G419='Povolené hodnoty'!$B$13,$H419=BD$4),SUM($J419,$M419,$P419,$S419),"")</f>
        <v/>
      </c>
      <c r="BE419" s="41" t="str">
        <f>IF(AND($G419='Povolené hodnoty'!$B$13,$H419=BE$4),SUM($J419,$M419,$P419,$S419),"")</f>
        <v/>
      </c>
      <c r="BF419" s="39" t="str">
        <f>IF(AND($G419='Povolené hodnoty'!$B$14,$H419=BF$4),SUM($J419,$M419,$P419,$S419),"")</f>
        <v/>
      </c>
      <c r="BG419" s="458" t="str">
        <f>IF(AND($G419='Povolené hodnoty'!$B$14,$H419=BG$4),SUM($J419,$M419,$P419,$S419),"")</f>
        <v/>
      </c>
      <c r="BH419" s="458" t="str">
        <f>IF(AND($G419='Povolené hodnoty'!$B$14,$H419=BH$4),SUM($J419,$M419,$P419,$S419),"")</f>
        <v/>
      </c>
      <c r="BI419" s="458" t="str">
        <f>IF(AND($G419='Povolené hodnoty'!$B$14,$H419=BI$4),SUM($J419,$M419,$P419,$S419),"")</f>
        <v/>
      </c>
      <c r="BJ419" s="458" t="str">
        <f>IF(AND($G419='Povolené hodnoty'!$B$14,$H419=BJ$4),SUM($J419,$M419,$P419,$S419),"")</f>
        <v/>
      </c>
      <c r="BK419" s="40" t="str">
        <f>IF(AND($G419='Povolené hodnoty'!$B$14,$H419=BK$4),SUM($J419,$M419,$P419,$S419),"")</f>
        <v/>
      </c>
      <c r="BL419" s="40" t="str">
        <f>IF(AND($G419='Povolené hodnoty'!$B$14,$H419=BL$4),SUM($J419,$M419,$P419,$S419),"")</f>
        <v/>
      </c>
      <c r="BM419" s="41" t="str">
        <f>IF(AND($G419='Povolené hodnoty'!$B$14,$H419=BM$4),SUM($J419,$M419,$P419,$S419),"")</f>
        <v/>
      </c>
      <c r="BO419" s="18" t="b">
        <f t="shared" si="246"/>
        <v>0</v>
      </c>
      <c r="BP419" s="18" t="b">
        <f t="shared" si="217"/>
        <v>0</v>
      </c>
      <c r="BQ419" s="18" t="b">
        <f>AND(E419&lt;&gt;'Povolené hodnoty'!$B$6,F419&lt;&gt;'Povolené hodnoty'!$D$7,F419&lt;&gt;'Povolené hodnoty'!$D$8,OR(SUM(I419,L419,O419,R419)&lt;&gt;SUM(W419:X419,AA419:AG419),SUM(J419,M419,P419,S419)&lt;&gt;SUM(Y419:Z419,AH419:AK419),COUNT(I419:J419,L419:M419,O419:P419,R419:S419)&lt;&gt;COUNT(W419:AK419)))</f>
        <v>0</v>
      </c>
      <c r="BR419" s="18" t="b">
        <f>OR(AND(E419='Povolené hodnoty'!$B$6,$BR$5),AND(E419='Povolené hodnoty'!$B$6,H419&lt;&gt;'Povolené hodnoty'!$E$26,H419&lt;&gt;'Povolené hodnoty'!$E$35),AND(E419&lt;&gt;'Povolené hodnoty'!$B$6,OR(H419='Povolené hodnoty'!$E$26,H419='Povolené hodnoty'!$E$35)))</f>
        <v>0</v>
      </c>
      <c r="BS419" s="18" t="b">
        <f>OR(AND(G419&lt;&gt;'Povolené hodnoty'!$B$13,OR(H419='Povolené hodnoty'!$E$21,H419='Povolené hodnoty'!$E$22,H419='Povolené hodnoty'!$E$23,H419='Povolené hodnoty'!$E$24,H419='Povolené hodnoty'!$E$26,H419='Povolené hodnoty'!$E$36)),COUNT(I419:J419,L419:M419,O419:P419,R419:S419)&lt;&gt;COUNT(AL419:BM419))</f>
        <v>0</v>
      </c>
      <c r="BT419" s="18" t="b">
        <f t="shared" si="218"/>
        <v>0</v>
      </c>
      <c r="BV419" s="39" t="str">
        <f t="shared" si="219"/>
        <v/>
      </c>
      <c r="BW419" s="458" t="str">
        <f t="shared" si="220"/>
        <v/>
      </c>
      <c r="BX419" s="458" t="str">
        <f t="shared" si="221"/>
        <v/>
      </c>
      <c r="BY419" s="458" t="str">
        <f t="shared" si="222"/>
        <v/>
      </c>
      <c r="BZ419" s="458" t="str">
        <f t="shared" si="223"/>
        <v/>
      </c>
      <c r="CA419" s="40" t="str">
        <f t="shared" si="224"/>
        <v/>
      </c>
      <c r="CB419" s="40" t="str">
        <f t="shared" si="225"/>
        <v/>
      </c>
      <c r="CC419" s="39" t="str">
        <f t="shared" si="226"/>
        <v/>
      </c>
      <c r="CD419" s="458" t="str">
        <f t="shared" si="227"/>
        <v/>
      </c>
      <c r="CE419" s="41" t="str">
        <f t="shared" si="228"/>
        <v/>
      </c>
      <c r="CF419" s="39" t="str">
        <f t="shared" si="229"/>
        <v/>
      </c>
      <c r="CG419" s="458" t="str">
        <f t="shared" si="230"/>
        <v/>
      </c>
      <c r="CH419" s="458" t="str">
        <f t="shared" si="231"/>
        <v/>
      </c>
      <c r="CI419" s="458" t="str">
        <f t="shared" si="232"/>
        <v/>
      </c>
      <c r="CJ419" s="458" t="str">
        <f t="shared" si="233"/>
        <v/>
      </c>
      <c r="CK419" s="40" t="str">
        <f t="shared" si="234"/>
        <v/>
      </c>
      <c r="CL419" s="40" t="str">
        <f t="shared" si="235"/>
        <v/>
      </c>
      <c r="CM419" s="40" t="str">
        <f t="shared" si="236"/>
        <v/>
      </c>
      <c r="CN419" s="39" t="str">
        <f t="shared" si="237"/>
        <v/>
      </c>
      <c r="CO419" s="458" t="str">
        <f t="shared" si="238"/>
        <v/>
      </c>
      <c r="CP419" s="458" t="str">
        <f t="shared" si="239"/>
        <v/>
      </c>
      <c r="CQ419" s="458" t="str">
        <f t="shared" si="240"/>
        <v/>
      </c>
      <c r="CR419" s="458" t="str">
        <f t="shared" si="241"/>
        <v/>
      </c>
      <c r="CS419" s="40" t="str">
        <f t="shared" si="242"/>
        <v/>
      </c>
      <c r="CT419" s="40" t="str">
        <f t="shared" si="243"/>
        <v/>
      </c>
      <c r="CU419" s="41" t="str">
        <f t="shared" si="244"/>
        <v/>
      </c>
    </row>
    <row r="420" spans="1:99" x14ac:dyDescent="0.2">
      <c r="A420" s="77">
        <f t="shared" si="245"/>
        <v>415</v>
      </c>
      <c r="B420" s="81"/>
      <c r="C420" s="82"/>
      <c r="D420" s="71"/>
      <c r="E420" s="72"/>
      <c r="F420" s="73"/>
      <c r="G420" s="443"/>
      <c r="H420" s="443"/>
      <c r="I420" s="74"/>
      <c r="J420" s="75"/>
      <c r="K420" s="41">
        <f t="shared" si="214"/>
        <v>3625</v>
      </c>
      <c r="L420" s="104"/>
      <c r="M420" s="105"/>
      <c r="N420" s="106">
        <f t="shared" si="215"/>
        <v>537.05999999999995</v>
      </c>
      <c r="O420" s="104"/>
      <c r="P420" s="105"/>
      <c r="Q420" s="106">
        <f t="shared" si="247"/>
        <v>10045.83</v>
      </c>
      <c r="R420" s="104"/>
      <c r="S420" s="105"/>
      <c r="T420" s="106">
        <f t="shared" si="248"/>
        <v>0</v>
      </c>
      <c r="U420" s="439"/>
      <c r="V420" s="42">
        <f t="shared" si="216"/>
        <v>415</v>
      </c>
      <c r="W420" s="39" t="str">
        <f>IF(AND(E420='Povolené hodnoty'!$B$4,F420=2),I420+L420+O420+R420,"")</f>
        <v/>
      </c>
      <c r="X420" s="41" t="str">
        <f>IF(AND(E420='Povolené hodnoty'!$B$4,F420=1),I420+L420+O420+R420,"")</f>
        <v/>
      </c>
      <c r="Y420" s="39" t="str">
        <f>IF(AND(E420='Povolené hodnoty'!$B$4,F420=10),J420+M420+P420+S420,"")</f>
        <v/>
      </c>
      <c r="Z420" s="41" t="str">
        <f>IF(AND(E420='Povolené hodnoty'!$B$4,F420=9),J420+M420+P420+S420,"")</f>
        <v/>
      </c>
      <c r="AA420" s="39" t="str">
        <f>IF(AND(E420&lt;&gt;'Povolené hodnoty'!$B$4,F420=2),I420+L420+O420+R420,"")</f>
        <v/>
      </c>
      <c r="AB420" s="40" t="str">
        <f>IF(AND(E420&lt;&gt;'Povolené hodnoty'!$B$4,F420=3),I420+L420+O420+R420,"")</f>
        <v/>
      </c>
      <c r="AC420" s="40" t="str">
        <f>IF(AND(E420&lt;&gt;'Povolené hodnoty'!$B$4,F420=4),I420+L420+O420+R420,"")</f>
        <v/>
      </c>
      <c r="AD420" s="40" t="str">
        <f>IF(AND(E420&lt;&gt;'Povolené hodnoty'!$B$4,F420="5a"),I420-J420+L420-M420+O420-P420+R420-S420,"")</f>
        <v/>
      </c>
      <c r="AE420" s="40" t="str">
        <f>IF(AND(E420&lt;&gt;'Povolené hodnoty'!$B$4,F420="5b"),I420-J420+L420-M420+O420-P420+R420-S420,"")</f>
        <v/>
      </c>
      <c r="AF420" s="40" t="str">
        <f>IF(AND(E420&lt;&gt;'Povolené hodnoty'!$B$4,F420=6),I420+L420+O420+R420,"")</f>
        <v/>
      </c>
      <c r="AG420" s="41" t="str">
        <f>IF(AND(E420&lt;&gt;'Povolené hodnoty'!$B$4,F420=7),I420+L420+O420+R420,"")</f>
        <v/>
      </c>
      <c r="AH420" s="39" t="str">
        <f>IF(AND(E420&lt;&gt;'Povolené hodnoty'!$B$4,F420=10),J420+M420+P420+S420,"")</f>
        <v/>
      </c>
      <c r="AI420" s="40" t="str">
        <f>IF(AND(E420&lt;&gt;'Povolené hodnoty'!$B$4,F420=11),J420+M420+P420+S420,"")</f>
        <v/>
      </c>
      <c r="AJ420" s="40" t="str">
        <f>IF(AND(E420&lt;&gt;'Povolené hodnoty'!$B$4,F420=12),J420+M420+P420+S420,"")</f>
        <v/>
      </c>
      <c r="AK420" s="41" t="str">
        <f>IF(AND(E420&lt;&gt;'Povolené hodnoty'!$B$4,F420=13),J420+M420+P420+S420,"")</f>
        <v/>
      </c>
      <c r="AL420" s="39" t="str">
        <f>IF(AND($G420='Povolené hodnoty'!$B$13,$H420=AL$4),SUM($I420,$L420,$O420,$R420),"")</f>
        <v/>
      </c>
      <c r="AM420" s="458" t="str">
        <f>IF(AND($G420='Povolené hodnoty'!$B$13,$H420=AM$4),SUM($I420,$L420,$O420,$R420),"")</f>
        <v/>
      </c>
      <c r="AN420" s="458" t="str">
        <f>IF(AND($G420='Povolené hodnoty'!$B$13,$H420=AN$4),SUM($I420,$L420,$O420,$R420),"")</f>
        <v/>
      </c>
      <c r="AO420" s="458" t="str">
        <f>IF(AND($G420='Povolené hodnoty'!$B$13,$H420=AO$4),SUM($I420,$L420,$O420,$R420),"")</f>
        <v/>
      </c>
      <c r="AP420" s="458" t="str">
        <f>IF(AND($G420='Povolené hodnoty'!$B$13,$H420=AP$4),SUM($I420,$L420,$O420,$R420),"")</f>
        <v/>
      </c>
      <c r="AQ420" s="40" t="str">
        <f>IF(AND($G420='Povolené hodnoty'!$B$13,OR($H420=AQ$4,$H420='Povolené hodnoty'!$E$36)),SUM($I420,-$J420,$L420,-$M420,$O420,-$P420,$R420,-$S420),"")</f>
        <v/>
      </c>
      <c r="AR420" s="40" t="str">
        <f>IF(AND($G420='Povolené hodnoty'!$B$13,$H420=AR$4),SUM($I420,$L420,$O420,$R420),"")</f>
        <v/>
      </c>
      <c r="AS420" s="41" t="str">
        <f>IF(AND($G420='Povolené hodnoty'!$B$13,$H420=AS$4),SUM($I420,$L420,$O420,$R420),"")</f>
        <v/>
      </c>
      <c r="AT420" s="39" t="str">
        <f>IF(AND($G420='Povolené hodnoty'!$B$14,$H420=AT$4),SUM($I420,$L420,$O420,$R420),"")</f>
        <v/>
      </c>
      <c r="AU420" s="458" t="str">
        <f>IF(AND($G420='Povolené hodnoty'!$B$14,$H420=AU$4),SUM($I420,$L420,$O420,$R420),"")</f>
        <v/>
      </c>
      <c r="AV420" s="41" t="str">
        <f>IF(AND($G420='Povolené hodnoty'!$B$14,$H420=AV$4),SUM($I420,$L420,$O420,$R420),"")</f>
        <v/>
      </c>
      <c r="AW420" s="39" t="str">
        <f>IF(AND($G420='Povolené hodnoty'!$B$13,$H420=AW$4),SUM($J420,$M420,$P420,$S420),"")</f>
        <v/>
      </c>
      <c r="AX420" s="458" t="str">
        <f>IF(AND($G420='Povolené hodnoty'!$B$13,$H420=AX$4),SUM($J420,$M420,$P420,$S420),"")</f>
        <v/>
      </c>
      <c r="AY420" s="458" t="str">
        <f>IF(AND($G420='Povolené hodnoty'!$B$13,$H420=AY$4),SUM($J420,$M420,$P420,$S420),"")</f>
        <v/>
      </c>
      <c r="AZ420" s="458" t="str">
        <f>IF(AND($G420='Povolené hodnoty'!$B$13,$H420=AZ$4),SUM($J420,$M420,$P420,$S420),"")</f>
        <v/>
      </c>
      <c r="BA420" s="458" t="str">
        <f>IF(AND($G420='Povolené hodnoty'!$B$13,$H420=BA$4),SUM($J420,$M420,$P420,$S420),"")</f>
        <v/>
      </c>
      <c r="BB420" s="40" t="str">
        <f>IF(AND($G420='Povolené hodnoty'!$B$13,$H420=BB$4),SUM($J420,$M420,$P420,$S420),"")</f>
        <v/>
      </c>
      <c r="BC420" s="40" t="str">
        <f>IF(AND($G420='Povolené hodnoty'!$B$13,$H420=BC$4),SUM($J420,$M420,$P420,$S420),"")</f>
        <v/>
      </c>
      <c r="BD420" s="40" t="str">
        <f>IF(AND($G420='Povolené hodnoty'!$B$13,$H420=BD$4),SUM($J420,$M420,$P420,$S420),"")</f>
        <v/>
      </c>
      <c r="BE420" s="41" t="str">
        <f>IF(AND($G420='Povolené hodnoty'!$B$13,$H420=BE$4),SUM($J420,$M420,$P420,$S420),"")</f>
        <v/>
      </c>
      <c r="BF420" s="39" t="str">
        <f>IF(AND($G420='Povolené hodnoty'!$B$14,$H420=BF$4),SUM($J420,$M420,$P420,$S420),"")</f>
        <v/>
      </c>
      <c r="BG420" s="458" t="str">
        <f>IF(AND($G420='Povolené hodnoty'!$B$14,$H420=BG$4),SUM($J420,$M420,$P420,$S420),"")</f>
        <v/>
      </c>
      <c r="BH420" s="458" t="str">
        <f>IF(AND($G420='Povolené hodnoty'!$B$14,$H420=BH$4),SUM($J420,$M420,$P420,$S420),"")</f>
        <v/>
      </c>
      <c r="BI420" s="458" t="str">
        <f>IF(AND($G420='Povolené hodnoty'!$B$14,$H420=BI$4),SUM($J420,$M420,$P420,$S420),"")</f>
        <v/>
      </c>
      <c r="BJ420" s="458" t="str">
        <f>IF(AND($G420='Povolené hodnoty'!$B$14,$H420=BJ$4),SUM($J420,$M420,$P420,$S420),"")</f>
        <v/>
      </c>
      <c r="BK420" s="40" t="str">
        <f>IF(AND($G420='Povolené hodnoty'!$B$14,$H420=BK$4),SUM($J420,$M420,$P420,$S420),"")</f>
        <v/>
      </c>
      <c r="BL420" s="40" t="str">
        <f>IF(AND($G420='Povolené hodnoty'!$B$14,$H420=BL$4),SUM($J420,$M420,$P420,$S420),"")</f>
        <v/>
      </c>
      <c r="BM420" s="41" t="str">
        <f>IF(AND($G420='Povolené hodnoty'!$B$14,$H420=BM$4),SUM($J420,$M420,$P420,$S420),"")</f>
        <v/>
      </c>
      <c r="BO420" s="18" t="b">
        <f t="shared" si="246"/>
        <v>0</v>
      </c>
      <c r="BP420" s="18" t="b">
        <f t="shared" si="217"/>
        <v>0</v>
      </c>
      <c r="BQ420" s="18" t="b">
        <f>AND(E420&lt;&gt;'Povolené hodnoty'!$B$6,F420&lt;&gt;'Povolené hodnoty'!$D$7,F420&lt;&gt;'Povolené hodnoty'!$D$8,OR(SUM(I420,L420,O420,R420)&lt;&gt;SUM(W420:X420,AA420:AG420),SUM(J420,M420,P420,S420)&lt;&gt;SUM(Y420:Z420,AH420:AK420),COUNT(I420:J420,L420:M420,O420:P420,R420:S420)&lt;&gt;COUNT(W420:AK420)))</f>
        <v>0</v>
      </c>
      <c r="BR420" s="18" t="b">
        <f>OR(AND(E420='Povolené hodnoty'!$B$6,$BR$5),AND(E420='Povolené hodnoty'!$B$6,H420&lt;&gt;'Povolené hodnoty'!$E$26,H420&lt;&gt;'Povolené hodnoty'!$E$35),AND(E420&lt;&gt;'Povolené hodnoty'!$B$6,OR(H420='Povolené hodnoty'!$E$26,H420='Povolené hodnoty'!$E$35)))</f>
        <v>0</v>
      </c>
      <c r="BS420" s="18" t="b">
        <f>OR(AND(G420&lt;&gt;'Povolené hodnoty'!$B$13,OR(H420='Povolené hodnoty'!$E$21,H420='Povolené hodnoty'!$E$22,H420='Povolené hodnoty'!$E$23,H420='Povolené hodnoty'!$E$24,H420='Povolené hodnoty'!$E$26,H420='Povolené hodnoty'!$E$36)),COUNT(I420:J420,L420:M420,O420:P420,R420:S420)&lt;&gt;COUNT(AL420:BM420))</f>
        <v>0</v>
      </c>
      <c r="BT420" s="18" t="b">
        <f t="shared" si="218"/>
        <v>0</v>
      </c>
      <c r="BV420" s="39" t="str">
        <f t="shared" si="219"/>
        <v/>
      </c>
      <c r="BW420" s="458" t="str">
        <f t="shared" si="220"/>
        <v/>
      </c>
      <c r="BX420" s="458" t="str">
        <f t="shared" si="221"/>
        <v/>
      </c>
      <c r="BY420" s="458" t="str">
        <f t="shared" si="222"/>
        <v/>
      </c>
      <c r="BZ420" s="458" t="str">
        <f t="shared" si="223"/>
        <v/>
      </c>
      <c r="CA420" s="40" t="str">
        <f t="shared" si="224"/>
        <v/>
      </c>
      <c r="CB420" s="40" t="str">
        <f t="shared" si="225"/>
        <v/>
      </c>
      <c r="CC420" s="39" t="str">
        <f t="shared" si="226"/>
        <v/>
      </c>
      <c r="CD420" s="458" t="str">
        <f t="shared" si="227"/>
        <v/>
      </c>
      <c r="CE420" s="41" t="str">
        <f t="shared" si="228"/>
        <v/>
      </c>
      <c r="CF420" s="39" t="str">
        <f t="shared" si="229"/>
        <v/>
      </c>
      <c r="CG420" s="458" t="str">
        <f t="shared" si="230"/>
        <v/>
      </c>
      <c r="CH420" s="458" t="str">
        <f t="shared" si="231"/>
        <v/>
      </c>
      <c r="CI420" s="458" t="str">
        <f t="shared" si="232"/>
        <v/>
      </c>
      <c r="CJ420" s="458" t="str">
        <f t="shared" si="233"/>
        <v/>
      </c>
      <c r="CK420" s="40" t="str">
        <f t="shared" si="234"/>
        <v/>
      </c>
      <c r="CL420" s="40" t="str">
        <f t="shared" si="235"/>
        <v/>
      </c>
      <c r="CM420" s="40" t="str">
        <f t="shared" si="236"/>
        <v/>
      </c>
      <c r="CN420" s="39" t="str">
        <f t="shared" si="237"/>
        <v/>
      </c>
      <c r="CO420" s="458" t="str">
        <f t="shared" si="238"/>
        <v/>
      </c>
      <c r="CP420" s="458" t="str">
        <f t="shared" si="239"/>
        <v/>
      </c>
      <c r="CQ420" s="458" t="str">
        <f t="shared" si="240"/>
        <v/>
      </c>
      <c r="CR420" s="458" t="str">
        <f t="shared" si="241"/>
        <v/>
      </c>
      <c r="CS420" s="40" t="str">
        <f t="shared" si="242"/>
        <v/>
      </c>
      <c r="CT420" s="40" t="str">
        <f t="shared" si="243"/>
        <v/>
      </c>
      <c r="CU420" s="41" t="str">
        <f t="shared" si="244"/>
        <v/>
      </c>
    </row>
    <row r="421" spans="1:99" x14ac:dyDescent="0.2">
      <c r="A421" s="77">
        <f t="shared" si="245"/>
        <v>416</v>
      </c>
      <c r="B421" s="81"/>
      <c r="C421" s="82"/>
      <c r="D421" s="71"/>
      <c r="E421" s="72"/>
      <c r="F421" s="73"/>
      <c r="G421" s="443"/>
      <c r="H421" s="443"/>
      <c r="I421" s="74"/>
      <c r="J421" s="75"/>
      <c r="K421" s="41">
        <f t="shared" si="214"/>
        <v>3625</v>
      </c>
      <c r="L421" s="104"/>
      <c r="M421" s="105"/>
      <c r="N421" s="106">
        <f t="shared" si="215"/>
        <v>537.05999999999995</v>
      </c>
      <c r="O421" s="104"/>
      <c r="P421" s="105"/>
      <c r="Q421" s="106">
        <f t="shared" si="247"/>
        <v>10045.83</v>
      </c>
      <c r="R421" s="104"/>
      <c r="S421" s="105"/>
      <c r="T421" s="106">
        <f t="shared" si="248"/>
        <v>0</v>
      </c>
      <c r="U421" s="439"/>
      <c r="V421" s="42">
        <f t="shared" si="216"/>
        <v>416</v>
      </c>
      <c r="W421" s="39" t="str">
        <f>IF(AND(E421='Povolené hodnoty'!$B$4,F421=2),I421+L421+O421+R421,"")</f>
        <v/>
      </c>
      <c r="X421" s="41" t="str">
        <f>IF(AND(E421='Povolené hodnoty'!$B$4,F421=1),I421+L421+O421+R421,"")</f>
        <v/>
      </c>
      <c r="Y421" s="39" t="str">
        <f>IF(AND(E421='Povolené hodnoty'!$B$4,F421=10),J421+M421+P421+S421,"")</f>
        <v/>
      </c>
      <c r="Z421" s="41" t="str">
        <f>IF(AND(E421='Povolené hodnoty'!$B$4,F421=9),J421+M421+P421+S421,"")</f>
        <v/>
      </c>
      <c r="AA421" s="39" t="str">
        <f>IF(AND(E421&lt;&gt;'Povolené hodnoty'!$B$4,F421=2),I421+L421+O421+R421,"")</f>
        <v/>
      </c>
      <c r="AB421" s="40" t="str">
        <f>IF(AND(E421&lt;&gt;'Povolené hodnoty'!$B$4,F421=3),I421+L421+O421+R421,"")</f>
        <v/>
      </c>
      <c r="AC421" s="40" t="str">
        <f>IF(AND(E421&lt;&gt;'Povolené hodnoty'!$B$4,F421=4),I421+L421+O421+R421,"")</f>
        <v/>
      </c>
      <c r="AD421" s="40" t="str">
        <f>IF(AND(E421&lt;&gt;'Povolené hodnoty'!$B$4,F421="5a"),I421-J421+L421-M421+O421-P421+R421-S421,"")</f>
        <v/>
      </c>
      <c r="AE421" s="40" t="str">
        <f>IF(AND(E421&lt;&gt;'Povolené hodnoty'!$B$4,F421="5b"),I421-J421+L421-M421+O421-P421+R421-S421,"")</f>
        <v/>
      </c>
      <c r="AF421" s="40" t="str">
        <f>IF(AND(E421&lt;&gt;'Povolené hodnoty'!$B$4,F421=6),I421+L421+O421+R421,"")</f>
        <v/>
      </c>
      <c r="AG421" s="41" t="str">
        <f>IF(AND(E421&lt;&gt;'Povolené hodnoty'!$B$4,F421=7),I421+L421+O421+R421,"")</f>
        <v/>
      </c>
      <c r="AH421" s="39" t="str">
        <f>IF(AND(E421&lt;&gt;'Povolené hodnoty'!$B$4,F421=10),J421+M421+P421+S421,"")</f>
        <v/>
      </c>
      <c r="AI421" s="40" t="str">
        <f>IF(AND(E421&lt;&gt;'Povolené hodnoty'!$B$4,F421=11),J421+M421+P421+S421,"")</f>
        <v/>
      </c>
      <c r="AJ421" s="40" t="str">
        <f>IF(AND(E421&lt;&gt;'Povolené hodnoty'!$B$4,F421=12),J421+M421+P421+S421,"")</f>
        <v/>
      </c>
      <c r="AK421" s="41" t="str">
        <f>IF(AND(E421&lt;&gt;'Povolené hodnoty'!$B$4,F421=13),J421+M421+P421+S421,"")</f>
        <v/>
      </c>
      <c r="AL421" s="39" t="str">
        <f>IF(AND($G421='Povolené hodnoty'!$B$13,$H421=AL$4),SUM($I421,$L421,$O421,$R421),"")</f>
        <v/>
      </c>
      <c r="AM421" s="458" t="str">
        <f>IF(AND($G421='Povolené hodnoty'!$B$13,$H421=AM$4),SUM($I421,$L421,$O421,$R421),"")</f>
        <v/>
      </c>
      <c r="AN421" s="458" t="str">
        <f>IF(AND($G421='Povolené hodnoty'!$B$13,$H421=AN$4),SUM($I421,$L421,$O421,$R421),"")</f>
        <v/>
      </c>
      <c r="AO421" s="458" t="str">
        <f>IF(AND($G421='Povolené hodnoty'!$B$13,$H421=AO$4),SUM($I421,$L421,$O421,$R421),"")</f>
        <v/>
      </c>
      <c r="AP421" s="458" t="str">
        <f>IF(AND($G421='Povolené hodnoty'!$B$13,$H421=AP$4),SUM($I421,$L421,$O421,$R421),"")</f>
        <v/>
      </c>
      <c r="AQ421" s="40" t="str">
        <f>IF(AND($G421='Povolené hodnoty'!$B$13,OR($H421=AQ$4,$H421='Povolené hodnoty'!$E$36)),SUM($I421,-$J421,$L421,-$M421,$O421,-$P421,$R421,-$S421),"")</f>
        <v/>
      </c>
      <c r="AR421" s="40" t="str">
        <f>IF(AND($G421='Povolené hodnoty'!$B$13,$H421=AR$4),SUM($I421,$L421,$O421,$R421),"")</f>
        <v/>
      </c>
      <c r="AS421" s="41" t="str">
        <f>IF(AND($G421='Povolené hodnoty'!$B$13,$H421=AS$4),SUM($I421,$L421,$O421,$R421),"")</f>
        <v/>
      </c>
      <c r="AT421" s="39" t="str">
        <f>IF(AND($G421='Povolené hodnoty'!$B$14,$H421=AT$4),SUM($I421,$L421,$O421,$R421),"")</f>
        <v/>
      </c>
      <c r="AU421" s="458" t="str">
        <f>IF(AND($G421='Povolené hodnoty'!$B$14,$H421=AU$4),SUM($I421,$L421,$O421,$R421),"")</f>
        <v/>
      </c>
      <c r="AV421" s="41" t="str">
        <f>IF(AND($G421='Povolené hodnoty'!$B$14,$H421=AV$4),SUM($I421,$L421,$O421,$R421),"")</f>
        <v/>
      </c>
      <c r="AW421" s="39" t="str">
        <f>IF(AND($G421='Povolené hodnoty'!$B$13,$H421=AW$4),SUM($J421,$M421,$P421,$S421),"")</f>
        <v/>
      </c>
      <c r="AX421" s="458" t="str">
        <f>IF(AND($G421='Povolené hodnoty'!$B$13,$H421=AX$4),SUM($J421,$M421,$P421,$S421),"")</f>
        <v/>
      </c>
      <c r="AY421" s="458" t="str">
        <f>IF(AND($G421='Povolené hodnoty'!$B$13,$H421=AY$4),SUM($J421,$M421,$P421,$S421),"")</f>
        <v/>
      </c>
      <c r="AZ421" s="458" t="str">
        <f>IF(AND($G421='Povolené hodnoty'!$B$13,$H421=AZ$4),SUM($J421,$M421,$P421,$S421),"")</f>
        <v/>
      </c>
      <c r="BA421" s="458" t="str">
        <f>IF(AND($G421='Povolené hodnoty'!$B$13,$H421=BA$4),SUM($J421,$M421,$P421,$S421),"")</f>
        <v/>
      </c>
      <c r="BB421" s="40" t="str">
        <f>IF(AND($G421='Povolené hodnoty'!$B$13,$H421=BB$4),SUM($J421,$M421,$P421,$S421),"")</f>
        <v/>
      </c>
      <c r="BC421" s="40" t="str">
        <f>IF(AND($G421='Povolené hodnoty'!$B$13,$H421=BC$4),SUM($J421,$M421,$P421,$S421),"")</f>
        <v/>
      </c>
      <c r="BD421" s="40" t="str">
        <f>IF(AND($G421='Povolené hodnoty'!$B$13,$H421=BD$4),SUM($J421,$M421,$P421,$S421),"")</f>
        <v/>
      </c>
      <c r="BE421" s="41" t="str">
        <f>IF(AND($G421='Povolené hodnoty'!$B$13,$H421=BE$4),SUM($J421,$M421,$P421,$S421),"")</f>
        <v/>
      </c>
      <c r="BF421" s="39" t="str">
        <f>IF(AND($G421='Povolené hodnoty'!$B$14,$H421=BF$4),SUM($J421,$M421,$P421,$S421),"")</f>
        <v/>
      </c>
      <c r="BG421" s="458" t="str">
        <f>IF(AND($G421='Povolené hodnoty'!$B$14,$H421=BG$4),SUM($J421,$M421,$P421,$S421),"")</f>
        <v/>
      </c>
      <c r="BH421" s="458" t="str">
        <f>IF(AND($G421='Povolené hodnoty'!$B$14,$H421=BH$4),SUM($J421,$M421,$P421,$S421),"")</f>
        <v/>
      </c>
      <c r="BI421" s="458" t="str">
        <f>IF(AND($G421='Povolené hodnoty'!$B$14,$H421=BI$4),SUM($J421,$M421,$P421,$S421),"")</f>
        <v/>
      </c>
      <c r="BJ421" s="458" t="str">
        <f>IF(AND($G421='Povolené hodnoty'!$B$14,$H421=BJ$4),SUM($J421,$M421,$P421,$S421),"")</f>
        <v/>
      </c>
      <c r="BK421" s="40" t="str">
        <f>IF(AND($G421='Povolené hodnoty'!$B$14,$H421=BK$4),SUM($J421,$M421,$P421,$S421),"")</f>
        <v/>
      </c>
      <c r="BL421" s="40" t="str">
        <f>IF(AND($G421='Povolené hodnoty'!$B$14,$H421=BL$4),SUM($J421,$M421,$P421,$S421),"")</f>
        <v/>
      </c>
      <c r="BM421" s="41" t="str">
        <f>IF(AND($G421='Povolené hodnoty'!$B$14,$H421=BM$4),SUM($J421,$M421,$P421,$S421),"")</f>
        <v/>
      </c>
      <c r="BO421" s="18" t="b">
        <f t="shared" si="246"/>
        <v>0</v>
      </c>
      <c r="BP421" s="18" t="b">
        <f t="shared" si="217"/>
        <v>0</v>
      </c>
      <c r="BQ421" s="18" t="b">
        <f>AND(E421&lt;&gt;'Povolené hodnoty'!$B$6,F421&lt;&gt;'Povolené hodnoty'!$D$7,F421&lt;&gt;'Povolené hodnoty'!$D$8,OR(SUM(I421,L421,O421,R421)&lt;&gt;SUM(W421:X421,AA421:AG421),SUM(J421,M421,P421,S421)&lt;&gt;SUM(Y421:Z421,AH421:AK421),COUNT(I421:J421,L421:M421,O421:P421,R421:S421)&lt;&gt;COUNT(W421:AK421)))</f>
        <v>0</v>
      </c>
      <c r="BR421" s="18" t="b">
        <f>OR(AND(E421='Povolené hodnoty'!$B$6,$BR$5),AND(E421='Povolené hodnoty'!$B$6,H421&lt;&gt;'Povolené hodnoty'!$E$26,H421&lt;&gt;'Povolené hodnoty'!$E$35),AND(E421&lt;&gt;'Povolené hodnoty'!$B$6,OR(H421='Povolené hodnoty'!$E$26,H421='Povolené hodnoty'!$E$35)))</f>
        <v>0</v>
      </c>
      <c r="BS421" s="18" t="b">
        <f>OR(AND(G421&lt;&gt;'Povolené hodnoty'!$B$13,OR(H421='Povolené hodnoty'!$E$21,H421='Povolené hodnoty'!$E$22,H421='Povolené hodnoty'!$E$23,H421='Povolené hodnoty'!$E$24,H421='Povolené hodnoty'!$E$26,H421='Povolené hodnoty'!$E$36)),COUNT(I421:J421,L421:M421,O421:P421,R421:S421)&lt;&gt;COUNT(AL421:BM421))</f>
        <v>0</v>
      </c>
      <c r="BT421" s="18" t="b">
        <f t="shared" si="218"/>
        <v>0</v>
      </c>
      <c r="BV421" s="39" t="str">
        <f t="shared" si="219"/>
        <v/>
      </c>
      <c r="BW421" s="458" t="str">
        <f t="shared" si="220"/>
        <v/>
      </c>
      <c r="BX421" s="458" t="str">
        <f t="shared" si="221"/>
        <v/>
      </c>
      <c r="BY421" s="458" t="str">
        <f t="shared" si="222"/>
        <v/>
      </c>
      <c r="BZ421" s="458" t="str">
        <f t="shared" si="223"/>
        <v/>
      </c>
      <c r="CA421" s="40" t="str">
        <f t="shared" si="224"/>
        <v/>
      </c>
      <c r="CB421" s="40" t="str">
        <f t="shared" si="225"/>
        <v/>
      </c>
      <c r="CC421" s="39" t="str">
        <f t="shared" si="226"/>
        <v/>
      </c>
      <c r="CD421" s="458" t="str">
        <f t="shared" si="227"/>
        <v/>
      </c>
      <c r="CE421" s="41" t="str">
        <f t="shared" si="228"/>
        <v/>
      </c>
      <c r="CF421" s="39" t="str">
        <f t="shared" si="229"/>
        <v/>
      </c>
      <c r="CG421" s="458" t="str">
        <f t="shared" si="230"/>
        <v/>
      </c>
      <c r="CH421" s="458" t="str">
        <f t="shared" si="231"/>
        <v/>
      </c>
      <c r="CI421" s="458" t="str">
        <f t="shared" si="232"/>
        <v/>
      </c>
      <c r="CJ421" s="458" t="str">
        <f t="shared" si="233"/>
        <v/>
      </c>
      <c r="CK421" s="40" t="str">
        <f t="shared" si="234"/>
        <v/>
      </c>
      <c r="CL421" s="40" t="str">
        <f t="shared" si="235"/>
        <v/>
      </c>
      <c r="CM421" s="40" t="str">
        <f t="shared" si="236"/>
        <v/>
      </c>
      <c r="CN421" s="39" t="str">
        <f t="shared" si="237"/>
        <v/>
      </c>
      <c r="CO421" s="458" t="str">
        <f t="shared" si="238"/>
        <v/>
      </c>
      <c r="CP421" s="458" t="str">
        <f t="shared" si="239"/>
        <v/>
      </c>
      <c r="CQ421" s="458" t="str">
        <f t="shared" si="240"/>
        <v/>
      </c>
      <c r="CR421" s="458" t="str">
        <f t="shared" si="241"/>
        <v/>
      </c>
      <c r="CS421" s="40" t="str">
        <f t="shared" si="242"/>
        <v/>
      </c>
      <c r="CT421" s="40" t="str">
        <f t="shared" si="243"/>
        <v/>
      </c>
      <c r="CU421" s="41" t="str">
        <f t="shared" si="244"/>
        <v/>
      </c>
    </row>
    <row r="422" spans="1:99" x14ac:dyDescent="0.2">
      <c r="A422" s="77">
        <f t="shared" si="245"/>
        <v>417</v>
      </c>
      <c r="B422" s="81"/>
      <c r="C422" s="82"/>
      <c r="D422" s="71"/>
      <c r="E422" s="72"/>
      <c r="F422" s="73"/>
      <c r="G422" s="443"/>
      <c r="H422" s="443"/>
      <c r="I422" s="74"/>
      <c r="J422" s="75"/>
      <c r="K422" s="41">
        <f t="shared" si="214"/>
        <v>3625</v>
      </c>
      <c r="L422" s="104"/>
      <c r="M422" s="105"/>
      <c r="N422" s="106">
        <f t="shared" si="215"/>
        <v>537.05999999999995</v>
      </c>
      <c r="O422" s="104"/>
      <c r="P422" s="105"/>
      <c r="Q422" s="106">
        <f t="shared" si="247"/>
        <v>10045.83</v>
      </c>
      <c r="R422" s="104"/>
      <c r="S422" s="105"/>
      <c r="T422" s="106">
        <f t="shared" si="248"/>
        <v>0</v>
      </c>
      <c r="U422" s="439"/>
      <c r="V422" s="42">
        <f t="shared" si="216"/>
        <v>417</v>
      </c>
      <c r="W422" s="39" t="str">
        <f>IF(AND(E422='Povolené hodnoty'!$B$4,F422=2),I422+L422+O422+R422,"")</f>
        <v/>
      </c>
      <c r="X422" s="41" t="str">
        <f>IF(AND(E422='Povolené hodnoty'!$B$4,F422=1),I422+L422+O422+R422,"")</f>
        <v/>
      </c>
      <c r="Y422" s="39" t="str">
        <f>IF(AND(E422='Povolené hodnoty'!$B$4,F422=10),J422+M422+P422+S422,"")</f>
        <v/>
      </c>
      <c r="Z422" s="41" t="str">
        <f>IF(AND(E422='Povolené hodnoty'!$B$4,F422=9),J422+M422+P422+S422,"")</f>
        <v/>
      </c>
      <c r="AA422" s="39" t="str">
        <f>IF(AND(E422&lt;&gt;'Povolené hodnoty'!$B$4,F422=2),I422+L422+O422+R422,"")</f>
        <v/>
      </c>
      <c r="AB422" s="40" t="str">
        <f>IF(AND(E422&lt;&gt;'Povolené hodnoty'!$B$4,F422=3),I422+L422+O422+R422,"")</f>
        <v/>
      </c>
      <c r="AC422" s="40" t="str">
        <f>IF(AND(E422&lt;&gt;'Povolené hodnoty'!$B$4,F422=4),I422+L422+O422+R422,"")</f>
        <v/>
      </c>
      <c r="AD422" s="40" t="str">
        <f>IF(AND(E422&lt;&gt;'Povolené hodnoty'!$B$4,F422="5a"),I422-J422+L422-M422+O422-P422+R422-S422,"")</f>
        <v/>
      </c>
      <c r="AE422" s="40" t="str">
        <f>IF(AND(E422&lt;&gt;'Povolené hodnoty'!$B$4,F422="5b"),I422-J422+L422-M422+O422-P422+R422-S422,"")</f>
        <v/>
      </c>
      <c r="AF422" s="40" t="str">
        <f>IF(AND(E422&lt;&gt;'Povolené hodnoty'!$B$4,F422=6),I422+L422+O422+R422,"")</f>
        <v/>
      </c>
      <c r="AG422" s="41" t="str">
        <f>IF(AND(E422&lt;&gt;'Povolené hodnoty'!$B$4,F422=7),I422+L422+O422+R422,"")</f>
        <v/>
      </c>
      <c r="AH422" s="39" t="str">
        <f>IF(AND(E422&lt;&gt;'Povolené hodnoty'!$B$4,F422=10),J422+M422+P422+S422,"")</f>
        <v/>
      </c>
      <c r="AI422" s="40" t="str">
        <f>IF(AND(E422&lt;&gt;'Povolené hodnoty'!$B$4,F422=11),J422+M422+P422+S422,"")</f>
        <v/>
      </c>
      <c r="AJ422" s="40" t="str">
        <f>IF(AND(E422&lt;&gt;'Povolené hodnoty'!$B$4,F422=12),J422+M422+P422+S422,"")</f>
        <v/>
      </c>
      <c r="AK422" s="41" t="str">
        <f>IF(AND(E422&lt;&gt;'Povolené hodnoty'!$B$4,F422=13),J422+M422+P422+S422,"")</f>
        <v/>
      </c>
      <c r="AL422" s="39" t="str">
        <f>IF(AND($G422='Povolené hodnoty'!$B$13,$H422=AL$4),SUM($I422,$L422,$O422,$R422),"")</f>
        <v/>
      </c>
      <c r="AM422" s="458" t="str">
        <f>IF(AND($G422='Povolené hodnoty'!$B$13,$H422=AM$4),SUM($I422,$L422,$O422,$R422),"")</f>
        <v/>
      </c>
      <c r="AN422" s="458" t="str">
        <f>IF(AND($G422='Povolené hodnoty'!$B$13,$H422=AN$4),SUM($I422,$L422,$O422,$R422),"")</f>
        <v/>
      </c>
      <c r="AO422" s="458" t="str">
        <f>IF(AND($G422='Povolené hodnoty'!$B$13,$H422=AO$4),SUM($I422,$L422,$O422,$R422),"")</f>
        <v/>
      </c>
      <c r="AP422" s="458" t="str">
        <f>IF(AND($G422='Povolené hodnoty'!$B$13,$H422=AP$4),SUM($I422,$L422,$O422,$R422),"")</f>
        <v/>
      </c>
      <c r="AQ422" s="40" t="str">
        <f>IF(AND($G422='Povolené hodnoty'!$B$13,OR($H422=AQ$4,$H422='Povolené hodnoty'!$E$36)),SUM($I422,-$J422,$L422,-$M422,$O422,-$P422,$R422,-$S422),"")</f>
        <v/>
      </c>
      <c r="AR422" s="40" t="str">
        <f>IF(AND($G422='Povolené hodnoty'!$B$13,$H422=AR$4),SUM($I422,$L422,$O422,$R422),"")</f>
        <v/>
      </c>
      <c r="AS422" s="41" t="str">
        <f>IF(AND($G422='Povolené hodnoty'!$B$13,$H422=AS$4),SUM($I422,$L422,$O422,$R422),"")</f>
        <v/>
      </c>
      <c r="AT422" s="39" t="str">
        <f>IF(AND($G422='Povolené hodnoty'!$B$14,$H422=AT$4),SUM($I422,$L422,$O422,$R422),"")</f>
        <v/>
      </c>
      <c r="AU422" s="458" t="str">
        <f>IF(AND($G422='Povolené hodnoty'!$B$14,$H422=AU$4),SUM($I422,$L422,$O422,$R422),"")</f>
        <v/>
      </c>
      <c r="AV422" s="41" t="str">
        <f>IF(AND($G422='Povolené hodnoty'!$B$14,$H422=AV$4),SUM($I422,$L422,$O422,$R422),"")</f>
        <v/>
      </c>
      <c r="AW422" s="39" t="str">
        <f>IF(AND($G422='Povolené hodnoty'!$B$13,$H422=AW$4),SUM($J422,$M422,$P422,$S422),"")</f>
        <v/>
      </c>
      <c r="AX422" s="458" t="str">
        <f>IF(AND($G422='Povolené hodnoty'!$B$13,$H422=AX$4),SUM($J422,$M422,$P422,$S422),"")</f>
        <v/>
      </c>
      <c r="AY422" s="458" t="str">
        <f>IF(AND($G422='Povolené hodnoty'!$B$13,$H422=AY$4),SUM($J422,$M422,$P422,$S422),"")</f>
        <v/>
      </c>
      <c r="AZ422" s="458" t="str">
        <f>IF(AND($G422='Povolené hodnoty'!$B$13,$H422=AZ$4),SUM($J422,$M422,$P422,$S422),"")</f>
        <v/>
      </c>
      <c r="BA422" s="458" t="str">
        <f>IF(AND($G422='Povolené hodnoty'!$B$13,$H422=BA$4),SUM($J422,$M422,$P422,$S422),"")</f>
        <v/>
      </c>
      <c r="BB422" s="40" t="str">
        <f>IF(AND($G422='Povolené hodnoty'!$B$13,$H422=BB$4),SUM($J422,$M422,$P422,$S422),"")</f>
        <v/>
      </c>
      <c r="BC422" s="40" t="str">
        <f>IF(AND($G422='Povolené hodnoty'!$B$13,$H422=BC$4),SUM($J422,$M422,$P422,$S422),"")</f>
        <v/>
      </c>
      <c r="BD422" s="40" t="str">
        <f>IF(AND($G422='Povolené hodnoty'!$B$13,$H422=BD$4),SUM($J422,$M422,$P422,$S422),"")</f>
        <v/>
      </c>
      <c r="BE422" s="41" t="str">
        <f>IF(AND($G422='Povolené hodnoty'!$B$13,$H422=BE$4),SUM($J422,$M422,$P422,$S422),"")</f>
        <v/>
      </c>
      <c r="BF422" s="39" t="str">
        <f>IF(AND($G422='Povolené hodnoty'!$B$14,$H422=BF$4),SUM($J422,$M422,$P422,$S422),"")</f>
        <v/>
      </c>
      <c r="BG422" s="458" t="str">
        <f>IF(AND($G422='Povolené hodnoty'!$B$14,$H422=BG$4),SUM($J422,$M422,$P422,$S422),"")</f>
        <v/>
      </c>
      <c r="BH422" s="458" t="str">
        <f>IF(AND($G422='Povolené hodnoty'!$B$14,$H422=BH$4),SUM($J422,$M422,$P422,$S422),"")</f>
        <v/>
      </c>
      <c r="BI422" s="458" t="str">
        <f>IF(AND($G422='Povolené hodnoty'!$B$14,$H422=BI$4),SUM($J422,$M422,$P422,$S422),"")</f>
        <v/>
      </c>
      <c r="BJ422" s="458" t="str">
        <f>IF(AND($G422='Povolené hodnoty'!$B$14,$H422=BJ$4),SUM($J422,$M422,$P422,$S422),"")</f>
        <v/>
      </c>
      <c r="BK422" s="40" t="str">
        <f>IF(AND($G422='Povolené hodnoty'!$B$14,$H422=BK$4),SUM($J422,$M422,$P422,$S422),"")</f>
        <v/>
      </c>
      <c r="BL422" s="40" t="str">
        <f>IF(AND($G422='Povolené hodnoty'!$B$14,$H422=BL$4),SUM($J422,$M422,$P422,$S422),"")</f>
        <v/>
      </c>
      <c r="BM422" s="41" t="str">
        <f>IF(AND($G422='Povolené hodnoty'!$B$14,$H422=BM$4),SUM($J422,$M422,$P422,$S422),"")</f>
        <v/>
      </c>
      <c r="BO422" s="18" t="b">
        <f t="shared" si="246"/>
        <v>0</v>
      </c>
      <c r="BP422" s="18" t="b">
        <f t="shared" si="217"/>
        <v>0</v>
      </c>
      <c r="BQ422" s="18" t="b">
        <f>AND(E422&lt;&gt;'Povolené hodnoty'!$B$6,F422&lt;&gt;'Povolené hodnoty'!$D$7,F422&lt;&gt;'Povolené hodnoty'!$D$8,OR(SUM(I422,L422,O422,R422)&lt;&gt;SUM(W422:X422,AA422:AG422),SUM(J422,M422,P422,S422)&lt;&gt;SUM(Y422:Z422,AH422:AK422),COUNT(I422:J422,L422:M422,O422:P422,R422:S422)&lt;&gt;COUNT(W422:AK422)))</f>
        <v>0</v>
      </c>
      <c r="BR422" s="18" t="b">
        <f>OR(AND(E422='Povolené hodnoty'!$B$6,$BR$5),AND(E422='Povolené hodnoty'!$B$6,H422&lt;&gt;'Povolené hodnoty'!$E$26,H422&lt;&gt;'Povolené hodnoty'!$E$35),AND(E422&lt;&gt;'Povolené hodnoty'!$B$6,OR(H422='Povolené hodnoty'!$E$26,H422='Povolené hodnoty'!$E$35)))</f>
        <v>0</v>
      </c>
      <c r="BS422" s="18" t="b">
        <f>OR(AND(G422&lt;&gt;'Povolené hodnoty'!$B$13,OR(H422='Povolené hodnoty'!$E$21,H422='Povolené hodnoty'!$E$22,H422='Povolené hodnoty'!$E$23,H422='Povolené hodnoty'!$E$24,H422='Povolené hodnoty'!$E$26,H422='Povolené hodnoty'!$E$36)),COUNT(I422:J422,L422:M422,O422:P422,R422:S422)&lt;&gt;COUNT(AL422:BM422))</f>
        <v>0</v>
      </c>
      <c r="BT422" s="18" t="b">
        <f t="shared" si="218"/>
        <v>0</v>
      </c>
      <c r="BV422" s="39" t="str">
        <f t="shared" si="219"/>
        <v/>
      </c>
      <c r="BW422" s="458" t="str">
        <f t="shared" si="220"/>
        <v/>
      </c>
      <c r="BX422" s="458" t="str">
        <f t="shared" si="221"/>
        <v/>
      </c>
      <c r="BY422" s="458" t="str">
        <f t="shared" si="222"/>
        <v/>
      </c>
      <c r="BZ422" s="458" t="str">
        <f t="shared" si="223"/>
        <v/>
      </c>
      <c r="CA422" s="40" t="str">
        <f t="shared" si="224"/>
        <v/>
      </c>
      <c r="CB422" s="40" t="str">
        <f t="shared" si="225"/>
        <v/>
      </c>
      <c r="CC422" s="39" t="str">
        <f t="shared" si="226"/>
        <v/>
      </c>
      <c r="CD422" s="458" t="str">
        <f t="shared" si="227"/>
        <v/>
      </c>
      <c r="CE422" s="41" t="str">
        <f t="shared" si="228"/>
        <v/>
      </c>
      <c r="CF422" s="39" t="str">
        <f t="shared" si="229"/>
        <v/>
      </c>
      <c r="CG422" s="458" t="str">
        <f t="shared" si="230"/>
        <v/>
      </c>
      <c r="CH422" s="458" t="str">
        <f t="shared" si="231"/>
        <v/>
      </c>
      <c r="CI422" s="458" t="str">
        <f t="shared" si="232"/>
        <v/>
      </c>
      <c r="CJ422" s="458" t="str">
        <f t="shared" si="233"/>
        <v/>
      </c>
      <c r="CK422" s="40" t="str">
        <f t="shared" si="234"/>
        <v/>
      </c>
      <c r="CL422" s="40" t="str">
        <f t="shared" si="235"/>
        <v/>
      </c>
      <c r="CM422" s="40" t="str">
        <f t="shared" si="236"/>
        <v/>
      </c>
      <c r="CN422" s="39" t="str">
        <f t="shared" si="237"/>
        <v/>
      </c>
      <c r="CO422" s="458" t="str">
        <f t="shared" si="238"/>
        <v/>
      </c>
      <c r="CP422" s="458" t="str">
        <f t="shared" si="239"/>
        <v/>
      </c>
      <c r="CQ422" s="458" t="str">
        <f t="shared" si="240"/>
        <v/>
      </c>
      <c r="CR422" s="458" t="str">
        <f t="shared" si="241"/>
        <v/>
      </c>
      <c r="CS422" s="40" t="str">
        <f t="shared" si="242"/>
        <v/>
      </c>
      <c r="CT422" s="40" t="str">
        <f t="shared" si="243"/>
        <v/>
      </c>
      <c r="CU422" s="41" t="str">
        <f t="shared" si="244"/>
        <v/>
      </c>
    </row>
    <row r="423" spans="1:99" x14ac:dyDescent="0.2">
      <c r="A423" s="77">
        <f t="shared" si="245"/>
        <v>418</v>
      </c>
      <c r="B423" s="81"/>
      <c r="C423" s="82"/>
      <c r="D423" s="71"/>
      <c r="E423" s="72"/>
      <c r="F423" s="73"/>
      <c r="G423" s="443"/>
      <c r="H423" s="443"/>
      <c r="I423" s="74"/>
      <c r="J423" s="75"/>
      <c r="K423" s="41">
        <f t="shared" si="214"/>
        <v>3625</v>
      </c>
      <c r="L423" s="104"/>
      <c r="M423" s="105"/>
      <c r="N423" s="106">
        <f t="shared" si="215"/>
        <v>537.05999999999995</v>
      </c>
      <c r="O423" s="104"/>
      <c r="P423" s="105"/>
      <c r="Q423" s="106">
        <f t="shared" si="247"/>
        <v>10045.83</v>
      </c>
      <c r="R423" s="104"/>
      <c r="S423" s="105"/>
      <c r="T423" s="106">
        <f t="shared" si="248"/>
        <v>0</v>
      </c>
      <c r="U423" s="439"/>
      <c r="V423" s="42">
        <f t="shared" si="216"/>
        <v>418</v>
      </c>
      <c r="W423" s="39" t="str">
        <f>IF(AND(E423='Povolené hodnoty'!$B$4,F423=2),I423+L423+O423+R423,"")</f>
        <v/>
      </c>
      <c r="X423" s="41" t="str">
        <f>IF(AND(E423='Povolené hodnoty'!$B$4,F423=1),I423+L423+O423+R423,"")</f>
        <v/>
      </c>
      <c r="Y423" s="39" t="str">
        <f>IF(AND(E423='Povolené hodnoty'!$B$4,F423=10),J423+M423+P423+S423,"")</f>
        <v/>
      </c>
      <c r="Z423" s="41" t="str">
        <f>IF(AND(E423='Povolené hodnoty'!$B$4,F423=9),J423+M423+P423+S423,"")</f>
        <v/>
      </c>
      <c r="AA423" s="39" t="str">
        <f>IF(AND(E423&lt;&gt;'Povolené hodnoty'!$B$4,F423=2),I423+L423+O423+R423,"")</f>
        <v/>
      </c>
      <c r="AB423" s="40" t="str">
        <f>IF(AND(E423&lt;&gt;'Povolené hodnoty'!$B$4,F423=3),I423+L423+O423+R423,"")</f>
        <v/>
      </c>
      <c r="AC423" s="40" t="str">
        <f>IF(AND(E423&lt;&gt;'Povolené hodnoty'!$B$4,F423=4),I423+L423+O423+R423,"")</f>
        <v/>
      </c>
      <c r="AD423" s="40" t="str">
        <f>IF(AND(E423&lt;&gt;'Povolené hodnoty'!$B$4,F423="5a"),I423-J423+L423-M423+O423-P423+R423-S423,"")</f>
        <v/>
      </c>
      <c r="AE423" s="40" t="str">
        <f>IF(AND(E423&lt;&gt;'Povolené hodnoty'!$B$4,F423="5b"),I423-J423+L423-M423+O423-P423+R423-S423,"")</f>
        <v/>
      </c>
      <c r="AF423" s="40" t="str">
        <f>IF(AND(E423&lt;&gt;'Povolené hodnoty'!$B$4,F423=6),I423+L423+O423+R423,"")</f>
        <v/>
      </c>
      <c r="AG423" s="41" t="str">
        <f>IF(AND(E423&lt;&gt;'Povolené hodnoty'!$B$4,F423=7),I423+L423+O423+R423,"")</f>
        <v/>
      </c>
      <c r="AH423" s="39" t="str">
        <f>IF(AND(E423&lt;&gt;'Povolené hodnoty'!$B$4,F423=10),J423+M423+P423+S423,"")</f>
        <v/>
      </c>
      <c r="AI423" s="40" t="str">
        <f>IF(AND(E423&lt;&gt;'Povolené hodnoty'!$B$4,F423=11),J423+M423+P423+S423,"")</f>
        <v/>
      </c>
      <c r="AJ423" s="40" t="str">
        <f>IF(AND(E423&lt;&gt;'Povolené hodnoty'!$B$4,F423=12),J423+M423+P423+S423,"")</f>
        <v/>
      </c>
      <c r="AK423" s="41" t="str">
        <f>IF(AND(E423&lt;&gt;'Povolené hodnoty'!$B$4,F423=13),J423+M423+P423+S423,"")</f>
        <v/>
      </c>
      <c r="AL423" s="39" t="str">
        <f>IF(AND($G423='Povolené hodnoty'!$B$13,$H423=AL$4),SUM($I423,$L423,$O423,$R423),"")</f>
        <v/>
      </c>
      <c r="AM423" s="458" t="str">
        <f>IF(AND($G423='Povolené hodnoty'!$B$13,$H423=AM$4),SUM($I423,$L423,$O423,$R423),"")</f>
        <v/>
      </c>
      <c r="AN423" s="458" t="str">
        <f>IF(AND($G423='Povolené hodnoty'!$B$13,$H423=AN$4),SUM($I423,$L423,$O423,$R423),"")</f>
        <v/>
      </c>
      <c r="AO423" s="458" t="str">
        <f>IF(AND($G423='Povolené hodnoty'!$B$13,$H423=AO$4),SUM($I423,$L423,$O423,$R423),"")</f>
        <v/>
      </c>
      <c r="AP423" s="458" t="str">
        <f>IF(AND($G423='Povolené hodnoty'!$B$13,$H423=AP$4),SUM($I423,$L423,$O423,$R423),"")</f>
        <v/>
      </c>
      <c r="AQ423" s="40" t="str">
        <f>IF(AND($G423='Povolené hodnoty'!$B$13,OR($H423=AQ$4,$H423='Povolené hodnoty'!$E$36)),SUM($I423,-$J423,$L423,-$M423,$O423,-$P423,$R423,-$S423),"")</f>
        <v/>
      </c>
      <c r="AR423" s="40" t="str">
        <f>IF(AND($G423='Povolené hodnoty'!$B$13,$H423=AR$4),SUM($I423,$L423,$O423,$R423),"")</f>
        <v/>
      </c>
      <c r="AS423" s="41" t="str">
        <f>IF(AND($G423='Povolené hodnoty'!$B$13,$H423=AS$4),SUM($I423,$L423,$O423,$R423),"")</f>
        <v/>
      </c>
      <c r="AT423" s="39" t="str">
        <f>IF(AND($G423='Povolené hodnoty'!$B$14,$H423=AT$4),SUM($I423,$L423,$O423,$R423),"")</f>
        <v/>
      </c>
      <c r="AU423" s="458" t="str">
        <f>IF(AND($G423='Povolené hodnoty'!$B$14,$H423=AU$4),SUM($I423,$L423,$O423,$R423),"")</f>
        <v/>
      </c>
      <c r="AV423" s="41" t="str">
        <f>IF(AND($G423='Povolené hodnoty'!$B$14,$H423=AV$4),SUM($I423,$L423,$O423,$R423),"")</f>
        <v/>
      </c>
      <c r="AW423" s="39" t="str">
        <f>IF(AND($G423='Povolené hodnoty'!$B$13,$H423=AW$4),SUM($J423,$M423,$P423,$S423),"")</f>
        <v/>
      </c>
      <c r="AX423" s="458" t="str">
        <f>IF(AND($G423='Povolené hodnoty'!$B$13,$H423=AX$4),SUM($J423,$M423,$P423,$S423),"")</f>
        <v/>
      </c>
      <c r="AY423" s="458" t="str">
        <f>IF(AND($G423='Povolené hodnoty'!$B$13,$H423=AY$4),SUM($J423,$M423,$P423,$S423),"")</f>
        <v/>
      </c>
      <c r="AZ423" s="458" t="str">
        <f>IF(AND($G423='Povolené hodnoty'!$B$13,$H423=AZ$4),SUM($J423,$M423,$P423,$S423),"")</f>
        <v/>
      </c>
      <c r="BA423" s="458" t="str">
        <f>IF(AND($G423='Povolené hodnoty'!$B$13,$H423=BA$4),SUM($J423,$M423,$P423,$S423),"")</f>
        <v/>
      </c>
      <c r="BB423" s="40" t="str">
        <f>IF(AND($G423='Povolené hodnoty'!$B$13,$H423=BB$4),SUM($J423,$M423,$P423,$S423),"")</f>
        <v/>
      </c>
      <c r="BC423" s="40" t="str">
        <f>IF(AND($G423='Povolené hodnoty'!$B$13,$H423=BC$4),SUM($J423,$M423,$P423,$S423),"")</f>
        <v/>
      </c>
      <c r="BD423" s="40" t="str">
        <f>IF(AND($G423='Povolené hodnoty'!$B$13,$H423=BD$4),SUM($J423,$M423,$P423,$S423),"")</f>
        <v/>
      </c>
      <c r="BE423" s="41" t="str">
        <f>IF(AND($G423='Povolené hodnoty'!$B$13,$H423=BE$4),SUM($J423,$M423,$P423,$S423),"")</f>
        <v/>
      </c>
      <c r="BF423" s="39" t="str">
        <f>IF(AND($G423='Povolené hodnoty'!$B$14,$H423=BF$4),SUM($J423,$M423,$P423,$S423),"")</f>
        <v/>
      </c>
      <c r="BG423" s="458" t="str">
        <f>IF(AND($G423='Povolené hodnoty'!$B$14,$H423=BG$4),SUM($J423,$M423,$P423,$S423),"")</f>
        <v/>
      </c>
      <c r="BH423" s="458" t="str">
        <f>IF(AND($G423='Povolené hodnoty'!$B$14,$H423=BH$4),SUM($J423,$M423,$P423,$S423),"")</f>
        <v/>
      </c>
      <c r="BI423" s="458" t="str">
        <f>IF(AND($G423='Povolené hodnoty'!$B$14,$H423=BI$4),SUM($J423,$M423,$P423,$S423),"")</f>
        <v/>
      </c>
      <c r="BJ423" s="458" t="str">
        <f>IF(AND($G423='Povolené hodnoty'!$B$14,$H423=BJ$4),SUM($J423,$M423,$P423,$S423),"")</f>
        <v/>
      </c>
      <c r="BK423" s="40" t="str">
        <f>IF(AND($G423='Povolené hodnoty'!$B$14,$H423=BK$4),SUM($J423,$M423,$P423,$S423),"")</f>
        <v/>
      </c>
      <c r="BL423" s="40" t="str">
        <f>IF(AND($G423='Povolené hodnoty'!$B$14,$H423=BL$4),SUM($J423,$M423,$P423,$S423),"")</f>
        <v/>
      </c>
      <c r="BM423" s="41" t="str">
        <f>IF(AND($G423='Povolené hodnoty'!$B$14,$H423=BM$4),SUM($J423,$M423,$P423,$S423),"")</f>
        <v/>
      </c>
      <c r="BO423" s="18" t="b">
        <f t="shared" si="246"/>
        <v>0</v>
      </c>
      <c r="BP423" s="18" t="b">
        <f t="shared" si="217"/>
        <v>0</v>
      </c>
      <c r="BQ423" s="18" t="b">
        <f>AND(E423&lt;&gt;'Povolené hodnoty'!$B$6,F423&lt;&gt;'Povolené hodnoty'!$D$7,F423&lt;&gt;'Povolené hodnoty'!$D$8,OR(SUM(I423,L423,O423,R423)&lt;&gt;SUM(W423:X423,AA423:AG423),SUM(J423,M423,P423,S423)&lt;&gt;SUM(Y423:Z423,AH423:AK423),COUNT(I423:J423,L423:M423,O423:P423,R423:S423)&lt;&gt;COUNT(W423:AK423)))</f>
        <v>0</v>
      </c>
      <c r="BR423" s="18" t="b">
        <f>OR(AND(E423='Povolené hodnoty'!$B$6,$BR$5),AND(E423='Povolené hodnoty'!$B$6,H423&lt;&gt;'Povolené hodnoty'!$E$26,H423&lt;&gt;'Povolené hodnoty'!$E$35),AND(E423&lt;&gt;'Povolené hodnoty'!$B$6,OR(H423='Povolené hodnoty'!$E$26,H423='Povolené hodnoty'!$E$35)))</f>
        <v>0</v>
      </c>
      <c r="BS423" s="18" t="b">
        <f>OR(AND(G423&lt;&gt;'Povolené hodnoty'!$B$13,OR(H423='Povolené hodnoty'!$E$21,H423='Povolené hodnoty'!$E$22,H423='Povolené hodnoty'!$E$23,H423='Povolené hodnoty'!$E$24,H423='Povolené hodnoty'!$E$26,H423='Povolené hodnoty'!$E$36)),COUNT(I423:J423,L423:M423,O423:P423,R423:S423)&lt;&gt;COUNT(AL423:BM423))</f>
        <v>0</v>
      </c>
      <c r="BT423" s="18" t="b">
        <f t="shared" si="218"/>
        <v>0</v>
      </c>
      <c r="BV423" s="39" t="str">
        <f t="shared" si="219"/>
        <v/>
      </c>
      <c r="BW423" s="458" t="str">
        <f t="shared" si="220"/>
        <v/>
      </c>
      <c r="BX423" s="458" t="str">
        <f t="shared" si="221"/>
        <v/>
      </c>
      <c r="BY423" s="458" t="str">
        <f t="shared" si="222"/>
        <v/>
      </c>
      <c r="BZ423" s="458" t="str">
        <f t="shared" si="223"/>
        <v/>
      </c>
      <c r="CA423" s="40" t="str">
        <f t="shared" si="224"/>
        <v/>
      </c>
      <c r="CB423" s="40" t="str">
        <f t="shared" si="225"/>
        <v/>
      </c>
      <c r="CC423" s="39" t="str">
        <f t="shared" si="226"/>
        <v/>
      </c>
      <c r="CD423" s="458" t="str">
        <f t="shared" si="227"/>
        <v/>
      </c>
      <c r="CE423" s="41" t="str">
        <f t="shared" si="228"/>
        <v/>
      </c>
      <c r="CF423" s="39" t="str">
        <f t="shared" si="229"/>
        <v/>
      </c>
      <c r="CG423" s="458" t="str">
        <f t="shared" si="230"/>
        <v/>
      </c>
      <c r="CH423" s="458" t="str">
        <f t="shared" si="231"/>
        <v/>
      </c>
      <c r="CI423" s="458" t="str">
        <f t="shared" si="232"/>
        <v/>
      </c>
      <c r="CJ423" s="458" t="str">
        <f t="shared" si="233"/>
        <v/>
      </c>
      <c r="CK423" s="40" t="str">
        <f t="shared" si="234"/>
        <v/>
      </c>
      <c r="CL423" s="40" t="str">
        <f t="shared" si="235"/>
        <v/>
      </c>
      <c r="CM423" s="40" t="str">
        <f t="shared" si="236"/>
        <v/>
      </c>
      <c r="CN423" s="39" t="str">
        <f t="shared" si="237"/>
        <v/>
      </c>
      <c r="CO423" s="458" t="str">
        <f t="shared" si="238"/>
        <v/>
      </c>
      <c r="CP423" s="458" t="str">
        <f t="shared" si="239"/>
        <v/>
      </c>
      <c r="CQ423" s="458" t="str">
        <f t="shared" si="240"/>
        <v/>
      </c>
      <c r="CR423" s="458" t="str">
        <f t="shared" si="241"/>
        <v/>
      </c>
      <c r="CS423" s="40" t="str">
        <f t="shared" si="242"/>
        <v/>
      </c>
      <c r="CT423" s="40" t="str">
        <f t="shared" si="243"/>
        <v/>
      </c>
      <c r="CU423" s="41" t="str">
        <f t="shared" si="244"/>
        <v/>
      </c>
    </row>
    <row r="424" spans="1:99" x14ac:dyDescent="0.2">
      <c r="A424" s="77">
        <f t="shared" si="245"/>
        <v>419</v>
      </c>
      <c r="B424" s="81"/>
      <c r="C424" s="82"/>
      <c r="D424" s="71"/>
      <c r="E424" s="72"/>
      <c r="F424" s="73"/>
      <c r="G424" s="443"/>
      <c r="H424" s="443"/>
      <c r="I424" s="74"/>
      <c r="J424" s="75"/>
      <c r="K424" s="41">
        <f t="shared" si="214"/>
        <v>3625</v>
      </c>
      <c r="L424" s="104"/>
      <c r="M424" s="105"/>
      <c r="N424" s="106">
        <f t="shared" si="215"/>
        <v>537.05999999999995</v>
      </c>
      <c r="O424" s="104"/>
      <c r="P424" s="105"/>
      <c r="Q424" s="106">
        <f t="shared" si="247"/>
        <v>10045.83</v>
      </c>
      <c r="R424" s="104"/>
      <c r="S424" s="105"/>
      <c r="T424" s="106">
        <f t="shared" si="248"/>
        <v>0</v>
      </c>
      <c r="U424" s="439"/>
      <c r="V424" s="42">
        <f t="shared" si="216"/>
        <v>419</v>
      </c>
      <c r="W424" s="39" t="str">
        <f>IF(AND(E424='Povolené hodnoty'!$B$4,F424=2),I424+L424+O424+R424,"")</f>
        <v/>
      </c>
      <c r="X424" s="41" t="str">
        <f>IF(AND(E424='Povolené hodnoty'!$B$4,F424=1),I424+L424+O424+R424,"")</f>
        <v/>
      </c>
      <c r="Y424" s="39" t="str">
        <f>IF(AND(E424='Povolené hodnoty'!$B$4,F424=10),J424+M424+P424+S424,"")</f>
        <v/>
      </c>
      <c r="Z424" s="41" t="str">
        <f>IF(AND(E424='Povolené hodnoty'!$B$4,F424=9),J424+M424+P424+S424,"")</f>
        <v/>
      </c>
      <c r="AA424" s="39" t="str">
        <f>IF(AND(E424&lt;&gt;'Povolené hodnoty'!$B$4,F424=2),I424+L424+O424+R424,"")</f>
        <v/>
      </c>
      <c r="AB424" s="40" t="str">
        <f>IF(AND(E424&lt;&gt;'Povolené hodnoty'!$B$4,F424=3),I424+L424+O424+R424,"")</f>
        <v/>
      </c>
      <c r="AC424" s="40" t="str">
        <f>IF(AND(E424&lt;&gt;'Povolené hodnoty'!$B$4,F424=4),I424+L424+O424+R424,"")</f>
        <v/>
      </c>
      <c r="AD424" s="40" t="str">
        <f>IF(AND(E424&lt;&gt;'Povolené hodnoty'!$B$4,F424="5a"),I424-J424+L424-M424+O424-P424+R424-S424,"")</f>
        <v/>
      </c>
      <c r="AE424" s="40" t="str">
        <f>IF(AND(E424&lt;&gt;'Povolené hodnoty'!$B$4,F424="5b"),I424-J424+L424-M424+O424-P424+R424-S424,"")</f>
        <v/>
      </c>
      <c r="AF424" s="40" t="str">
        <f>IF(AND(E424&lt;&gt;'Povolené hodnoty'!$B$4,F424=6),I424+L424+O424+R424,"")</f>
        <v/>
      </c>
      <c r="AG424" s="41" t="str">
        <f>IF(AND(E424&lt;&gt;'Povolené hodnoty'!$B$4,F424=7),I424+L424+O424+R424,"")</f>
        <v/>
      </c>
      <c r="AH424" s="39" t="str">
        <f>IF(AND(E424&lt;&gt;'Povolené hodnoty'!$B$4,F424=10),J424+M424+P424+S424,"")</f>
        <v/>
      </c>
      <c r="AI424" s="40" t="str">
        <f>IF(AND(E424&lt;&gt;'Povolené hodnoty'!$B$4,F424=11),J424+M424+P424+S424,"")</f>
        <v/>
      </c>
      <c r="AJ424" s="40" t="str">
        <f>IF(AND(E424&lt;&gt;'Povolené hodnoty'!$B$4,F424=12),J424+M424+P424+S424,"")</f>
        <v/>
      </c>
      <c r="AK424" s="41" t="str">
        <f>IF(AND(E424&lt;&gt;'Povolené hodnoty'!$B$4,F424=13),J424+M424+P424+S424,"")</f>
        <v/>
      </c>
      <c r="AL424" s="39" t="str">
        <f>IF(AND($G424='Povolené hodnoty'!$B$13,$H424=AL$4),SUM($I424,$L424,$O424,$R424),"")</f>
        <v/>
      </c>
      <c r="AM424" s="458" t="str">
        <f>IF(AND($G424='Povolené hodnoty'!$B$13,$H424=AM$4),SUM($I424,$L424,$O424,$R424),"")</f>
        <v/>
      </c>
      <c r="AN424" s="458" t="str">
        <f>IF(AND($G424='Povolené hodnoty'!$B$13,$H424=AN$4),SUM($I424,$L424,$O424,$R424),"")</f>
        <v/>
      </c>
      <c r="AO424" s="458" t="str">
        <f>IF(AND($G424='Povolené hodnoty'!$B$13,$H424=AO$4),SUM($I424,$L424,$O424,$R424),"")</f>
        <v/>
      </c>
      <c r="AP424" s="458" t="str">
        <f>IF(AND($G424='Povolené hodnoty'!$B$13,$H424=AP$4),SUM($I424,$L424,$O424,$R424),"")</f>
        <v/>
      </c>
      <c r="AQ424" s="40" t="str">
        <f>IF(AND($G424='Povolené hodnoty'!$B$13,OR($H424=AQ$4,$H424='Povolené hodnoty'!$E$36)),SUM($I424,-$J424,$L424,-$M424,$O424,-$P424,$R424,-$S424),"")</f>
        <v/>
      </c>
      <c r="AR424" s="40" t="str">
        <f>IF(AND($G424='Povolené hodnoty'!$B$13,$H424=AR$4),SUM($I424,$L424,$O424,$R424),"")</f>
        <v/>
      </c>
      <c r="AS424" s="41" t="str">
        <f>IF(AND($G424='Povolené hodnoty'!$B$13,$H424=AS$4),SUM($I424,$L424,$O424,$R424),"")</f>
        <v/>
      </c>
      <c r="AT424" s="39" t="str">
        <f>IF(AND($G424='Povolené hodnoty'!$B$14,$H424=AT$4),SUM($I424,$L424,$O424,$R424),"")</f>
        <v/>
      </c>
      <c r="AU424" s="458" t="str">
        <f>IF(AND($G424='Povolené hodnoty'!$B$14,$H424=AU$4),SUM($I424,$L424,$O424,$R424),"")</f>
        <v/>
      </c>
      <c r="AV424" s="41" t="str">
        <f>IF(AND($G424='Povolené hodnoty'!$B$14,$H424=AV$4),SUM($I424,$L424,$O424,$R424),"")</f>
        <v/>
      </c>
      <c r="AW424" s="39" t="str">
        <f>IF(AND($G424='Povolené hodnoty'!$B$13,$H424=AW$4),SUM($J424,$M424,$P424,$S424),"")</f>
        <v/>
      </c>
      <c r="AX424" s="458" t="str">
        <f>IF(AND($G424='Povolené hodnoty'!$B$13,$H424=AX$4),SUM($J424,$M424,$P424,$S424),"")</f>
        <v/>
      </c>
      <c r="AY424" s="458" t="str">
        <f>IF(AND($G424='Povolené hodnoty'!$B$13,$H424=AY$4),SUM($J424,$M424,$P424,$S424),"")</f>
        <v/>
      </c>
      <c r="AZ424" s="458" t="str">
        <f>IF(AND($G424='Povolené hodnoty'!$B$13,$H424=AZ$4),SUM($J424,$M424,$P424,$S424),"")</f>
        <v/>
      </c>
      <c r="BA424" s="458" t="str">
        <f>IF(AND($G424='Povolené hodnoty'!$B$13,$H424=BA$4),SUM($J424,$M424,$P424,$S424),"")</f>
        <v/>
      </c>
      <c r="BB424" s="40" t="str">
        <f>IF(AND($G424='Povolené hodnoty'!$B$13,$H424=BB$4),SUM($J424,$M424,$P424,$S424),"")</f>
        <v/>
      </c>
      <c r="BC424" s="40" t="str">
        <f>IF(AND($G424='Povolené hodnoty'!$B$13,$H424=BC$4),SUM($J424,$M424,$P424,$S424),"")</f>
        <v/>
      </c>
      <c r="BD424" s="40" t="str">
        <f>IF(AND($G424='Povolené hodnoty'!$B$13,$H424=BD$4),SUM($J424,$M424,$P424,$S424),"")</f>
        <v/>
      </c>
      <c r="BE424" s="41" t="str">
        <f>IF(AND($G424='Povolené hodnoty'!$B$13,$H424=BE$4),SUM($J424,$M424,$P424,$S424),"")</f>
        <v/>
      </c>
      <c r="BF424" s="39" t="str">
        <f>IF(AND($G424='Povolené hodnoty'!$B$14,$H424=BF$4),SUM($J424,$M424,$P424,$S424),"")</f>
        <v/>
      </c>
      <c r="BG424" s="458" t="str">
        <f>IF(AND($G424='Povolené hodnoty'!$B$14,$H424=BG$4),SUM($J424,$M424,$P424,$S424),"")</f>
        <v/>
      </c>
      <c r="BH424" s="458" t="str">
        <f>IF(AND($G424='Povolené hodnoty'!$B$14,$H424=BH$4),SUM($J424,$M424,$P424,$S424),"")</f>
        <v/>
      </c>
      <c r="BI424" s="458" t="str">
        <f>IF(AND($G424='Povolené hodnoty'!$B$14,$H424=BI$4),SUM($J424,$M424,$P424,$S424),"")</f>
        <v/>
      </c>
      <c r="BJ424" s="458" t="str">
        <f>IF(AND($G424='Povolené hodnoty'!$B$14,$H424=BJ$4),SUM($J424,$M424,$P424,$S424),"")</f>
        <v/>
      </c>
      <c r="BK424" s="40" t="str">
        <f>IF(AND($G424='Povolené hodnoty'!$B$14,$H424=BK$4),SUM($J424,$M424,$P424,$S424),"")</f>
        <v/>
      </c>
      <c r="BL424" s="40" t="str">
        <f>IF(AND($G424='Povolené hodnoty'!$B$14,$H424=BL$4),SUM($J424,$M424,$P424,$S424),"")</f>
        <v/>
      </c>
      <c r="BM424" s="41" t="str">
        <f>IF(AND($G424='Povolené hodnoty'!$B$14,$H424=BM$4),SUM($J424,$M424,$P424,$S424),"")</f>
        <v/>
      </c>
      <c r="BO424" s="18" t="b">
        <f t="shared" si="246"/>
        <v>0</v>
      </c>
      <c r="BP424" s="18" t="b">
        <f t="shared" si="217"/>
        <v>0</v>
      </c>
      <c r="BQ424" s="18" t="b">
        <f>AND(E424&lt;&gt;'Povolené hodnoty'!$B$6,F424&lt;&gt;'Povolené hodnoty'!$D$7,F424&lt;&gt;'Povolené hodnoty'!$D$8,OR(SUM(I424,L424,O424,R424)&lt;&gt;SUM(W424:X424,AA424:AG424),SUM(J424,M424,P424,S424)&lt;&gt;SUM(Y424:Z424,AH424:AK424),COUNT(I424:J424,L424:M424,O424:P424,R424:S424)&lt;&gt;COUNT(W424:AK424)))</f>
        <v>0</v>
      </c>
      <c r="BR424" s="18" t="b">
        <f>OR(AND(E424='Povolené hodnoty'!$B$6,$BR$5),AND(E424='Povolené hodnoty'!$B$6,H424&lt;&gt;'Povolené hodnoty'!$E$26,H424&lt;&gt;'Povolené hodnoty'!$E$35),AND(E424&lt;&gt;'Povolené hodnoty'!$B$6,OR(H424='Povolené hodnoty'!$E$26,H424='Povolené hodnoty'!$E$35)))</f>
        <v>0</v>
      </c>
      <c r="BS424" s="18" t="b">
        <f>OR(AND(G424&lt;&gt;'Povolené hodnoty'!$B$13,OR(H424='Povolené hodnoty'!$E$21,H424='Povolené hodnoty'!$E$22,H424='Povolené hodnoty'!$E$23,H424='Povolené hodnoty'!$E$24,H424='Povolené hodnoty'!$E$26,H424='Povolené hodnoty'!$E$36)),COUNT(I424:J424,L424:M424,O424:P424,R424:S424)&lt;&gt;COUNT(AL424:BM424))</f>
        <v>0</v>
      </c>
      <c r="BT424" s="18" t="b">
        <f t="shared" si="218"/>
        <v>0</v>
      </c>
      <c r="BV424" s="39" t="str">
        <f t="shared" si="219"/>
        <v/>
      </c>
      <c r="BW424" s="458" t="str">
        <f t="shared" si="220"/>
        <v/>
      </c>
      <c r="BX424" s="458" t="str">
        <f t="shared" si="221"/>
        <v/>
      </c>
      <c r="BY424" s="458" t="str">
        <f t="shared" si="222"/>
        <v/>
      </c>
      <c r="BZ424" s="458" t="str">
        <f t="shared" si="223"/>
        <v/>
      </c>
      <c r="CA424" s="40" t="str">
        <f t="shared" si="224"/>
        <v/>
      </c>
      <c r="CB424" s="40" t="str">
        <f t="shared" si="225"/>
        <v/>
      </c>
      <c r="CC424" s="39" t="str">
        <f t="shared" si="226"/>
        <v/>
      </c>
      <c r="CD424" s="458" t="str">
        <f t="shared" si="227"/>
        <v/>
      </c>
      <c r="CE424" s="41" t="str">
        <f t="shared" si="228"/>
        <v/>
      </c>
      <c r="CF424" s="39" t="str">
        <f t="shared" si="229"/>
        <v/>
      </c>
      <c r="CG424" s="458" t="str">
        <f t="shared" si="230"/>
        <v/>
      </c>
      <c r="CH424" s="458" t="str">
        <f t="shared" si="231"/>
        <v/>
      </c>
      <c r="CI424" s="458" t="str">
        <f t="shared" si="232"/>
        <v/>
      </c>
      <c r="CJ424" s="458" t="str">
        <f t="shared" si="233"/>
        <v/>
      </c>
      <c r="CK424" s="40" t="str">
        <f t="shared" si="234"/>
        <v/>
      </c>
      <c r="CL424" s="40" t="str">
        <f t="shared" si="235"/>
        <v/>
      </c>
      <c r="CM424" s="40" t="str">
        <f t="shared" si="236"/>
        <v/>
      </c>
      <c r="CN424" s="39" t="str">
        <f t="shared" si="237"/>
        <v/>
      </c>
      <c r="CO424" s="458" t="str">
        <f t="shared" si="238"/>
        <v/>
      </c>
      <c r="CP424" s="458" t="str">
        <f t="shared" si="239"/>
        <v/>
      </c>
      <c r="CQ424" s="458" t="str">
        <f t="shared" si="240"/>
        <v/>
      </c>
      <c r="CR424" s="458" t="str">
        <f t="shared" si="241"/>
        <v/>
      </c>
      <c r="CS424" s="40" t="str">
        <f t="shared" si="242"/>
        <v/>
      </c>
      <c r="CT424" s="40" t="str">
        <f t="shared" si="243"/>
        <v/>
      </c>
      <c r="CU424" s="41" t="str">
        <f t="shared" si="244"/>
        <v/>
      </c>
    </row>
    <row r="425" spans="1:99" x14ac:dyDescent="0.2">
      <c r="A425" s="77">
        <f t="shared" si="245"/>
        <v>420</v>
      </c>
      <c r="B425" s="81"/>
      <c r="C425" s="82"/>
      <c r="D425" s="71"/>
      <c r="E425" s="72"/>
      <c r="F425" s="73"/>
      <c r="G425" s="443"/>
      <c r="H425" s="443"/>
      <c r="I425" s="74"/>
      <c r="J425" s="75"/>
      <c r="K425" s="41">
        <f t="shared" si="214"/>
        <v>3625</v>
      </c>
      <c r="L425" s="104"/>
      <c r="M425" s="105"/>
      <c r="N425" s="106">
        <f t="shared" si="215"/>
        <v>537.05999999999995</v>
      </c>
      <c r="O425" s="104"/>
      <c r="P425" s="105"/>
      <c r="Q425" s="106">
        <f t="shared" si="247"/>
        <v>10045.83</v>
      </c>
      <c r="R425" s="104"/>
      <c r="S425" s="105"/>
      <c r="T425" s="106">
        <f t="shared" si="248"/>
        <v>0</v>
      </c>
      <c r="U425" s="439"/>
      <c r="V425" s="42">
        <f t="shared" si="216"/>
        <v>420</v>
      </c>
      <c r="W425" s="39" t="str">
        <f>IF(AND(E425='Povolené hodnoty'!$B$4,F425=2),I425+L425+O425+R425,"")</f>
        <v/>
      </c>
      <c r="X425" s="41" t="str">
        <f>IF(AND(E425='Povolené hodnoty'!$B$4,F425=1),I425+L425+O425+R425,"")</f>
        <v/>
      </c>
      <c r="Y425" s="39" t="str">
        <f>IF(AND(E425='Povolené hodnoty'!$B$4,F425=10),J425+M425+P425+S425,"")</f>
        <v/>
      </c>
      <c r="Z425" s="41" t="str">
        <f>IF(AND(E425='Povolené hodnoty'!$B$4,F425=9),J425+M425+P425+S425,"")</f>
        <v/>
      </c>
      <c r="AA425" s="39" t="str">
        <f>IF(AND(E425&lt;&gt;'Povolené hodnoty'!$B$4,F425=2),I425+L425+O425+R425,"")</f>
        <v/>
      </c>
      <c r="AB425" s="40" t="str">
        <f>IF(AND(E425&lt;&gt;'Povolené hodnoty'!$B$4,F425=3),I425+L425+O425+R425,"")</f>
        <v/>
      </c>
      <c r="AC425" s="40" t="str">
        <f>IF(AND(E425&lt;&gt;'Povolené hodnoty'!$B$4,F425=4),I425+L425+O425+R425,"")</f>
        <v/>
      </c>
      <c r="AD425" s="40" t="str">
        <f>IF(AND(E425&lt;&gt;'Povolené hodnoty'!$B$4,F425="5a"),I425-J425+L425-M425+O425-P425+R425-S425,"")</f>
        <v/>
      </c>
      <c r="AE425" s="40" t="str">
        <f>IF(AND(E425&lt;&gt;'Povolené hodnoty'!$B$4,F425="5b"),I425-J425+L425-M425+O425-P425+R425-S425,"")</f>
        <v/>
      </c>
      <c r="AF425" s="40" t="str">
        <f>IF(AND(E425&lt;&gt;'Povolené hodnoty'!$B$4,F425=6),I425+L425+O425+R425,"")</f>
        <v/>
      </c>
      <c r="AG425" s="41" t="str">
        <f>IF(AND(E425&lt;&gt;'Povolené hodnoty'!$B$4,F425=7),I425+L425+O425+R425,"")</f>
        <v/>
      </c>
      <c r="AH425" s="39" t="str">
        <f>IF(AND(E425&lt;&gt;'Povolené hodnoty'!$B$4,F425=10),J425+M425+P425+S425,"")</f>
        <v/>
      </c>
      <c r="AI425" s="40" t="str">
        <f>IF(AND(E425&lt;&gt;'Povolené hodnoty'!$B$4,F425=11),J425+M425+P425+S425,"")</f>
        <v/>
      </c>
      <c r="AJ425" s="40" t="str">
        <f>IF(AND(E425&lt;&gt;'Povolené hodnoty'!$B$4,F425=12),J425+M425+P425+S425,"")</f>
        <v/>
      </c>
      <c r="AK425" s="41" t="str">
        <f>IF(AND(E425&lt;&gt;'Povolené hodnoty'!$B$4,F425=13),J425+M425+P425+S425,"")</f>
        <v/>
      </c>
      <c r="AL425" s="39" t="str">
        <f>IF(AND($G425='Povolené hodnoty'!$B$13,$H425=AL$4),SUM($I425,$L425,$O425,$R425),"")</f>
        <v/>
      </c>
      <c r="AM425" s="458" t="str">
        <f>IF(AND($G425='Povolené hodnoty'!$B$13,$H425=AM$4),SUM($I425,$L425,$O425,$R425),"")</f>
        <v/>
      </c>
      <c r="AN425" s="458" t="str">
        <f>IF(AND($G425='Povolené hodnoty'!$B$13,$H425=AN$4),SUM($I425,$L425,$O425,$R425),"")</f>
        <v/>
      </c>
      <c r="AO425" s="458" t="str">
        <f>IF(AND($G425='Povolené hodnoty'!$B$13,$H425=AO$4),SUM($I425,$L425,$O425,$R425),"")</f>
        <v/>
      </c>
      <c r="AP425" s="458" t="str">
        <f>IF(AND($G425='Povolené hodnoty'!$B$13,$H425=AP$4),SUM($I425,$L425,$O425,$R425),"")</f>
        <v/>
      </c>
      <c r="AQ425" s="40" t="str">
        <f>IF(AND($G425='Povolené hodnoty'!$B$13,OR($H425=AQ$4,$H425='Povolené hodnoty'!$E$36)),SUM($I425,-$J425,$L425,-$M425,$O425,-$P425,$R425,-$S425),"")</f>
        <v/>
      </c>
      <c r="AR425" s="40" t="str">
        <f>IF(AND($G425='Povolené hodnoty'!$B$13,$H425=AR$4),SUM($I425,$L425,$O425,$R425),"")</f>
        <v/>
      </c>
      <c r="AS425" s="41" t="str">
        <f>IF(AND($G425='Povolené hodnoty'!$B$13,$H425=AS$4),SUM($I425,$L425,$O425,$R425),"")</f>
        <v/>
      </c>
      <c r="AT425" s="39" t="str">
        <f>IF(AND($G425='Povolené hodnoty'!$B$14,$H425=AT$4),SUM($I425,$L425,$O425,$R425),"")</f>
        <v/>
      </c>
      <c r="AU425" s="458" t="str">
        <f>IF(AND($G425='Povolené hodnoty'!$B$14,$H425=AU$4),SUM($I425,$L425,$O425,$R425),"")</f>
        <v/>
      </c>
      <c r="AV425" s="41" t="str">
        <f>IF(AND($G425='Povolené hodnoty'!$B$14,$H425=AV$4),SUM($I425,$L425,$O425,$R425),"")</f>
        <v/>
      </c>
      <c r="AW425" s="39" t="str">
        <f>IF(AND($G425='Povolené hodnoty'!$B$13,$H425=AW$4),SUM($J425,$M425,$P425,$S425),"")</f>
        <v/>
      </c>
      <c r="AX425" s="458" t="str">
        <f>IF(AND($G425='Povolené hodnoty'!$B$13,$H425=AX$4),SUM($J425,$M425,$P425,$S425),"")</f>
        <v/>
      </c>
      <c r="AY425" s="458" t="str">
        <f>IF(AND($G425='Povolené hodnoty'!$B$13,$H425=AY$4),SUM($J425,$M425,$P425,$S425),"")</f>
        <v/>
      </c>
      <c r="AZ425" s="458" t="str">
        <f>IF(AND($G425='Povolené hodnoty'!$B$13,$H425=AZ$4),SUM($J425,$M425,$P425,$S425),"")</f>
        <v/>
      </c>
      <c r="BA425" s="458" t="str">
        <f>IF(AND($G425='Povolené hodnoty'!$B$13,$H425=BA$4),SUM($J425,$M425,$P425,$S425),"")</f>
        <v/>
      </c>
      <c r="BB425" s="40" t="str">
        <f>IF(AND($G425='Povolené hodnoty'!$B$13,$H425=BB$4),SUM($J425,$M425,$P425,$S425),"")</f>
        <v/>
      </c>
      <c r="BC425" s="40" t="str">
        <f>IF(AND($G425='Povolené hodnoty'!$B$13,$H425=BC$4),SUM($J425,$M425,$P425,$S425),"")</f>
        <v/>
      </c>
      <c r="BD425" s="40" t="str">
        <f>IF(AND($G425='Povolené hodnoty'!$B$13,$H425=BD$4),SUM($J425,$M425,$P425,$S425),"")</f>
        <v/>
      </c>
      <c r="BE425" s="41" t="str">
        <f>IF(AND($G425='Povolené hodnoty'!$B$13,$H425=BE$4),SUM($J425,$M425,$P425,$S425),"")</f>
        <v/>
      </c>
      <c r="BF425" s="39" t="str">
        <f>IF(AND($G425='Povolené hodnoty'!$B$14,$H425=BF$4),SUM($J425,$M425,$P425,$S425),"")</f>
        <v/>
      </c>
      <c r="BG425" s="458" t="str">
        <f>IF(AND($G425='Povolené hodnoty'!$B$14,$H425=BG$4),SUM($J425,$M425,$P425,$S425),"")</f>
        <v/>
      </c>
      <c r="BH425" s="458" t="str">
        <f>IF(AND($G425='Povolené hodnoty'!$B$14,$H425=BH$4),SUM($J425,$M425,$P425,$S425),"")</f>
        <v/>
      </c>
      <c r="BI425" s="458" t="str">
        <f>IF(AND($G425='Povolené hodnoty'!$B$14,$H425=BI$4),SUM($J425,$M425,$P425,$S425),"")</f>
        <v/>
      </c>
      <c r="BJ425" s="458" t="str">
        <f>IF(AND($G425='Povolené hodnoty'!$B$14,$H425=BJ$4),SUM($J425,$M425,$P425,$S425),"")</f>
        <v/>
      </c>
      <c r="BK425" s="40" t="str">
        <f>IF(AND($G425='Povolené hodnoty'!$B$14,$H425=BK$4),SUM($J425,$M425,$P425,$S425),"")</f>
        <v/>
      </c>
      <c r="BL425" s="40" t="str">
        <f>IF(AND($G425='Povolené hodnoty'!$B$14,$H425=BL$4),SUM($J425,$M425,$P425,$S425),"")</f>
        <v/>
      </c>
      <c r="BM425" s="41" t="str">
        <f>IF(AND($G425='Povolené hodnoty'!$B$14,$H425=BM$4),SUM($J425,$M425,$P425,$S425),"")</f>
        <v/>
      </c>
      <c r="BO425" s="18" t="b">
        <f t="shared" si="246"/>
        <v>0</v>
      </c>
      <c r="BP425" s="18" t="b">
        <f t="shared" si="217"/>
        <v>0</v>
      </c>
      <c r="BQ425" s="18" t="b">
        <f>AND(E425&lt;&gt;'Povolené hodnoty'!$B$6,F425&lt;&gt;'Povolené hodnoty'!$D$7,F425&lt;&gt;'Povolené hodnoty'!$D$8,OR(SUM(I425,L425,O425,R425)&lt;&gt;SUM(W425:X425,AA425:AG425),SUM(J425,M425,P425,S425)&lt;&gt;SUM(Y425:Z425,AH425:AK425),COUNT(I425:J425,L425:M425,O425:P425,R425:S425)&lt;&gt;COUNT(W425:AK425)))</f>
        <v>0</v>
      </c>
      <c r="BR425" s="18" t="b">
        <f>OR(AND(E425='Povolené hodnoty'!$B$6,$BR$5),AND(E425='Povolené hodnoty'!$B$6,H425&lt;&gt;'Povolené hodnoty'!$E$26,H425&lt;&gt;'Povolené hodnoty'!$E$35),AND(E425&lt;&gt;'Povolené hodnoty'!$B$6,OR(H425='Povolené hodnoty'!$E$26,H425='Povolené hodnoty'!$E$35)))</f>
        <v>0</v>
      </c>
      <c r="BS425" s="18" t="b">
        <f>OR(AND(G425&lt;&gt;'Povolené hodnoty'!$B$13,OR(H425='Povolené hodnoty'!$E$21,H425='Povolené hodnoty'!$E$22,H425='Povolené hodnoty'!$E$23,H425='Povolené hodnoty'!$E$24,H425='Povolené hodnoty'!$E$26,H425='Povolené hodnoty'!$E$36)),COUNT(I425:J425,L425:M425,O425:P425,R425:S425)&lt;&gt;COUNT(AL425:BM425))</f>
        <v>0</v>
      </c>
      <c r="BT425" s="18" t="b">
        <f t="shared" si="218"/>
        <v>0</v>
      </c>
      <c r="BV425" s="39" t="str">
        <f t="shared" si="219"/>
        <v/>
      </c>
      <c r="BW425" s="458" t="str">
        <f t="shared" si="220"/>
        <v/>
      </c>
      <c r="BX425" s="458" t="str">
        <f t="shared" si="221"/>
        <v/>
      </c>
      <c r="BY425" s="458" t="str">
        <f t="shared" si="222"/>
        <v/>
      </c>
      <c r="BZ425" s="458" t="str">
        <f t="shared" si="223"/>
        <v/>
      </c>
      <c r="CA425" s="40" t="str">
        <f t="shared" si="224"/>
        <v/>
      </c>
      <c r="CB425" s="40" t="str">
        <f t="shared" si="225"/>
        <v/>
      </c>
      <c r="CC425" s="39" t="str">
        <f t="shared" si="226"/>
        <v/>
      </c>
      <c r="CD425" s="458" t="str">
        <f t="shared" si="227"/>
        <v/>
      </c>
      <c r="CE425" s="41" t="str">
        <f t="shared" si="228"/>
        <v/>
      </c>
      <c r="CF425" s="39" t="str">
        <f t="shared" si="229"/>
        <v/>
      </c>
      <c r="CG425" s="458" t="str">
        <f t="shared" si="230"/>
        <v/>
      </c>
      <c r="CH425" s="458" t="str">
        <f t="shared" si="231"/>
        <v/>
      </c>
      <c r="CI425" s="458" t="str">
        <f t="shared" si="232"/>
        <v/>
      </c>
      <c r="CJ425" s="458" t="str">
        <f t="shared" si="233"/>
        <v/>
      </c>
      <c r="CK425" s="40" t="str">
        <f t="shared" si="234"/>
        <v/>
      </c>
      <c r="CL425" s="40" t="str">
        <f t="shared" si="235"/>
        <v/>
      </c>
      <c r="CM425" s="40" t="str">
        <f t="shared" si="236"/>
        <v/>
      </c>
      <c r="CN425" s="39" t="str">
        <f t="shared" si="237"/>
        <v/>
      </c>
      <c r="CO425" s="458" t="str">
        <f t="shared" si="238"/>
        <v/>
      </c>
      <c r="CP425" s="458" t="str">
        <f t="shared" si="239"/>
        <v/>
      </c>
      <c r="CQ425" s="458" t="str">
        <f t="shared" si="240"/>
        <v/>
      </c>
      <c r="CR425" s="458" t="str">
        <f t="shared" si="241"/>
        <v/>
      </c>
      <c r="CS425" s="40" t="str">
        <f t="shared" si="242"/>
        <v/>
      </c>
      <c r="CT425" s="40" t="str">
        <f t="shared" si="243"/>
        <v/>
      </c>
      <c r="CU425" s="41" t="str">
        <f t="shared" si="244"/>
        <v/>
      </c>
    </row>
    <row r="426" spans="1:99" x14ac:dyDescent="0.2">
      <c r="A426" s="77">
        <f t="shared" si="245"/>
        <v>421</v>
      </c>
      <c r="B426" s="81"/>
      <c r="C426" s="82"/>
      <c r="D426" s="71"/>
      <c r="E426" s="72"/>
      <c r="F426" s="73"/>
      <c r="G426" s="443"/>
      <c r="H426" s="443"/>
      <c r="I426" s="74"/>
      <c r="J426" s="75"/>
      <c r="K426" s="41">
        <f t="shared" si="214"/>
        <v>3625</v>
      </c>
      <c r="L426" s="104"/>
      <c r="M426" s="105"/>
      <c r="N426" s="106">
        <f t="shared" si="215"/>
        <v>537.05999999999995</v>
      </c>
      <c r="O426" s="104"/>
      <c r="P426" s="105"/>
      <c r="Q426" s="106">
        <f t="shared" si="247"/>
        <v>10045.83</v>
      </c>
      <c r="R426" s="104"/>
      <c r="S426" s="105"/>
      <c r="T426" s="106">
        <f t="shared" si="248"/>
        <v>0</v>
      </c>
      <c r="U426" s="439"/>
      <c r="V426" s="42">
        <f t="shared" si="216"/>
        <v>421</v>
      </c>
      <c r="W426" s="39" t="str">
        <f>IF(AND(E426='Povolené hodnoty'!$B$4,F426=2),I426+L426+O426+R426,"")</f>
        <v/>
      </c>
      <c r="X426" s="41" t="str">
        <f>IF(AND(E426='Povolené hodnoty'!$B$4,F426=1),I426+L426+O426+R426,"")</f>
        <v/>
      </c>
      <c r="Y426" s="39" t="str">
        <f>IF(AND(E426='Povolené hodnoty'!$B$4,F426=10),J426+M426+P426+S426,"")</f>
        <v/>
      </c>
      <c r="Z426" s="41" t="str">
        <f>IF(AND(E426='Povolené hodnoty'!$B$4,F426=9),J426+M426+P426+S426,"")</f>
        <v/>
      </c>
      <c r="AA426" s="39" t="str">
        <f>IF(AND(E426&lt;&gt;'Povolené hodnoty'!$B$4,F426=2),I426+L426+O426+R426,"")</f>
        <v/>
      </c>
      <c r="AB426" s="40" t="str">
        <f>IF(AND(E426&lt;&gt;'Povolené hodnoty'!$B$4,F426=3),I426+L426+O426+R426,"")</f>
        <v/>
      </c>
      <c r="AC426" s="40" t="str">
        <f>IF(AND(E426&lt;&gt;'Povolené hodnoty'!$B$4,F426=4),I426+L426+O426+R426,"")</f>
        <v/>
      </c>
      <c r="AD426" s="40" t="str">
        <f>IF(AND(E426&lt;&gt;'Povolené hodnoty'!$B$4,F426="5a"),I426-J426+L426-M426+O426-P426+R426-S426,"")</f>
        <v/>
      </c>
      <c r="AE426" s="40" t="str">
        <f>IF(AND(E426&lt;&gt;'Povolené hodnoty'!$B$4,F426="5b"),I426-J426+L426-M426+O426-P426+R426-S426,"")</f>
        <v/>
      </c>
      <c r="AF426" s="40" t="str">
        <f>IF(AND(E426&lt;&gt;'Povolené hodnoty'!$B$4,F426=6),I426+L426+O426+R426,"")</f>
        <v/>
      </c>
      <c r="AG426" s="41" t="str">
        <f>IF(AND(E426&lt;&gt;'Povolené hodnoty'!$B$4,F426=7),I426+L426+O426+R426,"")</f>
        <v/>
      </c>
      <c r="AH426" s="39" t="str">
        <f>IF(AND(E426&lt;&gt;'Povolené hodnoty'!$B$4,F426=10),J426+M426+P426+S426,"")</f>
        <v/>
      </c>
      <c r="AI426" s="40" t="str">
        <f>IF(AND(E426&lt;&gt;'Povolené hodnoty'!$B$4,F426=11),J426+M426+P426+S426,"")</f>
        <v/>
      </c>
      <c r="AJ426" s="40" t="str">
        <f>IF(AND(E426&lt;&gt;'Povolené hodnoty'!$B$4,F426=12),J426+M426+P426+S426,"")</f>
        <v/>
      </c>
      <c r="AK426" s="41" t="str">
        <f>IF(AND(E426&lt;&gt;'Povolené hodnoty'!$B$4,F426=13),J426+M426+P426+S426,"")</f>
        <v/>
      </c>
      <c r="AL426" s="39" t="str">
        <f>IF(AND($G426='Povolené hodnoty'!$B$13,$H426=AL$4),SUM($I426,$L426,$O426,$R426),"")</f>
        <v/>
      </c>
      <c r="AM426" s="458" t="str">
        <f>IF(AND($G426='Povolené hodnoty'!$B$13,$H426=AM$4),SUM($I426,$L426,$O426,$R426),"")</f>
        <v/>
      </c>
      <c r="AN426" s="458" t="str">
        <f>IF(AND($G426='Povolené hodnoty'!$B$13,$H426=AN$4),SUM($I426,$L426,$O426,$R426),"")</f>
        <v/>
      </c>
      <c r="AO426" s="458" t="str">
        <f>IF(AND($G426='Povolené hodnoty'!$B$13,$H426=AO$4),SUM($I426,$L426,$O426,$R426),"")</f>
        <v/>
      </c>
      <c r="AP426" s="458" t="str">
        <f>IF(AND($G426='Povolené hodnoty'!$B$13,$H426=AP$4),SUM($I426,$L426,$O426,$R426),"")</f>
        <v/>
      </c>
      <c r="AQ426" s="40" t="str">
        <f>IF(AND($G426='Povolené hodnoty'!$B$13,OR($H426=AQ$4,$H426='Povolené hodnoty'!$E$36)),SUM($I426,-$J426,$L426,-$M426,$O426,-$P426,$R426,-$S426),"")</f>
        <v/>
      </c>
      <c r="AR426" s="40" t="str">
        <f>IF(AND($G426='Povolené hodnoty'!$B$13,$H426=AR$4),SUM($I426,$L426,$O426,$R426),"")</f>
        <v/>
      </c>
      <c r="AS426" s="41" t="str">
        <f>IF(AND($G426='Povolené hodnoty'!$B$13,$H426=AS$4),SUM($I426,$L426,$O426,$R426),"")</f>
        <v/>
      </c>
      <c r="AT426" s="39" t="str">
        <f>IF(AND($G426='Povolené hodnoty'!$B$14,$H426=AT$4),SUM($I426,$L426,$O426,$R426),"")</f>
        <v/>
      </c>
      <c r="AU426" s="458" t="str">
        <f>IF(AND($G426='Povolené hodnoty'!$B$14,$H426=AU$4),SUM($I426,$L426,$O426,$R426),"")</f>
        <v/>
      </c>
      <c r="AV426" s="41" t="str">
        <f>IF(AND($G426='Povolené hodnoty'!$B$14,$H426=AV$4),SUM($I426,$L426,$O426,$R426),"")</f>
        <v/>
      </c>
      <c r="AW426" s="39" t="str">
        <f>IF(AND($G426='Povolené hodnoty'!$B$13,$H426=AW$4),SUM($J426,$M426,$P426,$S426),"")</f>
        <v/>
      </c>
      <c r="AX426" s="458" t="str">
        <f>IF(AND($G426='Povolené hodnoty'!$B$13,$H426=AX$4),SUM($J426,$M426,$P426,$S426),"")</f>
        <v/>
      </c>
      <c r="AY426" s="458" t="str">
        <f>IF(AND($G426='Povolené hodnoty'!$B$13,$H426=AY$4),SUM($J426,$M426,$P426,$S426),"")</f>
        <v/>
      </c>
      <c r="AZ426" s="458" t="str">
        <f>IF(AND($G426='Povolené hodnoty'!$B$13,$H426=AZ$4),SUM($J426,$M426,$P426,$S426),"")</f>
        <v/>
      </c>
      <c r="BA426" s="458" t="str">
        <f>IF(AND($G426='Povolené hodnoty'!$B$13,$H426=BA$4),SUM($J426,$M426,$P426,$S426),"")</f>
        <v/>
      </c>
      <c r="BB426" s="40" t="str">
        <f>IF(AND($G426='Povolené hodnoty'!$B$13,$H426=BB$4),SUM($J426,$M426,$P426,$S426),"")</f>
        <v/>
      </c>
      <c r="BC426" s="40" t="str">
        <f>IF(AND($G426='Povolené hodnoty'!$B$13,$H426=BC$4),SUM($J426,$M426,$P426,$S426),"")</f>
        <v/>
      </c>
      <c r="BD426" s="40" t="str">
        <f>IF(AND($G426='Povolené hodnoty'!$B$13,$H426=BD$4),SUM($J426,$M426,$P426,$S426),"")</f>
        <v/>
      </c>
      <c r="BE426" s="41" t="str">
        <f>IF(AND($G426='Povolené hodnoty'!$B$13,$H426=BE$4),SUM($J426,$M426,$P426,$S426),"")</f>
        <v/>
      </c>
      <c r="BF426" s="39" t="str">
        <f>IF(AND($G426='Povolené hodnoty'!$B$14,$H426=BF$4),SUM($J426,$M426,$P426,$S426),"")</f>
        <v/>
      </c>
      <c r="BG426" s="458" t="str">
        <f>IF(AND($G426='Povolené hodnoty'!$B$14,$H426=BG$4),SUM($J426,$M426,$P426,$S426),"")</f>
        <v/>
      </c>
      <c r="BH426" s="458" t="str">
        <f>IF(AND($G426='Povolené hodnoty'!$B$14,$H426=BH$4),SUM($J426,$M426,$P426,$S426),"")</f>
        <v/>
      </c>
      <c r="BI426" s="458" t="str">
        <f>IF(AND($G426='Povolené hodnoty'!$B$14,$H426=BI$4),SUM($J426,$M426,$P426,$S426),"")</f>
        <v/>
      </c>
      <c r="BJ426" s="458" t="str">
        <f>IF(AND($G426='Povolené hodnoty'!$B$14,$H426=BJ$4),SUM($J426,$M426,$P426,$S426),"")</f>
        <v/>
      </c>
      <c r="BK426" s="40" t="str">
        <f>IF(AND($G426='Povolené hodnoty'!$B$14,$H426=BK$4),SUM($J426,$M426,$P426,$S426),"")</f>
        <v/>
      </c>
      <c r="BL426" s="40" t="str">
        <f>IF(AND($G426='Povolené hodnoty'!$B$14,$H426=BL$4),SUM($J426,$M426,$P426,$S426),"")</f>
        <v/>
      </c>
      <c r="BM426" s="41" t="str">
        <f>IF(AND($G426='Povolené hodnoty'!$B$14,$H426=BM$4),SUM($J426,$M426,$P426,$S426),"")</f>
        <v/>
      </c>
      <c r="BO426" s="18" t="b">
        <f t="shared" si="246"/>
        <v>0</v>
      </c>
      <c r="BP426" s="18" t="b">
        <f t="shared" si="217"/>
        <v>0</v>
      </c>
      <c r="BQ426" s="18" t="b">
        <f>AND(E426&lt;&gt;'Povolené hodnoty'!$B$6,F426&lt;&gt;'Povolené hodnoty'!$D$7,F426&lt;&gt;'Povolené hodnoty'!$D$8,OR(SUM(I426,L426,O426,R426)&lt;&gt;SUM(W426:X426,AA426:AG426),SUM(J426,M426,P426,S426)&lt;&gt;SUM(Y426:Z426,AH426:AK426),COUNT(I426:J426,L426:M426,O426:P426,R426:S426)&lt;&gt;COUNT(W426:AK426)))</f>
        <v>0</v>
      </c>
      <c r="BR426" s="18" t="b">
        <f>OR(AND(E426='Povolené hodnoty'!$B$6,$BR$5),AND(E426='Povolené hodnoty'!$B$6,H426&lt;&gt;'Povolené hodnoty'!$E$26,H426&lt;&gt;'Povolené hodnoty'!$E$35),AND(E426&lt;&gt;'Povolené hodnoty'!$B$6,OR(H426='Povolené hodnoty'!$E$26,H426='Povolené hodnoty'!$E$35)))</f>
        <v>0</v>
      </c>
      <c r="BS426" s="18" t="b">
        <f>OR(AND(G426&lt;&gt;'Povolené hodnoty'!$B$13,OR(H426='Povolené hodnoty'!$E$21,H426='Povolené hodnoty'!$E$22,H426='Povolené hodnoty'!$E$23,H426='Povolené hodnoty'!$E$24,H426='Povolené hodnoty'!$E$26,H426='Povolené hodnoty'!$E$36)),COUNT(I426:J426,L426:M426,O426:P426,R426:S426)&lt;&gt;COUNT(AL426:BM426))</f>
        <v>0</v>
      </c>
      <c r="BT426" s="18" t="b">
        <f t="shared" si="218"/>
        <v>0</v>
      </c>
      <c r="BV426" s="39" t="str">
        <f t="shared" si="219"/>
        <v/>
      </c>
      <c r="BW426" s="458" t="str">
        <f t="shared" si="220"/>
        <v/>
      </c>
      <c r="BX426" s="458" t="str">
        <f t="shared" si="221"/>
        <v/>
      </c>
      <c r="BY426" s="458" t="str">
        <f t="shared" si="222"/>
        <v/>
      </c>
      <c r="BZ426" s="458" t="str">
        <f t="shared" si="223"/>
        <v/>
      </c>
      <c r="CA426" s="40" t="str">
        <f t="shared" si="224"/>
        <v/>
      </c>
      <c r="CB426" s="40" t="str">
        <f t="shared" si="225"/>
        <v/>
      </c>
      <c r="CC426" s="39" t="str">
        <f t="shared" si="226"/>
        <v/>
      </c>
      <c r="CD426" s="458" t="str">
        <f t="shared" si="227"/>
        <v/>
      </c>
      <c r="CE426" s="41" t="str">
        <f t="shared" si="228"/>
        <v/>
      </c>
      <c r="CF426" s="39" t="str">
        <f t="shared" si="229"/>
        <v/>
      </c>
      <c r="CG426" s="458" t="str">
        <f t="shared" si="230"/>
        <v/>
      </c>
      <c r="CH426" s="458" t="str">
        <f t="shared" si="231"/>
        <v/>
      </c>
      <c r="CI426" s="458" t="str">
        <f t="shared" si="232"/>
        <v/>
      </c>
      <c r="CJ426" s="458" t="str">
        <f t="shared" si="233"/>
        <v/>
      </c>
      <c r="CK426" s="40" t="str">
        <f t="shared" si="234"/>
        <v/>
      </c>
      <c r="CL426" s="40" t="str">
        <f t="shared" si="235"/>
        <v/>
      </c>
      <c r="CM426" s="40" t="str">
        <f t="shared" si="236"/>
        <v/>
      </c>
      <c r="CN426" s="39" t="str">
        <f t="shared" si="237"/>
        <v/>
      </c>
      <c r="CO426" s="458" t="str">
        <f t="shared" si="238"/>
        <v/>
      </c>
      <c r="CP426" s="458" t="str">
        <f t="shared" si="239"/>
        <v/>
      </c>
      <c r="CQ426" s="458" t="str">
        <f t="shared" si="240"/>
        <v/>
      </c>
      <c r="CR426" s="458" t="str">
        <f t="shared" si="241"/>
        <v/>
      </c>
      <c r="CS426" s="40" t="str">
        <f t="shared" si="242"/>
        <v/>
      </c>
      <c r="CT426" s="40" t="str">
        <f t="shared" si="243"/>
        <v/>
      </c>
      <c r="CU426" s="41" t="str">
        <f t="shared" si="244"/>
        <v/>
      </c>
    </row>
    <row r="427" spans="1:99" x14ac:dyDescent="0.2">
      <c r="A427" s="77">
        <f t="shared" si="245"/>
        <v>422</v>
      </c>
      <c r="B427" s="81"/>
      <c r="C427" s="82"/>
      <c r="D427" s="71"/>
      <c r="E427" s="72"/>
      <c r="F427" s="73"/>
      <c r="G427" s="443"/>
      <c r="H427" s="443"/>
      <c r="I427" s="74"/>
      <c r="J427" s="75"/>
      <c r="K427" s="41">
        <f t="shared" si="214"/>
        <v>3625</v>
      </c>
      <c r="L427" s="104"/>
      <c r="M427" s="105"/>
      <c r="N427" s="106">
        <f t="shared" si="215"/>
        <v>537.05999999999995</v>
      </c>
      <c r="O427" s="104"/>
      <c r="P427" s="105"/>
      <c r="Q427" s="106">
        <f t="shared" si="247"/>
        <v>10045.83</v>
      </c>
      <c r="R427" s="104"/>
      <c r="S427" s="105"/>
      <c r="T427" s="106">
        <f t="shared" si="248"/>
        <v>0</v>
      </c>
      <c r="U427" s="439"/>
      <c r="V427" s="42">
        <f t="shared" si="216"/>
        <v>422</v>
      </c>
      <c r="W427" s="39" t="str">
        <f>IF(AND(E427='Povolené hodnoty'!$B$4,F427=2),I427+L427+O427+R427,"")</f>
        <v/>
      </c>
      <c r="X427" s="41" t="str">
        <f>IF(AND(E427='Povolené hodnoty'!$B$4,F427=1),I427+L427+O427+R427,"")</f>
        <v/>
      </c>
      <c r="Y427" s="39" t="str">
        <f>IF(AND(E427='Povolené hodnoty'!$B$4,F427=10),J427+M427+P427+S427,"")</f>
        <v/>
      </c>
      <c r="Z427" s="41" t="str">
        <f>IF(AND(E427='Povolené hodnoty'!$B$4,F427=9),J427+M427+P427+S427,"")</f>
        <v/>
      </c>
      <c r="AA427" s="39" t="str">
        <f>IF(AND(E427&lt;&gt;'Povolené hodnoty'!$B$4,F427=2),I427+L427+O427+R427,"")</f>
        <v/>
      </c>
      <c r="AB427" s="40" t="str">
        <f>IF(AND(E427&lt;&gt;'Povolené hodnoty'!$B$4,F427=3),I427+L427+O427+R427,"")</f>
        <v/>
      </c>
      <c r="AC427" s="40" t="str">
        <f>IF(AND(E427&lt;&gt;'Povolené hodnoty'!$B$4,F427=4),I427+L427+O427+R427,"")</f>
        <v/>
      </c>
      <c r="AD427" s="40" t="str">
        <f>IF(AND(E427&lt;&gt;'Povolené hodnoty'!$B$4,F427="5a"),I427-J427+L427-M427+O427-P427+R427-S427,"")</f>
        <v/>
      </c>
      <c r="AE427" s="40" t="str">
        <f>IF(AND(E427&lt;&gt;'Povolené hodnoty'!$B$4,F427="5b"),I427-J427+L427-M427+O427-P427+R427-S427,"")</f>
        <v/>
      </c>
      <c r="AF427" s="40" t="str">
        <f>IF(AND(E427&lt;&gt;'Povolené hodnoty'!$B$4,F427=6),I427+L427+O427+R427,"")</f>
        <v/>
      </c>
      <c r="AG427" s="41" t="str">
        <f>IF(AND(E427&lt;&gt;'Povolené hodnoty'!$B$4,F427=7),I427+L427+O427+R427,"")</f>
        <v/>
      </c>
      <c r="AH427" s="39" t="str">
        <f>IF(AND(E427&lt;&gt;'Povolené hodnoty'!$B$4,F427=10),J427+M427+P427+S427,"")</f>
        <v/>
      </c>
      <c r="AI427" s="40" t="str">
        <f>IF(AND(E427&lt;&gt;'Povolené hodnoty'!$B$4,F427=11),J427+M427+P427+S427,"")</f>
        <v/>
      </c>
      <c r="AJ427" s="40" t="str">
        <f>IF(AND(E427&lt;&gt;'Povolené hodnoty'!$B$4,F427=12),J427+M427+P427+S427,"")</f>
        <v/>
      </c>
      <c r="AK427" s="41" t="str">
        <f>IF(AND(E427&lt;&gt;'Povolené hodnoty'!$B$4,F427=13),J427+M427+P427+S427,"")</f>
        <v/>
      </c>
      <c r="AL427" s="39" t="str">
        <f>IF(AND($G427='Povolené hodnoty'!$B$13,$H427=AL$4),SUM($I427,$L427,$O427,$R427),"")</f>
        <v/>
      </c>
      <c r="AM427" s="458" t="str">
        <f>IF(AND($G427='Povolené hodnoty'!$B$13,$H427=AM$4),SUM($I427,$L427,$O427,$R427),"")</f>
        <v/>
      </c>
      <c r="AN427" s="458" t="str">
        <f>IF(AND($G427='Povolené hodnoty'!$B$13,$H427=AN$4),SUM($I427,$L427,$O427,$R427),"")</f>
        <v/>
      </c>
      <c r="AO427" s="458" t="str">
        <f>IF(AND($G427='Povolené hodnoty'!$B$13,$H427=AO$4),SUM($I427,$L427,$O427,$R427),"")</f>
        <v/>
      </c>
      <c r="AP427" s="458" t="str">
        <f>IF(AND($G427='Povolené hodnoty'!$B$13,$H427=AP$4),SUM($I427,$L427,$O427,$R427),"")</f>
        <v/>
      </c>
      <c r="AQ427" s="40" t="str">
        <f>IF(AND($G427='Povolené hodnoty'!$B$13,OR($H427=AQ$4,$H427='Povolené hodnoty'!$E$36)),SUM($I427,-$J427,$L427,-$M427,$O427,-$P427,$R427,-$S427),"")</f>
        <v/>
      </c>
      <c r="AR427" s="40" t="str">
        <f>IF(AND($G427='Povolené hodnoty'!$B$13,$H427=AR$4),SUM($I427,$L427,$O427,$R427),"")</f>
        <v/>
      </c>
      <c r="AS427" s="41" t="str">
        <f>IF(AND($G427='Povolené hodnoty'!$B$13,$H427=AS$4),SUM($I427,$L427,$O427,$R427),"")</f>
        <v/>
      </c>
      <c r="AT427" s="39" t="str">
        <f>IF(AND($G427='Povolené hodnoty'!$B$14,$H427=AT$4),SUM($I427,$L427,$O427,$R427),"")</f>
        <v/>
      </c>
      <c r="AU427" s="458" t="str">
        <f>IF(AND($G427='Povolené hodnoty'!$B$14,$H427=AU$4),SUM($I427,$L427,$O427,$R427),"")</f>
        <v/>
      </c>
      <c r="AV427" s="41" t="str">
        <f>IF(AND($G427='Povolené hodnoty'!$B$14,$H427=AV$4),SUM($I427,$L427,$O427,$R427),"")</f>
        <v/>
      </c>
      <c r="AW427" s="39" t="str">
        <f>IF(AND($G427='Povolené hodnoty'!$B$13,$H427=AW$4),SUM($J427,$M427,$P427,$S427),"")</f>
        <v/>
      </c>
      <c r="AX427" s="458" t="str">
        <f>IF(AND($G427='Povolené hodnoty'!$B$13,$H427=AX$4),SUM($J427,$M427,$P427,$S427),"")</f>
        <v/>
      </c>
      <c r="AY427" s="458" t="str">
        <f>IF(AND($G427='Povolené hodnoty'!$B$13,$H427=AY$4),SUM($J427,$M427,$P427,$S427),"")</f>
        <v/>
      </c>
      <c r="AZ427" s="458" t="str">
        <f>IF(AND($G427='Povolené hodnoty'!$B$13,$H427=AZ$4),SUM($J427,$M427,$P427,$S427),"")</f>
        <v/>
      </c>
      <c r="BA427" s="458" t="str">
        <f>IF(AND($G427='Povolené hodnoty'!$B$13,$H427=BA$4),SUM($J427,$M427,$P427,$S427),"")</f>
        <v/>
      </c>
      <c r="BB427" s="40" t="str">
        <f>IF(AND($G427='Povolené hodnoty'!$B$13,$H427=BB$4),SUM($J427,$M427,$P427,$S427),"")</f>
        <v/>
      </c>
      <c r="BC427" s="40" t="str">
        <f>IF(AND($G427='Povolené hodnoty'!$B$13,$H427=BC$4),SUM($J427,$M427,$P427,$S427),"")</f>
        <v/>
      </c>
      <c r="BD427" s="40" t="str">
        <f>IF(AND($G427='Povolené hodnoty'!$B$13,$H427=BD$4),SUM($J427,$M427,$P427,$S427),"")</f>
        <v/>
      </c>
      <c r="BE427" s="41" t="str">
        <f>IF(AND($G427='Povolené hodnoty'!$B$13,$H427=BE$4),SUM($J427,$M427,$P427,$S427),"")</f>
        <v/>
      </c>
      <c r="BF427" s="39" t="str">
        <f>IF(AND($G427='Povolené hodnoty'!$B$14,$H427=BF$4),SUM($J427,$M427,$P427,$S427),"")</f>
        <v/>
      </c>
      <c r="BG427" s="458" t="str">
        <f>IF(AND($G427='Povolené hodnoty'!$B$14,$H427=BG$4),SUM($J427,$M427,$P427,$S427),"")</f>
        <v/>
      </c>
      <c r="BH427" s="458" t="str">
        <f>IF(AND($G427='Povolené hodnoty'!$B$14,$H427=BH$4),SUM($J427,$M427,$P427,$S427),"")</f>
        <v/>
      </c>
      <c r="BI427" s="458" t="str">
        <f>IF(AND($G427='Povolené hodnoty'!$B$14,$H427=BI$4),SUM($J427,$M427,$P427,$S427),"")</f>
        <v/>
      </c>
      <c r="BJ427" s="458" t="str">
        <f>IF(AND($G427='Povolené hodnoty'!$B$14,$H427=BJ$4),SUM($J427,$M427,$P427,$S427),"")</f>
        <v/>
      </c>
      <c r="BK427" s="40" t="str">
        <f>IF(AND($G427='Povolené hodnoty'!$B$14,$H427=BK$4),SUM($J427,$M427,$P427,$S427),"")</f>
        <v/>
      </c>
      <c r="BL427" s="40" t="str">
        <f>IF(AND($G427='Povolené hodnoty'!$B$14,$H427=BL$4),SUM($J427,$M427,$P427,$S427),"")</f>
        <v/>
      </c>
      <c r="BM427" s="41" t="str">
        <f>IF(AND($G427='Povolené hodnoty'!$B$14,$H427=BM$4),SUM($J427,$M427,$P427,$S427),"")</f>
        <v/>
      </c>
      <c r="BO427" s="18" t="b">
        <f t="shared" si="246"/>
        <v>0</v>
      </c>
      <c r="BP427" s="18" t="b">
        <f t="shared" si="217"/>
        <v>0</v>
      </c>
      <c r="BQ427" s="18" t="b">
        <f>AND(E427&lt;&gt;'Povolené hodnoty'!$B$6,F427&lt;&gt;'Povolené hodnoty'!$D$7,F427&lt;&gt;'Povolené hodnoty'!$D$8,OR(SUM(I427,L427,O427,R427)&lt;&gt;SUM(W427:X427,AA427:AG427),SUM(J427,M427,P427,S427)&lt;&gt;SUM(Y427:Z427,AH427:AK427),COUNT(I427:J427,L427:M427,O427:P427,R427:S427)&lt;&gt;COUNT(W427:AK427)))</f>
        <v>0</v>
      </c>
      <c r="BR427" s="18" t="b">
        <f>OR(AND(E427='Povolené hodnoty'!$B$6,$BR$5),AND(E427='Povolené hodnoty'!$B$6,H427&lt;&gt;'Povolené hodnoty'!$E$26,H427&lt;&gt;'Povolené hodnoty'!$E$35),AND(E427&lt;&gt;'Povolené hodnoty'!$B$6,OR(H427='Povolené hodnoty'!$E$26,H427='Povolené hodnoty'!$E$35)))</f>
        <v>0</v>
      </c>
      <c r="BS427" s="18" t="b">
        <f>OR(AND(G427&lt;&gt;'Povolené hodnoty'!$B$13,OR(H427='Povolené hodnoty'!$E$21,H427='Povolené hodnoty'!$E$22,H427='Povolené hodnoty'!$E$23,H427='Povolené hodnoty'!$E$24,H427='Povolené hodnoty'!$E$26,H427='Povolené hodnoty'!$E$36)),COUNT(I427:J427,L427:M427,O427:P427,R427:S427)&lt;&gt;COUNT(AL427:BM427))</f>
        <v>0</v>
      </c>
      <c r="BT427" s="18" t="b">
        <f t="shared" si="218"/>
        <v>0</v>
      </c>
      <c r="BV427" s="39" t="str">
        <f t="shared" si="219"/>
        <v/>
      </c>
      <c r="BW427" s="458" t="str">
        <f t="shared" si="220"/>
        <v/>
      </c>
      <c r="BX427" s="458" t="str">
        <f t="shared" si="221"/>
        <v/>
      </c>
      <c r="BY427" s="458" t="str">
        <f t="shared" si="222"/>
        <v/>
      </c>
      <c r="BZ427" s="458" t="str">
        <f t="shared" si="223"/>
        <v/>
      </c>
      <c r="CA427" s="40" t="str">
        <f t="shared" si="224"/>
        <v/>
      </c>
      <c r="CB427" s="40" t="str">
        <f t="shared" si="225"/>
        <v/>
      </c>
      <c r="CC427" s="39" t="str">
        <f t="shared" si="226"/>
        <v/>
      </c>
      <c r="CD427" s="458" t="str">
        <f t="shared" si="227"/>
        <v/>
      </c>
      <c r="CE427" s="41" t="str">
        <f t="shared" si="228"/>
        <v/>
      </c>
      <c r="CF427" s="39" t="str">
        <f t="shared" si="229"/>
        <v/>
      </c>
      <c r="CG427" s="458" t="str">
        <f t="shared" si="230"/>
        <v/>
      </c>
      <c r="CH427" s="458" t="str">
        <f t="shared" si="231"/>
        <v/>
      </c>
      <c r="CI427" s="458" t="str">
        <f t="shared" si="232"/>
        <v/>
      </c>
      <c r="CJ427" s="458" t="str">
        <f t="shared" si="233"/>
        <v/>
      </c>
      <c r="CK427" s="40" t="str">
        <f t="shared" si="234"/>
        <v/>
      </c>
      <c r="CL427" s="40" t="str">
        <f t="shared" si="235"/>
        <v/>
      </c>
      <c r="CM427" s="40" t="str">
        <f t="shared" si="236"/>
        <v/>
      </c>
      <c r="CN427" s="39" t="str">
        <f t="shared" si="237"/>
        <v/>
      </c>
      <c r="CO427" s="458" t="str">
        <f t="shared" si="238"/>
        <v/>
      </c>
      <c r="CP427" s="458" t="str">
        <f t="shared" si="239"/>
        <v/>
      </c>
      <c r="CQ427" s="458" t="str">
        <f t="shared" si="240"/>
        <v/>
      </c>
      <c r="CR427" s="458" t="str">
        <f t="shared" si="241"/>
        <v/>
      </c>
      <c r="CS427" s="40" t="str">
        <f t="shared" si="242"/>
        <v/>
      </c>
      <c r="CT427" s="40" t="str">
        <f t="shared" si="243"/>
        <v/>
      </c>
      <c r="CU427" s="41" t="str">
        <f t="shared" si="244"/>
        <v/>
      </c>
    </row>
    <row r="428" spans="1:99" x14ac:dyDescent="0.2">
      <c r="A428" s="77">
        <f t="shared" si="245"/>
        <v>423</v>
      </c>
      <c r="B428" s="81"/>
      <c r="C428" s="82"/>
      <c r="D428" s="71"/>
      <c r="E428" s="72"/>
      <c r="F428" s="73"/>
      <c r="G428" s="443"/>
      <c r="H428" s="443"/>
      <c r="I428" s="74"/>
      <c r="J428" s="75"/>
      <c r="K428" s="41">
        <f t="shared" si="214"/>
        <v>3625</v>
      </c>
      <c r="L428" s="104"/>
      <c r="M428" s="105"/>
      <c r="N428" s="106">
        <f t="shared" si="215"/>
        <v>537.05999999999995</v>
      </c>
      <c r="O428" s="104"/>
      <c r="P428" s="105"/>
      <c r="Q428" s="106">
        <f t="shared" si="247"/>
        <v>10045.83</v>
      </c>
      <c r="R428" s="104"/>
      <c r="S428" s="105"/>
      <c r="T428" s="106">
        <f t="shared" si="248"/>
        <v>0</v>
      </c>
      <c r="U428" s="439"/>
      <c r="V428" s="42">
        <f t="shared" si="216"/>
        <v>423</v>
      </c>
      <c r="W428" s="39" t="str">
        <f>IF(AND(E428='Povolené hodnoty'!$B$4,F428=2),I428+L428+O428+R428,"")</f>
        <v/>
      </c>
      <c r="X428" s="41" t="str">
        <f>IF(AND(E428='Povolené hodnoty'!$B$4,F428=1),I428+L428+O428+R428,"")</f>
        <v/>
      </c>
      <c r="Y428" s="39" t="str">
        <f>IF(AND(E428='Povolené hodnoty'!$B$4,F428=10),J428+M428+P428+S428,"")</f>
        <v/>
      </c>
      <c r="Z428" s="41" t="str">
        <f>IF(AND(E428='Povolené hodnoty'!$B$4,F428=9),J428+M428+P428+S428,"")</f>
        <v/>
      </c>
      <c r="AA428" s="39" t="str">
        <f>IF(AND(E428&lt;&gt;'Povolené hodnoty'!$B$4,F428=2),I428+L428+O428+R428,"")</f>
        <v/>
      </c>
      <c r="AB428" s="40" t="str">
        <f>IF(AND(E428&lt;&gt;'Povolené hodnoty'!$B$4,F428=3),I428+L428+O428+R428,"")</f>
        <v/>
      </c>
      <c r="AC428" s="40" t="str">
        <f>IF(AND(E428&lt;&gt;'Povolené hodnoty'!$B$4,F428=4),I428+L428+O428+R428,"")</f>
        <v/>
      </c>
      <c r="AD428" s="40" t="str">
        <f>IF(AND(E428&lt;&gt;'Povolené hodnoty'!$B$4,F428="5a"),I428-J428+L428-M428+O428-P428+R428-S428,"")</f>
        <v/>
      </c>
      <c r="AE428" s="40" t="str">
        <f>IF(AND(E428&lt;&gt;'Povolené hodnoty'!$B$4,F428="5b"),I428-J428+L428-M428+O428-P428+R428-S428,"")</f>
        <v/>
      </c>
      <c r="AF428" s="40" t="str">
        <f>IF(AND(E428&lt;&gt;'Povolené hodnoty'!$B$4,F428=6),I428+L428+O428+R428,"")</f>
        <v/>
      </c>
      <c r="AG428" s="41" t="str">
        <f>IF(AND(E428&lt;&gt;'Povolené hodnoty'!$B$4,F428=7),I428+L428+O428+R428,"")</f>
        <v/>
      </c>
      <c r="AH428" s="39" t="str">
        <f>IF(AND(E428&lt;&gt;'Povolené hodnoty'!$B$4,F428=10),J428+M428+P428+S428,"")</f>
        <v/>
      </c>
      <c r="AI428" s="40" t="str">
        <f>IF(AND(E428&lt;&gt;'Povolené hodnoty'!$B$4,F428=11),J428+M428+P428+S428,"")</f>
        <v/>
      </c>
      <c r="AJ428" s="40" t="str">
        <f>IF(AND(E428&lt;&gt;'Povolené hodnoty'!$B$4,F428=12),J428+M428+P428+S428,"")</f>
        <v/>
      </c>
      <c r="AK428" s="41" t="str">
        <f>IF(AND(E428&lt;&gt;'Povolené hodnoty'!$B$4,F428=13),J428+M428+P428+S428,"")</f>
        <v/>
      </c>
      <c r="AL428" s="39" t="str">
        <f>IF(AND($G428='Povolené hodnoty'!$B$13,$H428=AL$4),SUM($I428,$L428,$O428,$R428),"")</f>
        <v/>
      </c>
      <c r="AM428" s="458" t="str">
        <f>IF(AND($G428='Povolené hodnoty'!$B$13,$H428=AM$4),SUM($I428,$L428,$O428,$R428),"")</f>
        <v/>
      </c>
      <c r="AN428" s="458" t="str">
        <f>IF(AND($G428='Povolené hodnoty'!$B$13,$H428=AN$4),SUM($I428,$L428,$O428,$R428),"")</f>
        <v/>
      </c>
      <c r="AO428" s="458" t="str">
        <f>IF(AND($G428='Povolené hodnoty'!$B$13,$H428=AO$4),SUM($I428,$L428,$O428,$R428),"")</f>
        <v/>
      </c>
      <c r="AP428" s="458" t="str">
        <f>IF(AND($G428='Povolené hodnoty'!$B$13,$H428=AP$4),SUM($I428,$L428,$O428,$R428),"")</f>
        <v/>
      </c>
      <c r="AQ428" s="40" t="str">
        <f>IF(AND($G428='Povolené hodnoty'!$B$13,OR($H428=AQ$4,$H428='Povolené hodnoty'!$E$36)),SUM($I428,-$J428,$L428,-$M428,$O428,-$P428,$R428,-$S428),"")</f>
        <v/>
      </c>
      <c r="AR428" s="40" t="str">
        <f>IF(AND($G428='Povolené hodnoty'!$B$13,$H428=AR$4),SUM($I428,$L428,$O428,$R428),"")</f>
        <v/>
      </c>
      <c r="AS428" s="41" t="str">
        <f>IF(AND($G428='Povolené hodnoty'!$B$13,$H428=AS$4),SUM($I428,$L428,$O428,$R428),"")</f>
        <v/>
      </c>
      <c r="AT428" s="39" t="str">
        <f>IF(AND($G428='Povolené hodnoty'!$B$14,$H428=AT$4),SUM($I428,$L428,$O428,$R428),"")</f>
        <v/>
      </c>
      <c r="AU428" s="458" t="str">
        <f>IF(AND($G428='Povolené hodnoty'!$B$14,$H428=AU$4),SUM($I428,$L428,$O428,$R428),"")</f>
        <v/>
      </c>
      <c r="AV428" s="41" t="str">
        <f>IF(AND($G428='Povolené hodnoty'!$B$14,$H428=AV$4),SUM($I428,$L428,$O428,$R428),"")</f>
        <v/>
      </c>
      <c r="AW428" s="39" t="str">
        <f>IF(AND($G428='Povolené hodnoty'!$B$13,$H428=AW$4),SUM($J428,$M428,$P428,$S428),"")</f>
        <v/>
      </c>
      <c r="AX428" s="458" t="str">
        <f>IF(AND($G428='Povolené hodnoty'!$B$13,$H428=AX$4),SUM($J428,$M428,$P428,$S428),"")</f>
        <v/>
      </c>
      <c r="AY428" s="458" t="str">
        <f>IF(AND($G428='Povolené hodnoty'!$B$13,$H428=AY$4),SUM($J428,$M428,$P428,$S428),"")</f>
        <v/>
      </c>
      <c r="AZ428" s="458" t="str">
        <f>IF(AND($G428='Povolené hodnoty'!$B$13,$H428=AZ$4),SUM($J428,$M428,$P428,$S428),"")</f>
        <v/>
      </c>
      <c r="BA428" s="458" t="str">
        <f>IF(AND($G428='Povolené hodnoty'!$B$13,$H428=BA$4),SUM($J428,$M428,$P428,$S428),"")</f>
        <v/>
      </c>
      <c r="BB428" s="40" t="str">
        <f>IF(AND($G428='Povolené hodnoty'!$B$13,$H428=BB$4),SUM($J428,$M428,$P428,$S428),"")</f>
        <v/>
      </c>
      <c r="BC428" s="40" t="str">
        <f>IF(AND($G428='Povolené hodnoty'!$B$13,$H428=BC$4),SUM($J428,$M428,$P428,$S428),"")</f>
        <v/>
      </c>
      <c r="BD428" s="40" t="str">
        <f>IF(AND($G428='Povolené hodnoty'!$B$13,$H428=BD$4),SUM($J428,$M428,$P428,$S428),"")</f>
        <v/>
      </c>
      <c r="BE428" s="41" t="str">
        <f>IF(AND($G428='Povolené hodnoty'!$B$13,$H428=BE$4),SUM($J428,$M428,$P428,$S428),"")</f>
        <v/>
      </c>
      <c r="BF428" s="39" t="str">
        <f>IF(AND($G428='Povolené hodnoty'!$B$14,$H428=BF$4),SUM($J428,$M428,$P428,$S428),"")</f>
        <v/>
      </c>
      <c r="BG428" s="458" t="str">
        <f>IF(AND($G428='Povolené hodnoty'!$B$14,$H428=BG$4),SUM($J428,$M428,$P428,$S428),"")</f>
        <v/>
      </c>
      <c r="BH428" s="458" t="str">
        <f>IF(AND($G428='Povolené hodnoty'!$B$14,$H428=BH$4),SUM($J428,$M428,$P428,$S428),"")</f>
        <v/>
      </c>
      <c r="BI428" s="458" t="str">
        <f>IF(AND($G428='Povolené hodnoty'!$B$14,$H428=BI$4),SUM($J428,$M428,$P428,$S428),"")</f>
        <v/>
      </c>
      <c r="BJ428" s="458" t="str">
        <f>IF(AND($G428='Povolené hodnoty'!$B$14,$H428=BJ$4),SUM($J428,$M428,$P428,$S428),"")</f>
        <v/>
      </c>
      <c r="BK428" s="40" t="str">
        <f>IF(AND($G428='Povolené hodnoty'!$B$14,$H428=BK$4),SUM($J428,$M428,$P428,$S428),"")</f>
        <v/>
      </c>
      <c r="BL428" s="40" t="str">
        <f>IF(AND($G428='Povolené hodnoty'!$B$14,$H428=BL$4),SUM($J428,$M428,$P428,$S428),"")</f>
        <v/>
      </c>
      <c r="BM428" s="41" t="str">
        <f>IF(AND($G428='Povolené hodnoty'!$B$14,$H428=BM$4),SUM($J428,$M428,$P428,$S428),"")</f>
        <v/>
      </c>
      <c r="BO428" s="18" t="b">
        <f t="shared" si="246"/>
        <v>0</v>
      </c>
      <c r="BP428" s="18" t="b">
        <f t="shared" si="217"/>
        <v>0</v>
      </c>
      <c r="BQ428" s="18" t="b">
        <f>AND(E428&lt;&gt;'Povolené hodnoty'!$B$6,F428&lt;&gt;'Povolené hodnoty'!$D$7,F428&lt;&gt;'Povolené hodnoty'!$D$8,OR(SUM(I428,L428,O428,R428)&lt;&gt;SUM(W428:X428,AA428:AG428),SUM(J428,M428,P428,S428)&lt;&gt;SUM(Y428:Z428,AH428:AK428),COUNT(I428:J428,L428:M428,O428:P428,R428:S428)&lt;&gt;COUNT(W428:AK428)))</f>
        <v>0</v>
      </c>
      <c r="BR428" s="18" t="b">
        <f>OR(AND(E428='Povolené hodnoty'!$B$6,$BR$5),AND(E428='Povolené hodnoty'!$B$6,H428&lt;&gt;'Povolené hodnoty'!$E$26,H428&lt;&gt;'Povolené hodnoty'!$E$35),AND(E428&lt;&gt;'Povolené hodnoty'!$B$6,OR(H428='Povolené hodnoty'!$E$26,H428='Povolené hodnoty'!$E$35)))</f>
        <v>0</v>
      </c>
      <c r="BS428" s="18" t="b">
        <f>OR(AND(G428&lt;&gt;'Povolené hodnoty'!$B$13,OR(H428='Povolené hodnoty'!$E$21,H428='Povolené hodnoty'!$E$22,H428='Povolené hodnoty'!$E$23,H428='Povolené hodnoty'!$E$24,H428='Povolené hodnoty'!$E$26,H428='Povolené hodnoty'!$E$36)),COUNT(I428:J428,L428:M428,O428:P428,R428:S428)&lt;&gt;COUNT(AL428:BM428))</f>
        <v>0</v>
      </c>
      <c r="BT428" s="18" t="b">
        <f t="shared" si="218"/>
        <v>0</v>
      </c>
      <c r="BV428" s="39" t="str">
        <f t="shared" si="219"/>
        <v/>
      </c>
      <c r="BW428" s="458" t="str">
        <f t="shared" si="220"/>
        <v/>
      </c>
      <c r="BX428" s="458" t="str">
        <f t="shared" si="221"/>
        <v/>
      </c>
      <c r="BY428" s="458" t="str">
        <f t="shared" si="222"/>
        <v/>
      </c>
      <c r="BZ428" s="458" t="str">
        <f t="shared" si="223"/>
        <v/>
      </c>
      <c r="CA428" s="40" t="str">
        <f t="shared" si="224"/>
        <v/>
      </c>
      <c r="CB428" s="40" t="str">
        <f t="shared" si="225"/>
        <v/>
      </c>
      <c r="CC428" s="39" t="str">
        <f t="shared" si="226"/>
        <v/>
      </c>
      <c r="CD428" s="458" t="str">
        <f t="shared" si="227"/>
        <v/>
      </c>
      <c r="CE428" s="41" t="str">
        <f t="shared" si="228"/>
        <v/>
      </c>
      <c r="CF428" s="39" t="str">
        <f t="shared" si="229"/>
        <v/>
      </c>
      <c r="CG428" s="458" t="str">
        <f t="shared" si="230"/>
        <v/>
      </c>
      <c r="CH428" s="458" t="str">
        <f t="shared" si="231"/>
        <v/>
      </c>
      <c r="CI428" s="458" t="str">
        <f t="shared" si="232"/>
        <v/>
      </c>
      <c r="CJ428" s="458" t="str">
        <f t="shared" si="233"/>
        <v/>
      </c>
      <c r="CK428" s="40" t="str">
        <f t="shared" si="234"/>
        <v/>
      </c>
      <c r="CL428" s="40" t="str">
        <f t="shared" si="235"/>
        <v/>
      </c>
      <c r="CM428" s="40" t="str">
        <f t="shared" si="236"/>
        <v/>
      </c>
      <c r="CN428" s="39" t="str">
        <f t="shared" si="237"/>
        <v/>
      </c>
      <c r="CO428" s="458" t="str">
        <f t="shared" si="238"/>
        <v/>
      </c>
      <c r="CP428" s="458" t="str">
        <f t="shared" si="239"/>
        <v/>
      </c>
      <c r="CQ428" s="458" t="str">
        <f t="shared" si="240"/>
        <v/>
      </c>
      <c r="CR428" s="458" t="str">
        <f t="shared" si="241"/>
        <v/>
      </c>
      <c r="CS428" s="40" t="str">
        <f t="shared" si="242"/>
        <v/>
      </c>
      <c r="CT428" s="40" t="str">
        <f t="shared" si="243"/>
        <v/>
      </c>
      <c r="CU428" s="41" t="str">
        <f t="shared" si="244"/>
        <v/>
      </c>
    </row>
    <row r="429" spans="1:99" x14ac:dyDescent="0.2">
      <c r="A429" s="77">
        <f t="shared" si="245"/>
        <v>424</v>
      </c>
      <c r="B429" s="81"/>
      <c r="C429" s="82"/>
      <c r="D429" s="71"/>
      <c r="E429" s="72"/>
      <c r="F429" s="73"/>
      <c r="G429" s="443"/>
      <c r="H429" s="443"/>
      <c r="I429" s="74"/>
      <c r="J429" s="75"/>
      <c r="K429" s="41">
        <f t="shared" ref="K429:K492" si="249">K428+I429-J429</f>
        <v>3625</v>
      </c>
      <c r="L429" s="104"/>
      <c r="M429" s="105"/>
      <c r="N429" s="106">
        <f t="shared" ref="N429:N492" si="250">N428+L429-M429</f>
        <v>537.05999999999995</v>
      </c>
      <c r="O429" s="104"/>
      <c r="P429" s="105"/>
      <c r="Q429" s="106">
        <f t="shared" si="247"/>
        <v>10045.83</v>
      </c>
      <c r="R429" s="104"/>
      <c r="S429" s="105"/>
      <c r="T429" s="106">
        <f t="shared" si="248"/>
        <v>0</v>
      </c>
      <c r="U429" s="439"/>
      <c r="V429" s="42">
        <f t="shared" si="216"/>
        <v>424</v>
      </c>
      <c r="W429" s="39" t="str">
        <f>IF(AND(E429='Povolené hodnoty'!$B$4,F429=2),I429+L429+O429+R429,"")</f>
        <v/>
      </c>
      <c r="X429" s="41" t="str">
        <f>IF(AND(E429='Povolené hodnoty'!$B$4,F429=1),I429+L429+O429+R429,"")</f>
        <v/>
      </c>
      <c r="Y429" s="39" t="str">
        <f>IF(AND(E429='Povolené hodnoty'!$B$4,F429=10),J429+M429+P429+S429,"")</f>
        <v/>
      </c>
      <c r="Z429" s="41" t="str">
        <f>IF(AND(E429='Povolené hodnoty'!$B$4,F429=9),J429+M429+P429+S429,"")</f>
        <v/>
      </c>
      <c r="AA429" s="39" t="str">
        <f>IF(AND(E429&lt;&gt;'Povolené hodnoty'!$B$4,F429=2),I429+L429+O429+R429,"")</f>
        <v/>
      </c>
      <c r="AB429" s="40" t="str">
        <f>IF(AND(E429&lt;&gt;'Povolené hodnoty'!$B$4,F429=3),I429+L429+O429+R429,"")</f>
        <v/>
      </c>
      <c r="AC429" s="40" t="str">
        <f>IF(AND(E429&lt;&gt;'Povolené hodnoty'!$B$4,F429=4),I429+L429+O429+R429,"")</f>
        <v/>
      </c>
      <c r="AD429" s="40" t="str">
        <f>IF(AND(E429&lt;&gt;'Povolené hodnoty'!$B$4,F429="5a"),I429-J429+L429-M429+O429-P429+R429-S429,"")</f>
        <v/>
      </c>
      <c r="AE429" s="40" t="str">
        <f>IF(AND(E429&lt;&gt;'Povolené hodnoty'!$B$4,F429="5b"),I429-J429+L429-M429+O429-P429+R429-S429,"")</f>
        <v/>
      </c>
      <c r="AF429" s="40" t="str">
        <f>IF(AND(E429&lt;&gt;'Povolené hodnoty'!$B$4,F429=6),I429+L429+O429+R429,"")</f>
        <v/>
      </c>
      <c r="AG429" s="41" t="str">
        <f>IF(AND(E429&lt;&gt;'Povolené hodnoty'!$B$4,F429=7),I429+L429+O429+R429,"")</f>
        <v/>
      </c>
      <c r="AH429" s="39" t="str">
        <f>IF(AND(E429&lt;&gt;'Povolené hodnoty'!$B$4,F429=10),J429+M429+P429+S429,"")</f>
        <v/>
      </c>
      <c r="AI429" s="40" t="str">
        <f>IF(AND(E429&lt;&gt;'Povolené hodnoty'!$B$4,F429=11),J429+M429+P429+S429,"")</f>
        <v/>
      </c>
      <c r="AJ429" s="40" t="str">
        <f>IF(AND(E429&lt;&gt;'Povolené hodnoty'!$B$4,F429=12),J429+M429+P429+S429,"")</f>
        <v/>
      </c>
      <c r="AK429" s="41" t="str">
        <f>IF(AND(E429&lt;&gt;'Povolené hodnoty'!$B$4,F429=13),J429+M429+P429+S429,"")</f>
        <v/>
      </c>
      <c r="AL429" s="39" t="str">
        <f>IF(AND($G429='Povolené hodnoty'!$B$13,$H429=AL$4),SUM($I429,$L429,$O429,$R429),"")</f>
        <v/>
      </c>
      <c r="AM429" s="458" t="str">
        <f>IF(AND($G429='Povolené hodnoty'!$B$13,$H429=AM$4),SUM($I429,$L429,$O429,$R429),"")</f>
        <v/>
      </c>
      <c r="AN429" s="458" t="str">
        <f>IF(AND($G429='Povolené hodnoty'!$B$13,$H429=AN$4),SUM($I429,$L429,$O429,$R429),"")</f>
        <v/>
      </c>
      <c r="AO429" s="458" t="str">
        <f>IF(AND($G429='Povolené hodnoty'!$B$13,$H429=AO$4),SUM($I429,$L429,$O429,$R429),"")</f>
        <v/>
      </c>
      <c r="AP429" s="458" t="str">
        <f>IF(AND($G429='Povolené hodnoty'!$B$13,$H429=AP$4),SUM($I429,$L429,$O429,$R429),"")</f>
        <v/>
      </c>
      <c r="AQ429" s="40" t="str">
        <f>IF(AND($G429='Povolené hodnoty'!$B$13,OR($H429=AQ$4,$H429='Povolené hodnoty'!$E$36)),SUM($I429,-$J429,$L429,-$M429,$O429,-$P429,$R429,-$S429),"")</f>
        <v/>
      </c>
      <c r="AR429" s="40" t="str">
        <f>IF(AND($G429='Povolené hodnoty'!$B$13,$H429=AR$4),SUM($I429,$L429,$O429,$R429),"")</f>
        <v/>
      </c>
      <c r="AS429" s="41" t="str">
        <f>IF(AND($G429='Povolené hodnoty'!$B$13,$H429=AS$4),SUM($I429,$L429,$O429,$R429),"")</f>
        <v/>
      </c>
      <c r="AT429" s="39" t="str">
        <f>IF(AND($G429='Povolené hodnoty'!$B$14,$H429=AT$4),SUM($I429,$L429,$O429,$R429),"")</f>
        <v/>
      </c>
      <c r="AU429" s="458" t="str">
        <f>IF(AND($G429='Povolené hodnoty'!$B$14,$H429=AU$4),SUM($I429,$L429,$O429,$R429),"")</f>
        <v/>
      </c>
      <c r="AV429" s="41" t="str">
        <f>IF(AND($G429='Povolené hodnoty'!$B$14,$H429=AV$4),SUM($I429,$L429,$O429,$R429),"")</f>
        <v/>
      </c>
      <c r="AW429" s="39" t="str">
        <f>IF(AND($G429='Povolené hodnoty'!$B$13,$H429=AW$4),SUM($J429,$M429,$P429,$S429),"")</f>
        <v/>
      </c>
      <c r="AX429" s="458" t="str">
        <f>IF(AND($G429='Povolené hodnoty'!$B$13,$H429=AX$4),SUM($J429,$M429,$P429,$S429),"")</f>
        <v/>
      </c>
      <c r="AY429" s="458" t="str">
        <f>IF(AND($G429='Povolené hodnoty'!$B$13,$H429=AY$4),SUM($J429,$M429,$P429,$S429),"")</f>
        <v/>
      </c>
      <c r="AZ429" s="458" t="str">
        <f>IF(AND($G429='Povolené hodnoty'!$B$13,$H429=AZ$4),SUM($J429,$M429,$P429,$S429),"")</f>
        <v/>
      </c>
      <c r="BA429" s="458" t="str">
        <f>IF(AND($G429='Povolené hodnoty'!$B$13,$H429=BA$4),SUM($J429,$M429,$P429,$S429),"")</f>
        <v/>
      </c>
      <c r="BB429" s="40" t="str">
        <f>IF(AND($G429='Povolené hodnoty'!$B$13,$H429=BB$4),SUM($J429,$M429,$P429,$S429),"")</f>
        <v/>
      </c>
      <c r="BC429" s="40" t="str">
        <f>IF(AND($G429='Povolené hodnoty'!$B$13,$H429=BC$4),SUM($J429,$M429,$P429,$S429),"")</f>
        <v/>
      </c>
      <c r="BD429" s="40" t="str">
        <f>IF(AND($G429='Povolené hodnoty'!$B$13,$H429=BD$4),SUM($J429,$M429,$P429,$S429),"")</f>
        <v/>
      </c>
      <c r="BE429" s="41" t="str">
        <f>IF(AND($G429='Povolené hodnoty'!$B$13,$H429=BE$4),SUM($J429,$M429,$P429,$S429),"")</f>
        <v/>
      </c>
      <c r="BF429" s="39" t="str">
        <f>IF(AND($G429='Povolené hodnoty'!$B$14,$H429=BF$4),SUM($J429,$M429,$P429,$S429),"")</f>
        <v/>
      </c>
      <c r="BG429" s="458" t="str">
        <f>IF(AND($G429='Povolené hodnoty'!$B$14,$H429=BG$4),SUM($J429,$M429,$P429,$S429),"")</f>
        <v/>
      </c>
      <c r="BH429" s="458" t="str">
        <f>IF(AND($G429='Povolené hodnoty'!$B$14,$H429=BH$4),SUM($J429,$M429,$P429,$S429),"")</f>
        <v/>
      </c>
      <c r="BI429" s="458" t="str">
        <f>IF(AND($G429='Povolené hodnoty'!$B$14,$H429=BI$4),SUM($J429,$M429,$P429,$S429),"")</f>
        <v/>
      </c>
      <c r="BJ429" s="458" t="str">
        <f>IF(AND($G429='Povolené hodnoty'!$B$14,$H429=BJ$4),SUM($J429,$M429,$P429,$S429),"")</f>
        <v/>
      </c>
      <c r="BK429" s="40" t="str">
        <f>IF(AND($G429='Povolené hodnoty'!$B$14,$H429=BK$4),SUM($J429,$M429,$P429,$S429),"")</f>
        <v/>
      </c>
      <c r="BL429" s="40" t="str">
        <f>IF(AND($G429='Povolené hodnoty'!$B$14,$H429=BL$4),SUM($J429,$M429,$P429,$S429),"")</f>
        <v/>
      </c>
      <c r="BM429" s="41" t="str">
        <f>IF(AND($G429='Povolené hodnoty'!$B$14,$H429=BM$4),SUM($J429,$M429,$P429,$S429),"")</f>
        <v/>
      </c>
      <c r="BO429" s="18" t="b">
        <f t="shared" si="246"/>
        <v>0</v>
      </c>
      <c r="BP429" s="18" t="b">
        <f t="shared" si="217"/>
        <v>0</v>
      </c>
      <c r="BQ429" s="18" t="b">
        <f>AND(E429&lt;&gt;'Povolené hodnoty'!$B$6,F429&lt;&gt;'Povolené hodnoty'!$D$7,F429&lt;&gt;'Povolené hodnoty'!$D$8,OR(SUM(I429,L429,O429,R429)&lt;&gt;SUM(W429:X429,AA429:AG429),SUM(J429,M429,P429,S429)&lt;&gt;SUM(Y429:Z429,AH429:AK429),COUNT(I429:J429,L429:M429,O429:P429,R429:S429)&lt;&gt;COUNT(W429:AK429)))</f>
        <v>0</v>
      </c>
      <c r="BR429" s="18" t="b">
        <f>OR(AND(E429='Povolené hodnoty'!$B$6,$BR$5),AND(E429='Povolené hodnoty'!$B$6,H429&lt;&gt;'Povolené hodnoty'!$E$26,H429&lt;&gt;'Povolené hodnoty'!$E$35),AND(E429&lt;&gt;'Povolené hodnoty'!$B$6,OR(H429='Povolené hodnoty'!$E$26,H429='Povolené hodnoty'!$E$35)))</f>
        <v>0</v>
      </c>
      <c r="BS429" s="18" t="b">
        <f>OR(AND(G429&lt;&gt;'Povolené hodnoty'!$B$13,OR(H429='Povolené hodnoty'!$E$21,H429='Povolené hodnoty'!$E$22,H429='Povolené hodnoty'!$E$23,H429='Povolené hodnoty'!$E$24,H429='Povolené hodnoty'!$E$26,H429='Povolené hodnoty'!$E$36)),COUNT(I429:J429,L429:M429,O429:P429,R429:S429)&lt;&gt;COUNT(AL429:BM429))</f>
        <v>0</v>
      </c>
      <c r="BT429" s="18" t="b">
        <f t="shared" si="218"/>
        <v>0</v>
      </c>
      <c r="BV429" s="39" t="str">
        <f t="shared" si="219"/>
        <v/>
      </c>
      <c r="BW429" s="458" t="str">
        <f t="shared" si="220"/>
        <v/>
      </c>
      <c r="BX429" s="458" t="str">
        <f t="shared" si="221"/>
        <v/>
      </c>
      <c r="BY429" s="458" t="str">
        <f t="shared" si="222"/>
        <v/>
      </c>
      <c r="BZ429" s="458" t="str">
        <f t="shared" si="223"/>
        <v/>
      </c>
      <c r="CA429" s="40" t="str">
        <f t="shared" si="224"/>
        <v/>
      </c>
      <c r="CB429" s="40" t="str">
        <f t="shared" si="225"/>
        <v/>
      </c>
      <c r="CC429" s="39" t="str">
        <f t="shared" si="226"/>
        <v/>
      </c>
      <c r="CD429" s="458" t="str">
        <f t="shared" si="227"/>
        <v/>
      </c>
      <c r="CE429" s="41" t="str">
        <f t="shared" si="228"/>
        <v/>
      </c>
      <c r="CF429" s="39" t="str">
        <f t="shared" si="229"/>
        <v/>
      </c>
      <c r="CG429" s="458" t="str">
        <f t="shared" si="230"/>
        <v/>
      </c>
      <c r="CH429" s="458" t="str">
        <f t="shared" si="231"/>
        <v/>
      </c>
      <c r="CI429" s="458" t="str">
        <f t="shared" si="232"/>
        <v/>
      </c>
      <c r="CJ429" s="458" t="str">
        <f t="shared" si="233"/>
        <v/>
      </c>
      <c r="CK429" s="40" t="str">
        <f t="shared" si="234"/>
        <v/>
      </c>
      <c r="CL429" s="40" t="str">
        <f t="shared" si="235"/>
        <v/>
      </c>
      <c r="CM429" s="40" t="str">
        <f t="shared" si="236"/>
        <v/>
      </c>
      <c r="CN429" s="39" t="str">
        <f t="shared" si="237"/>
        <v/>
      </c>
      <c r="CO429" s="458" t="str">
        <f t="shared" si="238"/>
        <v/>
      </c>
      <c r="CP429" s="458" t="str">
        <f t="shared" si="239"/>
        <v/>
      </c>
      <c r="CQ429" s="458" t="str">
        <f t="shared" si="240"/>
        <v/>
      </c>
      <c r="CR429" s="458" t="str">
        <f t="shared" si="241"/>
        <v/>
      </c>
      <c r="CS429" s="40" t="str">
        <f t="shared" si="242"/>
        <v/>
      </c>
      <c r="CT429" s="40" t="str">
        <f t="shared" si="243"/>
        <v/>
      </c>
      <c r="CU429" s="41" t="str">
        <f t="shared" si="244"/>
        <v/>
      </c>
    </row>
    <row r="430" spans="1:99" x14ac:dyDescent="0.2">
      <c r="A430" s="77">
        <f t="shared" si="245"/>
        <v>425</v>
      </c>
      <c r="B430" s="81"/>
      <c r="C430" s="82"/>
      <c r="D430" s="71"/>
      <c r="E430" s="72"/>
      <c r="F430" s="73"/>
      <c r="G430" s="443"/>
      <c r="H430" s="443"/>
      <c r="I430" s="74"/>
      <c r="J430" s="75"/>
      <c r="K430" s="41">
        <f t="shared" si="249"/>
        <v>3625</v>
      </c>
      <c r="L430" s="104"/>
      <c r="M430" s="105"/>
      <c r="N430" s="106">
        <f t="shared" si="250"/>
        <v>537.05999999999995</v>
      </c>
      <c r="O430" s="104"/>
      <c r="P430" s="105"/>
      <c r="Q430" s="106">
        <f t="shared" si="247"/>
        <v>10045.83</v>
      </c>
      <c r="R430" s="104"/>
      <c r="S430" s="105"/>
      <c r="T430" s="106">
        <f t="shared" si="248"/>
        <v>0</v>
      </c>
      <c r="U430" s="439"/>
      <c r="V430" s="42">
        <f t="shared" si="216"/>
        <v>425</v>
      </c>
      <c r="W430" s="39" t="str">
        <f>IF(AND(E430='Povolené hodnoty'!$B$4,F430=2),I430+L430+O430+R430,"")</f>
        <v/>
      </c>
      <c r="X430" s="41" t="str">
        <f>IF(AND(E430='Povolené hodnoty'!$B$4,F430=1),I430+L430+O430+R430,"")</f>
        <v/>
      </c>
      <c r="Y430" s="39" t="str">
        <f>IF(AND(E430='Povolené hodnoty'!$B$4,F430=10),J430+M430+P430+S430,"")</f>
        <v/>
      </c>
      <c r="Z430" s="41" t="str">
        <f>IF(AND(E430='Povolené hodnoty'!$B$4,F430=9),J430+M430+P430+S430,"")</f>
        <v/>
      </c>
      <c r="AA430" s="39" t="str">
        <f>IF(AND(E430&lt;&gt;'Povolené hodnoty'!$B$4,F430=2),I430+L430+O430+R430,"")</f>
        <v/>
      </c>
      <c r="AB430" s="40" t="str">
        <f>IF(AND(E430&lt;&gt;'Povolené hodnoty'!$B$4,F430=3),I430+L430+O430+R430,"")</f>
        <v/>
      </c>
      <c r="AC430" s="40" t="str">
        <f>IF(AND(E430&lt;&gt;'Povolené hodnoty'!$B$4,F430=4),I430+L430+O430+R430,"")</f>
        <v/>
      </c>
      <c r="AD430" s="40" t="str">
        <f>IF(AND(E430&lt;&gt;'Povolené hodnoty'!$B$4,F430="5a"),I430-J430+L430-M430+O430-P430+R430-S430,"")</f>
        <v/>
      </c>
      <c r="AE430" s="40" t="str">
        <f>IF(AND(E430&lt;&gt;'Povolené hodnoty'!$B$4,F430="5b"),I430-J430+L430-M430+O430-P430+R430-S430,"")</f>
        <v/>
      </c>
      <c r="AF430" s="40" t="str">
        <f>IF(AND(E430&lt;&gt;'Povolené hodnoty'!$B$4,F430=6),I430+L430+O430+R430,"")</f>
        <v/>
      </c>
      <c r="AG430" s="41" t="str">
        <f>IF(AND(E430&lt;&gt;'Povolené hodnoty'!$B$4,F430=7),I430+L430+O430+R430,"")</f>
        <v/>
      </c>
      <c r="AH430" s="39" t="str">
        <f>IF(AND(E430&lt;&gt;'Povolené hodnoty'!$B$4,F430=10),J430+M430+P430+S430,"")</f>
        <v/>
      </c>
      <c r="AI430" s="40" t="str">
        <f>IF(AND(E430&lt;&gt;'Povolené hodnoty'!$B$4,F430=11),J430+M430+P430+S430,"")</f>
        <v/>
      </c>
      <c r="AJ430" s="40" t="str">
        <f>IF(AND(E430&lt;&gt;'Povolené hodnoty'!$B$4,F430=12),J430+M430+P430+S430,"")</f>
        <v/>
      </c>
      <c r="AK430" s="41" t="str">
        <f>IF(AND(E430&lt;&gt;'Povolené hodnoty'!$B$4,F430=13),J430+M430+P430+S430,"")</f>
        <v/>
      </c>
      <c r="AL430" s="39" t="str">
        <f>IF(AND($G430='Povolené hodnoty'!$B$13,$H430=AL$4),SUM($I430,$L430,$O430,$R430),"")</f>
        <v/>
      </c>
      <c r="AM430" s="458" t="str">
        <f>IF(AND($G430='Povolené hodnoty'!$B$13,$H430=AM$4),SUM($I430,$L430,$O430,$R430),"")</f>
        <v/>
      </c>
      <c r="AN430" s="458" t="str">
        <f>IF(AND($G430='Povolené hodnoty'!$B$13,$H430=AN$4),SUM($I430,$L430,$O430,$R430),"")</f>
        <v/>
      </c>
      <c r="AO430" s="458" t="str">
        <f>IF(AND($G430='Povolené hodnoty'!$B$13,$H430=AO$4),SUM($I430,$L430,$O430,$R430),"")</f>
        <v/>
      </c>
      <c r="AP430" s="458" t="str">
        <f>IF(AND($G430='Povolené hodnoty'!$B$13,$H430=AP$4),SUM($I430,$L430,$O430,$R430),"")</f>
        <v/>
      </c>
      <c r="AQ430" s="40" t="str">
        <f>IF(AND($G430='Povolené hodnoty'!$B$13,OR($H430=AQ$4,$H430='Povolené hodnoty'!$E$36)),SUM($I430,-$J430,$L430,-$M430,$O430,-$P430,$R430,-$S430),"")</f>
        <v/>
      </c>
      <c r="AR430" s="40" t="str">
        <f>IF(AND($G430='Povolené hodnoty'!$B$13,$H430=AR$4),SUM($I430,$L430,$O430,$R430),"")</f>
        <v/>
      </c>
      <c r="AS430" s="41" t="str">
        <f>IF(AND($G430='Povolené hodnoty'!$B$13,$H430=AS$4),SUM($I430,$L430,$O430,$R430),"")</f>
        <v/>
      </c>
      <c r="AT430" s="39" t="str">
        <f>IF(AND($G430='Povolené hodnoty'!$B$14,$H430=AT$4),SUM($I430,$L430,$O430,$R430),"")</f>
        <v/>
      </c>
      <c r="AU430" s="458" t="str">
        <f>IF(AND($G430='Povolené hodnoty'!$B$14,$H430=AU$4),SUM($I430,$L430,$O430,$R430),"")</f>
        <v/>
      </c>
      <c r="AV430" s="41" t="str">
        <f>IF(AND($G430='Povolené hodnoty'!$B$14,$H430=AV$4),SUM($I430,$L430,$O430,$R430),"")</f>
        <v/>
      </c>
      <c r="AW430" s="39" t="str">
        <f>IF(AND($G430='Povolené hodnoty'!$B$13,$H430=AW$4),SUM($J430,$M430,$P430,$S430),"")</f>
        <v/>
      </c>
      <c r="AX430" s="458" t="str">
        <f>IF(AND($G430='Povolené hodnoty'!$B$13,$H430=AX$4),SUM($J430,$M430,$P430,$S430),"")</f>
        <v/>
      </c>
      <c r="AY430" s="458" t="str">
        <f>IF(AND($G430='Povolené hodnoty'!$B$13,$H430=AY$4),SUM($J430,$M430,$P430,$S430),"")</f>
        <v/>
      </c>
      <c r="AZ430" s="458" t="str">
        <f>IF(AND($G430='Povolené hodnoty'!$B$13,$H430=AZ$4),SUM($J430,$M430,$P430,$S430),"")</f>
        <v/>
      </c>
      <c r="BA430" s="458" t="str">
        <f>IF(AND($G430='Povolené hodnoty'!$B$13,$H430=BA$4),SUM($J430,$M430,$P430,$S430),"")</f>
        <v/>
      </c>
      <c r="BB430" s="40" t="str">
        <f>IF(AND($G430='Povolené hodnoty'!$B$13,$H430=BB$4),SUM($J430,$M430,$P430,$S430),"")</f>
        <v/>
      </c>
      <c r="BC430" s="40" t="str">
        <f>IF(AND($G430='Povolené hodnoty'!$B$13,$H430=BC$4),SUM($J430,$M430,$P430,$S430),"")</f>
        <v/>
      </c>
      <c r="BD430" s="40" t="str">
        <f>IF(AND($G430='Povolené hodnoty'!$B$13,$H430=BD$4),SUM($J430,$M430,$P430,$S430),"")</f>
        <v/>
      </c>
      <c r="BE430" s="41" t="str">
        <f>IF(AND($G430='Povolené hodnoty'!$B$13,$H430=BE$4),SUM($J430,$M430,$P430,$S430),"")</f>
        <v/>
      </c>
      <c r="BF430" s="39" t="str">
        <f>IF(AND($G430='Povolené hodnoty'!$B$14,$H430=BF$4),SUM($J430,$M430,$P430,$S430),"")</f>
        <v/>
      </c>
      <c r="BG430" s="458" t="str">
        <f>IF(AND($G430='Povolené hodnoty'!$B$14,$H430=BG$4),SUM($J430,$M430,$P430,$S430),"")</f>
        <v/>
      </c>
      <c r="BH430" s="458" t="str">
        <f>IF(AND($G430='Povolené hodnoty'!$B$14,$H430=BH$4),SUM($J430,$M430,$P430,$S430),"")</f>
        <v/>
      </c>
      <c r="BI430" s="458" t="str">
        <f>IF(AND($G430='Povolené hodnoty'!$B$14,$H430=BI$4),SUM($J430,$M430,$P430,$S430),"")</f>
        <v/>
      </c>
      <c r="BJ430" s="458" t="str">
        <f>IF(AND($G430='Povolené hodnoty'!$B$14,$H430=BJ$4),SUM($J430,$M430,$P430,$S430),"")</f>
        <v/>
      </c>
      <c r="BK430" s="40" t="str">
        <f>IF(AND($G430='Povolené hodnoty'!$B$14,$H430=BK$4),SUM($J430,$M430,$P430,$S430),"")</f>
        <v/>
      </c>
      <c r="BL430" s="40" t="str">
        <f>IF(AND($G430='Povolené hodnoty'!$B$14,$H430=BL$4),SUM($J430,$M430,$P430,$S430),"")</f>
        <v/>
      </c>
      <c r="BM430" s="41" t="str">
        <f>IF(AND($G430='Povolené hodnoty'!$B$14,$H430=BM$4),SUM($J430,$M430,$P430,$S430),"")</f>
        <v/>
      </c>
      <c r="BO430" s="18" t="b">
        <f t="shared" si="246"/>
        <v>0</v>
      </c>
      <c r="BP430" s="18" t="b">
        <f t="shared" si="217"/>
        <v>0</v>
      </c>
      <c r="BQ430" s="18" t="b">
        <f>AND(E430&lt;&gt;'Povolené hodnoty'!$B$6,F430&lt;&gt;'Povolené hodnoty'!$D$7,F430&lt;&gt;'Povolené hodnoty'!$D$8,OR(SUM(I430,L430,O430,R430)&lt;&gt;SUM(W430:X430,AA430:AG430),SUM(J430,M430,P430,S430)&lt;&gt;SUM(Y430:Z430,AH430:AK430),COUNT(I430:J430,L430:M430,O430:P430,R430:S430)&lt;&gt;COUNT(W430:AK430)))</f>
        <v>0</v>
      </c>
      <c r="BR430" s="18" t="b">
        <f>OR(AND(E430='Povolené hodnoty'!$B$6,$BR$5),AND(E430='Povolené hodnoty'!$B$6,H430&lt;&gt;'Povolené hodnoty'!$E$26,H430&lt;&gt;'Povolené hodnoty'!$E$35),AND(E430&lt;&gt;'Povolené hodnoty'!$B$6,OR(H430='Povolené hodnoty'!$E$26,H430='Povolené hodnoty'!$E$35)))</f>
        <v>0</v>
      </c>
      <c r="BS430" s="18" t="b">
        <f>OR(AND(G430&lt;&gt;'Povolené hodnoty'!$B$13,OR(H430='Povolené hodnoty'!$E$21,H430='Povolené hodnoty'!$E$22,H430='Povolené hodnoty'!$E$23,H430='Povolené hodnoty'!$E$24,H430='Povolené hodnoty'!$E$26,H430='Povolené hodnoty'!$E$36)),COUNT(I430:J430,L430:M430,O430:P430,R430:S430)&lt;&gt;COUNT(AL430:BM430))</f>
        <v>0</v>
      </c>
      <c r="BT430" s="18" t="b">
        <f t="shared" si="218"/>
        <v>0</v>
      </c>
      <c r="BV430" s="39" t="str">
        <f t="shared" si="219"/>
        <v/>
      </c>
      <c r="BW430" s="458" t="str">
        <f t="shared" si="220"/>
        <v/>
      </c>
      <c r="BX430" s="458" t="str">
        <f t="shared" si="221"/>
        <v/>
      </c>
      <c r="BY430" s="458" t="str">
        <f t="shared" si="222"/>
        <v/>
      </c>
      <c r="BZ430" s="458" t="str">
        <f t="shared" si="223"/>
        <v/>
      </c>
      <c r="CA430" s="40" t="str">
        <f t="shared" si="224"/>
        <v/>
      </c>
      <c r="CB430" s="40" t="str">
        <f t="shared" si="225"/>
        <v/>
      </c>
      <c r="CC430" s="39" t="str">
        <f t="shared" si="226"/>
        <v/>
      </c>
      <c r="CD430" s="458" t="str">
        <f t="shared" si="227"/>
        <v/>
      </c>
      <c r="CE430" s="41" t="str">
        <f t="shared" si="228"/>
        <v/>
      </c>
      <c r="CF430" s="39" t="str">
        <f t="shared" si="229"/>
        <v/>
      </c>
      <c r="CG430" s="458" t="str">
        <f t="shared" si="230"/>
        <v/>
      </c>
      <c r="CH430" s="458" t="str">
        <f t="shared" si="231"/>
        <v/>
      </c>
      <c r="CI430" s="458" t="str">
        <f t="shared" si="232"/>
        <v/>
      </c>
      <c r="CJ430" s="458" t="str">
        <f t="shared" si="233"/>
        <v/>
      </c>
      <c r="CK430" s="40" t="str">
        <f t="shared" si="234"/>
        <v/>
      </c>
      <c r="CL430" s="40" t="str">
        <f t="shared" si="235"/>
        <v/>
      </c>
      <c r="CM430" s="40" t="str">
        <f t="shared" si="236"/>
        <v/>
      </c>
      <c r="CN430" s="39" t="str">
        <f t="shared" si="237"/>
        <v/>
      </c>
      <c r="CO430" s="458" t="str">
        <f t="shared" si="238"/>
        <v/>
      </c>
      <c r="CP430" s="458" t="str">
        <f t="shared" si="239"/>
        <v/>
      </c>
      <c r="CQ430" s="458" t="str">
        <f t="shared" si="240"/>
        <v/>
      </c>
      <c r="CR430" s="458" t="str">
        <f t="shared" si="241"/>
        <v/>
      </c>
      <c r="CS430" s="40" t="str">
        <f t="shared" si="242"/>
        <v/>
      </c>
      <c r="CT430" s="40" t="str">
        <f t="shared" si="243"/>
        <v/>
      </c>
      <c r="CU430" s="41" t="str">
        <f t="shared" si="244"/>
        <v/>
      </c>
    </row>
    <row r="431" spans="1:99" x14ac:dyDescent="0.2">
      <c r="A431" s="77">
        <f t="shared" si="245"/>
        <v>426</v>
      </c>
      <c r="B431" s="81"/>
      <c r="C431" s="82"/>
      <c r="D431" s="71"/>
      <c r="E431" s="72"/>
      <c r="F431" s="73"/>
      <c r="G431" s="443"/>
      <c r="H431" s="443"/>
      <c r="I431" s="74"/>
      <c r="J431" s="75"/>
      <c r="K431" s="41">
        <f t="shared" si="249"/>
        <v>3625</v>
      </c>
      <c r="L431" s="104"/>
      <c r="M431" s="105"/>
      <c r="N431" s="106">
        <f t="shared" si="250"/>
        <v>537.05999999999995</v>
      </c>
      <c r="O431" s="104"/>
      <c r="P431" s="105"/>
      <c r="Q431" s="106">
        <f t="shared" si="247"/>
        <v>10045.83</v>
      </c>
      <c r="R431" s="104"/>
      <c r="S431" s="105"/>
      <c r="T431" s="106">
        <f t="shared" si="248"/>
        <v>0</v>
      </c>
      <c r="U431" s="439"/>
      <c r="V431" s="42">
        <f t="shared" si="216"/>
        <v>426</v>
      </c>
      <c r="W431" s="39" t="str">
        <f>IF(AND(E431='Povolené hodnoty'!$B$4,F431=2),I431+L431+O431+R431,"")</f>
        <v/>
      </c>
      <c r="X431" s="41" t="str">
        <f>IF(AND(E431='Povolené hodnoty'!$B$4,F431=1),I431+L431+O431+R431,"")</f>
        <v/>
      </c>
      <c r="Y431" s="39" t="str">
        <f>IF(AND(E431='Povolené hodnoty'!$B$4,F431=10),J431+M431+P431+S431,"")</f>
        <v/>
      </c>
      <c r="Z431" s="41" t="str">
        <f>IF(AND(E431='Povolené hodnoty'!$B$4,F431=9),J431+M431+P431+S431,"")</f>
        <v/>
      </c>
      <c r="AA431" s="39" t="str">
        <f>IF(AND(E431&lt;&gt;'Povolené hodnoty'!$B$4,F431=2),I431+L431+O431+R431,"")</f>
        <v/>
      </c>
      <c r="AB431" s="40" t="str">
        <f>IF(AND(E431&lt;&gt;'Povolené hodnoty'!$B$4,F431=3),I431+L431+O431+R431,"")</f>
        <v/>
      </c>
      <c r="AC431" s="40" t="str">
        <f>IF(AND(E431&lt;&gt;'Povolené hodnoty'!$B$4,F431=4),I431+L431+O431+R431,"")</f>
        <v/>
      </c>
      <c r="AD431" s="40" t="str">
        <f>IF(AND(E431&lt;&gt;'Povolené hodnoty'!$B$4,F431="5a"),I431-J431+L431-M431+O431-P431+R431-S431,"")</f>
        <v/>
      </c>
      <c r="AE431" s="40" t="str">
        <f>IF(AND(E431&lt;&gt;'Povolené hodnoty'!$B$4,F431="5b"),I431-J431+L431-M431+O431-P431+R431-S431,"")</f>
        <v/>
      </c>
      <c r="AF431" s="40" t="str">
        <f>IF(AND(E431&lt;&gt;'Povolené hodnoty'!$B$4,F431=6),I431+L431+O431+R431,"")</f>
        <v/>
      </c>
      <c r="AG431" s="41" t="str">
        <f>IF(AND(E431&lt;&gt;'Povolené hodnoty'!$B$4,F431=7),I431+L431+O431+R431,"")</f>
        <v/>
      </c>
      <c r="AH431" s="39" t="str">
        <f>IF(AND(E431&lt;&gt;'Povolené hodnoty'!$B$4,F431=10),J431+M431+P431+S431,"")</f>
        <v/>
      </c>
      <c r="AI431" s="40" t="str">
        <f>IF(AND(E431&lt;&gt;'Povolené hodnoty'!$B$4,F431=11),J431+M431+P431+S431,"")</f>
        <v/>
      </c>
      <c r="AJ431" s="40" t="str">
        <f>IF(AND(E431&lt;&gt;'Povolené hodnoty'!$B$4,F431=12),J431+M431+P431+S431,"")</f>
        <v/>
      </c>
      <c r="AK431" s="41" t="str">
        <f>IF(AND(E431&lt;&gt;'Povolené hodnoty'!$B$4,F431=13),J431+M431+P431+S431,"")</f>
        <v/>
      </c>
      <c r="AL431" s="39" t="str">
        <f>IF(AND($G431='Povolené hodnoty'!$B$13,$H431=AL$4),SUM($I431,$L431,$O431,$R431),"")</f>
        <v/>
      </c>
      <c r="AM431" s="458" t="str">
        <f>IF(AND($G431='Povolené hodnoty'!$B$13,$H431=AM$4),SUM($I431,$L431,$O431,$R431),"")</f>
        <v/>
      </c>
      <c r="AN431" s="458" t="str">
        <f>IF(AND($G431='Povolené hodnoty'!$B$13,$H431=AN$4),SUM($I431,$L431,$O431,$R431),"")</f>
        <v/>
      </c>
      <c r="AO431" s="458" t="str">
        <f>IF(AND($G431='Povolené hodnoty'!$B$13,$H431=AO$4),SUM($I431,$L431,$O431,$R431),"")</f>
        <v/>
      </c>
      <c r="AP431" s="458" t="str">
        <f>IF(AND($G431='Povolené hodnoty'!$B$13,$H431=AP$4),SUM($I431,$L431,$O431,$R431),"")</f>
        <v/>
      </c>
      <c r="AQ431" s="40" t="str">
        <f>IF(AND($G431='Povolené hodnoty'!$B$13,OR($H431=AQ$4,$H431='Povolené hodnoty'!$E$36)),SUM($I431,-$J431,$L431,-$M431,$O431,-$P431,$R431,-$S431),"")</f>
        <v/>
      </c>
      <c r="AR431" s="40" t="str">
        <f>IF(AND($G431='Povolené hodnoty'!$B$13,$H431=AR$4),SUM($I431,$L431,$O431,$R431),"")</f>
        <v/>
      </c>
      <c r="AS431" s="41" t="str">
        <f>IF(AND($G431='Povolené hodnoty'!$B$13,$H431=AS$4),SUM($I431,$L431,$O431,$R431),"")</f>
        <v/>
      </c>
      <c r="AT431" s="39" t="str">
        <f>IF(AND($G431='Povolené hodnoty'!$B$14,$H431=AT$4),SUM($I431,$L431,$O431,$R431),"")</f>
        <v/>
      </c>
      <c r="AU431" s="458" t="str">
        <f>IF(AND($G431='Povolené hodnoty'!$B$14,$H431=AU$4),SUM($I431,$L431,$O431,$R431),"")</f>
        <v/>
      </c>
      <c r="AV431" s="41" t="str">
        <f>IF(AND($G431='Povolené hodnoty'!$B$14,$H431=AV$4),SUM($I431,$L431,$O431,$R431),"")</f>
        <v/>
      </c>
      <c r="AW431" s="39" t="str">
        <f>IF(AND($G431='Povolené hodnoty'!$B$13,$H431=AW$4),SUM($J431,$M431,$P431,$S431),"")</f>
        <v/>
      </c>
      <c r="AX431" s="458" t="str">
        <f>IF(AND($G431='Povolené hodnoty'!$B$13,$H431=AX$4),SUM($J431,$M431,$P431,$S431),"")</f>
        <v/>
      </c>
      <c r="AY431" s="458" t="str">
        <f>IF(AND($G431='Povolené hodnoty'!$B$13,$H431=AY$4),SUM($J431,$M431,$P431,$S431),"")</f>
        <v/>
      </c>
      <c r="AZ431" s="458" t="str">
        <f>IF(AND($G431='Povolené hodnoty'!$B$13,$H431=AZ$4),SUM($J431,$M431,$P431,$S431),"")</f>
        <v/>
      </c>
      <c r="BA431" s="458" t="str">
        <f>IF(AND($G431='Povolené hodnoty'!$B$13,$H431=BA$4),SUM($J431,$M431,$P431,$S431),"")</f>
        <v/>
      </c>
      <c r="BB431" s="40" t="str">
        <f>IF(AND($G431='Povolené hodnoty'!$B$13,$H431=BB$4),SUM($J431,$M431,$P431,$S431),"")</f>
        <v/>
      </c>
      <c r="BC431" s="40" t="str">
        <f>IF(AND($G431='Povolené hodnoty'!$B$13,$H431=BC$4),SUM($J431,$M431,$P431,$S431),"")</f>
        <v/>
      </c>
      <c r="BD431" s="40" t="str">
        <f>IF(AND($G431='Povolené hodnoty'!$B$13,$H431=BD$4),SUM($J431,$M431,$P431,$S431),"")</f>
        <v/>
      </c>
      <c r="BE431" s="41" t="str">
        <f>IF(AND($G431='Povolené hodnoty'!$B$13,$H431=BE$4),SUM($J431,$M431,$P431,$S431),"")</f>
        <v/>
      </c>
      <c r="BF431" s="39" t="str">
        <f>IF(AND($G431='Povolené hodnoty'!$B$14,$H431=BF$4),SUM($J431,$M431,$P431,$S431),"")</f>
        <v/>
      </c>
      <c r="BG431" s="458" t="str">
        <f>IF(AND($G431='Povolené hodnoty'!$B$14,$H431=BG$4),SUM($J431,$M431,$P431,$S431),"")</f>
        <v/>
      </c>
      <c r="BH431" s="458" t="str">
        <f>IF(AND($G431='Povolené hodnoty'!$B$14,$H431=BH$4),SUM($J431,$M431,$P431,$S431),"")</f>
        <v/>
      </c>
      <c r="BI431" s="458" t="str">
        <f>IF(AND($G431='Povolené hodnoty'!$B$14,$H431=BI$4),SUM($J431,$M431,$P431,$S431),"")</f>
        <v/>
      </c>
      <c r="BJ431" s="458" t="str">
        <f>IF(AND($G431='Povolené hodnoty'!$B$14,$H431=BJ$4),SUM($J431,$M431,$P431,$S431),"")</f>
        <v/>
      </c>
      <c r="BK431" s="40" t="str">
        <f>IF(AND($G431='Povolené hodnoty'!$B$14,$H431=BK$4),SUM($J431,$M431,$P431,$S431),"")</f>
        <v/>
      </c>
      <c r="BL431" s="40" t="str">
        <f>IF(AND($G431='Povolené hodnoty'!$B$14,$H431=BL$4),SUM($J431,$M431,$P431,$S431),"")</f>
        <v/>
      </c>
      <c r="BM431" s="41" t="str">
        <f>IF(AND($G431='Povolené hodnoty'!$B$14,$H431=BM$4),SUM($J431,$M431,$P431,$S431),"")</f>
        <v/>
      </c>
      <c r="BO431" s="18" t="b">
        <f t="shared" si="246"/>
        <v>0</v>
      </c>
      <c r="BP431" s="18" t="b">
        <f t="shared" si="217"/>
        <v>0</v>
      </c>
      <c r="BQ431" s="18" t="b">
        <f>AND(E431&lt;&gt;'Povolené hodnoty'!$B$6,F431&lt;&gt;'Povolené hodnoty'!$D$7,F431&lt;&gt;'Povolené hodnoty'!$D$8,OR(SUM(I431,L431,O431,R431)&lt;&gt;SUM(W431:X431,AA431:AG431),SUM(J431,M431,P431,S431)&lt;&gt;SUM(Y431:Z431,AH431:AK431),COUNT(I431:J431,L431:M431,O431:P431,R431:S431)&lt;&gt;COUNT(W431:AK431)))</f>
        <v>0</v>
      </c>
      <c r="BR431" s="18" t="b">
        <f>OR(AND(E431='Povolené hodnoty'!$B$6,$BR$5),AND(E431='Povolené hodnoty'!$B$6,H431&lt;&gt;'Povolené hodnoty'!$E$26,H431&lt;&gt;'Povolené hodnoty'!$E$35),AND(E431&lt;&gt;'Povolené hodnoty'!$B$6,OR(H431='Povolené hodnoty'!$E$26,H431='Povolené hodnoty'!$E$35)))</f>
        <v>0</v>
      </c>
      <c r="BS431" s="18" t="b">
        <f>OR(AND(G431&lt;&gt;'Povolené hodnoty'!$B$13,OR(H431='Povolené hodnoty'!$E$21,H431='Povolené hodnoty'!$E$22,H431='Povolené hodnoty'!$E$23,H431='Povolené hodnoty'!$E$24,H431='Povolené hodnoty'!$E$26,H431='Povolené hodnoty'!$E$36)),COUNT(I431:J431,L431:M431,O431:P431,R431:S431)&lt;&gt;COUNT(AL431:BM431))</f>
        <v>0</v>
      </c>
      <c r="BT431" s="18" t="b">
        <f t="shared" si="218"/>
        <v>0</v>
      </c>
      <c r="BV431" s="39" t="str">
        <f t="shared" si="219"/>
        <v/>
      </c>
      <c r="BW431" s="458" t="str">
        <f t="shared" si="220"/>
        <v/>
      </c>
      <c r="BX431" s="458" t="str">
        <f t="shared" si="221"/>
        <v/>
      </c>
      <c r="BY431" s="458" t="str">
        <f t="shared" si="222"/>
        <v/>
      </c>
      <c r="BZ431" s="458" t="str">
        <f t="shared" si="223"/>
        <v/>
      </c>
      <c r="CA431" s="40" t="str">
        <f t="shared" si="224"/>
        <v/>
      </c>
      <c r="CB431" s="40" t="str">
        <f t="shared" si="225"/>
        <v/>
      </c>
      <c r="CC431" s="39" t="str">
        <f t="shared" si="226"/>
        <v/>
      </c>
      <c r="CD431" s="458" t="str">
        <f t="shared" si="227"/>
        <v/>
      </c>
      <c r="CE431" s="41" t="str">
        <f t="shared" si="228"/>
        <v/>
      </c>
      <c r="CF431" s="39" t="str">
        <f t="shared" si="229"/>
        <v/>
      </c>
      <c r="CG431" s="458" t="str">
        <f t="shared" si="230"/>
        <v/>
      </c>
      <c r="CH431" s="458" t="str">
        <f t="shared" si="231"/>
        <v/>
      </c>
      <c r="CI431" s="458" t="str">
        <f t="shared" si="232"/>
        <v/>
      </c>
      <c r="CJ431" s="458" t="str">
        <f t="shared" si="233"/>
        <v/>
      </c>
      <c r="CK431" s="40" t="str">
        <f t="shared" si="234"/>
        <v/>
      </c>
      <c r="CL431" s="40" t="str">
        <f t="shared" si="235"/>
        <v/>
      </c>
      <c r="CM431" s="40" t="str">
        <f t="shared" si="236"/>
        <v/>
      </c>
      <c r="CN431" s="39" t="str">
        <f t="shared" si="237"/>
        <v/>
      </c>
      <c r="CO431" s="458" t="str">
        <f t="shared" si="238"/>
        <v/>
      </c>
      <c r="CP431" s="458" t="str">
        <f t="shared" si="239"/>
        <v/>
      </c>
      <c r="CQ431" s="458" t="str">
        <f t="shared" si="240"/>
        <v/>
      </c>
      <c r="CR431" s="458" t="str">
        <f t="shared" si="241"/>
        <v/>
      </c>
      <c r="CS431" s="40" t="str">
        <f t="shared" si="242"/>
        <v/>
      </c>
      <c r="CT431" s="40" t="str">
        <f t="shared" si="243"/>
        <v/>
      </c>
      <c r="CU431" s="41" t="str">
        <f t="shared" si="244"/>
        <v/>
      </c>
    </row>
    <row r="432" spans="1:99" x14ac:dyDescent="0.2">
      <c r="A432" s="77">
        <f t="shared" si="245"/>
        <v>427</v>
      </c>
      <c r="B432" s="81"/>
      <c r="C432" s="82"/>
      <c r="D432" s="71"/>
      <c r="E432" s="72"/>
      <c r="F432" s="73"/>
      <c r="G432" s="443"/>
      <c r="H432" s="443"/>
      <c r="I432" s="74"/>
      <c r="J432" s="75"/>
      <c r="K432" s="41">
        <f t="shared" si="249"/>
        <v>3625</v>
      </c>
      <c r="L432" s="104"/>
      <c r="M432" s="105"/>
      <c r="N432" s="106">
        <f t="shared" si="250"/>
        <v>537.05999999999995</v>
      </c>
      <c r="O432" s="104"/>
      <c r="P432" s="105"/>
      <c r="Q432" s="106">
        <f t="shared" si="247"/>
        <v>10045.83</v>
      </c>
      <c r="R432" s="104"/>
      <c r="S432" s="105"/>
      <c r="T432" s="106">
        <f t="shared" si="248"/>
        <v>0</v>
      </c>
      <c r="U432" s="439"/>
      <c r="V432" s="42">
        <f t="shared" si="216"/>
        <v>427</v>
      </c>
      <c r="W432" s="39" t="str">
        <f>IF(AND(E432='Povolené hodnoty'!$B$4,F432=2),I432+L432+O432+R432,"")</f>
        <v/>
      </c>
      <c r="X432" s="41" t="str">
        <f>IF(AND(E432='Povolené hodnoty'!$B$4,F432=1),I432+L432+O432+R432,"")</f>
        <v/>
      </c>
      <c r="Y432" s="39" t="str">
        <f>IF(AND(E432='Povolené hodnoty'!$B$4,F432=10),J432+M432+P432+S432,"")</f>
        <v/>
      </c>
      <c r="Z432" s="41" t="str">
        <f>IF(AND(E432='Povolené hodnoty'!$B$4,F432=9),J432+M432+P432+S432,"")</f>
        <v/>
      </c>
      <c r="AA432" s="39" t="str">
        <f>IF(AND(E432&lt;&gt;'Povolené hodnoty'!$B$4,F432=2),I432+L432+O432+R432,"")</f>
        <v/>
      </c>
      <c r="AB432" s="40" t="str">
        <f>IF(AND(E432&lt;&gt;'Povolené hodnoty'!$B$4,F432=3),I432+L432+O432+R432,"")</f>
        <v/>
      </c>
      <c r="AC432" s="40" t="str">
        <f>IF(AND(E432&lt;&gt;'Povolené hodnoty'!$B$4,F432=4),I432+L432+O432+R432,"")</f>
        <v/>
      </c>
      <c r="AD432" s="40" t="str">
        <f>IF(AND(E432&lt;&gt;'Povolené hodnoty'!$B$4,F432="5a"),I432-J432+L432-M432+O432-P432+R432-S432,"")</f>
        <v/>
      </c>
      <c r="AE432" s="40" t="str">
        <f>IF(AND(E432&lt;&gt;'Povolené hodnoty'!$B$4,F432="5b"),I432-J432+L432-M432+O432-P432+R432-S432,"")</f>
        <v/>
      </c>
      <c r="AF432" s="40" t="str">
        <f>IF(AND(E432&lt;&gt;'Povolené hodnoty'!$B$4,F432=6),I432+L432+O432+R432,"")</f>
        <v/>
      </c>
      <c r="AG432" s="41" t="str">
        <f>IF(AND(E432&lt;&gt;'Povolené hodnoty'!$B$4,F432=7),I432+L432+O432+R432,"")</f>
        <v/>
      </c>
      <c r="AH432" s="39" t="str">
        <f>IF(AND(E432&lt;&gt;'Povolené hodnoty'!$B$4,F432=10),J432+M432+P432+S432,"")</f>
        <v/>
      </c>
      <c r="AI432" s="40" t="str">
        <f>IF(AND(E432&lt;&gt;'Povolené hodnoty'!$B$4,F432=11),J432+M432+P432+S432,"")</f>
        <v/>
      </c>
      <c r="AJ432" s="40" t="str">
        <f>IF(AND(E432&lt;&gt;'Povolené hodnoty'!$B$4,F432=12),J432+M432+P432+S432,"")</f>
        <v/>
      </c>
      <c r="AK432" s="41" t="str">
        <f>IF(AND(E432&lt;&gt;'Povolené hodnoty'!$B$4,F432=13),J432+M432+P432+S432,"")</f>
        <v/>
      </c>
      <c r="AL432" s="39" t="str">
        <f>IF(AND($G432='Povolené hodnoty'!$B$13,$H432=AL$4),SUM($I432,$L432,$O432,$R432),"")</f>
        <v/>
      </c>
      <c r="AM432" s="458" t="str">
        <f>IF(AND($G432='Povolené hodnoty'!$B$13,$H432=AM$4),SUM($I432,$L432,$O432,$R432),"")</f>
        <v/>
      </c>
      <c r="AN432" s="458" t="str">
        <f>IF(AND($G432='Povolené hodnoty'!$B$13,$H432=AN$4),SUM($I432,$L432,$O432,$R432),"")</f>
        <v/>
      </c>
      <c r="AO432" s="458" t="str">
        <f>IF(AND($G432='Povolené hodnoty'!$B$13,$H432=AO$4),SUM($I432,$L432,$O432,$R432),"")</f>
        <v/>
      </c>
      <c r="AP432" s="458" t="str">
        <f>IF(AND($G432='Povolené hodnoty'!$B$13,$H432=AP$4),SUM($I432,$L432,$O432,$R432),"")</f>
        <v/>
      </c>
      <c r="AQ432" s="40" t="str">
        <f>IF(AND($G432='Povolené hodnoty'!$B$13,OR($H432=AQ$4,$H432='Povolené hodnoty'!$E$36)),SUM($I432,-$J432,$L432,-$M432,$O432,-$P432,$R432,-$S432),"")</f>
        <v/>
      </c>
      <c r="AR432" s="40" t="str">
        <f>IF(AND($G432='Povolené hodnoty'!$B$13,$H432=AR$4),SUM($I432,$L432,$O432,$R432),"")</f>
        <v/>
      </c>
      <c r="AS432" s="41" t="str">
        <f>IF(AND($G432='Povolené hodnoty'!$B$13,$H432=AS$4),SUM($I432,$L432,$O432,$R432),"")</f>
        <v/>
      </c>
      <c r="AT432" s="39" t="str">
        <f>IF(AND($G432='Povolené hodnoty'!$B$14,$H432=AT$4),SUM($I432,$L432,$O432,$R432),"")</f>
        <v/>
      </c>
      <c r="AU432" s="458" t="str">
        <f>IF(AND($G432='Povolené hodnoty'!$B$14,$H432=AU$4),SUM($I432,$L432,$O432,$R432),"")</f>
        <v/>
      </c>
      <c r="AV432" s="41" t="str">
        <f>IF(AND($G432='Povolené hodnoty'!$B$14,$H432=AV$4),SUM($I432,$L432,$O432,$R432),"")</f>
        <v/>
      </c>
      <c r="AW432" s="39" t="str">
        <f>IF(AND($G432='Povolené hodnoty'!$B$13,$H432=AW$4),SUM($J432,$M432,$P432,$S432),"")</f>
        <v/>
      </c>
      <c r="AX432" s="458" t="str">
        <f>IF(AND($G432='Povolené hodnoty'!$B$13,$H432=AX$4),SUM($J432,$M432,$P432,$S432),"")</f>
        <v/>
      </c>
      <c r="AY432" s="458" t="str">
        <f>IF(AND($G432='Povolené hodnoty'!$B$13,$H432=AY$4),SUM($J432,$M432,$P432,$S432),"")</f>
        <v/>
      </c>
      <c r="AZ432" s="458" t="str">
        <f>IF(AND($G432='Povolené hodnoty'!$B$13,$H432=AZ$4),SUM($J432,$M432,$P432,$S432),"")</f>
        <v/>
      </c>
      <c r="BA432" s="458" t="str">
        <f>IF(AND($G432='Povolené hodnoty'!$B$13,$H432=BA$4),SUM($J432,$M432,$P432,$S432),"")</f>
        <v/>
      </c>
      <c r="BB432" s="40" t="str">
        <f>IF(AND($G432='Povolené hodnoty'!$B$13,$H432=BB$4),SUM($J432,$M432,$P432,$S432),"")</f>
        <v/>
      </c>
      <c r="BC432" s="40" t="str">
        <f>IF(AND($G432='Povolené hodnoty'!$B$13,$H432=BC$4),SUM($J432,$M432,$P432,$S432),"")</f>
        <v/>
      </c>
      <c r="BD432" s="40" t="str">
        <f>IF(AND($G432='Povolené hodnoty'!$B$13,$H432=BD$4),SUM($J432,$M432,$P432,$S432),"")</f>
        <v/>
      </c>
      <c r="BE432" s="41" t="str">
        <f>IF(AND($G432='Povolené hodnoty'!$B$13,$H432=BE$4),SUM($J432,$M432,$P432,$S432),"")</f>
        <v/>
      </c>
      <c r="BF432" s="39" t="str">
        <f>IF(AND($G432='Povolené hodnoty'!$B$14,$H432=BF$4),SUM($J432,$M432,$P432,$S432),"")</f>
        <v/>
      </c>
      <c r="BG432" s="458" t="str">
        <f>IF(AND($G432='Povolené hodnoty'!$B$14,$H432=BG$4),SUM($J432,$M432,$P432,$S432),"")</f>
        <v/>
      </c>
      <c r="BH432" s="458" t="str">
        <f>IF(AND($G432='Povolené hodnoty'!$B$14,$H432=BH$4),SUM($J432,$M432,$P432,$S432),"")</f>
        <v/>
      </c>
      <c r="BI432" s="458" t="str">
        <f>IF(AND($G432='Povolené hodnoty'!$B$14,$H432=BI$4),SUM($J432,$M432,$P432,$S432),"")</f>
        <v/>
      </c>
      <c r="BJ432" s="458" t="str">
        <f>IF(AND($G432='Povolené hodnoty'!$B$14,$H432=BJ$4),SUM($J432,$M432,$P432,$S432),"")</f>
        <v/>
      </c>
      <c r="BK432" s="40" t="str">
        <f>IF(AND($G432='Povolené hodnoty'!$B$14,$H432=BK$4),SUM($J432,$M432,$P432,$S432),"")</f>
        <v/>
      </c>
      <c r="BL432" s="40" t="str">
        <f>IF(AND($G432='Povolené hodnoty'!$B$14,$H432=BL$4),SUM($J432,$M432,$P432,$S432),"")</f>
        <v/>
      </c>
      <c r="BM432" s="41" t="str">
        <f>IF(AND($G432='Povolené hodnoty'!$B$14,$H432=BM$4),SUM($J432,$M432,$P432,$S432),"")</f>
        <v/>
      </c>
      <c r="BO432" s="18" t="b">
        <f t="shared" si="246"/>
        <v>0</v>
      </c>
      <c r="BP432" s="18" t="b">
        <f t="shared" si="217"/>
        <v>0</v>
      </c>
      <c r="BQ432" s="18" t="b">
        <f>AND(E432&lt;&gt;'Povolené hodnoty'!$B$6,F432&lt;&gt;'Povolené hodnoty'!$D$7,F432&lt;&gt;'Povolené hodnoty'!$D$8,OR(SUM(I432,L432,O432,R432)&lt;&gt;SUM(W432:X432,AA432:AG432),SUM(J432,M432,P432,S432)&lt;&gt;SUM(Y432:Z432,AH432:AK432),COUNT(I432:J432,L432:M432,O432:P432,R432:S432)&lt;&gt;COUNT(W432:AK432)))</f>
        <v>0</v>
      </c>
      <c r="BR432" s="18" t="b">
        <f>OR(AND(E432='Povolené hodnoty'!$B$6,$BR$5),AND(E432='Povolené hodnoty'!$B$6,H432&lt;&gt;'Povolené hodnoty'!$E$26,H432&lt;&gt;'Povolené hodnoty'!$E$35),AND(E432&lt;&gt;'Povolené hodnoty'!$B$6,OR(H432='Povolené hodnoty'!$E$26,H432='Povolené hodnoty'!$E$35)))</f>
        <v>0</v>
      </c>
      <c r="BS432" s="18" t="b">
        <f>OR(AND(G432&lt;&gt;'Povolené hodnoty'!$B$13,OR(H432='Povolené hodnoty'!$E$21,H432='Povolené hodnoty'!$E$22,H432='Povolené hodnoty'!$E$23,H432='Povolené hodnoty'!$E$24,H432='Povolené hodnoty'!$E$26,H432='Povolené hodnoty'!$E$36)),COUNT(I432:J432,L432:M432,O432:P432,R432:S432)&lt;&gt;COUNT(AL432:BM432))</f>
        <v>0</v>
      </c>
      <c r="BT432" s="18" t="b">
        <f t="shared" si="218"/>
        <v>0</v>
      </c>
      <c r="BV432" s="39" t="str">
        <f t="shared" si="219"/>
        <v/>
      </c>
      <c r="BW432" s="458" t="str">
        <f t="shared" si="220"/>
        <v/>
      </c>
      <c r="BX432" s="458" t="str">
        <f t="shared" si="221"/>
        <v/>
      </c>
      <c r="BY432" s="458" t="str">
        <f t="shared" si="222"/>
        <v/>
      </c>
      <c r="BZ432" s="458" t="str">
        <f t="shared" si="223"/>
        <v/>
      </c>
      <c r="CA432" s="40" t="str">
        <f t="shared" si="224"/>
        <v/>
      </c>
      <c r="CB432" s="40" t="str">
        <f t="shared" si="225"/>
        <v/>
      </c>
      <c r="CC432" s="39" t="str">
        <f t="shared" si="226"/>
        <v/>
      </c>
      <c r="CD432" s="458" t="str">
        <f t="shared" si="227"/>
        <v/>
      </c>
      <c r="CE432" s="41" t="str">
        <f t="shared" si="228"/>
        <v/>
      </c>
      <c r="CF432" s="39" t="str">
        <f t="shared" si="229"/>
        <v/>
      </c>
      <c r="CG432" s="458" t="str">
        <f t="shared" si="230"/>
        <v/>
      </c>
      <c r="CH432" s="458" t="str">
        <f t="shared" si="231"/>
        <v/>
      </c>
      <c r="CI432" s="458" t="str">
        <f t="shared" si="232"/>
        <v/>
      </c>
      <c r="CJ432" s="458" t="str">
        <f t="shared" si="233"/>
        <v/>
      </c>
      <c r="CK432" s="40" t="str">
        <f t="shared" si="234"/>
        <v/>
      </c>
      <c r="CL432" s="40" t="str">
        <f t="shared" si="235"/>
        <v/>
      </c>
      <c r="CM432" s="40" t="str">
        <f t="shared" si="236"/>
        <v/>
      </c>
      <c r="CN432" s="39" t="str">
        <f t="shared" si="237"/>
        <v/>
      </c>
      <c r="CO432" s="458" t="str">
        <f t="shared" si="238"/>
        <v/>
      </c>
      <c r="CP432" s="458" t="str">
        <f t="shared" si="239"/>
        <v/>
      </c>
      <c r="CQ432" s="458" t="str">
        <f t="shared" si="240"/>
        <v/>
      </c>
      <c r="CR432" s="458" t="str">
        <f t="shared" si="241"/>
        <v/>
      </c>
      <c r="CS432" s="40" t="str">
        <f t="shared" si="242"/>
        <v/>
      </c>
      <c r="CT432" s="40" t="str">
        <f t="shared" si="243"/>
        <v/>
      </c>
      <c r="CU432" s="41" t="str">
        <f t="shared" si="244"/>
        <v/>
      </c>
    </row>
    <row r="433" spans="1:99" x14ac:dyDescent="0.2">
      <c r="A433" s="77">
        <f t="shared" si="245"/>
        <v>428</v>
      </c>
      <c r="B433" s="81"/>
      <c r="C433" s="82"/>
      <c r="D433" s="71"/>
      <c r="E433" s="72"/>
      <c r="F433" s="73"/>
      <c r="G433" s="443"/>
      <c r="H433" s="443"/>
      <c r="I433" s="74"/>
      <c r="J433" s="75"/>
      <c r="K433" s="41">
        <f t="shared" si="249"/>
        <v>3625</v>
      </c>
      <c r="L433" s="104"/>
      <c r="M433" s="105"/>
      <c r="N433" s="106">
        <f t="shared" si="250"/>
        <v>537.05999999999995</v>
      </c>
      <c r="O433" s="104"/>
      <c r="P433" s="105"/>
      <c r="Q433" s="106">
        <f t="shared" si="247"/>
        <v>10045.83</v>
      </c>
      <c r="R433" s="104"/>
      <c r="S433" s="105"/>
      <c r="T433" s="106">
        <f t="shared" si="248"/>
        <v>0</v>
      </c>
      <c r="U433" s="439"/>
      <c r="V433" s="42">
        <f t="shared" si="216"/>
        <v>428</v>
      </c>
      <c r="W433" s="39" t="str">
        <f>IF(AND(E433='Povolené hodnoty'!$B$4,F433=2),I433+L433+O433+R433,"")</f>
        <v/>
      </c>
      <c r="X433" s="41" t="str">
        <f>IF(AND(E433='Povolené hodnoty'!$B$4,F433=1),I433+L433+O433+R433,"")</f>
        <v/>
      </c>
      <c r="Y433" s="39" t="str">
        <f>IF(AND(E433='Povolené hodnoty'!$B$4,F433=10),J433+M433+P433+S433,"")</f>
        <v/>
      </c>
      <c r="Z433" s="41" t="str">
        <f>IF(AND(E433='Povolené hodnoty'!$B$4,F433=9),J433+M433+P433+S433,"")</f>
        <v/>
      </c>
      <c r="AA433" s="39" t="str">
        <f>IF(AND(E433&lt;&gt;'Povolené hodnoty'!$B$4,F433=2),I433+L433+O433+R433,"")</f>
        <v/>
      </c>
      <c r="AB433" s="40" t="str">
        <f>IF(AND(E433&lt;&gt;'Povolené hodnoty'!$B$4,F433=3),I433+L433+O433+R433,"")</f>
        <v/>
      </c>
      <c r="AC433" s="40" t="str">
        <f>IF(AND(E433&lt;&gt;'Povolené hodnoty'!$B$4,F433=4),I433+L433+O433+R433,"")</f>
        <v/>
      </c>
      <c r="AD433" s="40" t="str">
        <f>IF(AND(E433&lt;&gt;'Povolené hodnoty'!$B$4,F433="5a"),I433-J433+L433-M433+O433-P433+R433-S433,"")</f>
        <v/>
      </c>
      <c r="AE433" s="40" t="str">
        <f>IF(AND(E433&lt;&gt;'Povolené hodnoty'!$B$4,F433="5b"),I433-J433+L433-M433+O433-P433+R433-S433,"")</f>
        <v/>
      </c>
      <c r="AF433" s="40" t="str">
        <f>IF(AND(E433&lt;&gt;'Povolené hodnoty'!$B$4,F433=6),I433+L433+O433+R433,"")</f>
        <v/>
      </c>
      <c r="AG433" s="41" t="str">
        <f>IF(AND(E433&lt;&gt;'Povolené hodnoty'!$B$4,F433=7),I433+L433+O433+R433,"")</f>
        <v/>
      </c>
      <c r="AH433" s="39" t="str">
        <f>IF(AND(E433&lt;&gt;'Povolené hodnoty'!$B$4,F433=10),J433+M433+P433+S433,"")</f>
        <v/>
      </c>
      <c r="AI433" s="40" t="str">
        <f>IF(AND(E433&lt;&gt;'Povolené hodnoty'!$B$4,F433=11),J433+M433+P433+S433,"")</f>
        <v/>
      </c>
      <c r="AJ433" s="40" t="str">
        <f>IF(AND(E433&lt;&gt;'Povolené hodnoty'!$B$4,F433=12),J433+M433+P433+S433,"")</f>
        <v/>
      </c>
      <c r="AK433" s="41" t="str">
        <f>IF(AND(E433&lt;&gt;'Povolené hodnoty'!$B$4,F433=13),J433+M433+P433+S433,"")</f>
        <v/>
      </c>
      <c r="AL433" s="39" t="str">
        <f>IF(AND($G433='Povolené hodnoty'!$B$13,$H433=AL$4),SUM($I433,$L433,$O433,$R433),"")</f>
        <v/>
      </c>
      <c r="AM433" s="458" t="str">
        <f>IF(AND($G433='Povolené hodnoty'!$B$13,$H433=AM$4),SUM($I433,$L433,$O433,$R433),"")</f>
        <v/>
      </c>
      <c r="AN433" s="458" t="str">
        <f>IF(AND($G433='Povolené hodnoty'!$B$13,$H433=AN$4),SUM($I433,$L433,$O433,$R433),"")</f>
        <v/>
      </c>
      <c r="AO433" s="458" t="str">
        <f>IF(AND($G433='Povolené hodnoty'!$B$13,$H433=AO$4),SUM($I433,$L433,$O433,$R433),"")</f>
        <v/>
      </c>
      <c r="AP433" s="458" t="str">
        <f>IF(AND($G433='Povolené hodnoty'!$B$13,$H433=AP$4),SUM($I433,$L433,$O433,$R433),"")</f>
        <v/>
      </c>
      <c r="AQ433" s="40" t="str">
        <f>IF(AND($G433='Povolené hodnoty'!$B$13,OR($H433=AQ$4,$H433='Povolené hodnoty'!$E$36)),SUM($I433,-$J433,$L433,-$M433,$O433,-$P433,$R433,-$S433),"")</f>
        <v/>
      </c>
      <c r="AR433" s="40" t="str">
        <f>IF(AND($G433='Povolené hodnoty'!$B$13,$H433=AR$4),SUM($I433,$L433,$O433,$R433),"")</f>
        <v/>
      </c>
      <c r="AS433" s="41" t="str">
        <f>IF(AND($G433='Povolené hodnoty'!$B$13,$H433=AS$4),SUM($I433,$L433,$O433,$R433),"")</f>
        <v/>
      </c>
      <c r="AT433" s="39" t="str">
        <f>IF(AND($G433='Povolené hodnoty'!$B$14,$H433=AT$4),SUM($I433,$L433,$O433,$R433),"")</f>
        <v/>
      </c>
      <c r="AU433" s="458" t="str">
        <f>IF(AND($G433='Povolené hodnoty'!$B$14,$H433=AU$4),SUM($I433,$L433,$O433,$R433),"")</f>
        <v/>
      </c>
      <c r="AV433" s="41" t="str">
        <f>IF(AND($G433='Povolené hodnoty'!$B$14,$H433=AV$4),SUM($I433,$L433,$O433,$R433),"")</f>
        <v/>
      </c>
      <c r="AW433" s="39" t="str">
        <f>IF(AND($G433='Povolené hodnoty'!$B$13,$H433=AW$4),SUM($J433,$M433,$P433,$S433),"")</f>
        <v/>
      </c>
      <c r="AX433" s="458" t="str">
        <f>IF(AND($G433='Povolené hodnoty'!$B$13,$H433=AX$4),SUM($J433,$M433,$P433,$S433),"")</f>
        <v/>
      </c>
      <c r="AY433" s="458" t="str">
        <f>IF(AND($G433='Povolené hodnoty'!$B$13,$H433=AY$4),SUM($J433,$M433,$P433,$S433),"")</f>
        <v/>
      </c>
      <c r="AZ433" s="458" t="str">
        <f>IF(AND($G433='Povolené hodnoty'!$B$13,$H433=AZ$4),SUM($J433,$M433,$P433,$S433),"")</f>
        <v/>
      </c>
      <c r="BA433" s="458" t="str">
        <f>IF(AND($G433='Povolené hodnoty'!$B$13,$H433=BA$4),SUM($J433,$M433,$P433,$S433),"")</f>
        <v/>
      </c>
      <c r="BB433" s="40" t="str">
        <f>IF(AND($G433='Povolené hodnoty'!$B$13,$H433=BB$4),SUM($J433,$M433,$P433,$S433),"")</f>
        <v/>
      </c>
      <c r="BC433" s="40" t="str">
        <f>IF(AND($G433='Povolené hodnoty'!$B$13,$H433=BC$4),SUM($J433,$M433,$P433,$S433),"")</f>
        <v/>
      </c>
      <c r="BD433" s="40" t="str">
        <f>IF(AND($G433='Povolené hodnoty'!$B$13,$H433=BD$4),SUM($J433,$M433,$P433,$S433),"")</f>
        <v/>
      </c>
      <c r="BE433" s="41" t="str">
        <f>IF(AND($G433='Povolené hodnoty'!$B$13,$H433=BE$4),SUM($J433,$M433,$P433,$S433),"")</f>
        <v/>
      </c>
      <c r="BF433" s="39" t="str">
        <f>IF(AND($G433='Povolené hodnoty'!$B$14,$H433=BF$4),SUM($J433,$M433,$P433,$S433),"")</f>
        <v/>
      </c>
      <c r="BG433" s="458" t="str">
        <f>IF(AND($G433='Povolené hodnoty'!$B$14,$H433=BG$4),SUM($J433,$M433,$P433,$S433),"")</f>
        <v/>
      </c>
      <c r="BH433" s="458" t="str">
        <f>IF(AND($G433='Povolené hodnoty'!$B$14,$H433=BH$4),SUM($J433,$M433,$P433,$S433),"")</f>
        <v/>
      </c>
      <c r="BI433" s="458" t="str">
        <f>IF(AND($G433='Povolené hodnoty'!$B$14,$H433=BI$4),SUM($J433,$M433,$P433,$S433),"")</f>
        <v/>
      </c>
      <c r="BJ433" s="458" t="str">
        <f>IF(AND($G433='Povolené hodnoty'!$B$14,$H433=BJ$4),SUM($J433,$M433,$P433,$S433),"")</f>
        <v/>
      </c>
      <c r="BK433" s="40" t="str">
        <f>IF(AND($G433='Povolené hodnoty'!$B$14,$H433=BK$4),SUM($J433,$M433,$P433,$S433),"")</f>
        <v/>
      </c>
      <c r="BL433" s="40" t="str">
        <f>IF(AND($G433='Povolené hodnoty'!$B$14,$H433=BL$4),SUM($J433,$M433,$P433,$S433),"")</f>
        <v/>
      </c>
      <c r="BM433" s="41" t="str">
        <f>IF(AND($G433='Povolené hodnoty'!$B$14,$H433=BM$4),SUM($J433,$M433,$P433,$S433),"")</f>
        <v/>
      </c>
      <c r="BO433" s="18" t="b">
        <f t="shared" si="246"/>
        <v>0</v>
      </c>
      <c r="BP433" s="18" t="b">
        <f t="shared" si="217"/>
        <v>0</v>
      </c>
      <c r="BQ433" s="18" t="b">
        <f>AND(E433&lt;&gt;'Povolené hodnoty'!$B$6,F433&lt;&gt;'Povolené hodnoty'!$D$7,F433&lt;&gt;'Povolené hodnoty'!$D$8,OR(SUM(I433,L433,O433,R433)&lt;&gt;SUM(W433:X433,AA433:AG433),SUM(J433,M433,P433,S433)&lt;&gt;SUM(Y433:Z433,AH433:AK433),COUNT(I433:J433,L433:M433,O433:P433,R433:S433)&lt;&gt;COUNT(W433:AK433)))</f>
        <v>0</v>
      </c>
      <c r="BR433" s="18" t="b">
        <f>OR(AND(E433='Povolené hodnoty'!$B$6,$BR$5),AND(E433='Povolené hodnoty'!$B$6,H433&lt;&gt;'Povolené hodnoty'!$E$26,H433&lt;&gt;'Povolené hodnoty'!$E$35),AND(E433&lt;&gt;'Povolené hodnoty'!$B$6,OR(H433='Povolené hodnoty'!$E$26,H433='Povolené hodnoty'!$E$35)))</f>
        <v>0</v>
      </c>
      <c r="BS433" s="18" t="b">
        <f>OR(AND(G433&lt;&gt;'Povolené hodnoty'!$B$13,OR(H433='Povolené hodnoty'!$E$21,H433='Povolené hodnoty'!$E$22,H433='Povolené hodnoty'!$E$23,H433='Povolené hodnoty'!$E$24,H433='Povolené hodnoty'!$E$26,H433='Povolené hodnoty'!$E$36)),COUNT(I433:J433,L433:M433,O433:P433,R433:S433)&lt;&gt;COUNT(AL433:BM433))</f>
        <v>0</v>
      </c>
      <c r="BT433" s="18" t="b">
        <f t="shared" si="218"/>
        <v>0</v>
      </c>
      <c r="BV433" s="39" t="str">
        <f t="shared" si="219"/>
        <v/>
      </c>
      <c r="BW433" s="458" t="str">
        <f t="shared" si="220"/>
        <v/>
      </c>
      <c r="BX433" s="458" t="str">
        <f t="shared" si="221"/>
        <v/>
      </c>
      <c r="BY433" s="458" t="str">
        <f t="shared" si="222"/>
        <v/>
      </c>
      <c r="BZ433" s="458" t="str">
        <f t="shared" si="223"/>
        <v/>
      </c>
      <c r="CA433" s="40" t="str">
        <f t="shared" si="224"/>
        <v/>
      </c>
      <c r="CB433" s="40" t="str">
        <f t="shared" si="225"/>
        <v/>
      </c>
      <c r="CC433" s="39" t="str">
        <f t="shared" si="226"/>
        <v/>
      </c>
      <c r="CD433" s="458" t="str">
        <f t="shared" si="227"/>
        <v/>
      </c>
      <c r="CE433" s="41" t="str">
        <f t="shared" si="228"/>
        <v/>
      </c>
      <c r="CF433" s="39" t="str">
        <f t="shared" si="229"/>
        <v/>
      </c>
      <c r="CG433" s="458" t="str">
        <f t="shared" si="230"/>
        <v/>
      </c>
      <c r="CH433" s="458" t="str">
        <f t="shared" si="231"/>
        <v/>
      </c>
      <c r="CI433" s="458" t="str">
        <f t="shared" si="232"/>
        <v/>
      </c>
      <c r="CJ433" s="458" t="str">
        <f t="shared" si="233"/>
        <v/>
      </c>
      <c r="CK433" s="40" t="str">
        <f t="shared" si="234"/>
        <v/>
      </c>
      <c r="CL433" s="40" t="str">
        <f t="shared" si="235"/>
        <v/>
      </c>
      <c r="CM433" s="40" t="str">
        <f t="shared" si="236"/>
        <v/>
      </c>
      <c r="CN433" s="39" t="str">
        <f t="shared" si="237"/>
        <v/>
      </c>
      <c r="CO433" s="458" t="str">
        <f t="shared" si="238"/>
        <v/>
      </c>
      <c r="CP433" s="458" t="str">
        <f t="shared" si="239"/>
        <v/>
      </c>
      <c r="CQ433" s="458" t="str">
        <f t="shared" si="240"/>
        <v/>
      </c>
      <c r="CR433" s="458" t="str">
        <f t="shared" si="241"/>
        <v/>
      </c>
      <c r="CS433" s="40" t="str">
        <f t="shared" si="242"/>
        <v/>
      </c>
      <c r="CT433" s="40" t="str">
        <f t="shared" si="243"/>
        <v/>
      </c>
      <c r="CU433" s="41" t="str">
        <f t="shared" si="244"/>
        <v/>
      </c>
    </row>
    <row r="434" spans="1:99" x14ac:dyDescent="0.2">
      <c r="A434" s="77">
        <f t="shared" si="245"/>
        <v>429</v>
      </c>
      <c r="B434" s="81"/>
      <c r="C434" s="82"/>
      <c r="D434" s="71"/>
      <c r="E434" s="72"/>
      <c r="F434" s="73"/>
      <c r="G434" s="443"/>
      <c r="H434" s="443"/>
      <c r="I434" s="74"/>
      <c r="J434" s="75"/>
      <c r="K434" s="41">
        <f t="shared" si="249"/>
        <v>3625</v>
      </c>
      <c r="L434" s="104"/>
      <c r="M434" s="105"/>
      <c r="N434" s="106">
        <f t="shared" si="250"/>
        <v>537.05999999999995</v>
      </c>
      <c r="O434" s="104"/>
      <c r="P434" s="105"/>
      <c r="Q434" s="106">
        <f t="shared" si="247"/>
        <v>10045.83</v>
      </c>
      <c r="R434" s="104"/>
      <c r="S434" s="105"/>
      <c r="T434" s="106">
        <f t="shared" si="248"/>
        <v>0</v>
      </c>
      <c r="U434" s="439"/>
      <c r="V434" s="42">
        <f t="shared" si="216"/>
        <v>429</v>
      </c>
      <c r="W434" s="39" t="str">
        <f>IF(AND(E434='Povolené hodnoty'!$B$4,F434=2),I434+L434+O434+R434,"")</f>
        <v/>
      </c>
      <c r="X434" s="41" t="str">
        <f>IF(AND(E434='Povolené hodnoty'!$B$4,F434=1),I434+L434+O434+R434,"")</f>
        <v/>
      </c>
      <c r="Y434" s="39" t="str">
        <f>IF(AND(E434='Povolené hodnoty'!$B$4,F434=10),J434+M434+P434+S434,"")</f>
        <v/>
      </c>
      <c r="Z434" s="41" t="str">
        <f>IF(AND(E434='Povolené hodnoty'!$B$4,F434=9),J434+M434+P434+S434,"")</f>
        <v/>
      </c>
      <c r="AA434" s="39" t="str">
        <f>IF(AND(E434&lt;&gt;'Povolené hodnoty'!$B$4,F434=2),I434+L434+O434+R434,"")</f>
        <v/>
      </c>
      <c r="AB434" s="40" t="str">
        <f>IF(AND(E434&lt;&gt;'Povolené hodnoty'!$B$4,F434=3),I434+L434+O434+R434,"")</f>
        <v/>
      </c>
      <c r="AC434" s="40" t="str">
        <f>IF(AND(E434&lt;&gt;'Povolené hodnoty'!$B$4,F434=4),I434+L434+O434+R434,"")</f>
        <v/>
      </c>
      <c r="AD434" s="40" t="str">
        <f>IF(AND(E434&lt;&gt;'Povolené hodnoty'!$B$4,F434="5a"),I434-J434+L434-M434+O434-P434+R434-S434,"")</f>
        <v/>
      </c>
      <c r="AE434" s="40" t="str">
        <f>IF(AND(E434&lt;&gt;'Povolené hodnoty'!$B$4,F434="5b"),I434-J434+L434-M434+O434-P434+R434-S434,"")</f>
        <v/>
      </c>
      <c r="AF434" s="40" t="str">
        <f>IF(AND(E434&lt;&gt;'Povolené hodnoty'!$B$4,F434=6),I434+L434+O434+R434,"")</f>
        <v/>
      </c>
      <c r="AG434" s="41" t="str">
        <f>IF(AND(E434&lt;&gt;'Povolené hodnoty'!$B$4,F434=7),I434+L434+O434+R434,"")</f>
        <v/>
      </c>
      <c r="AH434" s="39" t="str">
        <f>IF(AND(E434&lt;&gt;'Povolené hodnoty'!$B$4,F434=10),J434+M434+P434+S434,"")</f>
        <v/>
      </c>
      <c r="AI434" s="40" t="str">
        <f>IF(AND(E434&lt;&gt;'Povolené hodnoty'!$B$4,F434=11),J434+M434+P434+S434,"")</f>
        <v/>
      </c>
      <c r="AJ434" s="40" t="str">
        <f>IF(AND(E434&lt;&gt;'Povolené hodnoty'!$B$4,F434=12),J434+M434+P434+S434,"")</f>
        <v/>
      </c>
      <c r="AK434" s="41" t="str">
        <f>IF(AND(E434&lt;&gt;'Povolené hodnoty'!$B$4,F434=13),J434+M434+P434+S434,"")</f>
        <v/>
      </c>
      <c r="AL434" s="39" t="str">
        <f>IF(AND($G434='Povolené hodnoty'!$B$13,$H434=AL$4),SUM($I434,$L434,$O434,$R434),"")</f>
        <v/>
      </c>
      <c r="AM434" s="458" t="str">
        <f>IF(AND($G434='Povolené hodnoty'!$B$13,$H434=AM$4),SUM($I434,$L434,$O434,$R434),"")</f>
        <v/>
      </c>
      <c r="AN434" s="458" t="str">
        <f>IF(AND($G434='Povolené hodnoty'!$B$13,$H434=AN$4),SUM($I434,$L434,$O434,$R434),"")</f>
        <v/>
      </c>
      <c r="AO434" s="458" t="str">
        <f>IF(AND($G434='Povolené hodnoty'!$B$13,$H434=AO$4),SUM($I434,$L434,$O434,$R434),"")</f>
        <v/>
      </c>
      <c r="AP434" s="458" t="str">
        <f>IF(AND($G434='Povolené hodnoty'!$B$13,$H434=AP$4),SUM($I434,$L434,$O434,$R434),"")</f>
        <v/>
      </c>
      <c r="AQ434" s="40" t="str">
        <f>IF(AND($G434='Povolené hodnoty'!$B$13,OR($H434=AQ$4,$H434='Povolené hodnoty'!$E$36)),SUM($I434,-$J434,$L434,-$M434,$O434,-$P434,$R434,-$S434),"")</f>
        <v/>
      </c>
      <c r="AR434" s="40" t="str">
        <f>IF(AND($G434='Povolené hodnoty'!$B$13,$H434=AR$4),SUM($I434,$L434,$O434,$R434),"")</f>
        <v/>
      </c>
      <c r="AS434" s="41" t="str">
        <f>IF(AND($G434='Povolené hodnoty'!$B$13,$H434=AS$4),SUM($I434,$L434,$O434,$R434),"")</f>
        <v/>
      </c>
      <c r="AT434" s="39" t="str">
        <f>IF(AND($G434='Povolené hodnoty'!$B$14,$H434=AT$4),SUM($I434,$L434,$O434,$R434),"")</f>
        <v/>
      </c>
      <c r="AU434" s="458" t="str">
        <f>IF(AND($G434='Povolené hodnoty'!$B$14,$H434=AU$4),SUM($I434,$L434,$O434,$R434),"")</f>
        <v/>
      </c>
      <c r="AV434" s="41" t="str">
        <f>IF(AND($G434='Povolené hodnoty'!$B$14,$H434=AV$4),SUM($I434,$L434,$O434,$R434),"")</f>
        <v/>
      </c>
      <c r="AW434" s="39" t="str">
        <f>IF(AND($G434='Povolené hodnoty'!$B$13,$H434=AW$4),SUM($J434,$M434,$P434,$S434),"")</f>
        <v/>
      </c>
      <c r="AX434" s="458" t="str">
        <f>IF(AND($G434='Povolené hodnoty'!$B$13,$H434=AX$4),SUM($J434,$M434,$P434,$S434),"")</f>
        <v/>
      </c>
      <c r="AY434" s="458" t="str">
        <f>IF(AND($G434='Povolené hodnoty'!$B$13,$H434=AY$4),SUM($J434,$M434,$P434,$S434),"")</f>
        <v/>
      </c>
      <c r="AZ434" s="458" t="str">
        <f>IF(AND($G434='Povolené hodnoty'!$B$13,$H434=AZ$4),SUM($J434,$M434,$P434,$S434),"")</f>
        <v/>
      </c>
      <c r="BA434" s="458" t="str">
        <f>IF(AND($G434='Povolené hodnoty'!$B$13,$H434=BA$4),SUM($J434,$M434,$P434,$S434),"")</f>
        <v/>
      </c>
      <c r="BB434" s="40" t="str">
        <f>IF(AND($G434='Povolené hodnoty'!$B$13,$H434=BB$4),SUM($J434,$M434,$P434,$S434),"")</f>
        <v/>
      </c>
      <c r="BC434" s="40" t="str">
        <f>IF(AND($G434='Povolené hodnoty'!$B$13,$H434=BC$4),SUM($J434,$M434,$P434,$S434),"")</f>
        <v/>
      </c>
      <c r="BD434" s="40" t="str">
        <f>IF(AND($G434='Povolené hodnoty'!$B$13,$H434=BD$4),SUM($J434,$M434,$P434,$S434),"")</f>
        <v/>
      </c>
      <c r="BE434" s="41" t="str">
        <f>IF(AND($G434='Povolené hodnoty'!$B$13,$H434=BE$4),SUM($J434,$M434,$P434,$S434),"")</f>
        <v/>
      </c>
      <c r="BF434" s="39" t="str">
        <f>IF(AND($G434='Povolené hodnoty'!$B$14,$H434=BF$4),SUM($J434,$M434,$P434,$S434),"")</f>
        <v/>
      </c>
      <c r="BG434" s="458" t="str">
        <f>IF(AND($G434='Povolené hodnoty'!$B$14,$H434=BG$4),SUM($J434,$M434,$P434,$S434),"")</f>
        <v/>
      </c>
      <c r="BH434" s="458" t="str">
        <f>IF(AND($G434='Povolené hodnoty'!$B$14,$H434=BH$4),SUM($J434,$M434,$P434,$S434),"")</f>
        <v/>
      </c>
      <c r="BI434" s="458" t="str">
        <f>IF(AND($G434='Povolené hodnoty'!$B$14,$H434=BI$4),SUM($J434,$M434,$P434,$S434),"")</f>
        <v/>
      </c>
      <c r="BJ434" s="458" t="str">
        <f>IF(AND($G434='Povolené hodnoty'!$B$14,$H434=BJ$4),SUM($J434,$M434,$P434,$S434),"")</f>
        <v/>
      </c>
      <c r="BK434" s="40" t="str">
        <f>IF(AND($G434='Povolené hodnoty'!$B$14,$H434=BK$4),SUM($J434,$M434,$P434,$S434),"")</f>
        <v/>
      </c>
      <c r="BL434" s="40" t="str">
        <f>IF(AND($G434='Povolené hodnoty'!$B$14,$H434=BL$4),SUM($J434,$M434,$P434,$S434),"")</f>
        <v/>
      </c>
      <c r="BM434" s="41" t="str">
        <f>IF(AND($G434='Povolené hodnoty'!$B$14,$H434=BM$4),SUM($J434,$M434,$P434,$S434),"")</f>
        <v/>
      </c>
      <c r="BO434" s="18" t="b">
        <f t="shared" si="246"/>
        <v>0</v>
      </c>
      <c r="BP434" s="18" t="b">
        <f t="shared" si="217"/>
        <v>0</v>
      </c>
      <c r="BQ434" s="18" t="b">
        <f>AND(E434&lt;&gt;'Povolené hodnoty'!$B$6,F434&lt;&gt;'Povolené hodnoty'!$D$7,F434&lt;&gt;'Povolené hodnoty'!$D$8,OR(SUM(I434,L434,O434,R434)&lt;&gt;SUM(W434:X434,AA434:AG434),SUM(J434,M434,P434,S434)&lt;&gt;SUM(Y434:Z434,AH434:AK434),COUNT(I434:J434,L434:M434,O434:P434,R434:S434)&lt;&gt;COUNT(W434:AK434)))</f>
        <v>0</v>
      </c>
      <c r="BR434" s="18" t="b">
        <f>OR(AND(E434='Povolené hodnoty'!$B$6,$BR$5),AND(E434='Povolené hodnoty'!$B$6,H434&lt;&gt;'Povolené hodnoty'!$E$26,H434&lt;&gt;'Povolené hodnoty'!$E$35),AND(E434&lt;&gt;'Povolené hodnoty'!$B$6,OR(H434='Povolené hodnoty'!$E$26,H434='Povolené hodnoty'!$E$35)))</f>
        <v>0</v>
      </c>
      <c r="BS434" s="18" t="b">
        <f>OR(AND(G434&lt;&gt;'Povolené hodnoty'!$B$13,OR(H434='Povolené hodnoty'!$E$21,H434='Povolené hodnoty'!$E$22,H434='Povolené hodnoty'!$E$23,H434='Povolené hodnoty'!$E$24,H434='Povolené hodnoty'!$E$26,H434='Povolené hodnoty'!$E$36)),COUNT(I434:J434,L434:M434,O434:P434,R434:S434)&lt;&gt;COUNT(AL434:BM434))</f>
        <v>0</v>
      </c>
      <c r="BT434" s="18" t="b">
        <f t="shared" si="218"/>
        <v>0</v>
      </c>
      <c r="BV434" s="39" t="str">
        <f t="shared" si="219"/>
        <v/>
      </c>
      <c r="BW434" s="458" t="str">
        <f t="shared" si="220"/>
        <v/>
      </c>
      <c r="BX434" s="458" t="str">
        <f t="shared" si="221"/>
        <v/>
      </c>
      <c r="BY434" s="458" t="str">
        <f t="shared" si="222"/>
        <v/>
      </c>
      <c r="BZ434" s="458" t="str">
        <f t="shared" si="223"/>
        <v/>
      </c>
      <c r="CA434" s="40" t="str">
        <f t="shared" si="224"/>
        <v/>
      </c>
      <c r="CB434" s="40" t="str">
        <f t="shared" si="225"/>
        <v/>
      </c>
      <c r="CC434" s="39" t="str">
        <f t="shared" si="226"/>
        <v/>
      </c>
      <c r="CD434" s="458" t="str">
        <f t="shared" si="227"/>
        <v/>
      </c>
      <c r="CE434" s="41" t="str">
        <f t="shared" si="228"/>
        <v/>
      </c>
      <c r="CF434" s="39" t="str">
        <f t="shared" si="229"/>
        <v/>
      </c>
      <c r="CG434" s="458" t="str">
        <f t="shared" si="230"/>
        <v/>
      </c>
      <c r="CH434" s="458" t="str">
        <f t="shared" si="231"/>
        <v/>
      </c>
      <c r="CI434" s="458" t="str">
        <f t="shared" si="232"/>
        <v/>
      </c>
      <c r="CJ434" s="458" t="str">
        <f t="shared" si="233"/>
        <v/>
      </c>
      <c r="CK434" s="40" t="str">
        <f t="shared" si="234"/>
        <v/>
      </c>
      <c r="CL434" s="40" t="str">
        <f t="shared" si="235"/>
        <v/>
      </c>
      <c r="CM434" s="40" t="str">
        <f t="shared" si="236"/>
        <v/>
      </c>
      <c r="CN434" s="39" t="str">
        <f t="shared" si="237"/>
        <v/>
      </c>
      <c r="CO434" s="458" t="str">
        <f t="shared" si="238"/>
        <v/>
      </c>
      <c r="CP434" s="458" t="str">
        <f t="shared" si="239"/>
        <v/>
      </c>
      <c r="CQ434" s="458" t="str">
        <f t="shared" si="240"/>
        <v/>
      </c>
      <c r="CR434" s="458" t="str">
        <f t="shared" si="241"/>
        <v/>
      </c>
      <c r="CS434" s="40" t="str">
        <f t="shared" si="242"/>
        <v/>
      </c>
      <c r="CT434" s="40" t="str">
        <f t="shared" si="243"/>
        <v/>
      </c>
      <c r="CU434" s="41" t="str">
        <f t="shared" si="244"/>
        <v/>
      </c>
    </row>
    <row r="435" spans="1:99" x14ac:dyDescent="0.2">
      <c r="A435" s="77">
        <f t="shared" si="245"/>
        <v>430</v>
      </c>
      <c r="B435" s="81"/>
      <c r="C435" s="82"/>
      <c r="D435" s="71"/>
      <c r="E435" s="72"/>
      <c r="F435" s="73"/>
      <c r="G435" s="443"/>
      <c r="H435" s="443"/>
      <c r="I435" s="74"/>
      <c r="J435" s="75"/>
      <c r="K435" s="41">
        <f t="shared" si="249"/>
        <v>3625</v>
      </c>
      <c r="L435" s="104"/>
      <c r="M435" s="105"/>
      <c r="N435" s="106">
        <f t="shared" si="250"/>
        <v>537.05999999999995</v>
      </c>
      <c r="O435" s="104"/>
      <c r="P435" s="105"/>
      <c r="Q435" s="106">
        <f t="shared" si="247"/>
        <v>10045.83</v>
      </c>
      <c r="R435" s="104"/>
      <c r="S435" s="105"/>
      <c r="T435" s="106">
        <f t="shared" si="248"/>
        <v>0</v>
      </c>
      <c r="U435" s="439"/>
      <c r="V435" s="42">
        <f t="shared" si="216"/>
        <v>430</v>
      </c>
      <c r="W435" s="39" t="str">
        <f>IF(AND(E435='Povolené hodnoty'!$B$4,F435=2),I435+L435+O435+R435,"")</f>
        <v/>
      </c>
      <c r="X435" s="41" t="str">
        <f>IF(AND(E435='Povolené hodnoty'!$B$4,F435=1),I435+L435+O435+R435,"")</f>
        <v/>
      </c>
      <c r="Y435" s="39" t="str">
        <f>IF(AND(E435='Povolené hodnoty'!$B$4,F435=10),J435+M435+P435+S435,"")</f>
        <v/>
      </c>
      <c r="Z435" s="41" t="str">
        <f>IF(AND(E435='Povolené hodnoty'!$B$4,F435=9),J435+M435+P435+S435,"")</f>
        <v/>
      </c>
      <c r="AA435" s="39" t="str">
        <f>IF(AND(E435&lt;&gt;'Povolené hodnoty'!$B$4,F435=2),I435+L435+O435+R435,"")</f>
        <v/>
      </c>
      <c r="AB435" s="40" t="str">
        <f>IF(AND(E435&lt;&gt;'Povolené hodnoty'!$B$4,F435=3),I435+L435+O435+R435,"")</f>
        <v/>
      </c>
      <c r="AC435" s="40" t="str">
        <f>IF(AND(E435&lt;&gt;'Povolené hodnoty'!$B$4,F435=4),I435+L435+O435+R435,"")</f>
        <v/>
      </c>
      <c r="AD435" s="40" t="str">
        <f>IF(AND(E435&lt;&gt;'Povolené hodnoty'!$B$4,F435="5a"),I435-J435+L435-M435+O435-P435+R435-S435,"")</f>
        <v/>
      </c>
      <c r="AE435" s="40" t="str">
        <f>IF(AND(E435&lt;&gt;'Povolené hodnoty'!$B$4,F435="5b"),I435-J435+L435-M435+O435-P435+R435-S435,"")</f>
        <v/>
      </c>
      <c r="AF435" s="40" t="str">
        <f>IF(AND(E435&lt;&gt;'Povolené hodnoty'!$B$4,F435=6),I435+L435+O435+R435,"")</f>
        <v/>
      </c>
      <c r="AG435" s="41" t="str">
        <f>IF(AND(E435&lt;&gt;'Povolené hodnoty'!$B$4,F435=7),I435+L435+O435+R435,"")</f>
        <v/>
      </c>
      <c r="AH435" s="39" t="str">
        <f>IF(AND(E435&lt;&gt;'Povolené hodnoty'!$B$4,F435=10),J435+M435+P435+S435,"")</f>
        <v/>
      </c>
      <c r="AI435" s="40" t="str">
        <f>IF(AND(E435&lt;&gt;'Povolené hodnoty'!$B$4,F435=11),J435+M435+P435+S435,"")</f>
        <v/>
      </c>
      <c r="AJ435" s="40" t="str">
        <f>IF(AND(E435&lt;&gt;'Povolené hodnoty'!$B$4,F435=12),J435+M435+P435+S435,"")</f>
        <v/>
      </c>
      <c r="AK435" s="41" t="str">
        <f>IF(AND(E435&lt;&gt;'Povolené hodnoty'!$B$4,F435=13),J435+M435+P435+S435,"")</f>
        <v/>
      </c>
      <c r="AL435" s="39" t="str">
        <f>IF(AND($G435='Povolené hodnoty'!$B$13,$H435=AL$4),SUM($I435,$L435,$O435,$R435),"")</f>
        <v/>
      </c>
      <c r="AM435" s="458" t="str">
        <f>IF(AND($G435='Povolené hodnoty'!$B$13,$H435=AM$4),SUM($I435,$L435,$O435,$R435),"")</f>
        <v/>
      </c>
      <c r="AN435" s="458" t="str">
        <f>IF(AND($G435='Povolené hodnoty'!$B$13,$H435=AN$4),SUM($I435,$L435,$O435,$R435),"")</f>
        <v/>
      </c>
      <c r="AO435" s="458" t="str">
        <f>IF(AND($G435='Povolené hodnoty'!$B$13,$H435=AO$4),SUM($I435,$L435,$O435,$R435),"")</f>
        <v/>
      </c>
      <c r="AP435" s="458" t="str">
        <f>IF(AND($G435='Povolené hodnoty'!$B$13,$H435=AP$4),SUM($I435,$L435,$O435,$R435),"")</f>
        <v/>
      </c>
      <c r="AQ435" s="40" t="str">
        <f>IF(AND($G435='Povolené hodnoty'!$B$13,OR($H435=AQ$4,$H435='Povolené hodnoty'!$E$36)),SUM($I435,-$J435,$L435,-$M435,$O435,-$P435,$R435,-$S435),"")</f>
        <v/>
      </c>
      <c r="AR435" s="40" t="str">
        <f>IF(AND($G435='Povolené hodnoty'!$B$13,$H435=AR$4),SUM($I435,$L435,$O435,$R435),"")</f>
        <v/>
      </c>
      <c r="AS435" s="41" t="str">
        <f>IF(AND($G435='Povolené hodnoty'!$B$13,$H435=AS$4),SUM($I435,$L435,$O435,$R435),"")</f>
        <v/>
      </c>
      <c r="AT435" s="39" t="str">
        <f>IF(AND($G435='Povolené hodnoty'!$B$14,$H435=AT$4),SUM($I435,$L435,$O435,$R435),"")</f>
        <v/>
      </c>
      <c r="AU435" s="458" t="str">
        <f>IF(AND($G435='Povolené hodnoty'!$B$14,$H435=AU$4),SUM($I435,$L435,$O435,$R435),"")</f>
        <v/>
      </c>
      <c r="AV435" s="41" t="str">
        <f>IF(AND($G435='Povolené hodnoty'!$B$14,$H435=AV$4),SUM($I435,$L435,$O435,$R435),"")</f>
        <v/>
      </c>
      <c r="AW435" s="39" t="str">
        <f>IF(AND($G435='Povolené hodnoty'!$B$13,$H435=AW$4),SUM($J435,$M435,$P435,$S435),"")</f>
        <v/>
      </c>
      <c r="AX435" s="458" t="str">
        <f>IF(AND($G435='Povolené hodnoty'!$B$13,$H435=AX$4),SUM($J435,$M435,$P435,$S435),"")</f>
        <v/>
      </c>
      <c r="AY435" s="458" t="str">
        <f>IF(AND($G435='Povolené hodnoty'!$B$13,$H435=AY$4),SUM($J435,$M435,$P435,$S435),"")</f>
        <v/>
      </c>
      <c r="AZ435" s="458" t="str">
        <f>IF(AND($G435='Povolené hodnoty'!$B$13,$H435=AZ$4),SUM($J435,$M435,$P435,$S435),"")</f>
        <v/>
      </c>
      <c r="BA435" s="458" t="str">
        <f>IF(AND($G435='Povolené hodnoty'!$B$13,$H435=BA$4),SUM($J435,$M435,$P435,$S435),"")</f>
        <v/>
      </c>
      <c r="BB435" s="40" t="str">
        <f>IF(AND($G435='Povolené hodnoty'!$B$13,$H435=BB$4),SUM($J435,$M435,$P435,$S435),"")</f>
        <v/>
      </c>
      <c r="BC435" s="40" t="str">
        <f>IF(AND($G435='Povolené hodnoty'!$B$13,$H435=BC$4),SUM($J435,$M435,$P435,$S435),"")</f>
        <v/>
      </c>
      <c r="BD435" s="40" t="str">
        <f>IF(AND($G435='Povolené hodnoty'!$B$13,$H435=BD$4),SUM($J435,$M435,$P435,$S435),"")</f>
        <v/>
      </c>
      <c r="BE435" s="41" t="str">
        <f>IF(AND($G435='Povolené hodnoty'!$B$13,$H435=BE$4),SUM($J435,$M435,$P435,$S435),"")</f>
        <v/>
      </c>
      <c r="BF435" s="39" t="str">
        <f>IF(AND($G435='Povolené hodnoty'!$B$14,$H435=BF$4),SUM($J435,$M435,$P435,$S435),"")</f>
        <v/>
      </c>
      <c r="BG435" s="458" t="str">
        <f>IF(AND($G435='Povolené hodnoty'!$B$14,$H435=BG$4),SUM($J435,$M435,$P435,$S435),"")</f>
        <v/>
      </c>
      <c r="BH435" s="458" t="str">
        <f>IF(AND($G435='Povolené hodnoty'!$B$14,$H435=BH$4),SUM($J435,$M435,$P435,$S435),"")</f>
        <v/>
      </c>
      <c r="BI435" s="458" t="str">
        <f>IF(AND($G435='Povolené hodnoty'!$B$14,$H435=BI$4),SUM($J435,$M435,$P435,$S435),"")</f>
        <v/>
      </c>
      <c r="BJ435" s="458" t="str">
        <f>IF(AND($G435='Povolené hodnoty'!$B$14,$H435=BJ$4),SUM($J435,$M435,$P435,$S435),"")</f>
        <v/>
      </c>
      <c r="BK435" s="40" t="str">
        <f>IF(AND($G435='Povolené hodnoty'!$B$14,$H435=BK$4),SUM($J435,$M435,$P435,$S435),"")</f>
        <v/>
      </c>
      <c r="BL435" s="40" t="str">
        <f>IF(AND($G435='Povolené hodnoty'!$B$14,$H435=BL$4),SUM($J435,$M435,$P435,$S435),"")</f>
        <v/>
      </c>
      <c r="BM435" s="41" t="str">
        <f>IF(AND($G435='Povolené hodnoty'!$B$14,$H435=BM$4),SUM($J435,$M435,$P435,$S435),"")</f>
        <v/>
      </c>
      <c r="BO435" s="18" t="b">
        <f t="shared" si="246"/>
        <v>0</v>
      </c>
      <c r="BP435" s="18" t="b">
        <f t="shared" si="217"/>
        <v>0</v>
      </c>
      <c r="BQ435" s="18" t="b">
        <f>AND(E435&lt;&gt;'Povolené hodnoty'!$B$6,F435&lt;&gt;'Povolené hodnoty'!$D$7,F435&lt;&gt;'Povolené hodnoty'!$D$8,OR(SUM(I435,L435,O435,R435)&lt;&gt;SUM(W435:X435,AA435:AG435),SUM(J435,M435,P435,S435)&lt;&gt;SUM(Y435:Z435,AH435:AK435),COUNT(I435:J435,L435:M435,O435:P435,R435:S435)&lt;&gt;COUNT(W435:AK435)))</f>
        <v>0</v>
      </c>
      <c r="BR435" s="18" t="b">
        <f>OR(AND(E435='Povolené hodnoty'!$B$6,$BR$5),AND(E435='Povolené hodnoty'!$B$6,H435&lt;&gt;'Povolené hodnoty'!$E$26,H435&lt;&gt;'Povolené hodnoty'!$E$35),AND(E435&lt;&gt;'Povolené hodnoty'!$B$6,OR(H435='Povolené hodnoty'!$E$26,H435='Povolené hodnoty'!$E$35)))</f>
        <v>0</v>
      </c>
      <c r="BS435" s="18" t="b">
        <f>OR(AND(G435&lt;&gt;'Povolené hodnoty'!$B$13,OR(H435='Povolené hodnoty'!$E$21,H435='Povolené hodnoty'!$E$22,H435='Povolené hodnoty'!$E$23,H435='Povolené hodnoty'!$E$24,H435='Povolené hodnoty'!$E$26,H435='Povolené hodnoty'!$E$36)),COUNT(I435:J435,L435:M435,O435:P435,R435:S435)&lt;&gt;COUNT(AL435:BM435))</f>
        <v>0</v>
      </c>
      <c r="BT435" s="18" t="b">
        <f t="shared" si="218"/>
        <v>0</v>
      </c>
      <c r="BV435" s="39" t="str">
        <f t="shared" si="219"/>
        <v/>
      </c>
      <c r="BW435" s="458" t="str">
        <f t="shared" si="220"/>
        <v/>
      </c>
      <c r="BX435" s="458" t="str">
        <f t="shared" si="221"/>
        <v/>
      </c>
      <c r="BY435" s="458" t="str">
        <f t="shared" si="222"/>
        <v/>
      </c>
      <c r="BZ435" s="458" t="str">
        <f t="shared" si="223"/>
        <v/>
      </c>
      <c r="CA435" s="40" t="str">
        <f t="shared" si="224"/>
        <v/>
      </c>
      <c r="CB435" s="40" t="str">
        <f t="shared" si="225"/>
        <v/>
      </c>
      <c r="CC435" s="39" t="str">
        <f t="shared" si="226"/>
        <v/>
      </c>
      <c r="CD435" s="458" t="str">
        <f t="shared" si="227"/>
        <v/>
      </c>
      <c r="CE435" s="41" t="str">
        <f t="shared" si="228"/>
        <v/>
      </c>
      <c r="CF435" s="39" t="str">
        <f t="shared" si="229"/>
        <v/>
      </c>
      <c r="CG435" s="458" t="str">
        <f t="shared" si="230"/>
        <v/>
      </c>
      <c r="CH435" s="458" t="str">
        <f t="shared" si="231"/>
        <v/>
      </c>
      <c r="CI435" s="458" t="str">
        <f t="shared" si="232"/>
        <v/>
      </c>
      <c r="CJ435" s="458" t="str">
        <f t="shared" si="233"/>
        <v/>
      </c>
      <c r="CK435" s="40" t="str">
        <f t="shared" si="234"/>
        <v/>
      </c>
      <c r="CL435" s="40" t="str">
        <f t="shared" si="235"/>
        <v/>
      </c>
      <c r="CM435" s="40" t="str">
        <f t="shared" si="236"/>
        <v/>
      </c>
      <c r="CN435" s="39" t="str">
        <f t="shared" si="237"/>
        <v/>
      </c>
      <c r="CO435" s="458" t="str">
        <f t="shared" si="238"/>
        <v/>
      </c>
      <c r="CP435" s="458" t="str">
        <f t="shared" si="239"/>
        <v/>
      </c>
      <c r="CQ435" s="458" t="str">
        <f t="shared" si="240"/>
        <v/>
      </c>
      <c r="CR435" s="458" t="str">
        <f t="shared" si="241"/>
        <v/>
      </c>
      <c r="CS435" s="40" t="str">
        <f t="shared" si="242"/>
        <v/>
      </c>
      <c r="CT435" s="40" t="str">
        <f t="shared" si="243"/>
        <v/>
      </c>
      <c r="CU435" s="41" t="str">
        <f t="shared" si="244"/>
        <v/>
      </c>
    </row>
    <row r="436" spans="1:99" x14ac:dyDescent="0.2">
      <c r="A436" s="77">
        <f t="shared" si="245"/>
        <v>431</v>
      </c>
      <c r="B436" s="81"/>
      <c r="C436" s="82"/>
      <c r="D436" s="71"/>
      <c r="E436" s="72"/>
      <c r="F436" s="73"/>
      <c r="G436" s="443"/>
      <c r="H436" s="443"/>
      <c r="I436" s="74"/>
      <c r="J436" s="75"/>
      <c r="K436" s="41">
        <f t="shared" si="249"/>
        <v>3625</v>
      </c>
      <c r="L436" s="104"/>
      <c r="M436" s="105"/>
      <c r="N436" s="106">
        <f t="shared" si="250"/>
        <v>537.05999999999995</v>
      </c>
      <c r="O436" s="104"/>
      <c r="P436" s="105"/>
      <c r="Q436" s="106">
        <f t="shared" si="247"/>
        <v>10045.83</v>
      </c>
      <c r="R436" s="104"/>
      <c r="S436" s="105"/>
      <c r="T436" s="106">
        <f t="shared" si="248"/>
        <v>0</v>
      </c>
      <c r="U436" s="439"/>
      <c r="V436" s="42">
        <f t="shared" si="216"/>
        <v>431</v>
      </c>
      <c r="W436" s="39" t="str">
        <f>IF(AND(E436='Povolené hodnoty'!$B$4,F436=2),I436+L436+O436+R436,"")</f>
        <v/>
      </c>
      <c r="X436" s="41" t="str">
        <f>IF(AND(E436='Povolené hodnoty'!$B$4,F436=1),I436+L436+O436+R436,"")</f>
        <v/>
      </c>
      <c r="Y436" s="39" t="str">
        <f>IF(AND(E436='Povolené hodnoty'!$B$4,F436=10),J436+M436+P436+S436,"")</f>
        <v/>
      </c>
      <c r="Z436" s="41" t="str">
        <f>IF(AND(E436='Povolené hodnoty'!$B$4,F436=9),J436+M436+P436+S436,"")</f>
        <v/>
      </c>
      <c r="AA436" s="39" t="str">
        <f>IF(AND(E436&lt;&gt;'Povolené hodnoty'!$B$4,F436=2),I436+L436+O436+R436,"")</f>
        <v/>
      </c>
      <c r="AB436" s="40" t="str">
        <f>IF(AND(E436&lt;&gt;'Povolené hodnoty'!$B$4,F436=3),I436+L436+O436+R436,"")</f>
        <v/>
      </c>
      <c r="AC436" s="40" t="str">
        <f>IF(AND(E436&lt;&gt;'Povolené hodnoty'!$B$4,F436=4),I436+L436+O436+R436,"")</f>
        <v/>
      </c>
      <c r="AD436" s="40" t="str">
        <f>IF(AND(E436&lt;&gt;'Povolené hodnoty'!$B$4,F436="5a"),I436-J436+L436-M436+O436-P436+R436-S436,"")</f>
        <v/>
      </c>
      <c r="AE436" s="40" t="str">
        <f>IF(AND(E436&lt;&gt;'Povolené hodnoty'!$B$4,F436="5b"),I436-J436+L436-M436+O436-P436+R436-S436,"")</f>
        <v/>
      </c>
      <c r="AF436" s="40" t="str">
        <f>IF(AND(E436&lt;&gt;'Povolené hodnoty'!$B$4,F436=6),I436+L436+O436+R436,"")</f>
        <v/>
      </c>
      <c r="AG436" s="41" t="str">
        <f>IF(AND(E436&lt;&gt;'Povolené hodnoty'!$B$4,F436=7),I436+L436+O436+R436,"")</f>
        <v/>
      </c>
      <c r="AH436" s="39" t="str">
        <f>IF(AND(E436&lt;&gt;'Povolené hodnoty'!$B$4,F436=10),J436+M436+P436+S436,"")</f>
        <v/>
      </c>
      <c r="AI436" s="40" t="str">
        <f>IF(AND(E436&lt;&gt;'Povolené hodnoty'!$B$4,F436=11),J436+M436+P436+S436,"")</f>
        <v/>
      </c>
      <c r="AJ436" s="40" t="str">
        <f>IF(AND(E436&lt;&gt;'Povolené hodnoty'!$B$4,F436=12),J436+M436+P436+S436,"")</f>
        <v/>
      </c>
      <c r="AK436" s="41" t="str">
        <f>IF(AND(E436&lt;&gt;'Povolené hodnoty'!$B$4,F436=13),J436+M436+P436+S436,"")</f>
        <v/>
      </c>
      <c r="AL436" s="39" t="str">
        <f>IF(AND($G436='Povolené hodnoty'!$B$13,$H436=AL$4),SUM($I436,$L436,$O436,$R436),"")</f>
        <v/>
      </c>
      <c r="AM436" s="458" t="str">
        <f>IF(AND($G436='Povolené hodnoty'!$B$13,$H436=AM$4),SUM($I436,$L436,$O436,$R436),"")</f>
        <v/>
      </c>
      <c r="AN436" s="458" t="str">
        <f>IF(AND($G436='Povolené hodnoty'!$B$13,$H436=AN$4),SUM($I436,$L436,$O436,$R436),"")</f>
        <v/>
      </c>
      <c r="AO436" s="458" t="str">
        <f>IF(AND($G436='Povolené hodnoty'!$B$13,$H436=AO$4),SUM($I436,$L436,$O436,$R436),"")</f>
        <v/>
      </c>
      <c r="AP436" s="458" t="str">
        <f>IF(AND($G436='Povolené hodnoty'!$B$13,$H436=AP$4),SUM($I436,$L436,$O436,$R436),"")</f>
        <v/>
      </c>
      <c r="AQ436" s="40" t="str">
        <f>IF(AND($G436='Povolené hodnoty'!$B$13,OR($H436=AQ$4,$H436='Povolené hodnoty'!$E$36)),SUM($I436,-$J436,$L436,-$M436,$O436,-$P436,$R436,-$S436),"")</f>
        <v/>
      </c>
      <c r="AR436" s="40" t="str">
        <f>IF(AND($G436='Povolené hodnoty'!$B$13,$H436=AR$4),SUM($I436,$L436,$O436,$R436),"")</f>
        <v/>
      </c>
      <c r="AS436" s="41" t="str">
        <f>IF(AND($G436='Povolené hodnoty'!$B$13,$H436=AS$4),SUM($I436,$L436,$O436,$R436),"")</f>
        <v/>
      </c>
      <c r="AT436" s="39" t="str">
        <f>IF(AND($G436='Povolené hodnoty'!$B$14,$H436=AT$4),SUM($I436,$L436,$O436,$R436),"")</f>
        <v/>
      </c>
      <c r="AU436" s="458" t="str">
        <f>IF(AND($G436='Povolené hodnoty'!$B$14,$H436=AU$4),SUM($I436,$L436,$O436,$R436),"")</f>
        <v/>
      </c>
      <c r="AV436" s="41" t="str">
        <f>IF(AND($G436='Povolené hodnoty'!$B$14,$H436=AV$4),SUM($I436,$L436,$O436,$R436),"")</f>
        <v/>
      </c>
      <c r="AW436" s="39" t="str">
        <f>IF(AND($G436='Povolené hodnoty'!$B$13,$H436=AW$4),SUM($J436,$M436,$P436,$S436),"")</f>
        <v/>
      </c>
      <c r="AX436" s="458" t="str">
        <f>IF(AND($G436='Povolené hodnoty'!$B$13,$H436=AX$4),SUM($J436,$M436,$P436,$S436),"")</f>
        <v/>
      </c>
      <c r="AY436" s="458" t="str">
        <f>IF(AND($G436='Povolené hodnoty'!$B$13,$H436=AY$4),SUM($J436,$M436,$P436,$S436),"")</f>
        <v/>
      </c>
      <c r="AZ436" s="458" t="str">
        <f>IF(AND($G436='Povolené hodnoty'!$B$13,$H436=AZ$4),SUM($J436,$M436,$P436,$S436),"")</f>
        <v/>
      </c>
      <c r="BA436" s="458" t="str">
        <f>IF(AND($G436='Povolené hodnoty'!$B$13,$H436=BA$4),SUM($J436,$M436,$P436,$S436),"")</f>
        <v/>
      </c>
      <c r="BB436" s="40" t="str">
        <f>IF(AND($G436='Povolené hodnoty'!$B$13,$H436=BB$4),SUM($J436,$M436,$P436,$S436),"")</f>
        <v/>
      </c>
      <c r="BC436" s="40" t="str">
        <f>IF(AND($G436='Povolené hodnoty'!$B$13,$H436=BC$4),SUM($J436,$M436,$P436,$S436),"")</f>
        <v/>
      </c>
      <c r="BD436" s="40" t="str">
        <f>IF(AND($G436='Povolené hodnoty'!$B$13,$H436=BD$4),SUM($J436,$M436,$P436,$S436),"")</f>
        <v/>
      </c>
      <c r="BE436" s="41" t="str">
        <f>IF(AND($G436='Povolené hodnoty'!$B$13,$H436=BE$4),SUM($J436,$M436,$P436,$S436),"")</f>
        <v/>
      </c>
      <c r="BF436" s="39" t="str">
        <f>IF(AND($G436='Povolené hodnoty'!$B$14,$H436=BF$4),SUM($J436,$M436,$P436,$S436),"")</f>
        <v/>
      </c>
      <c r="BG436" s="458" t="str">
        <f>IF(AND($G436='Povolené hodnoty'!$B$14,$H436=BG$4),SUM($J436,$M436,$P436,$S436),"")</f>
        <v/>
      </c>
      <c r="BH436" s="458" t="str">
        <f>IF(AND($G436='Povolené hodnoty'!$B$14,$H436=BH$4),SUM($J436,$M436,$P436,$S436),"")</f>
        <v/>
      </c>
      <c r="BI436" s="458" t="str">
        <f>IF(AND($G436='Povolené hodnoty'!$B$14,$H436=BI$4),SUM($J436,$M436,$P436,$S436),"")</f>
        <v/>
      </c>
      <c r="BJ436" s="458" t="str">
        <f>IF(AND($G436='Povolené hodnoty'!$B$14,$H436=BJ$4),SUM($J436,$M436,$P436,$S436),"")</f>
        <v/>
      </c>
      <c r="BK436" s="40" t="str">
        <f>IF(AND($G436='Povolené hodnoty'!$B$14,$H436=BK$4),SUM($J436,$M436,$P436,$S436),"")</f>
        <v/>
      </c>
      <c r="BL436" s="40" t="str">
        <f>IF(AND($G436='Povolené hodnoty'!$B$14,$H436=BL$4),SUM($J436,$M436,$P436,$S436),"")</f>
        <v/>
      </c>
      <c r="BM436" s="41" t="str">
        <f>IF(AND($G436='Povolené hodnoty'!$B$14,$H436=BM$4),SUM($J436,$M436,$P436,$S436),"")</f>
        <v/>
      </c>
      <c r="BO436" s="18" t="b">
        <f t="shared" si="246"/>
        <v>0</v>
      </c>
      <c r="BP436" s="18" t="b">
        <f t="shared" si="217"/>
        <v>0</v>
      </c>
      <c r="BQ436" s="18" t="b">
        <f>AND(E436&lt;&gt;'Povolené hodnoty'!$B$6,F436&lt;&gt;'Povolené hodnoty'!$D$7,F436&lt;&gt;'Povolené hodnoty'!$D$8,OR(SUM(I436,L436,O436,R436)&lt;&gt;SUM(W436:X436,AA436:AG436),SUM(J436,M436,P436,S436)&lt;&gt;SUM(Y436:Z436,AH436:AK436),COUNT(I436:J436,L436:M436,O436:P436,R436:S436)&lt;&gt;COUNT(W436:AK436)))</f>
        <v>0</v>
      </c>
      <c r="BR436" s="18" t="b">
        <f>OR(AND(E436='Povolené hodnoty'!$B$6,$BR$5),AND(E436='Povolené hodnoty'!$B$6,H436&lt;&gt;'Povolené hodnoty'!$E$26,H436&lt;&gt;'Povolené hodnoty'!$E$35),AND(E436&lt;&gt;'Povolené hodnoty'!$B$6,OR(H436='Povolené hodnoty'!$E$26,H436='Povolené hodnoty'!$E$35)))</f>
        <v>0</v>
      </c>
      <c r="BS436" s="18" t="b">
        <f>OR(AND(G436&lt;&gt;'Povolené hodnoty'!$B$13,OR(H436='Povolené hodnoty'!$E$21,H436='Povolené hodnoty'!$E$22,H436='Povolené hodnoty'!$E$23,H436='Povolené hodnoty'!$E$24,H436='Povolené hodnoty'!$E$26,H436='Povolené hodnoty'!$E$36)),COUNT(I436:J436,L436:M436,O436:P436,R436:S436)&lt;&gt;COUNT(AL436:BM436))</f>
        <v>0</v>
      </c>
      <c r="BT436" s="18" t="b">
        <f t="shared" si="218"/>
        <v>0</v>
      </c>
      <c r="BV436" s="39" t="str">
        <f t="shared" si="219"/>
        <v/>
      </c>
      <c r="BW436" s="458" t="str">
        <f t="shared" si="220"/>
        <v/>
      </c>
      <c r="BX436" s="458" t="str">
        <f t="shared" si="221"/>
        <v/>
      </c>
      <c r="BY436" s="458" t="str">
        <f t="shared" si="222"/>
        <v/>
      </c>
      <c r="BZ436" s="458" t="str">
        <f t="shared" si="223"/>
        <v/>
      </c>
      <c r="CA436" s="40" t="str">
        <f t="shared" si="224"/>
        <v/>
      </c>
      <c r="CB436" s="40" t="str">
        <f t="shared" si="225"/>
        <v/>
      </c>
      <c r="CC436" s="39" t="str">
        <f t="shared" si="226"/>
        <v/>
      </c>
      <c r="CD436" s="458" t="str">
        <f t="shared" si="227"/>
        <v/>
      </c>
      <c r="CE436" s="41" t="str">
        <f t="shared" si="228"/>
        <v/>
      </c>
      <c r="CF436" s="39" t="str">
        <f t="shared" si="229"/>
        <v/>
      </c>
      <c r="CG436" s="458" t="str">
        <f t="shared" si="230"/>
        <v/>
      </c>
      <c r="CH436" s="458" t="str">
        <f t="shared" si="231"/>
        <v/>
      </c>
      <c r="CI436" s="458" t="str">
        <f t="shared" si="232"/>
        <v/>
      </c>
      <c r="CJ436" s="458" t="str">
        <f t="shared" si="233"/>
        <v/>
      </c>
      <c r="CK436" s="40" t="str">
        <f t="shared" si="234"/>
        <v/>
      </c>
      <c r="CL436" s="40" t="str">
        <f t="shared" si="235"/>
        <v/>
      </c>
      <c r="CM436" s="40" t="str">
        <f t="shared" si="236"/>
        <v/>
      </c>
      <c r="CN436" s="39" t="str">
        <f t="shared" si="237"/>
        <v/>
      </c>
      <c r="CO436" s="458" t="str">
        <f t="shared" si="238"/>
        <v/>
      </c>
      <c r="CP436" s="458" t="str">
        <f t="shared" si="239"/>
        <v/>
      </c>
      <c r="CQ436" s="458" t="str">
        <f t="shared" si="240"/>
        <v/>
      </c>
      <c r="CR436" s="458" t="str">
        <f t="shared" si="241"/>
        <v/>
      </c>
      <c r="CS436" s="40" t="str">
        <f t="shared" si="242"/>
        <v/>
      </c>
      <c r="CT436" s="40" t="str">
        <f t="shared" si="243"/>
        <v/>
      </c>
      <c r="CU436" s="41" t="str">
        <f t="shared" si="244"/>
        <v/>
      </c>
    </row>
    <row r="437" spans="1:99" x14ac:dyDescent="0.2">
      <c r="A437" s="77">
        <f t="shared" si="245"/>
        <v>432</v>
      </c>
      <c r="B437" s="81"/>
      <c r="C437" s="82"/>
      <c r="D437" s="71"/>
      <c r="E437" s="72"/>
      <c r="F437" s="73"/>
      <c r="G437" s="443"/>
      <c r="H437" s="443"/>
      <c r="I437" s="74"/>
      <c r="J437" s="75"/>
      <c r="K437" s="41">
        <f t="shared" si="249"/>
        <v>3625</v>
      </c>
      <c r="L437" s="104"/>
      <c r="M437" s="105"/>
      <c r="N437" s="106">
        <f t="shared" si="250"/>
        <v>537.05999999999995</v>
      </c>
      <c r="O437" s="104"/>
      <c r="P437" s="105"/>
      <c r="Q437" s="106">
        <f t="shared" si="247"/>
        <v>10045.83</v>
      </c>
      <c r="R437" s="104"/>
      <c r="S437" s="105"/>
      <c r="T437" s="106">
        <f t="shared" si="248"/>
        <v>0</v>
      </c>
      <c r="U437" s="439"/>
      <c r="V437" s="42">
        <f t="shared" si="216"/>
        <v>432</v>
      </c>
      <c r="W437" s="39" t="str">
        <f>IF(AND(E437='Povolené hodnoty'!$B$4,F437=2),I437+L437+O437+R437,"")</f>
        <v/>
      </c>
      <c r="X437" s="41" t="str">
        <f>IF(AND(E437='Povolené hodnoty'!$B$4,F437=1),I437+L437+O437+R437,"")</f>
        <v/>
      </c>
      <c r="Y437" s="39" t="str">
        <f>IF(AND(E437='Povolené hodnoty'!$B$4,F437=10),J437+M437+P437+S437,"")</f>
        <v/>
      </c>
      <c r="Z437" s="41" t="str">
        <f>IF(AND(E437='Povolené hodnoty'!$B$4,F437=9),J437+M437+P437+S437,"")</f>
        <v/>
      </c>
      <c r="AA437" s="39" t="str">
        <f>IF(AND(E437&lt;&gt;'Povolené hodnoty'!$B$4,F437=2),I437+L437+O437+R437,"")</f>
        <v/>
      </c>
      <c r="AB437" s="40" t="str">
        <f>IF(AND(E437&lt;&gt;'Povolené hodnoty'!$B$4,F437=3),I437+L437+O437+R437,"")</f>
        <v/>
      </c>
      <c r="AC437" s="40" t="str">
        <f>IF(AND(E437&lt;&gt;'Povolené hodnoty'!$B$4,F437=4),I437+L437+O437+R437,"")</f>
        <v/>
      </c>
      <c r="AD437" s="40" t="str">
        <f>IF(AND(E437&lt;&gt;'Povolené hodnoty'!$B$4,F437="5a"),I437-J437+L437-M437+O437-P437+R437-S437,"")</f>
        <v/>
      </c>
      <c r="AE437" s="40" t="str">
        <f>IF(AND(E437&lt;&gt;'Povolené hodnoty'!$B$4,F437="5b"),I437-J437+L437-M437+O437-P437+R437-S437,"")</f>
        <v/>
      </c>
      <c r="AF437" s="40" t="str">
        <f>IF(AND(E437&lt;&gt;'Povolené hodnoty'!$B$4,F437=6),I437+L437+O437+R437,"")</f>
        <v/>
      </c>
      <c r="AG437" s="41" t="str">
        <f>IF(AND(E437&lt;&gt;'Povolené hodnoty'!$B$4,F437=7),I437+L437+O437+R437,"")</f>
        <v/>
      </c>
      <c r="AH437" s="39" t="str">
        <f>IF(AND(E437&lt;&gt;'Povolené hodnoty'!$B$4,F437=10),J437+M437+P437+S437,"")</f>
        <v/>
      </c>
      <c r="AI437" s="40" t="str">
        <f>IF(AND(E437&lt;&gt;'Povolené hodnoty'!$B$4,F437=11),J437+M437+P437+S437,"")</f>
        <v/>
      </c>
      <c r="AJ437" s="40" t="str">
        <f>IF(AND(E437&lt;&gt;'Povolené hodnoty'!$B$4,F437=12),J437+M437+P437+S437,"")</f>
        <v/>
      </c>
      <c r="AK437" s="41" t="str">
        <f>IF(AND(E437&lt;&gt;'Povolené hodnoty'!$B$4,F437=13),J437+M437+P437+S437,"")</f>
        <v/>
      </c>
      <c r="AL437" s="39" t="str">
        <f>IF(AND($G437='Povolené hodnoty'!$B$13,$H437=AL$4),SUM($I437,$L437,$O437,$R437),"")</f>
        <v/>
      </c>
      <c r="AM437" s="458" t="str">
        <f>IF(AND($G437='Povolené hodnoty'!$B$13,$H437=AM$4),SUM($I437,$L437,$O437,$R437),"")</f>
        <v/>
      </c>
      <c r="AN437" s="458" t="str">
        <f>IF(AND($G437='Povolené hodnoty'!$B$13,$H437=AN$4),SUM($I437,$L437,$O437,$R437),"")</f>
        <v/>
      </c>
      <c r="AO437" s="458" t="str">
        <f>IF(AND($G437='Povolené hodnoty'!$B$13,$H437=AO$4),SUM($I437,$L437,$O437,$R437),"")</f>
        <v/>
      </c>
      <c r="AP437" s="458" t="str">
        <f>IF(AND($G437='Povolené hodnoty'!$B$13,$H437=AP$4),SUM($I437,$L437,$O437,$R437),"")</f>
        <v/>
      </c>
      <c r="AQ437" s="40" t="str">
        <f>IF(AND($G437='Povolené hodnoty'!$B$13,OR($H437=AQ$4,$H437='Povolené hodnoty'!$E$36)),SUM($I437,-$J437,$L437,-$M437,$O437,-$P437,$R437,-$S437),"")</f>
        <v/>
      </c>
      <c r="AR437" s="40" t="str">
        <f>IF(AND($G437='Povolené hodnoty'!$B$13,$H437=AR$4),SUM($I437,$L437,$O437,$R437),"")</f>
        <v/>
      </c>
      <c r="AS437" s="41" t="str">
        <f>IF(AND($G437='Povolené hodnoty'!$B$13,$H437=AS$4),SUM($I437,$L437,$O437,$R437),"")</f>
        <v/>
      </c>
      <c r="AT437" s="39" t="str">
        <f>IF(AND($G437='Povolené hodnoty'!$B$14,$H437=AT$4),SUM($I437,$L437,$O437,$R437),"")</f>
        <v/>
      </c>
      <c r="AU437" s="458" t="str">
        <f>IF(AND($G437='Povolené hodnoty'!$B$14,$H437=AU$4),SUM($I437,$L437,$O437,$R437),"")</f>
        <v/>
      </c>
      <c r="AV437" s="41" t="str">
        <f>IF(AND($G437='Povolené hodnoty'!$B$14,$H437=AV$4),SUM($I437,$L437,$O437,$R437),"")</f>
        <v/>
      </c>
      <c r="AW437" s="39" t="str">
        <f>IF(AND($G437='Povolené hodnoty'!$B$13,$H437=AW$4),SUM($J437,$M437,$P437,$S437),"")</f>
        <v/>
      </c>
      <c r="AX437" s="458" t="str">
        <f>IF(AND($G437='Povolené hodnoty'!$B$13,$H437=AX$4),SUM($J437,$M437,$P437,$S437),"")</f>
        <v/>
      </c>
      <c r="AY437" s="458" t="str">
        <f>IF(AND($G437='Povolené hodnoty'!$B$13,$H437=AY$4),SUM($J437,$M437,$P437,$S437),"")</f>
        <v/>
      </c>
      <c r="AZ437" s="458" t="str">
        <f>IF(AND($G437='Povolené hodnoty'!$B$13,$H437=AZ$4),SUM($J437,$M437,$P437,$S437),"")</f>
        <v/>
      </c>
      <c r="BA437" s="458" t="str">
        <f>IF(AND($G437='Povolené hodnoty'!$B$13,$H437=BA$4),SUM($J437,$M437,$P437,$S437),"")</f>
        <v/>
      </c>
      <c r="BB437" s="40" t="str">
        <f>IF(AND($G437='Povolené hodnoty'!$B$13,$H437=BB$4),SUM($J437,$M437,$P437,$S437),"")</f>
        <v/>
      </c>
      <c r="BC437" s="40" t="str">
        <f>IF(AND($G437='Povolené hodnoty'!$B$13,$H437=BC$4),SUM($J437,$M437,$P437,$S437),"")</f>
        <v/>
      </c>
      <c r="BD437" s="40" t="str">
        <f>IF(AND($G437='Povolené hodnoty'!$B$13,$H437=BD$4),SUM($J437,$M437,$P437,$S437),"")</f>
        <v/>
      </c>
      <c r="BE437" s="41" t="str">
        <f>IF(AND($G437='Povolené hodnoty'!$B$13,$H437=BE$4),SUM($J437,$M437,$P437,$S437),"")</f>
        <v/>
      </c>
      <c r="BF437" s="39" t="str">
        <f>IF(AND($G437='Povolené hodnoty'!$B$14,$H437=BF$4),SUM($J437,$M437,$P437,$S437),"")</f>
        <v/>
      </c>
      <c r="BG437" s="458" t="str">
        <f>IF(AND($G437='Povolené hodnoty'!$B$14,$H437=BG$4),SUM($J437,$M437,$P437,$S437),"")</f>
        <v/>
      </c>
      <c r="BH437" s="458" t="str">
        <f>IF(AND($G437='Povolené hodnoty'!$B$14,$H437=BH$4),SUM($J437,$M437,$P437,$S437),"")</f>
        <v/>
      </c>
      <c r="BI437" s="458" t="str">
        <f>IF(AND($G437='Povolené hodnoty'!$B$14,$H437=BI$4),SUM($J437,$M437,$P437,$S437),"")</f>
        <v/>
      </c>
      <c r="BJ437" s="458" t="str">
        <f>IF(AND($G437='Povolené hodnoty'!$B$14,$H437=BJ$4),SUM($J437,$M437,$P437,$S437),"")</f>
        <v/>
      </c>
      <c r="BK437" s="40" t="str">
        <f>IF(AND($G437='Povolené hodnoty'!$B$14,$H437=BK$4),SUM($J437,$M437,$P437,$S437),"")</f>
        <v/>
      </c>
      <c r="BL437" s="40" t="str">
        <f>IF(AND($G437='Povolené hodnoty'!$B$14,$H437=BL$4),SUM($J437,$M437,$P437,$S437),"")</f>
        <v/>
      </c>
      <c r="BM437" s="41" t="str">
        <f>IF(AND($G437='Povolené hodnoty'!$B$14,$H437=BM$4),SUM($J437,$M437,$P437,$S437),"")</f>
        <v/>
      </c>
      <c r="BO437" s="18" t="b">
        <f t="shared" si="246"/>
        <v>0</v>
      </c>
      <c r="BP437" s="18" t="b">
        <f t="shared" si="217"/>
        <v>0</v>
      </c>
      <c r="BQ437" s="18" t="b">
        <f>AND(E437&lt;&gt;'Povolené hodnoty'!$B$6,F437&lt;&gt;'Povolené hodnoty'!$D$7,F437&lt;&gt;'Povolené hodnoty'!$D$8,OR(SUM(I437,L437,O437,R437)&lt;&gt;SUM(W437:X437,AA437:AG437),SUM(J437,M437,P437,S437)&lt;&gt;SUM(Y437:Z437,AH437:AK437),COUNT(I437:J437,L437:M437,O437:P437,R437:S437)&lt;&gt;COUNT(W437:AK437)))</f>
        <v>0</v>
      </c>
      <c r="BR437" s="18" t="b">
        <f>OR(AND(E437='Povolené hodnoty'!$B$6,$BR$5),AND(E437='Povolené hodnoty'!$B$6,H437&lt;&gt;'Povolené hodnoty'!$E$26,H437&lt;&gt;'Povolené hodnoty'!$E$35),AND(E437&lt;&gt;'Povolené hodnoty'!$B$6,OR(H437='Povolené hodnoty'!$E$26,H437='Povolené hodnoty'!$E$35)))</f>
        <v>0</v>
      </c>
      <c r="BS437" s="18" t="b">
        <f>OR(AND(G437&lt;&gt;'Povolené hodnoty'!$B$13,OR(H437='Povolené hodnoty'!$E$21,H437='Povolené hodnoty'!$E$22,H437='Povolené hodnoty'!$E$23,H437='Povolené hodnoty'!$E$24,H437='Povolené hodnoty'!$E$26,H437='Povolené hodnoty'!$E$36)),COUNT(I437:J437,L437:M437,O437:P437,R437:S437)&lt;&gt;COUNT(AL437:BM437))</f>
        <v>0</v>
      </c>
      <c r="BT437" s="18" t="b">
        <f t="shared" si="218"/>
        <v>0</v>
      </c>
      <c r="BV437" s="39" t="str">
        <f t="shared" si="219"/>
        <v/>
      </c>
      <c r="BW437" s="458" t="str">
        <f t="shared" si="220"/>
        <v/>
      </c>
      <c r="BX437" s="458" t="str">
        <f t="shared" si="221"/>
        <v/>
      </c>
      <c r="BY437" s="458" t="str">
        <f t="shared" si="222"/>
        <v/>
      </c>
      <c r="BZ437" s="458" t="str">
        <f t="shared" si="223"/>
        <v/>
      </c>
      <c r="CA437" s="40" t="str">
        <f t="shared" si="224"/>
        <v/>
      </c>
      <c r="CB437" s="40" t="str">
        <f t="shared" si="225"/>
        <v/>
      </c>
      <c r="CC437" s="39" t="str">
        <f t="shared" si="226"/>
        <v/>
      </c>
      <c r="CD437" s="458" t="str">
        <f t="shared" si="227"/>
        <v/>
      </c>
      <c r="CE437" s="41" t="str">
        <f t="shared" si="228"/>
        <v/>
      </c>
      <c r="CF437" s="39" t="str">
        <f t="shared" si="229"/>
        <v/>
      </c>
      <c r="CG437" s="458" t="str">
        <f t="shared" si="230"/>
        <v/>
      </c>
      <c r="CH437" s="458" t="str">
        <f t="shared" si="231"/>
        <v/>
      </c>
      <c r="CI437" s="458" t="str">
        <f t="shared" si="232"/>
        <v/>
      </c>
      <c r="CJ437" s="458" t="str">
        <f t="shared" si="233"/>
        <v/>
      </c>
      <c r="CK437" s="40" t="str">
        <f t="shared" si="234"/>
        <v/>
      </c>
      <c r="CL437" s="40" t="str">
        <f t="shared" si="235"/>
        <v/>
      </c>
      <c r="CM437" s="40" t="str">
        <f t="shared" si="236"/>
        <v/>
      </c>
      <c r="CN437" s="39" t="str">
        <f t="shared" si="237"/>
        <v/>
      </c>
      <c r="CO437" s="458" t="str">
        <f t="shared" si="238"/>
        <v/>
      </c>
      <c r="CP437" s="458" t="str">
        <f t="shared" si="239"/>
        <v/>
      </c>
      <c r="CQ437" s="458" t="str">
        <f t="shared" si="240"/>
        <v/>
      </c>
      <c r="CR437" s="458" t="str">
        <f t="shared" si="241"/>
        <v/>
      </c>
      <c r="CS437" s="40" t="str">
        <f t="shared" si="242"/>
        <v/>
      </c>
      <c r="CT437" s="40" t="str">
        <f t="shared" si="243"/>
        <v/>
      </c>
      <c r="CU437" s="41" t="str">
        <f t="shared" si="244"/>
        <v/>
      </c>
    </row>
    <row r="438" spans="1:99" x14ac:dyDescent="0.2">
      <c r="A438" s="77">
        <f t="shared" si="245"/>
        <v>433</v>
      </c>
      <c r="B438" s="81"/>
      <c r="C438" s="82"/>
      <c r="D438" s="71"/>
      <c r="E438" s="72"/>
      <c r="F438" s="73"/>
      <c r="G438" s="443"/>
      <c r="H438" s="443"/>
      <c r="I438" s="74"/>
      <c r="J438" s="75"/>
      <c r="K438" s="41">
        <f t="shared" si="249"/>
        <v>3625</v>
      </c>
      <c r="L438" s="104"/>
      <c r="M438" s="105"/>
      <c r="N438" s="106">
        <f t="shared" si="250"/>
        <v>537.05999999999995</v>
      </c>
      <c r="O438" s="104"/>
      <c r="P438" s="105"/>
      <c r="Q438" s="106">
        <f t="shared" si="247"/>
        <v>10045.83</v>
      </c>
      <c r="R438" s="104"/>
      <c r="S438" s="105"/>
      <c r="T438" s="106">
        <f t="shared" si="248"/>
        <v>0</v>
      </c>
      <c r="U438" s="439"/>
      <c r="V438" s="42">
        <f t="shared" si="216"/>
        <v>433</v>
      </c>
      <c r="W438" s="39" t="str">
        <f>IF(AND(E438='Povolené hodnoty'!$B$4,F438=2),I438+L438+O438+R438,"")</f>
        <v/>
      </c>
      <c r="X438" s="41" t="str">
        <f>IF(AND(E438='Povolené hodnoty'!$B$4,F438=1),I438+L438+O438+R438,"")</f>
        <v/>
      </c>
      <c r="Y438" s="39" t="str">
        <f>IF(AND(E438='Povolené hodnoty'!$B$4,F438=10),J438+M438+P438+S438,"")</f>
        <v/>
      </c>
      <c r="Z438" s="41" t="str">
        <f>IF(AND(E438='Povolené hodnoty'!$B$4,F438=9),J438+M438+P438+S438,"")</f>
        <v/>
      </c>
      <c r="AA438" s="39" t="str">
        <f>IF(AND(E438&lt;&gt;'Povolené hodnoty'!$B$4,F438=2),I438+L438+O438+R438,"")</f>
        <v/>
      </c>
      <c r="AB438" s="40" t="str">
        <f>IF(AND(E438&lt;&gt;'Povolené hodnoty'!$B$4,F438=3),I438+L438+O438+R438,"")</f>
        <v/>
      </c>
      <c r="AC438" s="40" t="str">
        <f>IF(AND(E438&lt;&gt;'Povolené hodnoty'!$B$4,F438=4),I438+L438+O438+R438,"")</f>
        <v/>
      </c>
      <c r="AD438" s="40" t="str">
        <f>IF(AND(E438&lt;&gt;'Povolené hodnoty'!$B$4,F438="5a"),I438-J438+L438-M438+O438-P438+R438-S438,"")</f>
        <v/>
      </c>
      <c r="AE438" s="40" t="str">
        <f>IF(AND(E438&lt;&gt;'Povolené hodnoty'!$B$4,F438="5b"),I438-J438+L438-M438+O438-P438+R438-S438,"")</f>
        <v/>
      </c>
      <c r="AF438" s="40" t="str">
        <f>IF(AND(E438&lt;&gt;'Povolené hodnoty'!$B$4,F438=6),I438+L438+O438+R438,"")</f>
        <v/>
      </c>
      <c r="AG438" s="41" t="str">
        <f>IF(AND(E438&lt;&gt;'Povolené hodnoty'!$B$4,F438=7),I438+L438+O438+R438,"")</f>
        <v/>
      </c>
      <c r="AH438" s="39" t="str">
        <f>IF(AND(E438&lt;&gt;'Povolené hodnoty'!$B$4,F438=10),J438+M438+P438+S438,"")</f>
        <v/>
      </c>
      <c r="AI438" s="40" t="str">
        <f>IF(AND(E438&lt;&gt;'Povolené hodnoty'!$B$4,F438=11),J438+M438+P438+S438,"")</f>
        <v/>
      </c>
      <c r="AJ438" s="40" t="str">
        <f>IF(AND(E438&lt;&gt;'Povolené hodnoty'!$B$4,F438=12),J438+M438+P438+S438,"")</f>
        <v/>
      </c>
      <c r="AK438" s="41" t="str">
        <f>IF(AND(E438&lt;&gt;'Povolené hodnoty'!$B$4,F438=13),J438+M438+P438+S438,"")</f>
        <v/>
      </c>
      <c r="AL438" s="39" t="str">
        <f>IF(AND($G438='Povolené hodnoty'!$B$13,$H438=AL$4),SUM($I438,$L438,$O438,$R438),"")</f>
        <v/>
      </c>
      <c r="AM438" s="458" t="str">
        <f>IF(AND($G438='Povolené hodnoty'!$B$13,$H438=AM$4),SUM($I438,$L438,$O438,$R438),"")</f>
        <v/>
      </c>
      <c r="AN438" s="458" t="str">
        <f>IF(AND($G438='Povolené hodnoty'!$B$13,$H438=AN$4),SUM($I438,$L438,$O438,$R438),"")</f>
        <v/>
      </c>
      <c r="AO438" s="458" t="str">
        <f>IF(AND($G438='Povolené hodnoty'!$B$13,$H438=AO$4),SUM($I438,$L438,$O438,$R438),"")</f>
        <v/>
      </c>
      <c r="AP438" s="458" t="str">
        <f>IF(AND($G438='Povolené hodnoty'!$B$13,$H438=AP$4),SUM($I438,$L438,$O438,$R438),"")</f>
        <v/>
      </c>
      <c r="AQ438" s="40" t="str">
        <f>IF(AND($G438='Povolené hodnoty'!$B$13,OR($H438=AQ$4,$H438='Povolené hodnoty'!$E$36)),SUM($I438,-$J438,$L438,-$M438,$O438,-$P438,$R438,-$S438),"")</f>
        <v/>
      </c>
      <c r="AR438" s="40" t="str">
        <f>IF(AND($G438='Povolené hodnoty'!$B$13,$H438=AR$4),SUM($I438,$L438,$O438,$R438),"")</f>
        <v/>
      </c>
      <c r="AS438" s="41" t="str">
        <f>IF(AND($G438='Povolené hodnoty'!$B$13,$H438=AS$4),SUM($I438,$L438,$O438,$R438),"")</f>
        <v/>
      </c>
      <c r="AT438" s="39" t="str">
        <f>IF(AND($G438='Povolené hodnoty'!$B$14,$H438=AT$4),SUM($I438,$L438,$O438,$R438),"")</f>
        <v/>
      </c>
      <c r="AU438" s="458" t="str">
        <f>IF(AND($G438='Povolené hodnoty'!$B$14,$H438=AU$4),SUM($I438,$L438,$O438,$R438),"")</f>
        <v/>
      </c>
      <c r="AV438" s="41" t="str">
        <f>IF(AND($G438='Povolené hodnoty'!$B$14,$H438=AV$4),SUM($I438,$L438,$O438,$R438),"")</f>
        <v/>
      </c>
      <c r="AW438" s="39" t="str">
        <f>IF(AND($G438='Povolené hodnoty'!$B$13,$H438=AW$4),SUM($J438,$M438,$P438,$S438),"")</f>
        <v/>
      </c>
      <c r="AX438" s="458" t="str">
        <f>IF(AND($G438='Povolené hodnoty'!$B$13,$H438=AX$4),SUM($J438,$M438,$P438,$S438),"")</f>
        <v/>
      </c>
      <c r="AY438" s="458" t="str">
        <f>IF(AND($G438='Povolené hodnoty'!$B$13,$H438=AY$4),SUM($J438,$M438,$P438,$S438),"")</f>
        <v/>
      </c>
      <c r="AZ438" s="458" t="str">
        <f>IF(AND($G438='Povolené hodnoty'!$B$13,$H438=AZ$4),SUM($J438,$M438,$P438,$S438),"")</f>
        <v/>
      </c>
      <c r="BA438" s="458" t="str">
        <f>IF(AND($G438='Povolené hodnoty'!$B$13,$H438=BA$4),SUM($J438,$M438,$P438,$S438),"")</f>
        <v/>
      </c>
      <c r="BB438" s="40" t="str">
        <f>IF(AND($G438='Povolené hodnoty'!$B$13,$H438=BB$4),SUM($J438,$M438,$P438,$S438),"")</f>
        <v/>
      </c>
      <c r="BC438" s="40" t="str">
        <f>IF(AND($G438='Povolené hodnoty'!$B$13,$H438=BC$4),SUM($J438,$M438,$P438,$S438),"")</f>
        <v/>
      </c>
      <c r="BD438" s="40" t="str">
        <f>IF(AND($G438='Povolené hodnoty'!$B$13,$H438=BD$4),SUM($J438,$M438,$P438,$S438),"")</f>
        <v/>
      </c>
      <c r="BE438" s="41" t="str">
        <f>IF(AND($G438='Povolené hodnoty'!$B$13,$H438=BE$4),SUM($J438,$M438,$P438,$S438),"")</f>
        <v/>
      </c>
      <c r="BF438" s="39" t="str">
        <f>IF(AND($G438='Povolené hodnoty'!$B$14,$H438=BF$4),SUM($J438,$M438,$P438,$S438),"")</f>
        <v/>
      </c>
      <c r="BG438" s="458" t="str">
        <f>IF(AND($G438='Povolené hodnoty'!$B$14,$H438=BG$4),SUM($J438,$M438,$P438,$S438),"")</f>
        <v/>
      </c>
      <c r="BH438" s="458" t="str">
        <f>IF(AND($G438='Povolené hodnoty'!$B$14,$H438=BH$4),SUM($J438,$M438,$P438,$S438),"")</f>
        <v/>
      </c>
      <c r="BI438" s="458" t="str">
        <f>IF(AND($G438='Povolené hodnoty'!$B$14,$H438=BI$4),SUM($J438,$M438,$P438,$S438),"")</f>
        <v/>
      </c>
      <c r="BJ438" s="458" t="str">
        <f>IF(AND($G438='Povolené hodnoty'!$B$14,$H438=BJ$4),SUM($J438,$M438,$P438,$S438),"")</f>
        <v/>
      </c>
      <c r="BK438" s="40" t="str">
        <f>IF(AND($G438='Povolené hodnoty'!$B$14,$H438=BK$4),SUM($J438,$M438,$P438,$S438),"")</f>
        <v/>
      </c>
      <c r="BL438" s="40" t="str">
        <f>IF(AND($G438='Povolené hodnoty'!$B$14,$H438=BL$4),SUM($J438,$M438,$P438,$S438),"")</f>
        <v/>
      </c>
      <c r="BM438" s="41" t="str">
        <f>IF(AND($G438='Povolené hodnoty'!$B$14,$H438=BM$4),SUM($J438,$M438,$P438,$S438),"")</f>
        <v/>
      </c>
      <c r="BO438" s="18" t="b">
        <f t="shared" si="246"/>
        <v>0</v>
      </c>
      <c r="BP438" s="18" t="b">
        <f t="shared" si="217"/>
        <v>0</v>
      </c>
      <c r="BQ438" s="18" t="b">
        <f>AND(E438&lt;&gt;'Povolené hodnoty'!$B$6,F438&lt;&gt;'Povolené hodnoty'!$D$7,F438&lt;&gt;'Povolené hodnoty'!$D$8,OR(SUM(I438,L438,O438,R438)&lt;&gt;SUM(W438:X438,AA438:AG438),SUM(J438,M438,P438,S438)&lt;&gt;SUM(Y438:Z438,AH438:AK438),COUNT(I438:J438,L438:M438,O438:P438,R438:S438)&lt;&gt;COUNT(W438:AK438)))</f>
        <v>0</v>
      </c>
      <c r="BR438" s="18" t="b">
        <f>OR(AND(E438='Povolené hodnoty'!$B$6,$BR$5),AND(E438='Povolené hodnoty'!$B$6,H438&lt;&gt;'Povolené hodnoty'!$E$26,H438&lt;&gt;'Povolené hodnoty'!$E$35),AND(E438&lt;&gt;'Povolené hodnoty'!$B$6,OR(H438='Povolené hodnoty'!$E$26,H438='Povolené hodnoty'!$E$35)))</f>
        <v>0</v>
      </c>
      <c r="BS438" s="18" t="b">
        <f>OR(AND(G438&lt;&gt;'Povolené hodnoty'!$B$13,OR(H438='Povolené hodnoty'!$E$21,H438='Povolené hodnoty'!$E$22,H438='Povolené hodnoty'!$E$23,H438='Povolené hodnoty'!$E$24,H438='Povolené hodnoty'!$E$26,H438='Povolené hodnoty'!$E$36)),COUNT(I438:J438,L438:M438,O438:P438,R438:S438)&lt;&gt;COUNT(AL438:BM438))</f>
        <v>0</v>
      </c>
      <c r="BT438" s="18" t="b">
        <f t="shared" si="218"/>
        <v>0</v>
      </c>
      <c r="BV438" s="39" t="str">
        <f t="shared" si="219"/>
        <v/>
      </c>
      <c r="BW438" s="458" t="str">
        <f t="shared" si="220"/>
        <v/>
      </c>
      <c r="BX438" s="458" t="str">
        <f t="shared" si="221"/>
        <v/>
      </c>
      <c r="BY438" s="458" t="str">
        <f t="shared" si="222"/>
        <v/>
      </c>
      <c r="BZ438" s="458" t="str">
        <f t="shared" si="223"/>
        <v/>
      </c>
      <c r="CA438" s="40" t="str">
        <f t="shared" si="224"/>
        <v/>
      </c>
      <c r="CB438" s="40" t="str">
        <f t="shared" si="225"/>
        <v/>
      </c>
      <c r="CC438" s="39" t="str">
        <f t="shared" si="226"/>
        <v/>
      </c>
      <c r="CD438" s="458" t="str">
        <f t="shared" si="227"/>
        <v/>
      </c>
      <c r="CE438" s="41" t="str">
        <f t="shared" si="228"/>
        <v/>
      </c>
      <c r="CF438" s="39" t="str">
        <f t="shared" si="229"/>
        <v/>
      </c>
      <c r="CG438" s="458" t="str">
        <f t="shared" si="230"/>
        <v/>
      </c>
      <c r="CH438" s="458" t="str">
        <f t="shared" si="231"/>
        <v/>
      </c>
      <c r="CI438" s="458" t="str">
        <f t="shared" si="232"/>
        <v/>
      </c>
      <c r="CJ438" s="458" t="str">
        <f t="shared" si="233"/>
        <v/>
      </c>
      <c r="CK438" s="40" t="str">
        <f t="shared" si="234"/>
        <v/>
      </c>
      <c r="CL438" s="40" t="str">
        <f t="shared" si="235"/>
        <v/>
      </c>
      <c r="CM438" s="40" t="str">
        <f t="shared" si="236"/>
        <v/>
      </c>
      <c r="CN438" s="39" t="str">
        <f t="shared" si="237"/>
        <v/>
      </c>
      <c r="CO438" s="458" t="str">
        <f t="shared" si="238"/>
        <v/>
      </c>
      <c r="CP438" s="458" t="str">
        <f t="shared" si="239"/>
        <v/>
      </c>
      <c r="CQ438" s="458" t="str">
        <f t="shared" si="240"/>
        <v/>
      </c>
      <c r="CR438" s="458" t="str">
        <f t="shared" si="241"/>
        <v/>
      </c>
      <c r="CS438" s="40" t="str">
        <f t="shared" si="242"/>
        <v/>
      </c>
      <c r="CT438" s="40" t="str">
        <f t="shared" si="243"/>
        <v/>
      </c>
      <c r="CU438" s="41" t="str">
        <f t="shared" si="244"/>
        <v/>
      </c>
    </row>
    <row r="439" spans="1:99" x14ac:dyDescent="0.2">
      <c r="A439" s="77">
        <f t="shared" si="245"/>
        <v>434</v>
      </c>
      <c r="B439" s="81"/>
      <c r="C439" s="82"/>
      <c r="D439" s="71"/>
      <c r="E439" s="72"/>
      <c r="F439" s="73"/>
      <c r="G439" s="443"/>
      <c r="H439" s="443"/>
      <c r="I439" s="74"/>
      <c r="J439" s="75"/>
      <c r="K439" s="41">
        <f t="shared" si="249"/>
        <v>3625</v>
      </c>
      <c r="L439" s="104"/>
      <c r="M439" s="105"/>
      <c r="N439" s="106">
        <f t="shared" si="250"/>
        <v>537.05999999999995</v>
      </c>
      <c r="O439" s="104"/>
      <c r="P439" s="105"/>
      <c r="Q439" s="106">
        <f t="shared" si="247"/>
        <v>10045.83</v>
      </c>
      <c r="R439" s="104"/>
      <c r="S439" s="105"/>
      <c r="T439" s="106">
        <f t="shared" si="248"/>
        <v>0</v>
      </c>
      <c r="U439" s="439"/>
      <c r="V439" s="42">
        <f t="shared" si="216"/>
        <v>434</v>
      </c>
      <c r="W439" s="39" t="str">
        <f>IF(AND(E439='Povolené hodnoty'!$B$4,F439=2),I439+L439+O439+R439,"")</f>
        <v/>
      </c>
      <c r="X439" s="41" t="str">
        <f>IF(AND(E439='Povolené hodnoty'!$B$4,F439=1),I439+L439+O439+R439,"")</f>
        <v/>
      </c>
      <c r="Y439" s="39" t="str">
        <f>IF(AND(E439='Povolené hodnoty'!$B$4,F439=10),J439+M439+P439+S439,"")</f>
        <v/>
      </c>
      <c r="Z439" s="41" t="str">
        <f>IF(AND(E439='Povolené hodnoty'!$B$4,F439=9),J439+M439+P439+S439,"")</f>
        <v/>
      </c>
      <c r="AA439" s="39" t="str">
        <f>IF(AND(E439&lt;&gt;'Povolené hodnoty'!$B$4,F439=2),I439+L439+O439+R439,"")</f>
        <v/>
      </c>
      <c r="AB439" s="40" t="str">
        <f>IF(AND(E439&lt;&gt;'Povolené hodnoty'!$B$4,F439=3),I439+L439+O439+R439,"")</f>
        <v/>
      </c>
      <c r="AC439" s="40" t="str">
        <f>IF(AND(E439&lt;&gt;'Povolené hodnoty'!$B$4,F439=4),I439+L439+O439+R439,"")</f>
        <v/>
      </c>
      <c r="AD439" s="40" t="str">
        <f>IF(AND(E439&lt;&gt;'Povolené hodnoty'!$B$4,F439="5a"),I439-J439+L439-M439+O439-P439+R439-S439,"")</f>
        <v/>
      </c>
      <c r="AE439" s="40" t="str">
        <f>IF(AND(E439&lt;&gt;'Povolené hodnoty'!$B$4,F439="5b"),I439-J439+L439-M439+O439-P439+R439-S439,"")</f>
        <v/>
      </c>
      <c r="AF439" s="40" t="str">
        <f>IF(AND(E439&lt;&gt;'Povolené hodnoty'!$B$4,F439=6),I439+L439+O439+R439,"")</f>
        <v/>
      </c>
      <c r="AG439" s="41" t="str">
        <f>IF(AND(E439&lt;&gt;'Povolené hodnoty'!$B$4,F439=7),I439+L439+O439+R439,"")</f>
        <v/>
      </c>
      <c r="AH439" s="39" t="str">
        <f>IF(AND(E439&lt;&gt;'Povolené hodnoty'!$B$4,F439=10),J439+M439+P439+S439,"")</f>
        <v/>
      </c>
      <c r="AI439" s="40" t="str">
        <f>IF(AND(E439&lt;&gt;'Povolené hodnoty'!$B$4,F439=11),J439+M439+P439+S439,"")</f>
        <v/>
      </c>
      <c r="AJ439" s="40" t="str">
        <f>IF(AND(E439&lt;&gt;'Povolené hodnoty'!$B$4,F439=12),J439+M439+P439+S439,"")</f>
        <v/>
      </c>
      <c r="AK439" s="41" t="str">
        <f>IF(AND(E439&lt;&gt;'Povolené hodnoty'!$B$4,F439=13),J439+M439+P439+S439,"")</f>
        <v/>
      </c>
      <c r="AL439" s="39" t="str">
        <f>IF(AND($G439='Povolené hodnoty'!$B$13,$H439=AL$4),SUM($I439,$L439,$O439,$R439),"")</f>
        <v/>
      </c>
      <c r="AM439" s="458" t="str">
        <f>IF(AND($G439='Povolené hodnoty'!$B$13,$H439=AM$4),SUM($I439,$L439,$O439,$R439),"")</f>
        <v/>
      </c>
      <c r="AN439" s="458" t="str">
        <f>IF(AND($G439='Povolené hodnoty'!$B$13,$H439=AN$4),SUM($I439,$L439,$O439,$R439),"")</f>
        <v/>
      </c>
      <c r="AO439" s="458" t="str">
        <f>IF(AND($G439='Povolené hodnoty'!$B$13,$H439=AO$4),SUM($I439,$L439,$O439,$R439),"")</f>
        <v/>
      </c>
      <c r="AP439" s="458" t="str">
        <f>IF(AND($G439='Povolené hodnoty'!$B$13,$H439=AP$4),SUM($I439,$L439,$O439,$R439),"")</f>
        <v/>
      </c>
      <c r="AQ439" s="40" t="str">
        <f>IF(AND($G439='Povolené hodnoty'!$B$13,OR($H439=AQ$4,$H439='Povolené hodnoty'!$E$36)),SUM($I439,-$J439,$L439,-$M439,$O439,-$P439,$R439,-$S439),"")</f>
        <v/>
      </c>
      <c r="AR439" s="40" t="str">
        <f>IF(AND($G439='Povolené hodnoty'!$B$13,$H439=AR$4),SUM($I439,$L439,$O439,$R439),"")</f>
        <v/>
      </c>
      <c r="AS439" s="41" t="str">
        <f>IF(AND($G439='Povolené hodnoty'!$B$13,$H439=AS$4),SUM($I439,$L439,$O439,$R439),"")</f>
        <v/>
      </c>
      <c r="AT439" s="39" t="str">
        <f>IF(AND($G439='Povolené hodnoty'!$B$14,$H439=AT$4),SUM($I439,$L439,$O439,$R439),"")</f>
        <v/>
      </c>
      <c r="AU439" s="458" t="str">
        <f>IF(AND($G439='Povolené hodnoty'!$B$14,$H439=AU$4),SUM($I439,$L439,$O439,$R439),"")</f>
        <v/>
      </c>
      <c r="AV439" s="41" t="str">
        <f>IF(AND($G439='Povolené hodnoty'!$B$14,$H439=AV$4),SUM($I439,$L439,$O439,$R439),"")</f>
        <v/>
      </c>
      <c r="AW439" s="39" t="str">
        <f>IF(AND($G439='Povolené hodnoty'!$B$13,$H439=AW$4),SUM($J439,$M439,$P439,$S439),"")</f>
        <v/>
      </c>
      <c r="AX439" s="458" t="str">
        <f>IF(AND($G439='Povolené hodnoty'!$B$13,$H439=AX$4),SUM($J439,$M439,$P439,$S439),"")</f>
        <v/>
      </c>
      <c r="AY439" s="458" t="str">
        <f>IF(AND($G439='Povolené hodnoty'!$B$13,$H439=AY$4),SUM($J439,$M439,$P439,$S439),"")</f>
        <v/>
      </c>
      <c r="AZ439" s="458" t="str">
        <f>IF(AND($G439='Povolené hodnoty'!$B$13,$H439=AZ$4),SUM($J439,$M439,$P439,$S439),"")</f>
        <v/>
      </c>
      <c r="BA439" s="458" t="str">
        <f>IF(AND($G439='Povolené hodnoty'!$B$13,$H439=BA$4),SUM($J439,$M439,$P439,$S439),"")</f>
        <v/>
      </c>
      <c r="BB439" s="40" t="str">
        <f>IF(AND($G439='Povolené hodnoty'!$B$13,$H439=BB$4),SUM($J439,$M439,$P439,$S439),"")</f>
        <v/>
      </c>
      <c r="BC439" s="40" t="str">
        <f>IF(AND($G439='Povolené hodnoty'!$B$13,$H439=BC$4),SUM($J439,$M439,$P439,$S439),"")</f>
        <v/>
      </c>
      <c r="BD439" s="40" t="str">
        <f>IF(AND($G439='Povolené hodnoty'!$B$13,$H439=BD$4),SUM($J439,$M439,$P439,$S439),"")</f>
        <v/>
      </c>
      <c r="BE439" s="41" t="str">
        <f>IF(AND($G439='Povolené hodnoty'!$B$13,$H439=BE$4),SUM($J439,$M439,$P439,$S439),"")</f>
        <v/>
      </c>
      <c r="BF439" s="39" t="str">
        <f>IF(AND($G439='Povolené hodnoty'!$B$14,$H439=BF$4),SUM($J439,$M439,$P439,$S439),"")</f>
        <v/>
      </c>
      <c r="BG439" s="458" t="str">
        <f>IF(AND($G439='Povolené hodnoty'!$B$14,$H439=BG$4),SUM($J439,$M439,$P439,$S439),"")</f>
        <v/>
      </c>
      <c r="BH439" s="458" t="str">
        <f>IF(AND($G439='Povolené hodnoty'!$B$14,$H439=BH$4),SUM($J439,$M439,$P439,$S439),"")</f>
        <v/>
      </c>
      <c r="BI439" s="458" t="str">
        <f>IF(AND($G439='Povolené hodnoty'!$B$14,$H439=BI$4),SUM($J439,$M439,$P439,$S439),"")</f>
        <v/>
      </c>
      <c r="BJ439" s="458" t="str">
        <f>IF(AND($G439='Povolené hodnoty'!$B$14,$H439=BJ$4),SUM($J439,$M439,$P439,$S439),"")</f>
        <v/>
      </c>
      <c r="BK439" s="40" t="str">
        <f>IF(AND($G439='Povolené hodnoty'!$B$14,$H439=BK$4),SUM($J439,$M439,$P439,$S439),"")</f>
        <v/>
      </c>
      <c r="BL439" s="40" t="str">
        <f>IF(AND($G439='Povolené hodnoty'!$B$14,$H439=BL$4),SUM($J439,$M439,$P439,$S439),"")</f>
        <v/>
      </c>
      <c r="BM439" s="41" t="str">
        <f>IF(AND($G439='Povolené hodnoty'!$B$14,$H439=BM$4),SUM($J439,$M439,$P439,$S439),"")</f>
        <v/>
      </c>
      <c r="BO439" s="18" t="b">
        <f t="shared" si="246"/>
        <v>0</v>
      </c>
      <c r="BP439" s="18" t="b">
        <f t="shared" si="217"/>
        <v>0</v>
      </c>
      <c r="BQ439" s="18" t="b">
        <f>AND(E439&lt;&gt;'Povolené hodnoty'!$B$6,F439&lt;&gt;'Povolené hodnoty'!$D$7,F439&lt;&gt;'Povolené hodnoty'!$D$8,OR(SUM(I439,L439,O439,R439)&lt;&gt;SUM(W439:X439,AA439:AG439),SUM(J439,M439,P439,S439)&lt;&gt;SUM(Y439:Z439,AH439:AK439),COUNT(I439:J439,L439:M439,O439:P439,R439:S439)&lt;&gt;COUNT(W439:AK439)))</f>
        <v>0</v>
      </c>
      <c r="BR439" s="18" t="b">
        <f>OR(AND(E439='Povolené hodnoty'!$B$6,$BR$5),AND(E439='Povolené hodnoty'!$B$6,H439&lt;&gt;'Povolené hodnoty'!$E$26,H439&lt;&gt;'Povolené hodnoty'!$E$35),AND(E439&lt;&gt;'Povolené hodnoty'!$B$6,OR(H439='Povolené hodnoty'!$E$26,H439='Povolené hodnoty'!$E$35)))</f>
        <v>0</v>
      </c>
      <c r="BS439" s="18" t="b">
        <f>OR(AND(G439&lt;&gt;'Povolené hodnoty'!$B$13,OR(H439='Povolené hodnoty'!$E$21,H439='Povolené hodnoty'!$E$22,H439='Povolené hodnoty'!$E$23,H439='Povolené hodnoty'!$E$24,H439='Povolené hodnoty'!$E$26,H439='Povolené hodnoty'!$E$36)),COUNT(I439:J439,L439:M439,O439:P439,R439:S439)&lt;&gt;COUNT(AL439:BM439))</f>
        <v>0</v>
      </c>
      <c r="BT439" s="18" t="b">
        <f t="shared" si="218"/>
        <v>0</v>
      </c>
      <c r="BV439" s="39" t="str">
        <f t="shared" si="219"/>
        <v/>
      </c>
      <c r="BW439" s="458" t="str">
        <f t="shared" si="220"/>
        <v/>
      </c>
      <c r="BX439" s="458" t="str">
        <f t="shared" si="221"/>
        <v/>
      </c>
      <c r="BY439" s="458" t="str">
        <f t="shared" si="222"/>
        <v/>
      </c>
      <c r="BZ439" s="458" t="str">
        <f t="shared" si="223"/>
        <v/>
      </c>
      <c r="CA439" s="40" t="str">
        <f t="shared" si="224"/>
        <v/>
      </c>
      <c r="CB439" s="40" t="str">
        <f t="shared" si="225"/>
        <v/>
      </c>
      <c r="CC439" s="39" t="str">
        <f t="shared" si="226"/>
        <v/>
      </c>
      <c r="CD439" s="458" t="str">
        <f t="shared" si="227"/>
        <v/>
      </c>
      <c r="CE439" s="41" t="str">
        <f t="shared" si="228"/>
        <v/>
      </c>
      <c r="CF439" s="39" t="str">
        <f t="shared" si="229"/>
        <v/>
      </c>
      <c r="CG439" s="458" t="str">
        <f t="shared" si="230"/>
        <v/>
      </c>
      <c r="CH439" s="458" t="str">
        <f t="shared" si="231"/>
        <v/>
      </c>
      <c r="CI439" s="458" t="str">
        <f t="shared" si="232"/>
        <v/>
      </c>
      <c r="CJ439" s="458" t="str">
        <f t="shared" si="233"/>
        <v/>
      </c>
      <c r="CK439" s="40" t="str">
        <f t="shared" si="234"/>
        <v/>
      </c>
      <c r="CL439" s="40" t="str">
        <f t="shared" si="235"/>
        <v/>
      </c>
      <c r="CM439" s="40" t="str">
        <f t="shared" si="236"/>
        <v/>
      </c>
      <c r="CN439" s="39" t="str">
        <f t="shared" si="237"/>
        <v/>
      </c>
      <c r="CO439" s="458" t="str">
        <f t="shared" si="238"/>
        <v/>
      </c>
      <c r="CP439" s="458" t="str">
        <f t="shared" si="239"/>
        <v/>
      </c>
      <c r="CQ439" s="458" t="str">
        <f t="shared" si="240"/>
        <v/>
      </c>
      <c r="CR439" s="458" t="str">
        <f t="shared" si="241"/>
        <v/>
      </c>
      <c r="CS439" s="40" t="str">
        <f t="shared" si="242"/>
        <v/>
      </c>
      <c r="CT439" s="40" t="str">
        <f t="shared" si="243"/>
        <v/>
      </c>
      <c r="CU439" s="41" t="str">
        <f t="shared" si="244"/>
        <v/>
      </c>
    </row>
    <row r="440" spans="1:99" x14ac:dyDescent="0.2">
      <c r="A440" s="77">
        <f t="shared" si="245"/>
        <v>435</v>
      </c>
      <c r="B440" s="81"/>
      <c r="C440" s="82"/>
      <c r="D440" s="71"/>
      <c r="E440" s="72"/>
      <c r="F440" s="73"/>
      <c r="G440" s="443"/>
      <c r="H440" s="443"/>
      <c r="I440" s="74"/>
      <c r="J440" s="75"/>
      <c r="K440" s="41">
        <f t="shared" si="249"/>
        <v>3625</v>
      </c>
      <c r="L440" s="104"/>
      <c r="M440" s="105"/>
      <c r="N440" s="106">
        <f t="shared" si="250"/>
        <v>537.05999999999995</v>
      </c>
      <c r="O440" s="104"/>
      <c r="P440" s="105"/>
      <c r="Q440" s="106">
        <f t="shared" si="247"/>
        <v>10045.83</v>
      </c>
      <c r="R440" s="104"/>
      <c r="S440" s="105"/>
      <c r="T440" s="106">
        <f t="shared" si="248"/>
        <v>0</v>
      </c>
      <c r="U440" s="439"/>
      <c r="V440" s="42">
        <f t="shared" si="216"/>
        <v>435</v>
      </c>
      <c r="W440" s="39" t="str">
        <f>IF(AND(E440='Povolené hodnoty'!$B$4,F440=2),I440+L440+O440+R440,"")</f>
        <v/>
      </c>
      <c r="X440" s="41" t="str">
        <f>IF(AND(E440='Povolené hodnoty'!$B$4,F440=1),I440+L440+O440+R440,"")</f>
        <v/>
      </c>
      <c r="Y440" s="39" t="str">
        <f>IF(AND(E440='Povolené hodnoty'!$B$4,F440=10),J440+M440+P440+S440,"")</f>
        <v/>
      </c>
      <c r="Z440" s="41" t="str">
        <f>IF(AND(E440='Povolené hodnoty'!$B$4,F440=9),J440+M440+P440+S440,"")</f>
        <v/>
      </c>
      <c r="AA440" s="39" t="str">
        <f>IF(AND(E440&lt;&gt;'Povolené hodnoty'!$B$4,F440=2),I440+L440+O440+R440,"")</f>
        <v/>
      </c>
      <c r="AB440" s="40" t="str">
        <f>IF(AND(E440&lt;&gt;'Povolené hodnoty'!$B$4,F440=3),I440+L440+O440+R440,"")</f>
        <v/>
      </c>
      <c r="AC440" s="40" t="str">
        <f>IF(AND(E440&lt;&gt;'Povolené hodnoty'!$B$4,F440=4),I440+L440+O440+R440,"")</f>
        <v/>
      </c>
      <c r="AD440" s="40" t="str">
        <f>IF(AND(E440&lt;&gt;'Povolené hodnoty'!$B$4,F440="5a"),I440-J440+L440-M440+O440-P440+R440-S440,"")</f>
        <v/>
      </c>
      <c r="AE440" s="40" t="str">
        <f>IF(AND(E440&lt;&gt;'Povolené hodnoty'!$B$4,F440="5b"),I440-J440+L440-M440+O440-P440+R440-S440,"")</f>
        <v/>
      </c>
      <c r="AF440" s="40" t="str">
        <f>IF(AND(E440&lt;&gt;'Povolené hodnoty'!$B$4,F440=6),I440+L440+O440+R440,"")</f>
        <v/>
      </c>
      <c r="AG440" s="41" t="str">
        <f>IF(AND(E440&lt;&gt;'Povolené hodnoty'!$B$4,F440=7),I440+L440+O440+R440,"")</f>
        <v/>
      </c>
      <c r="AH440" s="39" t="str">
        <f>IF(AND(E440&lt;&gt;'Povolené hodnoty'!$B$4,F440=10),J440+M440+P440+S440,"")</f>
        <v/>
      </c>
      <c r="AI440" s="40" t="str">
        <f>IF(AND(E440&lt;&gt;'Povolené hodnoty'!$B$4,F440=11),J440+M440+P440+S440,"")</f>
        <v/>
      </c>
      <c r="AJ440" s="40" t="str">
        <f>IF(AND(E440&lt;&gt;'Povolené hodnoty'!$B$4,F440=12),J440+M440+P440+S440,"")</f>
        <v/>
      </c>
      <c r="AK440" s="41" t="str">
        <f>IF(AND(E440&lt;&gt;'Povolené hodnoty'!$B$4,F440=13),J440+M440+P440+S440,"")</f>
        <v/>
      </c>
      <c r="AL440" s="39" t="str">
        <f>IF(AND($G440='Povolené hodnoty'!$B$13,$H440=AL$4),SUM($I440,$L440,$O440,$R440),"")</f>
        <v/>
      </c>
      <c r="AM440" s="458" t="str">
        <f>IF(AND($G440='Povolené hodnoty'!$B$13,$H440=AM$4),SUM($I440,$L440,$O440,$R440),"")</f>
        <v/>
      </c>
      <c r="AN440" s="458" t="str">
        <f>IF(AND($G440='Povolené hodnoty'!$B$13,$H440=AN$4),SUM($I440,$L440,$O440,$R440),"")</f>
        <v/>
      </c>
      <c r="AO440" s="458" t="str">
        <f>IF(AND($G440='Povolené hodnoty'!$B$13,$H440=AO$4),SUM($I440,$L440,$O440,$R440),"")</f>
        <v/>
      </c>
      <c r="AP440" s="458" t="str">
        <f>IF(AND($G440='Povolené hodnoty'!$B$13,$H440=AP$4),SUM($I440,$L440,$O440,$R440),"")</f>
        <v/>
      </c>
      <c r="AQ440" s="40" t="str">
        <f>IF(AND($G440='Povolené hodnoty'!$B$13,OR($H440=AQ$4,$H440='Povolené hodnoty'!$E$36)),SUM($I440,-$J440,$L440,-$M440,$O440,-$P440,$R440,-$S440),"")</f>
        <v/>
      </c>
      <c r="AR440" s="40" t="str">
        <f>IF(AND($G440='Povolené hodnoty'!$B$13,$H440=AR$4),SUM($I440,$L440,$O440,$R440),"")</f>
        <v/>
      </c>
      <c r="AS440" s="41" t="str">
        <f>IF(AND($G440='Povolené hodnoty'!$B$13,$H440=AS$4),SUM($I440,$L440,$O440,$R440),"")</f>
        <v/>
      </c>
      <c r="AT440" s="39" t="str">
        <f>IF(AND($G440='Povolené hodnoty'!$B$14,$H440=AT$4),SUM($I440,$L440,$O440,$R440),"")</f>
        <v/>
      </c>
      <c r="AU440" s="458" t="str">
        <f>IF(AND($G440='Povolené hodnoty'!$B$14,$H440=AU$4),SUM($I440,$L440,$O440,$R440),"")</f>
        <v/>
      </c>
      <c r="AV440" s="41" t="str">
        <f>IF(AND($G440='Povolené hodnoty'!$B$14,$H440=AV$4),SUM($I440,$L440,$O440,$R440),"")</f>
        <v/>
      </c>
      <c r="AW440" s="39" t="str">
        <f>IF(AND($G440='Povolené hodnoty'!$B$13,$H440=AW$4),SUM($J440,$M440,$P440,$S440),"")</f>
        <v/>
      </c>
      <c r="AX440" s="458" t="str">
        <f>IF(AND($G440='Povolené hodnoty'!$B$13,$H440=AX$4),SUM($J440,$M440,$P440,$S440),"")</f>
        <v/>
      </c>
      <c r="AY440" s="458" t="str">
        <f>IF(AND($G440='Povolené hodnoty'!$B$13,$H440=AY$4),SUM($J440,$M440,$P440,$S440),"")</f>
        <v/>
      </c>
      <c r="AZ440" s="458" t="str">
        <f>IF(AND($G440='Povolené hodnoty'!$B$13,$H440=AZ$4),SUM($J440,$M440,$P440,$S440),"")</f>
        <v/>
      </c>
      <c r="BA440" s="458" t="str">
        <f>IF(AND($G440='Povolené hodnoty'!$B$13,$H440=BA$4),SUM($J440,$M440,$P440,$S440),"")</f>
        <v/>
      </c>
      <c r="BB440" s="40" t="str">
        <f>IF(AND($G440='Povolené hodnoty'!$B$13,$H440=BB$4),SUM($J440,$M440,$P440,$S440),"")</f>
        <v/>
      </c>
      <c r="BC440" s="40" t="str">
        <f>IF(AND($G440='Povolené hodnoty'!$B$13,$H440=BC$4),SUM($J440,$M440,$P440,$S440),"")</f>
        <v/>
      </c>
      <c r="BD440" s="40" t="str">
        <f>IF(AND($G440='Povolené hodnoty'!$B$13,$H440=BD$4),SUM($J440,$M440,$P440,$S440),"")</f>
        <v/>
      </c>
      <c r="BE440" s="41" t="str">
        <f>IF(AND($G440='Povolené hodnoty'!$B$13,$H440=BE$4),SUM($J440,$M440,$P440,$S440),"")</f>
        <v/>
      </c>
      <c r="BF440" s="39" t="str">
        <f>IF(AND($G440='Povolené hodnoty'!$B$14,$H440=BF$4),SUM($J440,$M440,$P440,$S440),"")</f>
        <v/>
      </c>
      <c r="BG440" s="458" t="str">
        <f>IF(AND($G440='Povolené hodnoty'!$B$14,$H440=BG$4),SUM($J440,$M440,$P440,$S440),"")</f>
        <v/>
      </c>
      <c r="BH440" s="458" t="str">
        <f>IF(AND($G440='Povolené hodnoty'!$B$14,$H440=BH$4),SUM($J440,$M440,$P440,$S440),"")</f>
        <v/>
      </c>
      <c r="BI440" s="458" t="str">
        <f>IF(AND($G440='Povolené hodnoty'!$B$14,$H440=BI$4),SUM($J440,$M440,$P440,$S440),"")</f>
        <v/>
      </c>
      <c r="BJ440" s="458" t="str">
        <f>IF(AND($G440='Povolené hodnoty'!$B$14,$H440=BJ$4),SUM($J440,$M440,$P440,$S440),"")</f>
        <v/>
      </c>
      <c r="BK440" s="40" t="str">
        <f>IF(AND($G440='Povolené hodnoty'!$B$14,$H440=BK$4),SUM($J440,$M440,$P440,$S440),"")</f>
        <v/>
      </c>
      <c r="BL440" s="40" t="str">
        <f>IF(AND($G440='Povolené hodnoty'!$B$14,$H440=BL$4),SUM($J440,$M440,$P440,$S440),"")</f>
        <v/>
      </c>
      <c r="BM440" s="41" t="str">
        <f>IF(AND($G440='Povolené hodnoty'!$B$14,$H440=BM$4),SUM($J440,$M440,$P440,$S440),"")</f>
        <v/>
      </c>
      <c r="BO440" s="18" t="b">
        <f t="shared" si="246"/>
        <v>0</v>
      </c>
      <c r="BP440" s="18" t="b">
        <f t="shared" si="217"/>
        <v>0</v>
      </c>
      <c r="BQ440" s="18" t="b">
        <f>AND(E440&lt;&gt;'Povolené hodnoty'!$B$6,F440&lt;&gt;'Povolené hodnoty'!$D$7,F440&lt;&gt;'Povolené hodnoty'!$D$8,OR(SUM(I440,L440,O440,R440)&lt;&gt;SUM(W440:X440,AA440:AG440),SUM(J440,M440,P440,S440)&lt;&gt;SUM(Y440:Z440,AH440:AK440),COUNT(I440:J440,L440:M440,O440:P440,R440:S440)&lt;&gt;COUNT(W440:AK440)))</f>
        <v>0</v>
      </c>
      <c r="BR440" s="18" t="b">
        <f>OR(AND(E440='Povolené hodnoty'!$B$6,$BR$5),AND(E440='Povolené hodnoty'!$B$6,H440&lt;&gt;'Povolené hodnoty'!$E$26,H440&lt;&gt;'Povolené hodnoty'!$E$35),AND(E440&lt;&gt;'Povolené hodnoty'!$B$6,OR(H440='Povolené hodnoty'!$E$26,H440='Povolené hodnoty'!$E$35)))</f>
        <v>0</v>
      </c>
      <c r="BS440" s="18" t="b">
        <f>OR(AND(G440&lt;&gt;'Povolené hodnoty'!$B$13,OR(H440='Povolené hodnoty'!$E$21,H440='Povolené hodnoty'!$E$22,H440='Povolené hodnoty'!$E$23,H440='Povolené hodnoty'!$E$24,H440='Povolené hodnoty'!$E$26,H440='Povolené hodnoty'!$E$36)),COUNT(I440:J440,L440:M440,O440:P440,R440:S440)&lt;&gt;COUNT(AL440:BM440))</f>
        <v>0</v>
      </c>
      <c r="BT440" s="18" t="b">
        <f t="shared" si="218"/>
        <v>0</v>
      </c>
      <c r="BV440" s="39" t="str">
        <f t="shared" si="219"/>
        <v/>
      </c>
      <c r="BW440" s="458" t="str">
        <f t="shared" si="220"/>
        <v/>
      </c>
      <c r="BX440" s="458" t="str">
        <f t="shared" si="221"/>
        <v/>
      </c>
      <c r="BY440" s="458" t="str">
        <f t="shared" si="222"/>
        <v/>
      </c>
      <c r="BZ440" s="458" t="str">
        <f t="shared" si="223"/>
        <v/>
      </c>
      <c r="CA440" s="40" t="str">
        <f t="shared" si="224"/>
        <v/>
      </c>
      <c r="CB440" s="40" t="str">
        <f t="shared" si="225"/>
        <v/>
      </c>
      <c r="CC440" s="39" t="str">
        <f t="shared" si="226"/>
        <v/>
      </c>
      <c r="CD440" s="458" t="str">
        <f t="shared" si="227"/>
        <v/>
      </c>
      <c r="CE440" s="41" t="str">
        <f t="shared" si="228"/>
        <v/>
      </c>
      <c r="CF440" s="39" t="str">
        <f t="shared" si="229"/>
        <v/>
      </c>
      <c r="CG440" s="458" t="str">
        <f t="shared" si="230"/>
        <v/>
      </c>
      <c r="CH440" s="458" t="str">
        <f t="shared" si="231"/>
        <v/>
      </c>
      <c r="CI440" s="458" t="str">
        <f t="shared" si="232"/>
        <v/>
      </c>
      <c r="CJ440" s="458" t="str">
        <f t="shared" si="233"/>
        <v/>
      </c>
      <c r="CK440" s="40" t="str">
        <f t="shared" si="234"/>
        <v/>
      </c>
      <c r="CL440" s="40" t="str">
        <f t="shared" si="235"/>
        <v/>
      </c>
      <c r="CM440" s="40" t="str">
        <f t="shared" si="236"/>
        <v/>
      </c>
      <c r="CN440" s="39" t="str">
        <f t="shared" si="237"/>
        <v/>
      </c>
      <c r="CO440" s="458" t="str">
        <f t="shared" si="238"/>
        <v/>
      </c>
      <c r="CP440" s="458" t="str">
        <f t="shared" si="239"/>
        <v/>
      </c>
      <c r="CQ440" s="458" t="str">
        <f t="shared" si="240"/>
        <v/>
      </c>
      <c r="CR440" s="458" t="str">
        <f t="shared" si="241"/>
        <v/>
      </c>
      <c r="CS440" s="40" t="str">
        <f t="shared" si="242"/>
        <v/>
      </c>
      <c r="CT440" s="40" t="str">
        <f t="shared" si="243"/>
        <v/>
      </c>
      <c r="CU440" s="41" t="str">
        <f t="shared" si="244"/>
        <v/>
      </c>
    </row>
    <row r="441" spans="1:99" x14ac:dyDescent="0.2">
      <c r="A441" s="77">
        <f t="shared" si="245"/>
        <v>436</v>
      </c>
      <c r="B441" s="81"/>
      <c r="C441" s="82"/>
      <c r="D441" s="71"/>
      <c r="E441" s="72"/>
      <c r="F441" s="73"/>
      <c r="G441" s="443"/>
      <c r="H441" s="443"/>
      <c r="I441" s="74"/>
      <c r="J441" s="75"/>
      <c r="K441" s="41">
        <f t="shared" si="249"/>
        <v>3625</v>
      </c>
      <c r="L441" s="104"/>
      <c r="M441" s="105"/>
      <c r="N441" s="106">
        <f t="shared" si="250"/>
        <v>537.05999999999995</v>
      </c>
      <c r="O441" s="104"/>
      <c r="P441" s="105"/>
      <c r="Q441" s="106">
        <f t="shared" si="247"/>
        <v>10045.83</v>
      </c>
      <c r="R441" s="104"/>
      <c r="S441" s="105"/>
      <c r="T441" s="106">
        <f t="shared" si="248"/>
        <v>0</v>
      </c>
      <c r="U441" s="439"/>
      <c r="V441" s="42">
        <f t="shared" si="216"/>
        <v>436</v>
      </c>
      <c r="W441" s="39" t="str">
        <f>IF(AND(E441='Povolené hodnoty'!$B$4,F441=2),I441+L441+O441+R441,"")</f>
        <v/>
      </c>
      <c r="X441" s="41" t="str">
        <f>IF(AND(E441='Povolené hodnoty'!$B$4,F441=1),I441+L441+O441+R441,"")</f>
        <v/>
      </c>
      <c r="Y441" s="39" t="str">
        <f>IF(AND(E441='Povolené hodnoty'!$B$4,F441=10),J441+M441+P441+S441,"")</f>
        <v/>
      </c>
      <c r="Z441" s="41" t="str">
        <f>IF(AND(E441='Povolené hodnoty'!$B$4,F441=9),J441+M441+P441+S441,"")</f>
        <v/>
      </c>
      <c r="AA441" s="39" t="str">
        <f>IF(AND(E441&lt;&gt;'Povolené hodnoty'!$B$4,F441=2),I441+L441+O441+R441,"")</f>
        <v/>
      </c>
      <c r="AB441" s="40" t="str">
        <f>IF(AND(E441&lt;&gt;'Povolené hodnoty'!$B$4,F441=3),I441+L441+O441+R441,"")</f>
        <v/>
      </c>
      <c r="AC441" s="40" t="str">
        <f>IF(AND(E441&lt;&gt;'Povolené hodnoty'!$B$4,F441=4),I441+L441+O441+R441,"")</f>
        <v/>
      </c>
      <c r="AD441" s="40" t="str">
        <f>IF(AND(E441&lt;&gt;'Povolené hodnoty'!$B$4,F441="5a"),I441-J441+L441-M441+O441-P441+R441-S441,"")</f>
        <v/>
      </c>
      <c r="AE441" s="40" t="str">
        <f>IF(AND(E441&lt;&gt;'Povolené hodnoty'!$B$4,F441="5b"),I441-J441+L441-M441+O441-P441+R441-S441,"")</f>
        <v/>
      </c>
      <c r="AF441" s="40" t="str">
        <f>IF(AND(E441&lt;&gt;'Povolené hodnoty'!$B$4,F441=6),I441+L441+O441+R441,"")</f>
        <v/>
      </c>
      <c r="AG441" s="41" t="str">
        <f>IF(AND(E441&lt;&gt;'Povolené hodnoty'!$B$4,F441=7),I441+L441+O441+R441,"")</f>
        <v/>
      </c>
      <c r="AH441" s="39" t="str">
        <f>IF(AND(E441&lt;&gt;'Povolené hodnoty'!$B$4,F441=10),J441+M441+P441+S441,"")</f>
        <v/>
      </c>
      <c r="AI441" s="40" t="str">
        <f>IF(AND(E441&lt;&gt;'Povolené hodnoty'!$B$4,F441=11),J441+M441+P441+S441,"")</f>
        <v/>
      </c>
      <c r="AJ441" s="40" t="str">
        <f>IF(AND(E441&lt;&gt;'Povolené hodnoty'!$B$4,F441=12),J441+M441+P441+S441,"")</f>
        <v/>
      </c>
      <c r="AK441" s="41" t="str">
        <f>IF(AND(E441&lt;&gt;'Povolené hodnoty'!$B$4,F441=13),J441+M441+P441+S441,"")</f>
        <v/>
      </c>
      <c r="AL441" s="39" t="str">
        <f>IF(AND($G441='Povolené hodnoty'!$B$13,$H441=AL$4),SUM($I441,$L441,$O441,$R441),"")</f>
        <v/>
      </c>
      <c r="AM441" s="458" t="str">
        <f>IF(AND($G441='Povolené hodnoty'!$B$13,$H441=AM$4),SUM($I441,$L441,$O441,$R441),"")</f>
        <v/>
      </c>
      <c r="AN441" s="458" t="str">
        <f>IF(AND($G441='Povolené hodnoty'!$B$13,$H441=AN$4),SUM($I441,$L441,$O441,$R441),"")</f>
        <v/>
      </c>
      <c r="AO441" s="458" t="str">
        <f>IF(AND($G441='Povolené hodnoty'!$B$13,$H441=AO$4),SUM($I441,$L441,$O441,$R441),"")</f>
        <v/>
      </c>
      <c r="AP441" s="458" t="str">
        <f>IF(AND($G441='Povolené hodnoty'!$B$13,$H441=AP$4),SUM($I441,$L441,$O441,$R441),"")</f>
        <v/>
      </c>
      <c r="AQ441" s="40" t="str">
        <f>IF(AND($G441='Povolené hodnoty'!$B$13,OR($H441=AQ$4,$H441='Povolené hodnoty'!$E$36)),SUM($I441,-$J441,$L441,-$M441,$O441,-$P441,$R441,-$S441),"")</f>
        <v/>
      </c>
      <c r="AR441" s="40" t="str">
        <f>IF(AND($G441='Povolené hodnoty'!$B$13,$H441=AR$4),SUM($I441,$L441,$O441,$R441),"")</f>
        <v/>
      </c>
      <c r="AS441" s="41" t="str">
        <f>IF(AND($G441='Povolené hodnoty'!$B$13,$H441=AS$4),SUM($I441,$L441,$O441,$R441),"")</f>
        <v/>
      </c>
      <c r="AT441" s="39" t="str">
        <f>IF(AND($G441='Povolené hodnoty'!$B$14,$H441=AT$4),SUM($I441,$L441,$O441,$R441),"")</f>
        <v/>
      </c>
      <c r="AU441" s="458" t="str">
        <f>IF(AND($G441='Povolené hodnoty'!$B$14,$H441=AU$4),SUM($I441,$L441,$O441,$R441),"")</f>
        <v/>
      </c>
      <c r="AV441" s="41" t="str">
        <f>IF(AND($G441='Povolené hodnoty'!$B$14,$H441=AV$4),SUM($I441,$L441,$O441,$R441),"")</f>
        <v/>
      </c>
      <c r="AW441" s="39" t="str">
        <f>IF(AND($G441='Povolené hodnoty'!$B$13,$H441=AW$4),SUM($J441,$M441,$P441,$S441),"")</f>
        <v/>
      </c>
      <c r="AX441" s="458" t="str">
        <f>IF(AND($G441='Povolené hodnoty'!$B$13,$H441=AX$4),SUM($J441,$M441,$P441,$S441),"")</f>
        <v/>
      </c>
      <c r="AY441" s="458" t="str">
        <f>IF(AND($G441='Povolené hodnoty'!$B$13,$H441=AY$4),SUM($J441,$M441,$P441,$S441),"")</f>
        <v/>
      </c>
      <c r="AZ441" s="458" t="str">
        <f>IF(AND($G441='Povolené hodnoty'!$B$13,$H441=AZ$4),SUM($J441,$M441,$P441,$S441),"")</f>
        <v/>
      </c>
      <c r="BA441" s="458" t="str">
        <f>IF(AND($G441='Povolené hodnoty'!$B$13,$H441=BA$4),SUM($J441,$M441,$P441,$S441),"")</f>
        <v/>
      </c>
      <c r="BB441" s="40" t="str">
        <f>IF(AND($G441='Povolené hodnoty'!$B$13,$H441=BB$4),SUM($J441,$M441,$P441,$S441),"")</f>
        <v/>
      </c>
      <c r="BC441" s="40" t="str">
        <f>IF(AND($G441='Povolené hodnoty'!$B$13,$H441=BC$4),SUM($J441,$M441,$P441,$S441),"")</f>
        <v/>
      </c>
      <c r="BD441" s="40" t="str">
        <f>IF(AND($G441='Povolené hodnoty'!$B$13,$H441=BD$4),SUM($J441,$M441,$P441,$S441),"")</f>
        <v/>
      </c>
      <c r="BE441" s="41" t="str">
        <f>IF(AND($G441='Povolené hodnoty'!$B$13,$H441=BE$4),SUM($J441,$M441,$P441,$S441),"")</f>
        <v/>
      </c>
      <c r="BF441" s="39" t="str">
        <f>IF(AND($G441='Povolené hodnoty'!$B$14,$H441=BF$4),SUM($J441,$M441,$P441,$S441),"")</f>
        <v/>
      </c>
      <c r="BG441" s="458" t="str">
        <f>IF(AND($G441='Povolené hodnoty'!$B$14,$H441=BG$4),SUM($J441,$M441,$P441,$S441),"")</f>
        <v/>
      </c>
      <c r="BH441" s="458" t="str">
        <f>IF(AND($G441='Povolené hodnoty'!$B$14,$H441=BH$4),SUM($J441,$M441,$P441,$S441),"")</f>
        <v/>
      </c>
      <c r="BI441" s="458" t="str">
        <f>IF(AND($G441='Povolené hodnoty'!$B$14,$H441=BI$4),SUM($J441,$M441,$P441,$S441),"")</f>
        <v/>
      </c>
      <c r="BJ441" s="458" t="str">
        <f>IF(AND($G441='Povolené hodnoty'!$B$14,$H441=BJ$4),SUM($J441,$M441,$P441,$S441),"")</f>
        <v/>
      </c>
      <c r="BK441" s="40" t="str">
        <f>IF(AND($G441='Povolené hodnoty'!$B$14,$H441=BK$4),SUM($J441,$M441,$P441,$S441),"")</f>
        <v/>
      </c>
      <c r="BL441" s="40" t="str">
        <f>IF(AND($G441='Povolené hodnoty'!$B$14,$H441=BL$4),SUM($J441,$M441,$P441,$S441),"")</f>
        <v/>
      </c>
      <c r="BM441" s="41" t="str">
        <f>IF(AND($G441='Povolené hodnoty'!$B$14,$H441=BM$4),SUM($J441,$M441,$P441,$S441),"")</f>
        <v/>
      </c>
      <c r="BO441" s="18" t="b">
        <f t="shared" si="246"/>
        <v>0</v>
      </c>
      <c r="BP441" s="18" t="b">
        <f t="shared" si="217"/>
        <v>0</v>
      </c>
      <c r="BQ441" s="18" t="b">
        <f>AND(E441&lt;&gt;'Povolené hodnoty'!$B$6,F441&lt;&gt;'Povolené hodnoty'!$D$7,F441&lt;&gt;'Povolené hodnoty'!$D$8,OR(SUM(I441,L441,O441,R441)&lt;&gt;SUM(W441:X441,AA441:AG441),SUM(J441,M441,P441,S441)&lt;&gt;SUM(Y441:Z441,AH441:AK441),COUNT(I441:J441,L441:M441,O441:P441,R441:S441)&lt;&gt;COUNT(W441:AK441)))</f>
        <v>0</v>
      </c>
      <c r="BR441" s="18" t="b">
        <f>OR(AND(E441='Povolené hodnoty'!$B$6,$BR$5),AND(E441='Povolené hodnoty'!$B$6,H441&lt;&gt;'Povolené hodnoty'!$E$26,H441&lt;&gt;'Povolené hodnoty'!$E$35),AND(E441&lt;&gt;'Povolené hodnoty'!$B$6,OR(H441='Povolené hodnoty'!$E$26,H441='Povolené hodnoty'!$E$35)))</f>
        <v>0</v>
      </c>
      <c r="BS441" s="18" t="b">
        <f>OR(AND(G441&lt;&gt;'Povolené hodnoty'!$B$13,OR(H441='Povolené hodnoty'!$E$21,H441='Povolené hodnoty'!$E$22,H441='Povolené hodnoty'!$E$23,H441='Povolené hodnoty'!$E$24,H441='Povolené hodnoty'!$E$26,H441='Povolené hodnoty'!$E$36)),COUNT(I441:J441,L441:M441,O441:P441,R441:S441)&lt;&gt;COUNT(AL441:BM441))</f>
        <v>0</v>
      </c>
      <c r="BT441" s="18" t="b">
        <f t="shared" si="218"/>
        <v>0</v>
      </c>
      <c r="BV441" s="39" t="str">
        <f t="shared" si="219"/>
        <v/>
      </c>
      <c r="BW441" s="458" t="str">
        <f t="shared" si="220"/>
        <v/>
      </c>
      <c r="BX441" s="458" t="str">
        <f t="shared" si="221"/>
        <v/>
      </c>
      <c r="BY441" s="458" t="str">
        <f t="shared" si="222"/>
        <v/>
      </c>
      <c r="BZ441" s="458" t="str">
        <f t="shared" si="223"/>
        <v/>
      </c>
      <c r="CA441" s="40" t="str">
        <f t="shared" si="224"/>
        <v/>
      </c>
      <c r="CB441" s="40" t="str">
        <f t="shared" si="225"/>
        <v/>
      </c>
      <c r="CC441" s="39" t="str">
        <f t="shared" si="226"/>
        <v/>
      </c>
      <c r="CD441" s="458" t="str">
        <f t="shared" si="227"/>
        <v/>
      </c>
      <c r="CE441" s="41" t="str">
        <f t="shared" si="228"/>
        <v/>
      </c>
      <c r="CF441" s="39" t="str">
        <f t="shared" si="229"/>
        <v/>
      </c>
      <c r="CG441" s="458" t="str">
        <f t="shared" si="230"/>
        <v/>
      </c>
      <c r="CH441" s="458" t="str">
        <f t="shared" si="231"/>
        <v/>
      </c>
      <c r="CI441" s="458" t="str">
        <f t="shared" si="232"/>
        <v/>
      </c>
      <c r="CJ441" s="458" t="str">
        <f t="shared" si="233"/>
        <v/>
      </c>
      <c r="CK441" s="40" t="str">
        <f t="shared" si="234"/>
        <v/>
      </c>
      <c r="CL441" s="40" t="str">
        <f t="shared" si="235"/>
        <v/>
      </c>
      <c r="CM441" s="40" t="str">
        <f t="shared" si="236"/>
        <v/>
      </c>
      <c r="CN441" s="39" t="str">
        <f t="shared" si="237"/>
        <v/>
      </c>
      <c r="CO441" s="458" t="str">
        <f t="shared" si="238"/>
        <v/>
      </c>
      <c r="CP441" s="458" t="str">
        <f t="shared" si="239"/>
        <v/>
      </c>
      <c r="CQ441" s="458" t="str">
        <f t="shared" si="240"/>
        <v/>
      </c>
      <c r="CR441" s="458" t="str">
        <f t="shared" si="241"/>
        <v/>
      </c>
      <c r="CS441" s="40" t="str">
        <f t="shared" si="242"/>
        <v/>
      </c>
      <c r="CT441" s="40" t="str">
        <f t="shared" si="243"/>
        <v/>
      </c>
      <c r="CU441" s="41" t="str">
        <f t="shared" si="244"/>
        <v/>
      </c>
    </row>
    <row r="442" spans="1:99" x14ac:dyDescent="0.2">
      <c r="A442" s="77">
        <f t="shared" si="245"/>
        <v>437</v>
      </c>
      <c r="B442" s="81"/>
      <c r="C442" s="82"/>
      <c r="D442" s="71"/>
      <c r="E442" s="72"/>
      <c r="F442" s="73"/>
      <c r="G442" s="443"/>
      <c r="H442" s="443"/>
      <c r="I442" s="74"/>
      <c r="J442" s="75"/>
      <c r="K442" s="41">
        <f t="shared" si="249"/>
        <v>3625</v>
      </c>
      <c r="L442" s="104"/>
      <c r="M442" s="105"/>
      <c r="N442" s="106">
        <f t="shared" si="250"/>
        <v>537.05999999999995</v>
      </c>
      <c r="O442" s="104"/>
      <c r="P442" s="105"/>
      <c r="Q442" s="106">
        <f t="shared" si="247"/>
        <v>10045.83</v>
      </c>
      <c r="R442" s="104"/>
      <c r="S442" s="105"/>
      <c r="T442" s="106">
        <f t="shared" si="248"/>
        <v>0</v>
      </c>
      <c r="U442" s="439"/>
      <c r="V442" s="42">
        <f t="shared" si="216"/>
        <v>437</v>
      </c>
      <c r="W442" s="39" t="str">
        <f>IF(AND(E442='Povolené hodnoty'!$B$4,F442=2),I442+L442+O442+R442,"")</f>
        <v/>
      </c>
      <c r="X442" s="41" t="str">
        <f>IF(AND(E442='Povolené hodnoty'!$B$4,F442=1),I442+L442+O442+R442,"")</f>
        <v/>
      </c>
      <c r="Y442" s="39" t="str">
        <f>IF(AND(E442='Povolené hodnoty'!$B$4,F442=10),J442+M442+P442+S442,"")</f>
        <v/>
      </c>
      <c r="Z442" s="41" t="str">
        <f>IF(AND(E442='Povolené hodnoty'!$B$4,F442=9),J442+M442+P442+S442,"")</f>
        <v/>
      </c>
      <c r="AA442" s="39" t="str">
        <f>IF(AND(E442&lt;&gt;'Povolené hodnoty'!$B$4,F442=2),I442+L442+O442+R442,"")</f>
        <v/>
      </c>
      <c r="AB442" s="40" t="str">
        <f>IF(AND(E442&lt;&gt;'Povolené hodnoty'!$B$4,F442=3),I442+L442+O442+R442,"")</f>
        <v/>
      </c>
      <c r="AC442" s="40" t="str">
        <f>IF(AND(E442&lt;&gt;'Povolené hodnoty'!$B$4,F442=4),I442+L442+O442+R442,"")</f>
        <v/>
      </c>
      <c r="AD442" s="40" t="str">
        <f>IF(AND(E442&lt;&gt;'Povolené hodnoty'!$B$4,F442="5a"),I442-J442+L442-M442+O442-P442+R442-S442,"")</f>
        <v/>
      </c>
      <c r="AE442" s="40" t="str">
        <f>IF(AND(E442&lt;&gt;'Povolené hodnoty'!$B$4,F442="5b"),I442-J442+L442-M442+O442-P442+R442-S442,"")</f>
        <v/>
      </c>
      <c r="AF442" s="40" t="str">
        <f>IF(AND(E442&lt;&gt;'Povolené hodnoty'!$B$4,F442=6),I442+L442+O442+R442,"")</f>
        <v/>
      </c>
      <c r="AG442" s="41" t="str">
        <f>IF(AND(E442&lt;&gt;'Povolené hodnoty'!$B$4,F442=7),I442+L442+O442+R442,"")</f>
        <v/>
      </c>
      <c r="AH442" s="39" t="str">
        <f>IF(AND(E442&lt;&gt;'Povolené hodnoty'!$B$4,F442=10),J442+M442+P442+S442,"")</f>
        <v/>
      </c>
      <c r="AI442" s="40" t="str">
        <f>IF(AND(E442&lt;&gt;'Povolené hodnoty'!$B$4,F442=11),J442+M442+P442+S442,"")</f>
        <v/>
      </c>
      <c r="AJ442" s="40" t="str">
        <f>IF(AND(E442&lt;&gt;'Povolené hodnoty'!$B$4,F442=12),J442+M442+P442+S442,"")</f>
        <v/>
      </c>
      <c r="AK442" s="41" t="str">
        <f>IF(AND(E442&lt;&gt;'Povolené hodnoty'!$B$4,F442=13),J442+M442+P442+S442,"")</f>
        <v/>
      </c>
      <c r="AL442" s="39" t="str">
        <f>IF(AND($G442='Povolené hodnoty'!$B$13,$H442=AL$4),SUM($I442,$L442,$O442,$R442),"")</f>
        <v/>
      </c>
      <c r="AM442" s="458" t="str">
        <f>IF(AND($G442='Povolené hodnoty'!$B$13,$H442=AM$4),SUM($I442,$L442,$O442,$R442),"")</f>
        <v/>
      </c>
      <c r="AN442" s="458" t="str">
        <f>IF(AND($G442='Povolené hodnoty'!$B$13,$H442=AN$4),SUM($I442,$L442,$O442,$R442),"")</f>
        <v/>
      </c>
      <c r="AO442" s="458" t="str">
        <f>IF(AND($G442='Povolené hodnoty'!$B$13,$H442=AO$4),SUM($I442,$L442,$O442,$R442),"")</f>
        <v/>
      </c>
      <c r="AP442" s="458" t="str">
        <f>IF(AND($G442='Povolené hodnoty'!$B$13,$H442=AP$4),SUM($I442,$L442,$O442,$R442),"")</f>
        <v/>
      </c>
      <c r="AQ442" s="40" t="str">
        <f>IF(AND($G442='Povolené hodnoty'!$B$13,OR($H442=AQ$4,$H442='Povolené hodnoty'!$E$36)),SUM($I442,-$J442,$L442,-$M442,$O442,-$P442,$R442,-$S442),"")</f>
        <v/>
      </c>
      <c r="AR442" s="40" t="str">
        <f>IF(AND($G442='Povolené hodnoty'!$B$13,$H442=AR$4),SUM($I442,$L442,$O442,$R442),"")</f>
        <v/>
      </c>
      <c r="AS442" s="41" t="str">
        <f>IF(AND($G442='Povolené hodnoty'!$B$13,$H442=AS$4),SUM($I442,$L442,$O442,$R442),"")</f>
        <v/>
      </c>
      <c r="AT442" s="39" t="str">
        <f>IF(AND($G442='Povolené hodnoty'!$B$14,$H442=AT$4),SUM($I442,$L442,$O442,$R442),"")</f>
        <v/>
      </c>
      <c r="AU442" s="458" t="str">
        <f>IF(AND($G442='Povolené hodnoty'!$B$14,$H442=AU$4),SUM($I442,$L442,$O442,$R442),"")</f>
        <v/>
      </c>
      <c r="AV442" s="41" t="str">
        <f>IF(AND($G442='Povolené hodnoty'!$B$14,$H442=AV$4),SUM($I442,$L442,$O442,$R442),"")</f>
        <v/>
      </c>
      <c r="AW442" s="39" t="str">
        <f>IF(AND($G442='Povolené hodnoty'!$B$13,$H442=AW$4),SUM($J442,$M442,$P442,$S442),"")</f>
        <v/>
      </c>
      <c r="AX442" s="458" t="str">
        <f>IF(AND($G442='Povolené hodnoty'!$B$13,$H442=AX$4),SUM($J442,$M442,$P442,$S442),"")</f>
        <v/>
      </c>
      <c r="AY442" s="458" t="str">
        <f>IF(AND($G442='Povolené hodnoty'!$B$13,$H442=AY$4),SUM($J442,$M442,$P442,$S442),"")</f>
        <v/>
      </c>
      <c r="AZ442" s="458" t="str">
        <f>IF(AND($G442='Povolené hodnoty'!$B$13,$H442=AZ$4),SUM($J442,$M442,$P442,$S442),"")</f>
        <v/>
      </c>
      <c r="BA442" s="458" t="str">
        <f>IF(AND($G442='Povolené hodnoty'!$B$13,$H442=BA$4),SUM($J442,$M442,$P442,$S442),"")</f>
        <v/>
      </c>
      <c r="BB442" s="40" t="str">
        <f>IF(AND($G442='Povolené hodnoty'!$B$13,$H442=BB$4),SUM($J442,$M442,$P442,$S442),"")</f>
        <v/>
      </c>
      <c r="BC442" s="40" t="str">
        <f>IF(AND($G442='Povolené hodnoty'!$B$13,$H442=BC$4),SUM($J442,$M442,$P442,$S442),"")</f>
        <v/>
      </c>
      <c r="BD442" s="40" t="str">
        <f>IF(AND($G442='Povolené hodnoty'!$B$13,$H442=BD$4),SUM($J442,$M442,$P442,$S442),"")</f>
        <v/>
      </c>
      <c r="BE442" s="41" t="str">
        <f>IF(AND($G442='Povolené hodnoty'!$B$13,$H442=BE$4),SUM($J442,$M442,$P442,$S442),"")</f>
        <v/>
      </c>
      <c r="BF442" s="39" t="str">
        <f>IF(AND($G442='Povolené hodnoty'!$B$14,$H442=BF$4),SUM($J442,$M442,$P442,$S442),"")</f>
        <v/>
      </c>
      <c r="BG442" s="458" t="str">
        <f>IF(AND($G442='Povolené hodnoty'!$B$14,$H442=BG$4),SUM($J442,$M442,$P442,$S442),"")</f>
        <v/>
      </c>
      <c r="BH442" s="458" t="str">
        <f>IF(AND($G442='Povolené hodnoty'!$B$14,$H442=BH$4),SUM($J442,$M442,$P442,$S442),"")</f>
        <v/>
      </c>
      <c r="BI442" s="458" t="str">
        <f>IF(AND($G442='Povolené hodnoty'!$B$14,$H442=BI$4),SUM($J442,$M442,$P442,$S442),"")</f>
        <v/>
      </c>
      <c r="BJ442" s="458" t="str">
        <f>IF(AND($G442='Povolené hodnoty'!$B$14,$H442=BJ$4),SUM($J442,$M442,$P442,$S442),"")</f>
        <v/>
      </c>
      <c r="BK442" s="40" t="str">
        <f>IF(AND($G442='Povolené hodnoty'!$B$14,$H442=BK$4),SUM($J442,$M442,$P442,$S442),"")</f>
        <v/>
      </c>
      <c r="BL442" s="40" t="str">
        <f>IF(AND($G442='Povolené hodnoty'!$B$14,$H442=BL$4),SUM($J442,$M442,$P442,$S442),"")</f>
        <v/>
      </c>
      <c r="BM442" s="41" t="str">
        <f>IF(AND($G442='Povolené hodnoty'!$B$14,$H442=BM$4),SUM($J442,$M442,$P442,$S442),"")</f>
        <v/>
      </c>
      <c r="BO442" s="18" t="b">
        <f t="shared" si="246"/>
        <v>0</v>
      </c>
      <c r="BP442" s="18" t="b">
        <f t="shared" si="217"/>
        <v>0</v>
      </c>
      <c r="BQ442" s="18" t="b">
        <f>AND(E442&lt;&gt;'Povolené hodnoty'!$B$6,F442&lt;&gt;'Povolené hodnoty'!$D$7,F442&lt;&gt;'Povolené hodnoty'!$D$8,OR(SUM(I442,L442,O442,R442)&lt;&gt;SUM(W442:X442,AA442:AG442),SUM(J442,M442,P442,S442)&lt;&gt;SUM(Y442:Z442,AH442:AK442),COUNT(I442:J442,L442:M442,O442:P442,R442:S442)&lt;&gt;COUNT(W442:AK442)))</f>
        <v>0</v>
      </c>
      <c r="BR442" s="18" t="b">
        <f>OR(AND(E442='Povolené hodnoty'!$B$6,$BR$5),AND(E442='Povolené hodnoty'!$B$6,H442&lt;&gt;'Povolené hodnoty'!$E$26,H442&lt;&gt;'Povolené hodnoty'!$E$35),AND(E442&lt;&gt;'Povolené hodnoty'!$B$6,OR(H442='Povolené hodnoty'!$E$26,H442='Povolené hodnoty'!$E$35)))</f>
        <v>0</v>
      </c>
      <c r="BS442" s="18" t="b">
        <f>OR(AND(G442&lt;&gt;'Povolené hodnoty'!$B$13,OR(H442='Povolené hodnoty'!$E$21,H442='Povolené hodnoty'!$E$22,H442='Povolené hodnoty'!$E$23,H442='Povolené hodnoty'!$E$24,H442='Povolené hodnoty'!$E$26,H442='Povolené hodnoty'!$E$36)),COUNT(I442:J442,L442:M442,O442:P442,R442:S442)&lt;&gt;COUNT(AL442:BM442))</f>
        <v>0</v>
      </c>
      <c r="BT442" s="18" t="b">
        <f t="shared" si="218"/>
        <v>0</v>
      </c>
      <c r="BV442" s="39" t="str">
        <f t="shared" si="219"/>
        <v/>
      </c>
      <c r="BW442" s="458" t="str">
        <f t="shared" si="220"/>
        <v/>
      </c>
      <c r="BX442" s="458" t="str">
        <f t="shared" si="221"/>
        <v/>
      </c>
      <c r="BY442" s="458" t="str">
        <f t="shared" si="222"/>
        <v/>
      </c>
      <c r="BZ442" s="458" t="str">
        <f t="shared" si="223"/>
        <v/>
      </c>
      <c r="CA442" s="40" t="str">
        <f t="shared" si="224"/>
        <v/>
      </c>
      <c r="CB442" s="40" t="str">
        <f t="shared" si="225"/>
        <v/>
      </c>
      <c r="CC442" s="39" t="str">
        <f t="shared" si="226"/>
        <v/>
      </c>
      <c r="CD442" s="458" t="str">
        <f t="shared" si="227"/>
        <v/>
      </c>
      <c r="CE442" s="41" t="str">
        <f t="shared" si="228"/>
        <v/>
      </c>
      <c r="CF442" s="39" t="str">
        <f t="shared" si="229"/>
        <v/>
      </c>
      <c r="CG442" s="458" t="str">
        <f t="shared" si="230"/>
        <v/>
      </c>
      <c r="CH442" s="458" t="str">
        <f t="shared" si="231"/>
        <v/>
      </c>
      <c r="CI442" s="458" t="str">
        <f t="shared" si="232"/>
        <v/>
      </c>
      <c r="CJ442" s="458" t="str">
        <f t="shared" si="233"/>
        <v/>
      </c>
      <c r="CK442" s="40" t="str">
        <f t="shared" si="234"/>
        <v/>
      </c>
      <c r="CL442" s="40" t="str">
        <f t="shared" si="235"/>
        <v/>
      </c>
      <c r="CM442" s="40" t="str">
        <f t="shared" si="236"/>
        <v/>
      </c>
      <c r="CN442" s="39" t="str">
        <f t="shared" si="237"/>
        <v/>
      </c>
      <c r="CO442" s="458" t="str">
        <f t="shared" si="238"/>
        <v/>
      </c>
      <c r="CP442" s="458" t="str">
        <f t="shared" si="239"/>
        <v/>
      </c>
      <c r="CQ442" s="458" t="str">
        <f t="shared" si="240"/>
        <v/>
      </c>
      <c r="CR442" s="458" t="str">
        <f t="shared" si="241"/>
        <v/>
      </c>
      <c r="CS442" s="40" t="str">
        <f t="shared" si="242"/>
        <v/>
      </c>
      <c r="CT442" s="40" t="str">
        <f t="shared" si="243"/>
        <v/>
      </c>
      <c r="CU442" s="41" t="str">
        <f t="shared" si="244"/>
        <v/>
      </c>
    </row>
    <row r="443" spans="1:99" x14ac:dyDescent="0.2">
      <c r="A443" s="77">
        <f t="shared" si="245"/>
        <v>438</v>
      </c>
      <c r="B443" s="81"/>
      <c r="C443" s="82"/>
      <c r="D443" s="71"/>
      <c r="E443" s="72"/>
      <c r="F443" s="73"/>
      <c r="G443" s="443"/>
      <c r="H443" s="443"/>
      <c r="I443" s="74"/>
      <c r="J443" s="75"/>
      <c r="K443" s="41">
        <f t="shared" si="249"/>
        <v>3625</v>
      </c>
      <c r="L443" s="104"/>
      <c r="M443" s="105"/>
      <c r="N443" s="106">
        <f t="shared" si="250"/>
        <v>537.05999999999995</v>
      </c>
      <c r="O443" s="104"/>
      <c r="P443" s="105"/>
      <c r="Q443" s="106">
        <f t="shared" si="247"/>
        <v>10045.83</v>
      </c>
      <c r="R443" s="104"/>
      <c r="S443" s="105"/>
      <c r="T443" s="106">
        <f t="shared" si="248"/>
        <v>0</v>
      </c>
      <c r="U443" s="439"/>
      <c r="V443" s="42">
        <f t="shared" si="216"/>
        <v>438</v>
      </c>
      <c r="W443" s="39" t="str">
        <f>IF(AND(E443='Povolené hodnoty'!$B$4,F443=2),I443+L443+O443+R443,"")</f>
        <v/>
      </c>
      <c r="X443" s="41" t="str">
        <f>IF(AND(E443='Povolené hodnoty'!$B$4,F443=1),I443+L443+O443+R443,"")</f>
        <v/>
      </c>
      <c r="Y443" s="39" t="str">
        <f>IF(AND(E443='Povolené hodnoty'!$B$4,F443=10),J443+M443+P443+S443,"")</f>
        <v/>
      </c>
      <c r="Z443" s="41" t="str">
        <f>IF(AND(E443='Povolené hodnoty'!$B$4,F443=9),J443+M443+P443+S443,"")</f>
        <v/>
      </c>
      <c r="AA443" s="39" t="str">
        <f>IF(AND(E443&lt;&gt;'Povolené hodnoty'!$B$4,F443=2),I443+L443+O443+R443,"")</f>
        <v/>
      </c>
      <c r="AB443" s="40" t="str">
        <f>IF(AND(E443&lt;&gt;'Povolené hodnoty'!$B$4,F443=3),I443+L443+O443+R443,"")</f>
        <v/>
      </c>
      <c r="AC443" s="40" t="str">
        <f>IF(AND(E443&lt;&gt;'Povolené hodnoty'!$B$4,F443=4),I443+L443+O443+R443,"")</f>
        <v/>
      </c>
      <c r="AD443" s="40" t="str">
        <f>IF(AND(E443&lt;&gt;'Povolené hodnoty'!$B$4,F443="5a"),I443-J443+L443-M443+O443-P443+R443-S443,"")</f>
        <v/>
      </c>
      <c r="AE443" s="40" t="str">
        <f>IF(AND(E443&lt;&gt;'Povolené hodnoty'!$B$4,F443="5b"),I443-J443+L443-M443+O443-P443+R443-S443,"")</f>
        <v/>
      </c>
      <c r="AF443" s="40" t="str">
        <f>IF(AND(E443&lt;&gt;'Povolené hodnoty'!$B$4,F443=6),I443+L443+O443+R443,"")</f>
        <v/>
      </c>
      <c r="AG443" s="41" t="str">
        <f>IF(AND(E443&lt;&gt;'Povolené hodnoty'!$B$4,F443=7),I443+L443+O443+R443,"")</f>
        <v/>
      </c>
      <c r="AH443" s="39" t="str">
        <f>IF(AND(E443&lt;&gt;'Povolené hodnoty'!$B$4,F443=10),J443+M443+P443+S443,"")</f>
        <v/>
      </c>
      <c r="AI443" s="40" t="str">
        <f>IF(AND(E443&lt;&gt;'Povolené hodnoty'!$B$4,F443=11),J443+M443+P443+S443,"")</f>
        <v/>
      </c>
      <c r="AJ443" s="40" t="str">
        <f>IF(AND(E443&lt;&gt;'Povolené hodnoty'!$B$4,F443=12),J443+M443+P443+S443,"")</f>
        <v/>
      </c>
      <c r="AK443" s="41" t="str">
        <f>IF(AND(E443&lt;&gt;'Povolené hodnoty'!$B$4,F443=13),J443+M443+P443+S443,"")</f>
        <v/>
      </c>
      <c r="AL443" s="39" t="str">
        <f>IF(AND($G443='Povolené hodnoty'!$B$13,$H443=AL$4),SUM($I443,$L443,$O443,$R443),"")</f>
        <v/>
      </c>
      <c r="AM443" s="458" t="str">
        <f>IF(AND($G443='Povolené hodnoty'!$B$13,$H443=AM$4),SUM($I443,$L443,$O443,$R443),"")</f>
        <v/>
      </c>
      <c r="AN443" s="458" t="str">
        <f>IF(AND($G443='Povolené hodnoty'!$B$13,$H443=AN$4),SUM($I443,$L443,$O443,$R443),"")</f>
        <v/>
      </c>
      <c r="AO443" s="458" t="str">
        <f>IF(AND($G443='Povolené hodnoty'!$B$13,$H443=AO$4),SUM($I443,$L443,$O443,$R443),"")</f>
        <v/>
      </c>
      <c r="AP443" s="458" t="str">
        <f>IF(AND($G443='Povolené hodnoty'!$B$13,$H443=AP$4),SUM($I443,$L443,$O443,$R443),"")</f>
        <v/>
      </c>
      <c r="AQ443" s="40" t="str">
        <f>IF(AND($G443='Povolené hodnoty'!$B$13,OR($H443=AQ$4,$H443='Povolené hodnoty'!$E$36)),SUM($I443,-$J443,$L443,-$M443,$O443,-$P443,$R443,-$S443),"")</f>
        <v/>
      </c>
      <c r="AR443" s="40" t="str">
        <f>IF(AND($G443='Povolené hodnoty'!$B$13,$H443=AR$4),SUM($I443,$L443,$O443,$R443),"")</f>
        <v/>
      </c>
      <c r="AS443" s="41" t="str">
        <f>IF(AND($G443='Povolené hodnoty'!$B$13,$H443=AS$4),SUM($I443,$L443,$O443,$R443),"")</f>
        <v/>
      </c>
      <c r="AT443" s="39" t="str">
        <f>IF(AND($G443='Povolené hodnoty'!$B$14,$H443=AT$4),SUM($I443,$L443,$O443,$R443),"")</f>
        <v/>
      </c>
      <c r="AU443" s="458" t="str">
        <f>IF(AND($G443='Povolené hodnoty'!$B$14,$H443=AU$4),SUM($I443,$L443,$O443,$R443),"")</f>
        <v/>
      </c>
      <c r="AV443" s="41" t="str">
        <f>IF(AND($G443='Povolené hodnoty'!$B$14,$H443=AV$4),SUM($I443,$L443,$O443,$R443),"")</f>
        <v/>
      </c>
      <c r="AW443" s="39" t="str">
        <f>IF(AND($G443='Povolené hodnoty'!$B$13,$H443=AW$4),SUM($J443,$M443,$P443,$S443),"")</f>
        <v/>
      </c>
      <c r="AX443" s="458" t="str">
        <f>IF(AND($G443='Povolené hodnoty'!$B$13,$H443=AX$4),SUM($J443,$M443,$P443,$S443),"")</f>
        <v/>
      </c>
      <c r="AY443" s="458" t="str">
        <f>IF(AND($G443='Povolené hodnoty'!$B$13,$H443=AY$4),SUM($J443,$M443,$P443,$S443),"")</f>
        <v/>
      </c>
      <c r="AZ443" s="458" t="str">
        <f>IF(AND($G443='Povolené hodnoty'!$B$13,$H443=AZ$4),SUM($J443,$M443,$P443,$S443),"")</f>
        <v/>
      </c>
      <c r="BA443" s="458" t="str">
        <f>IF(AND($G443='Povolené hodnoty'!$B$13,$H443=BA$4),SUM($J443,$M443,$P443,$S443),"")</f>
        <v/>
      </c>
      <c r="BB443" s="40" t="str">
        <f>IF(AND($G443='Povolené hodnoty'!$B$13,$H443=BB$4),SUM($J443,$M443,$P443,$S443),"")</f>
        <v/>
      </c>
      <c r="BC443" s="40" t="str">
        <f>IF(AND($G443='Povolené hodnoty'!$B$13,$H443=BC$4),SUM($J443,$M443,$P443,$S443),"")</f>
        <v/>
      </c>
      <c r="BD443" s="40" t="str">
        <f>IF(AND($G443='Povolené hodnoty'!$B$13,$H443=BD$4),SUM($J443,$M443,$P443,$S443),"")</f>
        <v/>
      </c>
      <c r="BE443" s="41" t="str">
        <f>IF(AND($G443='Povolené hodnoty'!$B$13,$H443=BE$4),SUM($J443,$M443,$P443,$S443),"")</f>
        <v/>
      </c>
      <c r="BF443" s="39" t="str">
        <f>IF(AND($G443='Povolené hodnoty'!$B$14,$H443=BF$4),SUM($J443,$M443,$P443,$S443),"")</f>
        <v/>
      </c>
      <c r="BG443" s="458" t="str">
        <f>IF(AND($G443='Povolené hodnoty'!$B$14,$H443=BG$4),SUM($J443,$M443,$P443,$S443),"")</f>
        <v/>
      </c>
      <c r="BH443" s="458" t="str">
        <f>IF(AND($G443='Povolené hodnoty'!$B$14,$H443=BH$4),SUM($J443,$M443,$P443,$S443),"")</f>
        <v/>
      </c>
      <c r="BI443" s="458" t="str">
        <f>IF(AND($G443='Povolené hodnoty'!$B$14,$H443=BI$4),SUM($J443,$M443,$P443,$S443),"")</f>
        <v/>
      </c>
      <c r="BJ443" s="458" t="str">
        <f>IF(AND($G443='Povolené hodnoty'!$B$14,$H443=BJ$4),SUM($J443,$M443,$P443,$S443),"")</f>
        <v/>
      </c>
      <c r="BK443" s="40" t="str">
        <f>IF(AND($G443='Povolené hodnoty'!$B$14,$H443=BK$4),SUM($J443,$M443,$P443,$S443),"")</f>
        <v/>
      </c>
      <c r="BL443" s="40" t="str">
        <f>IF(AND($G443='Povolené hodnoty'!$B$14,$H443=BL$4),SUM($J443,$M443,$P443,$S443),"")</f>
        <v/>
      </c>
      <c r="BM443" s="41" t="str">
        <f>IF(AND($G443='Povolené hodnoty'!$B$14,$H443=BM$4),SUM($J443,$M443,$P443,$S443),"")</f>
        <v/>
      </c>
      <c r="BO443" s="18" t="b">
        <f t="shared" si="246"/>
        <v>0</v>
      </c>
      <c r="BP443" s="18" t="b">
        <f t="shared" si="217"/>
        <v>0</v>
      </c>
      <c r="BQ443" s="18" t="b">
        <f>AND(E443&lt;&gt;'Povolené hodnoty'!$B$6,F443&lt;&gt;'Povolené hodnoty'!$D$7,F443&lt;&gt;'Povolené hodnoty'!$D$8,OR(SUM(I443,L443,O443,R443)&lt;&gt;SUM(W443:X443,AA443:AG443),SUM(J443,M443,P443,S443)&lt;&gt;SUM(Y443:Z443,AH443:AK443),COUNT(I443:J443,L443:M443,O443:P443,R443:S443)&lt;&gt;COUNT(W443:AK443)))</f>
        <v>0</v>
      </c>
      <c r="BR443" s="18" t="b">
        <f>OR(AND(E443='Povolené hodnoty'!$B$6,$BR$5),AND(E443='Povolené hodnoty'!$B$6,H443&lt;&gt;'Povolené hodnoty'!$E$26,H443&lt;&gt;'Povolené hodnoty'!$E$35),AND(E443&lt;&gt;'Povolené hodnoty'!$B$6,OR(H443='Povolené hodnoty'!$E$26,H443='Povolené hodnoty'!$E$35)))</f>
        <v>0</v>
      </c>
      <c r="BS443" s="18" t="b">
        <f>OR(AND(G443&lt;&gt;'Povolené hodnoty'!$B$13,OR(H443='Povolené hodnoty'!$E$21,H443='Povolené hodnoty'!$E$22,H443='Povolené hodnoty'!$E$23,H443='Povolené hodnoty'!$E$24,H443='Povolené hodnoty'!$E$26,H443='Povolené hodnoty'!$E$36)),COUNT(I443:J443,L443:M443,O443:P443,R443:S443)&lt;&gt;COUNT(AL443:BM443))</f>
        <v>0</v>
      </c>
      <c r="BT443" s="18" t="b">
        <f t="shared" si="218"/>
        <v>0</v>
      </c>
      <c r="BV443" s="39" t="str">
        <f t="shared" si="219"/>
        <v/>
      </c>
      <c r="BW443" s="458" t="str">
        <f t="shared" si="220"/>
        <v/>
      </c>
      <c r="BX443" s="458" t="str">
        <f t="shared" si="221"/>
        <v/>
      </c>
      <c r="BY443" s="458" t="str">
        <f t="shared" si="222"/>
        <v/>
      </c>
      <c r="BZ443" s="458" t="str">
        <f t="shared" si="223"/>
        <v/>
      </c>
      <c r="CA443" s="40" t="str">
        <f t="shared" si="224"/>
        <v/>
      </c>
      <c r="CB443" s="40" t="str">
        <f t="shared" si="225"/>
        <v/>
      </c>
      <c r="CC443" s="39" t="str">
        <f t="shared" si="226"/>
        <v/>
      </c>
      <c r="CD443" s="458" t="str">
        <f t="shared" si="227"/>
        <v/>
      </c>
      <c r="CE443" s="41" t="str">
        <f t="shared" si="228"/>
        <v/>
      </c>
      <c r="CF443" s="39" t="str">
        <f t="shared" si="229"/>
        <v/>
      </c>
      <c r="CG443" s="458" t="str">
        <f t="shared" si="230"/>
        <v/>
      </c>
      <c r="CH443" s="458" t="str">
        <f t="shared" si="231"/>
        <v/>
      </c>
      <c r="CI443" s="458" t="str">
        <f t="shared" si="232"/>
        <v/>
      </c>
      <c r="CJ443" s="458" t="str">
        <f t="shared" si="233"/>
        <v/>
      </c>
      <c r="CK443" s="40" t="str">
        <f t="shared" si="234"/>
        <v/>
      </c>
      <c r="CL443" s="40" t="str">
        <f t="shared" si="235"/>
        <v/>
      </c>
      <c r="CM443" s="40" t="str">
        <f t="shared" si="236"/>
        <v/>
      </c>
      <c r="CN443" s="39" t="str">
        <f t="shared" si="237"/>
        <v/>
      </c>
      <c r="CO443" s="458" t="str">
        <f t="shared" si="238"/>
        <v/>
      </c>
      <c r="CP443" s="458" t="str">
        <f t="shared" si="239"/>
        <v/>
      </c>
      <c r="CQ443" s="458" t="str">
        <f t="shared" si="240"/>
        <v/>
      </c>
      <c r="CR443" s="458" t="str">
        <f t="shared" si="241"/>
        <v/>
      </c>
      <c r="CS443" s="40" t="str">
        <f t="shared" si="242"/>
        <v/>
      </c>
      <c r="CT443" s="40" t="str">
        <f t="shared" si="243"/>
        <v/>
      </c>
      <c r="CU443" s="41" t="str">
        <f t="shared" si="244"/>
        <v/>
      </c>
    </row>
    <row r="444" spans="1:99" x14ac:dyDescent="0.2">
      <c r="A444" s="77">
        <f t="shared" si="245"/>
        <v>439</v>
      </c>
      <c r="B444" s="81"/>
      <c r="C444" s="82"/>
      <c r="D444" s="71"/>
      <c r="E444" s="72"/>
      <c r="F444" s="73"/>
      <c r="G444" s="443"/>
      <c r="H444" s="443"/>
      <c r="I444" s="74"/>
      <c r="J444" s="75"/>
      <c r="K444" s="41">
        <f t="shared" si="249"/>
        <v>3625</v>
      </c>
      <c r="L444" s="104"/>
      <c r="M444" s="105"/>
      <c r="N444" s="106">
        <f t="shared" si="250"/>
        <v>537.05999999999995</v>
      </c>
      <c r="O444" s="104"/>
      <c r="P444" s="105"/>
      <c r="Q444" s="106">
        <f t="shared" si="247"/>
        <v>10045.83</v>
      </c>
      <c r="R444" s="104"/>
      <c r="S444" s="105"/>
      <c r="T444" s="106">
        <f t="shared" si="248"/>
        <v>0</v>
      </c>
      <c r="U444" s="439"/>
      <c r="V444" s="42">
        <f t="shared" si="216"/>
        <v>439</v>
      </c>
      <c r="W444" s="39" t="str">
        <f>IF(AND(E444='Povolené hodnoty'!$B$4,F444=2),I444+L444+O444+R444,"")</f>
        <v/>
      </c>
      <c r="X444" s="41" t="str">
        <f>IF(AND(E444='Povolené hodnoty'!$B$4,F444=1),I444+L444+O444+R444,"")</f>
        <v/>
      </c>
      <c r="Y444" s="39" t="str">
        <f>IF(AND(E444='Povolené hodnoty'!$B$4,F444=10),J444+M444+P444+S444,"")</f>
        <v/>
      </c>
      <c r="Z444" s="41" t="str">
        <f>IF(AND(E444='Povolené hodnoty'!$B$4,F444=9),J444+M444+P444+S444,"")</f>
        <v/>
      </c>
      <c r="AA444" s="39" t="str">
        <f>IF(AND(E444&lt;&gt;'Povolené hodnoty'!$B$4,F444=2),I444+L444+O444+R444,"")</f>
        <v/>
      </c>
      <c r="AB444" s="40" t="str">
        <f>IF(AND(E444&lt;&gt;'Povolené hodnoty'!$B$4,F444=3),I444+L444+O444+R444,"")</f>
        <v/>
      </c>
      <c r="AC444" s="40" t="str">
        <f>IF(AND(E444&lt;&gt;'Povolené hodnoty'!$B$4,F444=4),I444+L444+O444+R444,"")</f>
        <v/>
      </c>
      <c r="AD444" s="40" t="str">
        <f>IF(AND(E444&lt;&gt;'Povolené hodnoty'!$B$4,F444="5a"),I444-J444+L444-M444+O444-P444+R444-S444,"")</f>
        <v/>
      </c>
      <c r="AE444" s="40" t="str">
        <f>IF(AND(E444&lt;&gt;'Povolené hodnoty'!$B$4,F444="5b"),I444-J444+L444-M444+O444-P444+R444-S444,"")</f>
        <v/>
      </c>
      <c r="AF444" s="40" t="str">
        <f>IF(AND(E444&lt;&gt;'Povolené hodnoty'!$B$4,F444=6),I444+L444+O444+R444,"")</f>
        <v/>
      </c>
      <c r="AG444" s="41" t="str">
        <f>IF(AND(E444&lt;&gt;'Povolené hodnoty'!$B$4,F444=7),I444+L444+O444+R444,"")</f>
        <v/>
      </c>
      <c r="AH444" s="39" t="str">
        <f>IF(AND(E444&lt;&gt;'Povolené hodnoty'!$B$4,F444=10),J444+M444+P444+S444,"")</f>
        <v/>
      </c>
      <c r="AI444" s="40" t="str">
        <f>IF(AND(E444&lt;&gt;'Povolené hodnoty'!$B$4,F444=11),J444+M444+P444+S444,"")</f>
        <v/>
      </c>
      <c r="AJ444" s="40" t="str">
        <f>IF(AND(E444&lt;&gt;'Povolené hodnoty'!$B$4,F444=12),J444+M444+P444+S444,"")</f>
        <v/>
      </c>
      <c r="AK444" s="41" t="str">
        <f>IF(AND(E444&lt;&gt;'Povolené hodnoty'!$B$4,F444=13),J444+M444+P444+S444,"")</f>
        <v/>
      </c>
      <c r="AL444" s="39" t="str">
        <f>IF(AND($G444='Povolené hodnoty'!$B$13,$H444=AL$4),SUM($I444,$L444,$O444,$R444),"")</f>
        <v/>
      </c>
      <c r="AM444" s="458" t="str">
        <f>IF(AND($G444='Povolené hodnoty'!$B$13,$H444=AM$4),SUM($I444,$L444,$O444,$R444),"")</f>
        <v/>
      </c>
      <c r="AN444" s="458" t="str">
        <f>IF(AND($G444='Povolené hodnoty'!$B$13,$H444=AN$4),SUM($I444,$L444,$O444,$R444),"")</f>
        <v/>
      </c>
      <c r="AO444" s="458" t="str">
        <f>IF(AND($G444='Povolené hodnoty'!$B$13,$H444=AO$4),SUM($I444,$L444,$O444,$R444),"")</f>
        <v/>
      </c>
      <c r="AP444" s="458" t="str">
        <f>IF(AND($G444='Povolené hodnoty'!$B$13,$H444=AP$4),SUM($I444,$L444,$O444,$R444),"")</f>
        <v/>
      </c>
      <c r="AQ444" s="40" t="str">
        <f>IF(AND($G444='Povolené hodnoty'!$B$13,OR($H444=AQ$4,$H444='Povolené hodnoty'!$E$36)),SUM($I444,-$J444,$L444,-$M444,$O444,-$P444,$R444,-$S444),"")</f>
        <v/>
      </c>
      <c r="AR444" s="40" t="str">
        <f>IF(AND($G444='Povolené hodnoty'!$B$13,$H444=AR$4),SUM($I444,$L444,$O444,$R444),"")</f>
        <v/>
      </c>
      <c r="AS444" s="41" t="str">
        <f>IF(AND($G444='Povolené hodnoty'!$B$13,$H444=AS$4),SUM($I444,$L444,$O444,$R444),"")</f>
        <v/>
      </c>
      <c r="AT444" s="39" t="str">
        <f>IF(AND($G444='Povolené hodnoty'!$B$14,$H444=AT$4),SUM($I444,$L444,$O444,$R444),"")</f>
        <v/>
      </c>
      <c r="AU444" s="458" t="str">
        <f>IF(AND($G444='Povolené hodnoty'!$B$14,$H444=AU$4),SUM($I444,$L444,$O444,$R444),"")</f>
        <v/>
      </c>
      <c r="AV444" s="41" t="str">
        <f>IF(AND($G444='Povolené hodnoty'!$B$14,$H444=AV$4),SUM($I444,$L444,$O444,$R444),"")</f>
        <v/>
      </c>
      <c r="AW444" s="39" t="str">
        <f>IF(AND($G444='Povolené hodnoty'!$B$13,$H444=AW$4),SUM($J444,$M444,$P444,$S444),"")</f>
        <v/>
      </c>
      <c r="AX444" s="458" t="str">
        <f>IF(AND($G444='Povolené hodnoty'!$B$13,$H444=AX$4),SUM($J444,$M444,$P444,$S444),"")</f>
        <v/>
      </c>
      <c r="AY444" s="458" t="str">
        <f>IF(AND($G444='Povolené hodnoty'!$B$13,$H444=AY$4),SUM($J444,$M444,$P444,$S444),"")</f>
        <v/>
      </c>
      <c r="AZ444" s="458" t="str">
        <f>IF(AND($G444='Povolené hodnoty'!$B$13,$H444=AZ$4),SUM($J444,$M444,$P444,$S444),"")</f>
        <v/>
      </c>
      <c r="BA444" s="458" t="str">
        <f>IF(AND($G444='Povolené hodnoty'!$B$13,$H444=BA$4),SUM($J444,$M444,$P444,$S444),"")</f>
        <v/>
      </c>
      <c r="BB444" s="40" t="str">
        <f>IF(AND($G444='Povolené hodnoty'!$B$13,$H444=BB$4),SUM($J444,$M444,$P444,$S444),"")</f>
        <v/>
      </c>
      <c r="BC444" s="40" t="str">
        <f>IF(AND($G444='Povolené hodnoty'!$B$13,$H444=BC$4),SUM($J444,$M444,$P444,$S444),"")</f>
        <v/>
      </c>
      <c r="BD444" s="40" t="str">
        <f>IF(AND($G444='Povolené hodnoty'!$B$13,$H444=BD$4),SUM($J444,$M444,$P444,$S444),"")</f>
        <v/>
      </c>
      <c r="BE444" s="41" t="str">
        <f>IF(AND($G444='Povolené hodnoty'!$B$13,$H444=BE$4),SUM($J444,$M444,$P444,$S444),"")</f>
        <v/>
      </c>
      <c r="BF444" s="39" t="str">
        <f>IF(AND($G444='Povolené hodnoty'!$B$14,$H444=BF$4),SUM($J444,$M444,$P444,$S444),"")</f>
        <v/>
      </c>
      <c r="BG444" s="458" t="str">
        <f>IF(AND($G444='Povolené hodnoty'!$B$14,$H444=BG$4),SUM($J444,$M444,$P444,$S444),"")</f>
        <v/>
      </c>
      <c r="BH444" s="458" t="str">
        <f>IF(AND($G444='Povolené hodnoty'!$B$14,$H444=BH$4),SUM($J444,$M444,$P444,$S444),"")</f>
        <v/>
      </c>
      <c r="BI444" s="458" t="str">
        <f>IF(AND($G444='Povolené hodnoty'!$B$14,$H444=BI$4),SUM($J444,$M444,$P444,$S444),"")</f>
        <v/>
      </c>
      <c r="BJ444" s="458" t="str">
        <f>IF(AND($G444='Povolené hodnoty'!$B$14,$H444=BJ$4),SUM($J444,$M444,$P444,$S444),"")</f>
        <v/>
      </c>
      <c r="BK444" s="40" t="str">
        <f>IF(AND($G444='Povolené hodnoty'!$B$14,$H444=BK$4),SUM($J444,$M444,$P444,$S444),"")</f>
        <v/>
      </c>
      <c r="BL444" s="40" t="str">
        <f>IF(AND($G444='Povolené hodnoty'!$B$14,$H444=BL$4),SUM($J444,$M444,$P444,$S444),"")</f>
        <v/>
      </c>
      <c r="BM444" s="41" t="str">
        <f>IF(AND($G444='Povolené hodnoty'!$B$14,$H444=BM$4),SUM($J444,$M444,$P444,$S444),"")</f>
        <v/>
      </c>
      <c r="BO444" s="18" t="b">
        <f t="shared" si="246"/>
        <v>0</v>
      </c>
      <c r="BP444" s="18" t="b">
        <f t="shared" si="217"/>
        <v>0</v>
      </c>
      <c r="BQ444" s="18" t="b">
        <f>AND(E444&lt;&gt;'Povolené hodnoty'!$B$6,F444&lt;&gt;'Povolené hodnoty'!$D$7,F444&lt;&gt;'Povolené hodnoty'!$D$8,OR(SUM(I444,L444,O444,R444)&lt;&gt;SUM(W444:X444,AA444:AG444),SUM(J444,M444,P444,S444)&lt;&gt;SUM(Y444:Z444,AH444:AK444),COUNT(I444:J444,L444:M444,O444:P444,R444:S444)&lt;&gt;COUNT(W444:AK444)))</f>
        <v>0</v>
      </c>
      <c r="BR444" s="18" t="b">
        <f>OR(AND(E444='Povolené hodnoty'!$B$6,$BR$5),AND(E444='Povolené hodnoty'!$B$6,H444&lt;&gt;'Povolené hodnoty'!$E$26,H444&lt;&gt;'Povolené hodnoty'!$E$35),AND(E444&lt;&gt;'Povolené hodnoty'!$B$6,OR(H444='Povolené hodnoty'!$E$26,H444='Povolené hodnoty'!$E$35)))</f>
        <v>0</v>
      </c>
      <c r="BS444" s="18" t="b">
        <f>OR(AND(G444&lt;&gt;'Povolené hodnoty'!$B$13,OR(H444='Povolené hodnoty'!$E$21,H444='Povolené hodnoty'!$E$22,H444='Povolené hodnoty'!$E$23,H444='Povolené hodnoty'!$E$24,H444='Povolené hodnoty'!$E$26,H444='Povolené hodnoty'!$E$36)),COUNT(I444:J444,L444:M444,O444:P444,R444:S444)&lt;&gt;COUNT(AL444:BM444))</f>
        <v>0</v>
      </c>
      <c r="BT444" s="18" t="b">
        <f t="shared" si="218"/>
        <v>0</v>
      </c>
      <c r="BV444" s="39" t="str">
        <f t="shared" si="219"/>
        <v/>
      </c>
      <c r="BW444" s="458" t="str">
        <f t="shared" si="220"/>
        <v/>
      </c>
      <c r="BX444" s="458" t="str">
        <f t="shared" si="221"/>
        <v/>
      </c>
      <c r="BY444" s="458" t="str">
        <f t="shared" si="222"/>
        <v/>
      </c>
      <c r="BZ444" s="458" t="str">
        <f t="shared" si="223"/>
        <v/>
      </c>
      <c r="CA444" s="40" t="str">
        <f t="shared" si="224"/>
        <v/>
      </c>
      <c r="CB444" s="40" t="str">
        <f t="shared" si="225"/>
        <v/>
      </c>
      <c r="CC444" s="39" t="str">
        <f t="shared" si="226"/>
        <v/>
      </c>
      <c r="CD444" s="458" t="str">
        <f t="shared" si="227"/>
        <v/>
      </c>
      <c r="CE444" s="41" t="str">
        <f t="shared" si="228"/>
        <v/>
      </c>
      <c r="CF444" s="39" t="str">
        <f t="shared" si="229"/>
        <v/>
      </c>
      <c r="CG444" s="458" t="str">
        <f t="shared" si="230"/>
        <v/>
      </c>
      <c r="CH444" s="458" t="str">
        <f t="shared" si="231"/>
        <v/>
      </c>
      <c r="CI444" s="458" t="str">
        <f t="shared" si="232"/>
        <v/>
      </c>
      <c r="CJ444" s="458" t="str">
        <f t="shared" si="233"/>
        <v/>
      </c>
      <c r="CK444" s="40" t="str">
        <f t="shared" si="234"/>
        <v/>
      </c>
      <c r="CL444" s="40" t="str">
        <f t="shared" si="235"/>
        <v/>
      </c>
      <c r="CM444" s="40" t="str">
        <f t="shared" si="236"/>
        <v/>
      </c>
      <c r="CN444" s="39" t="str">
        <f t="shared" si="237"/>
        <v/>
      </c>
      <c r="CO444" s="458" t="str">
        <f t="shared" si="238"/>
        <v/>
      </c>
      <c r="CP444" s="458" t="str">
        <f t="shared" si="239"/>
        <v/>
      </c>
      <c r="CQ444" s="458" t="str">
        <f t="shared" si="240"/>
        <v/>
      </c>
      <c r="CR444" s="458" t="str">
        <f t="shared" si="241"/>
        <v/>
      </c>
      <c r="CS444" s="40" t="str">
        <f t="shared" si="242"/>
        <v/>
      </c>
      <c r="CT444" s="40" t="str">
        <f t="shared" si="243"/>
        <v/>
      </c>
      <c r="CU444" s="41" t="str">
        <f t="shared" si="244"/>
        <v/>
      </c>
    </row>
    <row r="445" spans="1:99" x14ac:dyDescent="0.2">
      <c r="A445" s="77">
        <f t="shared" si="245"/>
        <v>440</v>
      </c>
      <c r="B445" s="81"/>
      <c r="C445" s="82"/>
      <c r="D445" s="71"/>
      <c r="E445" s="72"/>
      <c r="F445" s="73"/>
      <c r="G445" s="443"/>
      <c r="H445" s="443"/>
      <c r="I445" s="74"/>
      <c r="J445" s="75"/>
      <c r="K445" s="41">
        <f t="shared" si="249"/>
        <v>3625</v>
      </c>
      <c r="L445" s="104"/>
      <c r="M445" s="105"/>
      <c r="N445" s="106">
        <f t="shared" si="250"/>
        <v>537.05999999999995</v>
      </c>
      <c r="O445" s="104"/>
      <c r="P445" s="105"/>
      <c r="Q445" s="106">
        <f t="shared" si="247"/>
        <v>10045.83</v>
      </c>
      <c r="R445" s="104"/>
      <c r="S445" s="105"/>
      <c r="T445" s="106">
        <f t="shared" si="248"/>
        <v>0</v>
      </c>
      <c r="U445" s="439"/>
      <c r="V445" s="42">
        <f t="shared" si="216"/>
        <v>440</v>
      </c>
      <c r="W445" s="39" t="str">
        <f>IF(AND(E445='Povolené hodnoty'!$B$4,F445=2),I445+L445+O445+R445,"")</f>
        <v/>
      </c>
      <c r="X445" s="41" t="str">
        <f>IF(AND(E445='Povolené hodnoty'!$B$4,F445=1),I445+L445+O445+R445,"")</f>
        <v/>
      </c>
      <c r="Y445" s="39" t="str">
        <f>IF(AND(E445='Povolené hodnoty'!$B$4,F445=10),J445+M445+P445+S445,"")</f>
        <v/>
      </c>
      <c r="Z445" s="41" t="str">
        <f>IF(AND(E445='Povolené hodnoty'!$B$4,F445=9),J445+M445+P445+S445,"")</f>
        <v/>
      </c>
      <c r="AA445" s="39" t="str">
        <f>IF(AND(E445&lt;&gt;'Povolené hodnoty'!$B$4,F445=2),I445+L445+O445+R445,"")</f>
        <v/>
      </c>
      <c r="AB445" s="40" t="str">
        <f>IF(AND(E445&lt;&gt;'Povolené hodnoty'!$B$4,F445=3),I445+L445+O445+R445,"")</f>
        <v/>
      </c>
      <c r="AC445" s="40" t="str">
        <f>IF(AND(E445&lt;&gt;'Povolené hodnoty'!$B$4,F445=4),I445+L445+O445+R445,"")</f>
        <v/>
      </c>
      <c r="AD445" s="40" t="str">
        <f>IF(AND(E445&lt;&gt;'Povolené hodnoty'!$B$4,F445="5a"),I445-J445+L445-M445+O445-P445+R445-S445,"")</f>
        <v/>
      </c>
      <c r="AE445" s="40" t="str">
        <f>IF(AND(E445&lt;&gt;'Povolené hodnoty'!$B$4,F445="5b"),I445-J445+L445-M445+O445-P445+R445-S445,"")</f>
        <v/>
      </c>
      <c r="AF445" s="40" t="str">
        <f>IF(AND(E445&lt;&gt;'Povolené hodnoty'!$B$4,F445=6),I445+L445+O445+R445,"")</f>
        <v/>
      </c>
      <c r="AG445" s="41" t="str">
        <f>IF(AND(E445&lt;&gt;'Povolené hodnoty'!$B$4,F445=7),I445+L445+O445+R445,"")</f>
        <v/>
      </c>
      <c r="AH445" s="39" t="str">
        <f>IF(AND(E445&lt;&gt;'Povolené hodnoty'!$B$4,F445=10),J445+M445+P445+S445,"")</f>
        <v/>
      </c>
      <c r="AI445" s="40" t="str">
        <f>IF(AND(E445&lt;&gt;'Povolené hodnoty'!$B$4,F445=11),J445+M445+P445+S445,"")</f>
        <v/>
      </c>
      <c r="AJ445" s="40" t="str">
        <f>IF(AND(E445&lt;&gt;'Povolené hodnoty'!$B$4,F445=12),J445+M445+P445+S445,"")</f>
        <v/>
      </c>
      <c r="AK445" s="41" t="str">
        <f>IF(AND(E445&lt;&gt;'Povolené hodnoty'!$B$4,F445=13),J445+M445+P445+S445,"")</f>
        <v/>
      </c>
      <c r="AL445" s="39" t="str">
        <f>IF(AND($G445='Povolené hodnoty'!$B$13,$H445=AL$4),SUM($I445,$L445,$O445,$R445),"")</f>
        <v/>
      </c>
      <c r="AM445" s="458" t="str">
        <f>IF(AND($G445='Povolené hodnoty'!$B$13,$H445=AM$4),SUM($I445,$L445,$O445,$R445),"")</f>
        <v/>
      </c>
      <c r="AN445" s="458" t="str">
        <f>IF(AND($G445='Povolené hodnoty'!$B$13,$H445=AN$4),SUM($I445,$L445,$O445,$R445),"")</f>
        <v/>
      </c>
      <c r="AO445" s="458" t="str">
        <f>IF(AND($G445='Povolené hodnoty'!$B$13,$H445=AO$4),SUM($I445,$L445,$O445,$R445),"")</f>
        <v/>
      </c>
      <c r="AP445" s="458" t="str">
        <f>IF(AND($G445='Povolené hodnoty'!$B$13,$H445=AP$4),SUM($I445,$L445,$O445,$R445),"")</f>
        <v/>
      </c>
      <c r="AQ445" s="40" t="str">
        <f>IF(AND($G445='Povolené hodnoty'!$B$13,OR($H445=AQ$4,$H445='Povolené hodnoty'!$E$36)),SUM($I445,-$J445,$L445,-$M445,$O445,-$P445,$R445,-$S445),"")</f>
        <v/>
      </c>
      <c r="AR445" s="40" t="str">
        <f>IF(AND($G445='Povolené hodnoty'!$B$13,$H445=AR$4),SUM($I445,$L445,$O445,$R445),"")</f>
        <v/>
      </c>
      <c r="AS445" s="41" t="str">
        <f>IF(AND($G445='Povolené hodnoty'!$B$13,$H445=AS$4),SUM($I445,$L445,$O445,$R445),"")</f>
        <v/>
      </c>
      <c r="AT445" s="39" t="str">
        <f>IF(AND($G445='Povolené hodnoty'!$B$14,$H445=AT$4),SUM($I445,$L445,$O445,$R445),"")</f>
        <v/>
      </c>
      <c r="AU445" s="458" t="str">
        <f>IF(AND($G445='Povolené hodnoty'!$B$14,$H445=AU$4),SUM($I445,$L445,$O445,$R445),"")</f>
        <v/>
      </c>
      <c r="AV445" s="41" t="str">
        <f>IF(AND($G445='Povolené hodnoty'!$B$14,$H445=AV$4),SUM($I445,$L445,$O445,$R445),"")</f>
        <v/>
      </c>
      <c r="AW445" s="39" t="str">
        <f>IF(AND($G445='Povolené hodnoty'!$B$13,$H445=AW$4),SUM($J445,$M445,$P445,$S445),"")</f>
        <v/>
      </c>
      <c r="AX445" s="458" t="str">
        <f>IF(AND($G445='Povolené hodnoty'!$B$13,$H445=AX$4),SUM($J445,$M445,$P445,$S445),"")</f>
        <v/>
      </c>
      <c r="AY445" s="458" t="str">
        <f>IF(AND($G445='Povolené hodnoty'!$B$13,$H445=AY$4),SUM($J445,$M445,$P445,$S445),"")</f>
        <v/>
      </c>
      <c r="AZ445" s="458" t="str">
        <f>IF(AND($G445='Povolené hodnoty'!$B$13,$H445=AZ$4),SUM($J445,$M445,$P445,$S445),"")</f>
        <v/>
      </c>
      <c r="BA445" s="458" t="str">
        <f>IF(AND($G445='Povolené hodnoty'!$B$13,$H445=BA$4),SUM($J445,$M445,$P445,$S445),"")</f>
        <v/>
      </c>
      <c r="BB445" s="40" t="str">
        <f>IF(AND($G445='Povolené hodnoty'!$B$13,$H445=BB$4),SUM($J445,$M445,$P445,$S445),"")</f>
        <v/>
      </c>
      <c r="BC445" s="40" t="str">
        <f>IF(AND($G445='Povolené hodnoty'!$B$13,$H445=BC$4),SUM($J445,$M445,$P445,$S445),"")</f>
        <v/>
      </c>
      <c r="BD445" s="40" t="str">
        <f>IF(AND($G445='Povolené hodnoty'!$B$13,$H445=BD$4),SUM($J445,$M445,$P445,$S445),"")</f>
        <v/>
      </c>
      <c r="BE445" s="41" t="str">
        <f>IF(AND($G445='Povolené hodnoty'!$B$13,$H445=BE$4),SUM($J445,$M445,$P445,$S445),"")</f>
        <v/>
      </c>
      <c r="BF445" s="39" t="str">
        <f>IF(AND($G445='Povolené hodnoty'!$B$14,$H445=BF$4),SUM($J445,$M445,$P445,$S445),"")</f>
        <v/>
      </c>
      <c r="BG445" s="458" t="str">
        <f>IF(AND($G445='Povolené hodnoty'!$B$14,$H445=BG$4),SUM($J445,$M445,$P445,$S445),"")</f>
        <v/>
      </c>
      <c r="BH445" s="458" t="str">
        <f>IF(AND($G445='Povolené hodnoty'!$B$14,$H445=BH$4),SUM($J445,$M445,$P445,$S445),"")</f>
        <v/>
      </c>
      <c r="BI445" s="458" t="str">
        <f>IF(AND($G445='Povolené hodnoty'!$B$14,$H445=BI$4),SUM($J445,$M445,$P445,$S445),"")</f>
        <v/>
      </c>
      <c r="BJ445" s="458" t="str">
        <f>IF(AND($G445='Povolené hodnoty'!$B$14,$H445=BJ$4),SUM($J445,$M445,$P445,$S445),"")</f>
        <v/>
      </c>
      <c r="BK445" s="40" t="str">
        <f>IF(AND($G445='Povolené hodnoty'!$B$14,$H445=BK$4),SUM($J445,$M445,$P445,$S445),"")</f>
        <v/>
      </c>
      <c r="BL445" s="40" t="str">
        <f>IF(AND($G445='Povolené hodnoty'!$B$14,$H445=BL$4),SUM($J445,$M445,$P445,$S445),"")</f>
        <v/>
      </c>
      <c r="BM445" s="41" t="str">
        <f>IF(AND($G445='Povolené hodnoty'!$B$14,$H445=BM$4),SUM($J445,$M445,$P445,$S445),"")</f>
        <v/>
      </c>
      <c r="BO445" s="18" t="b">
        <f t="shared" si="246"/>
        <v>0</v>
      </c>
      <c r="BP445" s="18" t="b">
        <f t="shared" si="217"/>
        <v>0</v>
      </c>
      <c r="BQ445" s="18" t="b">
        <f>AND(E445&lt;&gt;'Povolené hodnoty'!$B$6,F445&lt;&gt;'Povolené hodnoty'!$D$7,F445&lt;&gt;'Povolené hodnoty'!$D$8,OR(SUM(I445,L445,O445,R445)&lt;&gt;SUM(W445:X445,AA445:AG445),SUM(J445,M445,P445,S445)&lt;&gt;SUM(Y445:Z445,AH445:AK445),COUNT(I445:J445,L445:M445,O445:P445,R445:S445)&lt;&gt;COUNT(W445:AK445)))</f>
        <v>0</v>
      </c>
      <c r="BR445" s="18" t="b">
        <f>OR(AND(E445='Povolené hodnoty'!$B$6,$BR$5),AND(E445='Povolené hodnoty'!$B$6,H445&lt;&gt;'Povolené hodnoty'!$E$26,H445&lt;&gt;'Povolené hodnoty'!$E$35),AND(E445&lt;&gt;'Povolené hodnoty'!$B$6,OR(H445='Povolené hodnoty'!$E$26,H445='Povolené hodnoty'!$E$35)))</f>
        <v>0</v>
      </c>
      <c r="BS445" s="18" t="b">
        <f>OR(AND(G445&lt;&gt;'Povolené hodnoty'!$B$13,OR(H445='Povolené hodnoty'!$E$21,H445='Povolené hodnoty'!$E$22,H445='Povolené hodnoty'!$E$23,H445='Povolené hodnoty'!$E$24,H445='Povolené hodnoty'!$E$26,H445='Povolené hodnoty'!$E$36)),COUNT(I445:J445,L445:M445,O445:P445,R445:S445)&lt;&gt;COUNT(AL445:BM445))</f>
        <v>0</v>
      </c>
      <c r="BT445" s="18" t="b">
        <f t="shared" si="218"/>
        <v>0</v>
      </c>
      <c r="BV445" s="39" t="str">
        <f t="shared" si="219"/>
        <v/>
      </c>
      <c r="BW445" s="458" t="str">
        <f t="shared" si="220"/>
        <v/>
      </c>
      <c r="BX445" s="458" t="str">
        <f t="shared" si="221"/>
        <v/>
      </c>
      <c r="BY445" s="458" t="str">
        <f t="shared" si="222"/>
        <v/>
      </c>
      <c r="BZ445" s="458" t="str">
        <f t="shared" si="223"/>
        <v/>
      </c>
      <c r="CA445" s="40" t="str">
        <f t="shared" si="224"/>
        <v/>
      </c>
      <c r="CB445" s="40" t="str">
        <f t="shared" si="225"/>
        <v/>
      </c>
      <c r="CC445" s="39" t="str">
        <f t="shared" si="226"/>
        <v/>
      </c>
      <c r="CD445" s="458" t="str">
        <f t="shared" si="227"/>
        <v/>
      </c>
      <c r="CE445" s="41" t="str">
        <f t="shared" si="228"/>
        <v/>
      </c>
      <c r="CF445" s="39" t="str">
        <f t="shared" si="229"/>
        <v/>
      </c>
      <c r="CG445" s="458" t="str">
        <f t="shared" si="230"/>
        <v/>
      </c>
      <c r="CH445" s="458" t="str">
        <f t="shared" si="231"/>
        <v/>
      </c>
      <c r="CI445" s="458" t="str">
        <f t="shared" si="232"/>
        <v/>
      </c>
      <c r="CJ445" s="458" t="str">
        <f t="shared" si="233"/>
        <v/>
      </c>
      <c r="CK445" s="40" t="str">
        <f t="shared" si="234"/>
        <v/>
      </c>
      <c r="CL445" s="40" t="str">
        <f t="shared" si="235"/>
        <v/>
      </c>
      <c r="CM445" s="40" t="str">
        <f t="shared" si="236"/>
        <v/>
      </c>
      <c r="CN445" s="39" t="str">
        <f t="shared" si="237"/>
        <v/>
      </c>
      <c r="CO445" s="458" t="str">
        <f t="shared" si="238"/>
        <v/>
      </c>
      <c r="CP445" s="458" t="str">
        <f t="shared" si="239"/>
        <v/>
      </c>
      <c r="CQ445" s="458" t="str">
        <f t="shared" si="240"/>
        <v/>
      </c>
      <c r="CR445" s="458" t="str">
        <f t="shared" si="241"/>
        <v/>
      </c>
      <c r="CS445" s="40" t="str">
        <f t="shared" si="242"/>
        <v/>
      </c>
      <c r="CT445" s="40" t="str">
        <f t="shared" si="243"/>
        <v/>
      </c>
      <c r="CU445" s="41" t="str">
        <f t="shared" si="244"/>
        <v/>
      </c>
    </row>
    <row r="446" spans="1:99" x14ac:dyDescent="0.2">
      <c r="A446" s="77">
        <f t="shared" si="245"/>
        <v>441</v>
      </c>
      <c r="B446" s="81"/>
      <c r="C446" s="82"/>
      <c r="D446" s="71"/>
      <c r="E446" s="72"/>
      <c r="F446" s="73"/>
      <c r="G446" s="443"/>
      <c r="H446" s="443"/>
      <c r="I446" s="74"/>
      <c r="J446" s="75"/>
      <c r="K446" s="41">
        <f t="shared" si="249"/>
        <v>3625</v>
      </c>
      <c r="L446" s="104"/>
      <c r="M446" s="105"/>
      <c r="N446" s="106">
        <f t="shared" si="250"/>
        <v>537.05999999999995</v>
      </c>
      <c r="O446" s="104"/>
      <c r="P446" s="105"/>
      <c r="Q446" s="106">
        <f t="shared" si="247"/>
        <v>10045.83</v>
      </c>
      <c r="R446" s="104"/>
      <c r="S446" s="105"/>
      <c r="T446" s="106">
        <f t="shared" si="248"/>
        <v>0</v>
      </c>
      <c r="U446" s="439"/>
      <c r="V446" s="42">
        <f t="shared" si="216"/>
        <v>441</v>
      </c>
      <c r="W446" s="39" t="str">
        <f>IF(AND(E446='Povolené hodnoty'!$B$4,F446=2),I446+L446+O446+R446,"")</f>
        <v/>
      </c>
      <c r="X446" s="41" t="str">
        <f>IF(AND(E446='Povolené hodnoty'!$B$4,F446=1),I446+L446+O446+R446,"")</f>
        <v/>
      </c>
      <c r="Y446" s="39" t="str">
        <f>IF(AND(E446='Povolené hodnoty'!$B$4,F446=10),J446+M446+P446+S446,"")</f>
        <v/>
      </c>
      <c r="Z446" s="41" t="str">
        <f>IF(AND(E446='Povolené hodnoty'!$B$4,F446=9),J446+M446+P446+S446,"")</f>
        <v/>
      </c>
      <c r="AA446" s="39" t="str">
        <f>IF(AND(E446&lt;&gt;'Povolené hodnoty'!$B$4,F446=2),I446+L446+O446+R446,"")</f>
        <v/>
      </c>
      <c r="AB446" s="40" t="str">
        <f>IF(AND(E446&lt;&gt;'Povolené hodnoty'!$B$4,F446=3),I446+L446+O446+R446,"")</f>
        <v/>
      </c>
      <c r="AC446" s="40" t="str">
        <f>IF(AND(E446&lt;&gt;'Povolené hodnoty'!$B$4,F446=4),I446+L446+O446+R446,"")</f>
        <v/>
      </c>
      <c r="AD446" s="40" t="str">
        <f>IF(AND(E446&lt;&gt;'Povolené hodnoty'!$B$4,F446="5a"),I446-J446+L446-M446+O446-P446+R446-S446,"")</f>
        <v/>
      </c>
      <c r="AE446" s="40" t="str">
        <f>IF(AND(E446&lt;&gt;'Povolené hodnoty'!$B$4,F446="5b"),I446-J446+L446-M446+O446-P446+R446-S446,"")</f>
        <v/>
      </c>
      <c r="AF446" s="40" t="str">
        <f>IF(AND(E446&lt;&gt;'Povolené hodnoty'!$B$4,F446=6),I446+L446+O446+R446,"")</f>
        <v/>
      </c>
      <c r="AG446" s="41" t="str">
        <f>IF(AND(E446&lt;&gt;'Povolené hodnoty'!$B$4,F446=7),I446+L446+O446+R446,"")</f>
        <v/>
      </c>
      <c r="AH446" s="39" t="str">
        <f>IF(AND(E446&lt;&gt;'Povolené hodnoty'!$B$4,F446=10),J446+M446+P446+S446,"")</f>
        <v/>
      </c>
      <c r="AI446" s="40" t="str">
        <f>IF(AND(E446&lt;&gt;'Povolené hodnoty'!$B$4,F446=11),J446+M446+P446+S446,"")</f>
        <v/>
      </c>
      <c r="AJ446" s="40" t="str">
        <f>IF(AND(E446&lt;&gt;'Povolené hodnoty'!$B$4,F446=12),J446+M446+P446+S446,"")</f>
        <v/>
      </c>
      <c r="AK446" s="41" t="str">
        <f>IF(AND(E446&lt;&gt;'Povolené hodnoty'!$B$4,F446=13),J446+M446+P446+S446,"")</f>
        <v/>
      </c>
      <c r="AL446" s="39" t="str">
        <f>IF(AND($G446='Povolené hodnoty'!$B$13,$H446=AL$4),SUM($I446,$L446,$O446,$R446),"")</f>
        <v/>
      </c>
      <c r="AM446" s="458" t="str">
        <f>IF(AND($G446='Povolené hodnoty'!$B$13,$H446=AM$4),SUM($I446,$L446,$O446,$R446),"")</f>
        <v/>
      </c>
      <c r="AN446" s="458" t="str">
        <f>IF(AND($G446='Povolené hodnoty'!$B$13,$H446=AN$4),SUM($I446,$L446,$O446,$R446),"")</f>
        <v/>
      </c>
      <c r="AO446" s="458" t="str">
        <f>IF(AND($G446='Povolené hodnoty'!$B$13,$H446=AO$4),SUM($I446,$L446,$O446,$R446),"")</f>
        <v/>
      </c>
      <c r="AP446" s="458" t="str">
        <f>IF(AND($G446='Povolené hodnoty'!$B$13,$H446=AP$4),SUM($I446,$L446,$O446,$R446),"")</f>
        <v/>
      </c>
      <c r="AQ446" s="40" t="str">
        <f>IF(AND($G446='Povolené hodnoty'!$B$13,OR($H446=AQ$4,$H446='Povolené hodnoty'!$E$36)),SUM($I446,-$J446,$L446,-$M446,$O446,-$P446,$R446,-$S446),"")</f>
        <v/>
      </c>
      <c r="AR446" s="40" t="str">
        <f>IF(AND($G446='Povolené hodnoty'!$B$13,$H446=AR$4),SUM($I446,$L446,$O446,$R446),"")</f>
        <v/>
      </c>
      <c r="AS446" s="41" t="str">
        <f>IF(AND($G446='Povolené hodnoty'!$B$13,$H446=AS$4),SUM($I446,$L446,$O446,$R446),"")</f>
        <v/>
      </c>
      <c r="AT446" s="39" t="str">
        <f>IF(AND($G446='Povolené hodnoty'!$B$14,$H446=AT$4),SUM($I446,$L446,$O446,$R446),"")</f>
        <v/>
      </c>
      <c r="AU446" s="458" t="str">
        <f>IF(AND($G446='Povolené hodnoty'!$B$14,$H446=AU$4),SUM($I446,$L446,$O446,$R446),"")</f>
        <v/>
      </c>
      <c r="AV446" s="41" t="str">
        <f>IF(AND($G446='Povolené hodnoty'!$B$14,$H446=AV$4),SUM($I446,$L446,$O446,$R446),"")</f>
        <v/>
      </c>
      <c r="AW446" s="39" t="str">
        <f>IF(AND($G446='Povolené hodnoty'!$B$13,$H446=AW$4),SUM($J446,$M446,$P446,$S446),"")</f>
        <v/>
      </c>
      <c r="AX446" s="458" t="str">
        <f>IF(AND($G446='Povolené hodnoty'!$B$13,$H446=AX$4),SUM($J446,$M446,$P446,$S446),"")</f>
        <v/>
      </c>
      <c r="AY446" s="458" t="str">
        <f>IF(AND($G446='Povolené hodnoty'!$B$13,$H446=AY$4),SUM($J446,$M446,$P446,$S446),"")</f>
        <v/>
      </c>
      <c r="AZ446" s="458" t="str">
        <f>IF(AND($G446='Povolené hodnoty'!$B$13,$H446=AZ$4),SUM($J446,$M446,$P446,$S446),"")</f>
        <v/>
      </c>
      <c r="BA446" s="458" t="str">
        <f>IF(AND($G446='Povolené hodnoty'!$B$13,$H446=BA$4),SUM($J446,$M446,$P446,$S446),"")</f>
        <v/>
      </c>
      <c r="BB446" s="40" t="str">
        <f>IF(AND($G446='Povolené hodnoty'!$B$13,$H446=BB$4),SUM($J446,$M446,$P446,$S446),"")</f>
        <v/>
      </c>
      <c r="BC446" s="40" t="str">
        <f>IF(AND($G446='Povolené hodnoty'!$B$13,$H446=BC$4),SUM($J446,$M446,$P446,$S446),"")</f>
        <v/>
      </c>
      <c r="BD446" s="40" t="str">
        <f>IF(AND($G446='Povolené hodnoty'!$B$13,$H446=BD$4),SUM($J446,$M446,$P446,$S446),"")</f>
        <v/>
      </c>
      <c r="BE446" s="41" t="str">
        <f>IF(AND($G446='Povolené hodnoty'!$B$13,$H446=BE$4),SUM($J446,$M446,$P446,$S446),"")</f>
        <v/>
      </c>
      <c r="BF446" s="39" t="str">
        <f>IF(AND($G446='Povolené hodnoty'!$B$14,$H446=BF$4),SUM($J446,$M446,$P446,$S446),"")</f>
        <v/>
      </c>
      <c r="BG446" s="458" t="str">
        <f>IF(AND($G446='Povolené hodnoty'!$B$14,$H446=BG$4),SUM($J446,$M446,$P446,$S446),"")</f>
        <v/>
      </c>
      <c r="BH446" s="458" t="str">
        <f>IF(AND($G446='Povolené hodnoty'!$B$14,$H446=BH$4),SUM($J446,$M446,$P446,$S446),"")</f>
        <v/>
      </c>
      <c r="BI446" s="458" t="str">
        <f>IF(AND($G446='Povolené hodnoty'!$B$14,$H446=BI$4),SUM($J446,$M446,$P446,$S446),"")</f>
        <v/>
      </c>
      <c r="BJ446" s="458" t="str">
        <f>IF(AND($G446='Povolené hodnoty'!$B$14,$H446=BJ$4),SUM($J446,$M446,$P446,$S446),"")</f>
        <v/>
      </c>
      <c r="BK446" s="40" t="str">
        <f>IF(AND($G446='Povolené hodnoty'!$B$14,$H446=BK$4),SUM($J446,$M446,$P446,$S446),"")</f>
        <v/>
      </c>
      <c r="BL446" s="40" t="str">
        <f>IF(AND($G446='Povolené hodnoty'!$B$14,$H446=BL$4),SUM($J446,$M446,$P446,$S446),"")</f>
        <v/>
      </c>
      <c r="BM446" s="41" t="str">
        <f>IF(AND($G446='Povolené hodnoty'!$B$14,$H446=BM$4),SUM($J446,$M446,$P446,$S446),"")</f>
        <v/>
      </c>
      <c r="BO446" s="18" t="b">
        <f t="shared" si="246"/>
        <v>0</v>
      </c>
      <c r="BP446" s="18" t="b">
        <f t="shared" si="217"/>
        <v>0</v>
      </c>
      <c r="BQ446" s="18" t="b">
        <f>AND(E446&lt;&gt;'Povolené hodnoty'!$B$6,F446&lt;&gt;'Povolené hodnoty'!$D$7,F446&lt;&gt;'Povolené hodnoty'!$D$8,OR(SUM(I446,L446,O446,R446)&lt;&gt;SUM(W446:X446,AA446:AG446),SUM(J446,M446,P446,S446)&lt;&gt;SUM(Y446:Z446,AH446:AK446),COUNT(I446:J446,L446:M446,O446:P446,R446:S446)&lt;&gt;COUNT(W446:AK446)))</f>
        <v>0</v>
      </c>
      <c r="BR446" s="18" t="b">
        <f>OR(AND(E446='Povolené hodnoty'!$B$6,$BR$5),AND(E446='Povolené hodnoty'!$B$6,H446&lt;&gt;'Povolené hodnoty'!$E$26,H446&lt;&gt;'Povolené hodnoty'!$E$35),AND(E446&lt;&gt;'Povolené hodnoty'!$B$6,OR(H446='Povolené hodnoty'!$E$26,H446='Povolené hodnoty'!$E$35)))</f>
        <v>0</v>
      </c>
      <c r="BS446" s="18" t="b">
        <f>OR(AND(G446&lt;&gt;'Povolené hodnoty'!$B$13,OR(H446='Povolené hodnoty'!$E$21,H446='Povolené hodnoty'!$E$22,H446='Povolené hodnoty'!$E$23,H446='Povolené hodnoty'!$E$24,H446='Povolené hodnoty'!$E$26,H446='Povolené hodnoty'!$E$36)),COUNT(I446:J446,L446:M446,O446:P446,R446:S446)&lt;&gt;COUNT(AL446:BM446))</f>
        <v>0</v>
      </c>
      <c r="BT446" s="18" t="b">
        <f t="shared" si="218"/>
        <v>0</v>
      </c>
      <c r="BV446" s="39" t="str">
        <f t="shared" si="219"/>
        <v/>
      </c>
      <c r="BW446" s="458" t="str">
        <f t="shared" si="220"/>
        <v/>
      </c>
      <c r="BX446" s="458" t="str">
        <f t="shared" si="221"/>
        <v/>
      </c>
      <c r="BY446" s="458" t="str">
        <f t="shared" si="222"/>
        <v/>
      </c>
      <c r="BZ446" s="458" t="str">
        <f t="shared" si="223"/>
        <v/>
      </c>
      <c r="CA446" s="40" t="str">
        <f t="shared" si="224"/>
        <v/>
      </c>
      <c r="CB446" s="40" t="str">
        <f t="shared" si="225"/>
        <v/>
      </c>
      <c r="CC446" s="39" t="str">
        <f t="shared" si="226"/>
        <v/>
      </c>
      <c r="CD446" s="458" t="str">
        <f t="shared" si="227"/>
        <v/>
      </c>
      <c r="CE446" s="41" t="str">
        <f t="shared" si="228"/>
        <v/>
      </c>
      <c r="CF446" s="39" t="str">
        <f t="shared" si="229"/>
        <v/>
      </c>
      <c r="CG446" s="458" t="str">
        <f t="shared" si="230"/>
        <v/>
      </c>
      <c r="CH446" s="458" t="str">
        <f t="shared" si="231"/>
        <v/>
      </c>
      <c r="CI446" s="458" t="str">
        <f t="shared" si="232"/>
        <v/>
      </c>
      <c r="CJ446" s="458" t="str">
        <f t="shared" si="233"/>
        <v/>
      </c>
      <c r="CK446" s="40" t="str">
        <f t="shared" si="234"/>
        <v/>
      </c>
      <c r="CL446" s="40" t="str">
        <f t="shared" si="235"/>
        <v/>
      </c>
      <c r="CM446" s="40" t="str">
        <f t="shared" si="236"/>
        <v/>
      </c>
      <c r="CN446" s="39" t="str">
        <f t="shared" si="237"/>
        <v/>
      </c>
      <c r="CO446" s="458" t="str">
        <f t="shared" si="238"/>
        <v/>
      </c>
      <c r="CP446" s="458" t="str">
        <f t="shared" si="239"/>
        <v/>
      </c>
      <c r="CQ446" s="458" t="str">
        <f t="shared" si="240"/>
        <v/>
      </c>
      <c r="CR446" s="458" t="str">
        <f t="shared" si="241"/>
        <v/>
      </c>
      <c r="CS446" s="40" t="str">
        <f t="shared" si="242"/>
        <v/>
      </c>
      <c r="CT446" s="40" t="str">
        <f t="shared" si="243"/>
        <v/>
      </c>
      <c r="CU446" s="41" t="str">
        <f t="shared" si="244"/>
        <v/>
      </c>
    </row>
    <row r="447" spans="1:99" x14ac:dyDescent="0.2">
      <c r="A447" s="77">
        <f t="shared" si="245"/>
        <v>442</v>
      </c>
      <c r="B447" s="81"/>
      <c r="C447" s="82"/>
      <c r="D447" s="71"/>
      <c r="E447" s="72"/>
      <c r="F447" s="73"/>
      <c r="G447" s="443"/>
      <c r="H447" s="443"/>
      <c r="I447" s="74"/>
      <c r="J447" s="75"/>
      <c r="K447" s="41">
        <f t="shared" si="249"/>
        <v>3625</v>
      </c>
      <c r="L447" s="104"/>
      <c r="M447" s="105"/>
      <c r="N447" s="106">
        <f t="shared" si="250"/>
        <v>537.05999999999995</v>
      </c>
      <c r="O447" s="104"/>
      <c r="P447" s="105"/>
      <c r="Q447" s="106">
        <f t="shared" si="247"/>
        <v>10045.83</v>
      </c>
      <c r="R447" s="104"/>
      <c r="S447" s="105"/>
      <c r="T447" s="106">
        <f t="shared" si="248"/>
        <v>0</v>
      </c>
      <c r="U447" s="439"/>
      <c r="V447" s="42">
        <f t="shared" si="216"/>
        <v>442</v>
      </c>
      <c r="W447" s="39" t="str">
        <f>IF(AND(E447='Povolené hodnoty'!$B$4,F447=2),I447+L447+O447+R447,"")</f>
        <v/>
      </c>
      <c r="X447" s="41" t="str">
        <f>IF(AND(E447='Povolené hodnoty'!$B$4,F447=1),I447+L447+O447+R447,"")</f>
        <v/>
      </c>
      <c r="Y447" s="39" t="str">
        <f>IF(AND(E447='Povolené hodnoty'!$B$4,F447=10),J447+M447+P447+S447,"")</f>
        <v/>
      </c>
      <c r="Z447" s="41" t="str">
        <f>IF(AND(E447='Povolené hodnoty'!$B$4,F447=9),J447+M447+P447+S447,"")</f>
        <v/>
      </c>
      <c r="AA447" s="39" t="str">
        <f>IF(AND(E447&lt;&gt;'Povolené hodnoty'!$B$4,F447=2),I447+L447+O447+R447,"")</f>
        <v/>
      </c>
      <c r="AB447" s="40" t="str">
        <f>IF(AND(E447&lt;&gt;'Povolené hodnoty'!$B$4,F447=3),I447+L447+O447+R447,"")</f>
        <v/>
      </c>
      <c r="AC447" s="40" t="str">
        <f>IF(AND(E447&lt;&gt;'Povolené hodnoty'!$B$4,F447=4),I447+L447+O447+R447,"")</f>
        <v/>
      </c>
      <c r="AD447" s="40" t="str">
        <f>IF(AND(E447&lt;&gt;'Povolené hodnoty'!$B$4,F447="5a"),I447-J447+L447-M447+O447-P447+R447-S447,"")</f>
        <v/>
      </c>
      <c r="AE447" s="40" t="str">
        <f>IF(AND(E447&lt;&gt;'Povolené hodnoty'!$B$4,F447="5b"),I447-J447+L447-M447+O447-P447+R447-S447,"")</f>
        <v/>
      </c>
      <c r="AF447" s="40" t="str">
        <f>IF(AND(E447&lt;&gt;'Povolené hodnoty'!$B$4,F447=6),I447+L447+O447+R447,"")</f>
        <v/>
      </c>
      <c r="AG447" s="41" t="str">
        <f>IF(AND(E447&lt;&gt;'Povolené hodnoty'!$B$4,F447=7),I447+L447+O447+R447,"")</f>
        <v/>
      </c>
      <c r="AH447" s="39" t="str">
        <f>IF(AND(E447&lt;&gt;'Povolené hodnoty'!$B$4,F447=10),J447+M447+P447+S447,"")</f>
        <v/>
      </c>
      <c r="AI447" s="40" t="str">
        <f>IF(AND(E447&lt;&gt;'Povolené hodnoty'!$B$4,F447=11),J447+M447+P447+S447,"")</f>
        <v/>
      </c>
      <c r="AJ447" s="40" t="str">
        <f>IF(AND(E447&lt;&gt;'Povolené hodnoty'!$B$4,F447=12),J447+M447+P447+S447,"")</f>
        <v/>
      </c>
      <c r="AK447" s="41" t="str">
        <f>IF(AND(E447&lt;&gt;'Povolené hodnoty'!$B$4,F447=13),J447+M447+P447+S447,"")</f>
        <v/>
      </c>
      <c r="AL447" s="39" t="str">
        <f>IF(AND($G447='Povolené hodnoty'!$B$13,$H447=AL$4),SUM($I447,$L447,$O447,$R447),"")</f>
        <v/>
      </c>
      <c r="AM447" s="458" t="str">
        <f>IF(AND($G447='Povolené hodnoty'!$B$13,$H447=AM$4),SUM($I447,$L447,$O447,$R447),"")</f>
        <v/>
      </c>
      <c r="AN447" s="458" t="str">
        <f>IF(AND($G447='Povolené hodnoty'!$B$13,$H447=AN$4),SUM($I447,$L447,$O447,$R447),"")</f>
        <v/>
      </c>
      <c r="AO447" s="458" t="str">
        <f>IF(AND($G447='Povolené hodnoty'!$B$13,$H447=AO$4),SUM($I447,$L447,$O447,$R447),"")</f>
        <v/>
      </c>
      <c r="AP447" s="458" t="str">
        <f>IF(AND($G447='Povolené hodnoty'!$B$13,$H447=AP$4),SUM($I447,$L447,$O447,$R447),"")</f>
        <v/>
      </c>
      <c r="AQ447" s="40" t="str">
        <f>IF(AND($G447='Povolené hodnoty'!$B$13,OR($H447=AQ$4,$H447='Povolené hodnoty'!$E$36)),SUM($I447,-$J447,$L447,-$M447,$O447,-$P447,$R447,-$S447),"")</f>
        <v/>
      </c>
      <c r="AR447" s="40" t="str">
        <f>IF(AND($G447='Povolené hodnoty'!$B$13,$H447=AR$4),SUM($I447,$L447,$O447,$R447),"")</f>
        <v/>
      </c>
      <c r="AS447" s="41" t="str">
        <f>IF(AND($G447='Povolené hodnoty'!$B$13,$H447=AS$4),SUM($I447,$L447,$O447,$R447),"")</f>
        <v/>
      </c>
      <c r="AT447" s="39" t="str">
        <f>IF(AND($G447='Povolené hodnoty'!$B$14,$H447=AT$4),SUM($I447,$L447,$O447,$R447),"")</f>
        <v/>
      </c>
      <c r="AU447" s="458" t="str">
        <f>IF(AND($G447='Povolené hodnoty'!$B$14,$H447=AU$4),SUM($I447,$L447,$O447,$R447),"")</f>
        <v/>
      </c>
      <c r="AV447" s="41" t="str">
        <f>IF(AND($G447='Povolené hodnoty'!$B$14,$H447=AV$4),SUM($I447,$L447,$O447,$R447),"")</f>
        <v/>
      </c>
      <c r="AW447" s="39" t="str">
        <f>IF(AND($G447='Povolené hodnoty'!$B$13,$H447=AW$4),SUM($J447,$M447,$P447,$S447),"")</f>
        <v/>
      </c>
      <c r="AX447" s="458" t="str">
        <f>IF(AND($G447='Povolené hodnoty'!$B$13,$H447=AX$4),SUM($J447,$M447,$P447,$S447),"")</f>
        <v/>
      </c>
      <c r="AY447" s="458" t="str">
        <f>IF(AND($G447='Povolené hodnoty'!$B$13,$H447=AY$4),SUM($J447,$M447,$P447,$S447),"")</f>
        <v/>
      </c>
      <c r="AZ447" s="458" t="str">
        <f>IF(AND($G447='Povolené hodnoty'!$B$13,$H447=AZ$4),SUM($J447,$M447,$P447,$S447),"")</f>
        <v/>
      </c>
      <c r="BA447" s="458" t="str">
        <f>IF(AND($G447='Povolené hodnoty'!$B$13,$H447=BA$4),SUM($J447,$M447,$P447,$S447),"")</f>
        <v/>
      </c>
      <c r="BB447" s="40" t="str">
        <f>IF(AND($G447='Povolené hodnoty'!$B$13,$H447=BB$4),SUM($J447,$M447,$P447,$S447),"")</f>
        <v/>
      </c>
      <c r="BC447" s="40" t="str">
        <f>IF(AND($G447='Povolené hodnoty'!$B$13,$H447=BC$4),SUM($J447,$M447,$P447,$S447),"")</f>
        <v/>
      </c>
      <c r="BD447" s="40" t="str">
        <f>IF(AND($G447='Povolené hodnoty'!$B$13,$H447=BD$4),SUM($J447,$M447,$P447,$S447),"")</f>
        <v/>
      </c>
      <c r="BE447" s="41" t="str">
        <f>IF(AND($G447='Povolené hodnoty'!$B$13,$H447=BE$4),SUM($J447,$M447,$P447,$S447),"")</f>
        <v/>
      </c>
      <c r="BF447" s="39" t="str">
        <f>IF(AND($G447='Povolené hodnoty'!$B$14,$H447=BF$4),SUM($J447,$M447,$P447,$S447),"")</f>
        <v/>
      </c>
      <c r="BG447" s="458" t="str">
        <f>IF(AND($G447='Povolené hodnoty'!$B$14,$H447=BG$4),SUM($J447,$M447,$P447,$S447),"")</f>
        <v/>
      </c>
      <c r="BH447" s="458" t="str">
        <f>IF(AND($G447='Povolené hodnoty'!$B$14,$H447=BH$4),SUM($J447,$M447,$P447,$S447),"")</f>
        <v/>
      </c>
      <c r="BI447" s="458" t="str">
        <f>IF(AND($G447='Povolené hodnoty'!$B$14,$H447=BI$4),SUM($J447,$M447,$P447,$S447),"")</f>
        <v/>
      </c>
      <c r="BJ447" s="458" t="str">
        <f>IF(AND($G447='Povolené hodnoty'!$B$14,$H447=BJ$4),SUM($J447,$M447,$P447,$S447),"")</f>
        <v/>
      </c>
      <c r="BK447" s="40" t="str">
        <f>IF(AND($G447='Povolené hodnoty'!$B$14,$H447=BK$4),SUM($J447,$M447,$P447,$S447),"")</f>
        <v/>
      </c>
      <c r="BL447" s="40" t="str">
        <f>IF(AND($G447='Povolené hodnoty'!$B$14,$H447=BL$4),SUM($J447,$M447,$P447,$S447),"")</f>
        <v/>
      </c>
      <c r="BM447" s="41" t="str">
        <f>IF(AND($G447='Povolené hodnoty'!$B$14,$H447=BM$4),SUM($J447,$M447,$P447,$S447),"")</f>
        <v/>
      </c>
      <c r="BO447" s="18" t="b">
        <f t="shared" si="246"/>
        <v>0</v>
      </c>
      <c r="BP447" s="18" t="b">
        <f t="shared" si="217"/>
        <v>0</v>
      </c>
      <c r="BQ447" s="18" t="b">
        <f>AND(E447&lt;&gt;'Povolené hodnoty'!$B$6,F447&lt;&gt;'Povolené hodnoty'!$D$7,F447&lt;&gt;'Povolené hodnoty'!$D$8,OR(SUM(I447,L447,O447,R447)&lt;&gt;SUM(W447:X447,AA447:AG447),SUM(J447,M447,P447,S447)&lt;&gt;SUM(Y447:Z447,AH447:AK447),COUNT(I447:J447,L447:M447,O447:P447,R447:S447)&lt;&gt;COUNT(W447:AK447)))</f>
        <v>0</v>
      </c>
      <c r="BR447" s="18" t="b">
        <f>OR(AND(E447='Povolené hodnoty'!$B$6,$BR$5),AND(E447='Povolené hodnoty'!$B$6,H447&lt;&gt;'Povolené hodnoty'!$E$26,H447&lt;&gt;'Povolené hodnoty'!$E$35),AND(E447&lt;&gt;'Povolené hodnoty'!$B$6,OR(H447='Povolené hodnoty'!$E$26,H447='Povolené hodnoty'!$E$35)))</f>
        <v>0</v>
      </c>
      <c r="BS447" s="18" t="b">
        <f>OR(AND(G447&lt;&gt;'Povolené hodnoty'!$B$13,OR(H447='Povolené hodnoty'!$E$21,H447='Povolené hodnoty'!$E$22,H447='Povolené hodnoty'!$E$23,H447='Povolené hodnoty'!$E$24,H447='Povolené hodnoty'!$E$26,H447='Povolené hodnoty'!$E$36)),COUNT(I447:J447,L447:M447,O447:P447,R447:S447)&lt;&gt;COUNT(AL447:BM447))</f>
        <v>0</v>
      </c>
      <c r="BT447" s="18" t="b">
        <f t="shared" si="218"/>
        <v>0</v>
      </c>
      <c r="BV447" s="39" t="str">
        <f t="shared" si="219"/>
        <v/>
      </c>
      <c r="BW447" s="458" t="str">
        <f t="shared" si="220"/>
        <v/>
      </c>
      <c r="BX447" s="458" t="str">
        <f t="shared" si="221"/>
        <v/>
      </c>
      <c r="BY447" s="458" t="str">
        <f t="shared" si="222"/>
        <v/>
      </c>
      <c r="BZ447" s="458" t="str">
        <f t="shared" si="223"/>
        <v/>
      </c>
      <c r="CA447" s="40" t="str">
        <f t="shared" si="224"/>
        <v/>
      </c>
      <c r="CB447" s="40" t="str">
        <f t="shared" si="225"/>
        <v/>
      </c>
      <c r="CC447" s="39" t="str">
        <f t="shared" si="226"/>
        <v/>
      </c>
      <c r="CD447" s="458" t="str">
        <f t="shared" si="227"/>
        <v/>
      </c>
      <c r="CE447" s="41" t="str">
        <f t="shared" si="228"/>
        <v/>
      </c>
      <c r="CF447" s="39" t="str">
        <f t="shared" si="229"/>
        <v/>
      </c>
      <c r="CG447" s="458" t="str">
        <f t="shared" si="230"/>
        <v/>
      </c>
      <c r="CH447" s="458" t="str">
        <f t="shared" si="231"/>
        <v/>
      </c>
      <c r="CI447" s="458" t="str">
        <f t="shared" si="232"/>
        <v/>
      </c>
      <c r="CJ447" s="458" t="str">
        <f t="shared" si="233"/>
        <v/>
      </c>
      <c r="CK447" s="40" t="str">
        <f t="shared" si="234"/>
        <v/>
      </c>
      <c r="CL447" s="40" t="str">
        <f t="shared" si="235"/>
        <v/>
      </c>
      <c r="CM447" s="40" t="str">
        <f t="shared" si="236"/>
        <v/>
      </c>
      <c r="CN447" s="39" t="str">
        <f t="shared" si="237"/>
        <v/>
      </c>
      <c r="CO447" s="458" t="str">
        <f t="shared" si="238"/>
        <v/>
      </c>
      <c r="CP447" s="458" t="str">
        <f t="shared" si="239"/>
        <v/>
      </c>
      <c r="CQ447" s="458" t="str">
        <f t="shared" si="240"/>
        <v/>
      </c>
      <c r="CR447" s="458" t="str">
        <f t="shared" si="241"/>
        <v/>
      </c>
      <c r="CS447" s="40" t="str">
        <f t="shared" si="242"/>
        <v/>
      </c>
      <c r="CT447" s="40" t="str">
        <f t="shared" si="243"/>
        <v/>
      </c>
      <c r="CU447" s="41" t="str">
        <f t="shared" si="244"/>
        <v/>
      </c>
    </row>
    <row r="448" spans="1:99" x14ac:dyDescent="0.2">
      <c r="A448" s="77">
        <f t="shared" si="245"/>
        <v>443</v>
      </c>
      <c r="B448" s="81"/>
      <c r="C448" s="82"/>
      <c r="D448" s="71"/>
      <c r="E448" s="72"/>
      <c r="F448" s="73"/>
      <c r="G448" s="443"/>
      <c r="H448" s="443"/>
      <c r="I448" s="74"/>
      <c r="J448" s="75"/>
      <c r="K448" s="41">
        <f t="shared" si="249"/>
        <v>3625</v>
      </c>
      <c r="L448" s="104"/>
      <c r="M448" s="105"/>
      <c r="N448" s="106">
        <f t="shared" si="250"/>
        <v>537.05999999999995</v>
      </c>
      <c r="O448" s="104"/>
      <c r="P448" s="105"/>
      <c r="Q448" s="106">
        <f t="shared" si="247"/>
        <v>10045.83</v>
      </c>
      <c r="R448" s="104"/>
      <c r="S448" s="105"/>
      <c r="T448" s="106">
        <f t="shared" si="248"/>
        <v>0</v>
      </c>
      <c r="U448" s="439"/>
      <c r="V448" s="42">
        <f t="shared" si="216"/>
        <v>443</v>
      </c>
      <c r="W448" s="39" t="str">
        <f>IF(AND(E448='Povolené hodnoty'!$B$4,F448=2),I448+L448+O448+R448,"")</f>
        <v/>
      </c>
      <c r="X448" s="41" t="str">
        <f>IF(AND(E448='Povolené hodnoty'!$B$4,F448=1),I448+L448+O448+R448,"")</f>
        <v/>
      </c>
      <c r="Y448" s="39" t="str">
        <f>IF(AND(E448='Povolené hodnoty'!$B$4,F448=10),J448+M448+P448+S448,"")</f>
        <v/>
      </c>
      <c r="Z448" s="41" t="str">
        <f>IF(AND(E448='Povolené hodnoty'!$B$4,F448=9),J448+M448+P448+S448,"")</f>
        <v/>
      </c>
      <c r="AA448" s="39" t="str">
        <f>IF(AND(E448&lt;&gt;'Povolené hodnoty'!$B$4,F448=2),I448+L448+O448+R448,"")</f>
        <v/>
      </c>
      <c r="AB448" s="40" t="str">
        <f>IF(AND(E448&lt;&gt;'Povolené hodnoty'!$B$4,F448=3),I448+L448+O448+R448,"")</f>
        <v/>
      </c>
      <c r="AC448" s="40" t="str">
        <f>IF(AND(E448&lt;&gt;'Povolené hodnoty'!$B$4,F448=4),I448+L448+O448+R448,"")</f>
        <v/>
      </c>
      <c r="AD448" s="40" t="str">
        <f>IF(AND(E448&lt;&gt;'Povolené hodnoty'!$B$4,F448="5a"),I448-J448+L448-M448+O448-P448+R448-S448,"")</f>
        <v/>
      </c>
      <c r="AE448" s="40" t="str">
        <f>IF(AND(E448&lt;&gt;'Povolené hodnoty'!$B$4,F448="5b"),I448-J448+L448-M448+O448-P448+R448-S448,"")</f>
        <v/>
      </c>
      <c r="AF448" s="40" t="str">
        <f>IF(AND(E448&lt;&gt;'Povolené hodnoty'!$B$4,F448=6),I448+L448+O448+R448,"")</f>
        <v/>
      </c>
      <c r="AG448" s="41" t="str">
        <f>IF(AND(E448&lt;&gt;'Povolené hodnoty'!$B$4,F448=7),I448+L448+O448+R448,"")</f>
        <v/>
      </c>
      <c r="AH448" s="39" t="str">
        <f>IF(AND(E448&lt;&gt;'Povolené hodnoty'!$B$4,F448=10),J448+M448+P448+S448,"")</f>
        <v/>
      </c>
      <c r="AI448" s="40" t="str">
        <f>IF(AND(E448&lt;&gt;'Povolené hodnoty'!$B$4,F448=11),J448+M448+P448+S448,"")</f>
        <v/>
      </c>
      <c r="AJ448" s="40" t="str">
        <f>IF(AND(E448&lt;&gt;'Povolené hodnoty'!$B$4,F448=12),J448+M448+P448+S448,"")</f>
        <v/>
      </c>
      <c r="AK448" s="41" t="str">
        <f>IF(AND(E448&lt;&gt;'Povolené hodnoty'!$B$4,F448=13),J448+M448+P448+S448,"")</f>
        <v/>
      </c>
      <c r="AL448" s="39" t="str">
        <f>IF(AND($G448='Povolené hodnoty'!$B$13,$H448=AL$4),SUM($I448,$L448,$O448,$R448),"")</f>
        <v/>
      </c>
      <c r="AM448" s="458" t="str">
        <f>IF(AND($G448='Povolené hodnoty'!$B$13,$H448=AM$4),SUM($I448,$L448,$O448,$R448),"")</f>
        <v/>
      </c>
      <c r="AN448" s="458" t="str">
        <f>IF(AND($G448='Povolené hodnoty'!$B$13,$H448=AN$4),SUM($I448,$L448,$O448,$R448),"")</f>
        <v/>
      </c>
      <c r="AO448" s="458" t="str">
        <f>IF(AND($G448='Povolené hodnoty'!$B$13,$H448=AO$4),SUM($I448,$L448,$O448,$R448),"")</f>
        <v/>
      </c>
      <c r="AP448" s="458" t="str">
        <f>IF(AND($G448='Povolené hodnoty'!$B$13,$H448=AP$4),SUM($I448,$L448,$O448,$R448),"")</f>
        <v/>
      </c>
      <c r="AQ448" s="40" t="str">
        <f>IF(AND($G448='Povolené hodnoty'!$B$13,OR($H448=AQ$4,$H448='Povolené hodnoty'!$E$36)),SUM($I448,-$J448,$L448,-$M448,$O448,-$P448,$R448,-$S448),"")</f>
        <v/>
      </c>
      <c r="AR448" s="40" t="str">
        <f>IF(AND($G448='Povolené hodnoty'!$B$13,$H448=AR$4),SUM($I448,$L448,$O448,$R448),"")</f>
        <v/>
      </c>
      <c r="AS448" s="41" t="str">
        <f>IF(AND($G448='Povolené hodnoty'!$B$13,$H448=AS$4),SUM($I448,$L448,$O448,$R448),"")</f>
        <v/>
      </c>
      <c r="AT448" s="39" t="str">
        <f>IF(AND($G448='Povolené hodnoty'!$B$14,$H448=AT$4),SUM($I448,$L448,$O448,$R448),"")</f>
        <v/>
      </c>
      <c r="AU448" s="458" t="str">
        <f>IF(AND($G448='Povolené hodnoty'!$B$14,$H448=AU$4),SUM($I448,$L448,$O448,$R448),"")</f>
        <v/>
      </c>
      <c r="AV448" s="41" t="str">
        <f>IF(AND($G448='Povolené hodnoty'!$B$14,$H448=AV$4),SUM($I448,$L448,$O448,$R448),"")</f>
        <v/>
      </c>
      <c r="AW448" s="39" t="str">
        <f>IF(AND($G448='Povolené hodnoty'!$B$13,$H448=AW$4),SUM($J448,$M448,$P448,$S448),"")</f>
        <v/>
      </c>
      <c r="AX448" s="458" t="str">
        <f>IF(AND($G448='Povolené hodnoty'!$B$13,$H448=AX$4),SUM($J448,$M448,$P448,$S448),"")</f>
        <v/>
      </c>
      <c r="AY448" s="458" t="str">
        <f>IF(AND($G448='Povolené hodnoty'!$B$13,$H448=AY$4),SUM($J448,$M448,$P448,$S448),"")</f>
        <v/>
      </c>
      <c r="AZ448" s="458" t="str">
        <f>IF(AND($G448='Povolené hodnoty'!$B$13,$H448=AZ$4),SUM($J448,$M448,$P448,$S448),"")</f>
        <v/>
      </c>
      <c r="BA448" s="458" t="str">
        <f>IF(AND($G448='Povolené hodnoty'!$B$13,$H448=BA$4),SUM($J448,$M448,$P448,$S448),"")</f>
        <v/>
      </c>
      <c r="BB448" s="40" t="str">
        <f>IF(AND($G448='Povolené hodnoty'!$B$13,$H448=BB$4),SUM($J448,$M448,$P448,$S448),"")</f>
        <v/>
      </c>
      <c r="BC448" s="40" t="str">
        <f>IF(AND($G448='Povolené hodnoty'!$B$13,$H448=BC$4),SUM($J448,$M448,$P448,$S448),"")</f>
        <v/>
      </c>
      <c r="BD448" s="40" t="str">
        <f>IF(AND($G448='Povolené hodnoty'!$B$13,$H448=BD$4),SUM($J448,$M448,$P448,$S448),"")</f>
        <v/>
      </c>
      <c r="BE448" s="41" t="str">
        <f>IF(AND($G448='Povolené hodnoty'!$B$13,$H448=BE$4),SUM($J448,$M448,$P448,$S448),"")</f>
        <v/>
      </c>
      <c r="BF448" s="39" t="str">
        <f>IF(AND($G448='Povolené hodnoty'!$B$14,$H448=BF$4),SUM($J448,$M448,$P448,$S448),"")</f>
        <v/>
      </c>
      <c r="BG448" s="458" t="str">
        <f>IF(AND($G448='Povolené hodnoty'!$B$14,$H448=BG$4),SUM($J448,$M448,$P448,$S448),"")</f>
        <v/>
      </c>
      <c r="BH448" s="458" t="str">
        <f>IF(AND($G448='Povolené hodnoty'!$B$14,$H448=BH$4),SUM($J448,$M448,$P448,$S448),"")</f>
        <v/>
      </c>
      <c r="BI448" s="458" t="str">
        <f>IF(AND($G448='Povolené hodnoty'!$B$14,$H448=BI$4),SUM($J448,$M448,$P448,$S448),"")</f>
        <v/>
      </c>
      <c r="BJ448" s="458" t="str">
        <f>IF(AND($G448='Povolené hodnoty'!$B$14,$H448=BJ$4),SUM($J448,$M448,$P448,$S448),"")</f>
        <v/>
      </c>
      <c r="BK448" s="40" t="str">
        <f>IF(AND($G448='Povolené hodnoty'!$B$14,$H448=BK$4),SUM($J448,$M448,$P448,$S448),"")</f>
        <v/>
      </c>
      <c r="BL448" s="40" t="str">
        <f>IF(AND($G448='Povolené hodnoty'!$B$14,$H448=BL$4),SUM($J448,$M448,$P448,$S448),"")</f>
        <v/>
      </c>
      <c r="BM448" s="41" t="str">
        <f>IF(AND($G448='Povolené hodnoty'!$B$14,$H448=BM$4),SUM($J448,$M448,$P448,$S448),"")</f>
        <v/>
      </c>
      <c r="BO448" s="18" t="b">
        <f t="shared" si="246"/>
        <v>0</v>
      </c>
      <c r="BP448" s="18" t="b">
        <f t="shared" si="217"/>
        <v>0</v>
      </c>
      <c r="BQ448" s="18" t="b">
        <f>AND(E448&lt;&gt;'Povolené hodnoty'!$B$6,F448&lt;&gt;'Povolené hodnoty'!$D$7,F448&lt;&gt;'Povolené hodnoty'!$D$8,OR(SUM(I448,L448,O448,R448)&lt;&gt;SUM(W448:X448,AA448:AG448),SUM(J448,M448,P448,S448)&lt;&gt;SUM(Y448:Z448,AH448:AK448),COUNT(I448:J448,L448:M448,O448:P448,R448:S448)&lt;&gt;COUNT(W448:AK448)))</f>
        <v>0</v>
      </c>
      <c r="BR448" s="18" t="b">
        <f>OR(AND(E448='Povolené hodnoty'!$B$6,$BR$5),AND(E448='Povolené hodnoty'!$B$6,H448&lt;&gt;'Povolené hodnoty'!$E$26,H448&lt;&gt;'Povolené hodnoty'!$E$35),AND(E448&lt;&gt;'Povolené hodnoty'!$B$6,OR(H448='Povolené hodnoty'!$E$26,H448='Povolené hodnoty'!$E$35)))</f>
        <v>0</v>
      </c>
      <c r="BS448" s="18" t="b">
        <f>OR(AND(G448&lt;&gt;'Povolené hodnoty'!$B$13,OR(H448='Povolené hodnoty'!$E$21,H448='Povolené hodnoty'!$E$22,H448='Povolené hodnoty'!$E$23,H448='Povolené hodnoty'!$E$24,H448='Povolené hodnoty'!$E$26,H448='Povolené hodnoty'!$E$36)),COUNT(I448:J448,L448:M448,O448:P448,R448:S448)&lt;&gt;COUNT(AL448:BM448))</f>
        <v>0</v>
      </c>
      <c r="BT448" s="18" t="b">
        <f t="shared" si="218"/>
        <v>0</v>
      </c>
      <c r="BV448" s="39" t="str">
        <f t="shared" si="219"/>
        <v/>
      </c>
      <c r="BW448" s="458" t="str">
        <f t="shared" si="220"/>
        <v/>
      </c>
      <c r="BX448" s="458" t="str">
        <f t="shared" si="221"/>
        <v/>
      </c>
      <c r="BY448" s="458" t="str">
        <f t="shared" si="222"/>
        <v/>
      </c>
      <c r="BZ448" s="458" t="str">
        <f t="shared" si="223"/>
        <v/>
      </c>
      <c r="CA448" s="40" t="str">
        <f t="shared" si="224"/>
        <v/>
      </c>
      <c r="CB448" s="40" t="str">
        <f t="shared" si="225"/>
        <v/>
      </c>
      <c r="CC448" s="39" t="str">
        <f t="shared" si="226"/>
        <v/>
      </c>
      <c r="CD448" s="458" t="str">
        <f t="shared" si="227"/>
        <v/>
      </c>
      <c r="CE448" s="41" t="str">
        <f t="shared" si="228"/>
        <v/>
      </c>
      <c r="CF448" s="39" t="str">
        <f t="shared" si="229"/>
        <v/>
      </c>
      <c r="CG448" s="458" t="str">
        <f t="shared" si="230"/>
        <v/>
      </c>
      <c r="CH448" s="458" t="str">
        <f t="shared" si="231"/>
        <v/>
      </c>
      <c r="CI448" s="458" t="str">
        <f t="shared" si="232"/>
        <v/>
      </c>
      <c r="CJ448" s="458" t="str">
        <f t="shared" si="233"/>
        <v/>
      </c>
      <c r="CK448" s="40" t="str">
        <f t="shared" si="234"/>
        <v/>
      </c>
      <c r="CL448" s="40" t="str">
        <f t="shared" si="235"/>
        <v/>
      </c>
      <c r="CM448" s="40" t="str">
        <f t="shared" si="236"/>
        <v/>
      </c>
      <c r="CN448" s="39" t="str">
        <f t="shared" si="237"/>
        <v/>
      </c>
      <c r="CO448" s="458" t="str">
        <f t="shared" si="238"/>
        <v/>
      </c>
      <c r="CP448" s="458" t="str">
        <f t="shared" si="239"/>
        <v/>
      </c>
      <c r="CQ448" s="458" t="str">
        <f t="shared" si="240"/>
        <v/>
      </c>
      <c r="CR448" s="458" t="str">
        <f t="shared" si="241"/>
        <v/>
      </c>
      <c r="CS448" s="40" t="str">
        <f t="shared" si="242"/>
        <v/>
      </c>
      <c r="CT448" s="40" t="str">
        <f t="shared" si="243"/>
        <v/>
      </c>
      <c r="CU448" s="41" t="str">
        <f t="shared" si="244"/>
        <v/>
      </c>
    </row>
    <row r="449" spans="1:99" x14ac:dyDescent="0.2">
      <c r="A449" s="77">
        <f t="shared" si="245"/>
        <v>444</v>
      </c>
      <c r="B449" s="81"/>
      <c r="C449" s="82"/>
      <c r="D449" s="71"/>
      <c r="E449" s="72"/>
      <c r="F449" s="73"/>
      <c r="G449" s="443"/>
      <c r="H449" s="443"/>
      <c r="I449" s="74"/>
      <c r="J449" s="75"/>
      <c r="K449" s="41">
        <f t="shared" si="249"/>
        <v>3625</v>
      </c>
      <c r="L449" s="104"/>
      <c r="M449" s="105"/>
      <c r="N449" s="106">
        <f t="shared" si="250"/>
        <v>537.05999999999995</v>
      </c>
      <c r="O449" s="104"/>
      <c r="P449" s="105"/>
      <c r="Q449" s="106">
        <f t="shared" si="247"/>
        <v>10045.83</v>
      </c>
      <c r="R449" s="104"/>
      <c r="S449" s="105"/>
      <c r="T449" s="106">
        <f t="shared" si="248"/>
        <v>0</v>
      </c>
      <c r="U449" s="439"/>
      <c r="V449" s="42">
        <f t="shared" si="216"/>
        <v>444</v>
      </c>
      <c r="W449" s="39" t="str">
        <f>IF(AND(E449='Povolené hodnoty'!$B$4,F449=2),I449+L449+O449+R449,"")</f>
        <v/>
      </c>
      <c r="X449" s="41" t="str">
        <f>IF(AND(E449='Povolené hodnoty'!$B$4,F449=1),I449+L449+O449+R449,"")</f>
        <v/>
      </c>
      <c r="Y449" s="39" t="str">
        <f>IF(AND(E449='Povolené hodnoty'!$B$4,F449=10),J449+M449+P449+S449,"")</f>
        <v/>
      </c>
      <c r="Z449" s="41" t="str">
        <f>IF(AND(E449='Povolené hodnoty'!$B$4,F449=9),J449+M449+P449+S449,"")</f>
        <v/>
      </c>
      <c r="AA449" s="39" t="str">
        <f>IF(AND(E449&lt;&gt;'Povolené hodnoty'!$B$4,F449=2),I449+L449+O449+R449,"")</f>
        <v/>
      </c>
      <c r="AB449" s="40" t="str">
        <f>IF(AND(E449&lt;&gt;'Povolené hodnoty'!$B$4,F449=3),I449+L449+O449+R449,"")</f>
        <v/>
      </c>
      <c r="AC449" s="40" t="str">
        <f>IF(AND(E449&lt;&gt;'Povolené hodnoty'!$B$4,F449=4),I449+L449+O449+R449,"")</f>
        <v/>
      </c>
      <c r="AD449" s="40" t="str">
        <f>IF(AND(E449&lt;&gt;'Povolené hodnoty'!$B$4,F449="5a"),I449-J449+L449-M449+O449-P449+R449-S449,"")</f>
        <v/>
      </c>
      <c r="AE449" s="40" t="str">
        <f>IF(AND(E449&lt;&gt;'Povolené hodnoty'!$B$4,F449="5b"),I449-J449+L449-M449+O449-P449+R449-S449,"")</f>
        <v/>
      </c>
      <c r="AF449" s="40" t="str">
        <f>IF(AND(E449&lt;&gt;'Povolené hodnoty'!$B$4,F449=6),I449+L449+O449+R449,"")</f>
        <v/>
      </c>
      <c r="AG449" s="41" t="str">
        <f>IF(AND(E449&lt;&gt;'Povolené hodnoty'!$B$4,F449=7),I449+L449+O449+R449,"")</f>
        <v/>
      </c>
      <c r="AH449" s="39" t="str">
        <f>IF(AND(E449&lt;&gt;'Povolené hodnoty'!$B$4,F449=10),J449+M449+P449+S449,"")</f>
        <v/>
      </c>
      <c r="AI449" s="40" t="str">
        <f>IF(AND(E449&lt;&gt;'Povolené hodnoty'!$B$4,F449=11),J449+M449+P449+S449,"")</f>
        <v/>
      </c>
      <c r="AJ449" s="40" t="str">
        <f>IF(AND(E449&lt;&gt;'Povolené hodnoty'!$B$4,F449=12),J449+M449+P449+S449,"")</f>
        <v/>
      </c>
      <c r="AK449" s="41" t="str">
        <f>IF(AND(E449&lt;&gt;'Povolené hodnoty'!$B$4,F449=13),J449+M449+P449+S449,"")</f>
        <v/>
      </c>
      <c r="AL449" s="39" t="str">
        <f>IF(AND($G449='Povolené hodnoty'!$B$13,$H449=AL$4),SUM($I449,$L449,$O449,$R449),"")</f>
        <v/>
      </c>
      <c r="AM449" s="458" t="str">
        <f>IF(AND($G449='Povolené hodnoty'!$B$13,$H449=AM$4),SUM($I449,$L449,$O449,$R449),"")</f>
        <v/>
      </c>
      <c r="AN449" s="458" t="str">
        <f>IF(AND($G449='Povolené hodnoty'!$B$13,$H449=AN$4),SUM($I449,$L449,$O449,$R449),"")</f>
        <v/>
      </c>
      <c r="AO449" s="458" t="str">
        <f>IF(AND($G449='Povolené hodnoty'!$B$13,$H449=AO$4),SUM($I449,$L449,$O449,$R449),"")</f>
        <v/>
      </c>
      <c r="AP449" s="458" t="str">
        <f>IF(AND($G449='Povolené hodnoty'!$B$13,$H449=AP$4),SUM($I449,$L449,$O449,$R449),"")</f>
        <v/>
      </c>
      <c r="AQ449" s="40" t="str">
        <f>IF(AND($G449='Povolené hodnoty'!$B$13,OR($H449=AQ$4,$H449='Povolené hodnoty'!$E$36)),SUM($I449,-$J449,$L449,-$M449,$O449,-$P449,$R449,-$S449),"")</f>
        <v/>
      </c>
      <c r="AR449" s="40" t="str">
        <f>IF(AND($G449='Povolené hodnoty'!$B$13,$H449=AR$4),SUM($I449,$L449,$O449,$R449),"")</f>
        <v/>
      </c>
      <c r="AS449" s="41" t="str">
        <f>IF(AND($G449='Povolené hodnoty'!$B$13,$H449=AS$4),SUM($I449,$L449,$O449,$R449),"")</f>
        <v/>
      </c>
      <c r="AT449" s="39" t="str">
        <f>IF(AND($G449='Povolené hodnoty'!$B$14,$H449=AT$4),SUM($I449,$L449,$O449,$R449),"")</f>
        <v/>
      </c>
      <c r="AU449" s="458" t="str">
        <f>IF(AND($G449='Povolené hodnoty'!$B$14,$H449=AU$4),SUM($I449,$L449,$O449,$R449),"")</f>
        <v/>
      </c>
      <c r="AV449" s="41" t="str">
        <f>IF(AND($G449='Povolené hodnoty'!$B$14,$H449=AV$4),SUM($I449,$L449,$O449,$R449),"")</f>
        <v/>
      </c>
      <c r="AW449" s="39" t="str">
        <f>IF(AND($G449='Povolené hodnoty'!$B$13,$H449=AW$4),SUM($J449,$M449,$P449,$S449),"")</f>
        <v/>
      </c>
      <c r="AX449" s="458" t="str">
        <f>IF(AND($G449='Povolené hodnoty'!$B$13,$H449=AX$4),SUM($J449,$M449,$P449,$S449),"")</f>
        <v/>
      </c>
      <c r="AY449" s="458" t="str">
        <f>IF(AND($G449='Povolené hodnoty'!$B$13,$H449=AY$4),SUM($J449,$M449,$P449,$S449),"")</f>
        <v/>
      </c>
      <c r="AZ449" s="458" t="str">
        <f>IF(AND($G449='Povolené hodnoty'!$B$13,$H449=AZ$4),SUM($J449,$M449,$P449,$S449),"")</f>
        <v/>
      </c>
      <c r="BA449" s="458" t="str">
        <f>IF(AND($G449='Povolené hodnoty'!$B$13,$H449=BA$4),SUM($J449,$M449,$P449,$S449),"")</f>
        <v/>
      </c>
      <c r="BB449" s="40" t="str">
        <f>IF(AND($G449='Povolené hodnoty'!$B$13,$H449=BB$4),SUM($J449,$M449,$P449,$S449),"")</f>
        <v/>
      </c>
      <c r="BC449" s="40" t="str">
        <f>IF(AND($G449='Povolené hodnoty'!$B$13,$H449=BC$4),SUM($J449,$M449,$P449,$S449),"")</f>
        <v/>
      </c>
      <c r="BD449" s="40" t="str">
        <f>IF(AND($G449='Povolené hodnoty'!$B$13,$H449=BD$4),SUM($J449,$M449,$P449,$S449),"")</f>
        <v/>
      </c>
      <c r="BE449" s="41" t="str">
        <f>IF(AND($G449='Povolené hodnoty'!$B$13,$H449=BE$4),SUM($J449,$M449,$P449,$S449),"")</f>
        <v/>
      </c>
      <c r="BF449" s="39" t="str">
        <f>IF(AND($G449='Povolené hodnoty'!$B$14,$H449=BF$4),SUM($J449,$M449,$P449,$S449),"")</f>
        <v/>
      </c>
      <c r="BG449" s="458" t="str">
        <f>IF(AND($G449='Povolené hodnoty'!$B$14,$H449=BG$4),SUM($J449,$M449,$P449,$S449),"")</f>
        <v/>
      </c>
      <c r="BH449" s="458" t="str">
        <f>IF(AND($G449='Povolené hodnoty'!$B$14,$H449=BH$4),SUM($J449,$M449,$P449,$S449),"")</f>
        <v/>
      </c>
      <c r="BI449" s="458" t="str">
        <f>IF(AND($G449='Povolené hodnoty'!$B$14,$H449=BI$4),SUM($J449,$M449,$P449,$S449),"")</f>
        <v/>
      </c>
      <c r="BJ449" s="458" t="str">
        <f>IF(AND($G449='Povolené hodnoty'!$B$14,$H449=BJ$4),SUM($J449,$M449,$P449,$S449),"")</f>
        <v/>
      </c>
      <c r="BK449" s="40" t="str">
        <f>IF(AND($G449='Povolené hodnoty'!$B$14,$H449=BK$4),SUM($J449,$M449,$P449,$S449),"")</f>
        <v/>
      </c>
      <c r="BL449" s="40" t="str">
        <f>IF(AND($G449='Povolené hodnoty'!$B$14,$H449=BL$4),SUM($J449,$M449,$P449,$S449),"")</f>
        <v/>
      </c>
      <c r="BM449" s="41" t="str">
        <f>IF(AND($G449='Povolené hodnoty'!$B$14,$H449=BM$4),SUM($J449,$M449,$P449,$S449),"")</f>
        <v/>
      </c>
      <c r="BO449" s="18" t="b">
        <f t="shared" si="246"/>
        <v>0</v>
      </c>
      <c r="BP449" s="18" t="b">
        <f t="shared" si="217"/>
        <v>0</v>
      </c>
      <c r="BQ449" s="18" t="b">
        <f>AND(E449&lt;&gt;'Povolené hodnoty'!$B$6,F449&lt;&gt;'Povolené hodnoty'!$D$7,F449&lt;&gt;'Povolené hodnoty'!$D$8,OR(SUM(I449,L449,O449,R449)&lt;&gt;SUM(W449:X449,AA449:AG449),SUM(J449,M449,P449,S449)&lt;&gt;SUM(Y449:Z449,AH449:AK449),COUNT(I449:J449,L449:M449,O449:P449,R449:S449)&lt;&gt;COUNT(W449:AK449)))</f>
        <v>0</v>
      </c>
      <c r="BR449" s="18" t="b">
        <f>OR(AND(E449='Povolené hodnoty'!$B$6,$BR$5),AND(E449='Povolené hodnoty'!$B$6,H449&lt;&gt;'Povolené hodnoty'!$E$26,H449&lt;&gt;'Povolené hodnoty'!$E$35),AND(E449&lt;&gt;'Povolené hodnoty'!$B$6,OR(H449='Povolené hodnoty'!$E$26,H449='Povolené hodnoty'!$E$35)))</f>
        <v>0</v>
      </c>
      <c r="BS449" s="18" t="b">
        <f>OR(AND(G449&lt;&gt;'Povolené hodnoty'!$B$13,OR(H449='Povolené hodnoty'!$E$21,H449='Povolené hodnoty'!$E$22,H449='Povolené hodnoty'!$E$23,H449='Povolené hodnoty'!$E$24,H449='Povolené hodnoty'!$E$26,H449='Povolené hodnoty'!$E$36)),COUNT(I449:J449,L449:M449,O449:P449,R449:S449)&lt;&gt;COUNT(AL449:BM449))</f>
        <v>0</v>
      </c>
      <c r="BT449" s="18" t="b">
        <f t="shared" si="218"/>
        <v>0</v>
      </c>
      <c r="BV449" s="39" t="str">
        <f t="shared" si="219"/>
        <v/>
      </c>
      <c r="BW449" s="458" t="str">
        <f t="shared" si="220"/>
        <v/>
      </c>
      <c r="BX449" s="458" t="str">
        <f t="shared" si="221"/>
        <v/>
      </c>
      <c r="BY449" s="458" t="str">
        <f t="shared" si="222"/>
        <v/>
      </c>
      <c r="BZ449" s="458" t="str">
        <f t="shared" si="223"/>
        <v/>
      </c>
      <c r="CA449" s="40" t="str">
        <f t="shared" si="224"/>
        <v/>
      </c>
      <c r="CB449" s="40" t="str">
        <f t="shared" si="225"/>
        <v/>
      </c>
      <c r="CC449" s="39" t="str">
        <f t="shared" si="226"/>
        <v/>
      </c>
      <c r="CD449" s="458" t="str">
        <f t="shared" si="227"/>
        <v/>
      </c>
      <c r="CE449" s="41" t="str">
        <f t="shared" si="228"/>
        <v/>
      </c>
      <c r="CF449" s="39" t="str">
        <f t="shared" si="229"/>
        <v/>
      </c>
      <c r="CG449" s="458" t="str">
        <f t="shared" si="230"/>
        <v/>
      </c>
      <c r="CH449" s="458" t="str">
        <f t="shared" si="231"/>
        <v/>
      </c>
      <c r="CI449" s="458" t="str">
        <f t="shared" si="232"/>
        <v/>
      </c>
      <c r="CJ449" s="458" t="str">
        <f t="shared" si="233"/>
        <v/>
      </c>
      <c r="CK449" s="40" t="str">
        <f t="shared" si="234"/>
        <v/>
      </c>
      <c r="CL449" s="40" t="str">
        <f t="shared" si="235"/>
        <v/>
      </c>
      <c r="CM449" s="40" t="str">
        <f t="shared" si="236"/>
        <v/>
      </c>
      <c r="CN449" s="39" t="str">
        <f t="shared" si="237"/>
        <v/>
      </c>
      <c r="CO449" s="458" t="str">
        <f t="shared" si="238"/>
        <v/>
      </c>
      <c r="CP449" s="458" t="str">
        <f t="shared" si="239"/>
        <v/>
      </c>
      <c r="CQ449" s="458" t="str">
        <f t="shared" si="240"/>
        <v/>
      </c>
      <c r="CR449" s="458" t="str">
        <f t="shared" si="241"/>
        <v/>
      </c>
      <c r="CS449" s="40" t="str">
        <f t="shared" si="242"/>
        <v/>
      </c>
      <c r="CT449" s="40" t="str">
        <f t="shared" si="243"/>
        <v/>
      </c>
      <c r="CU449" s="41" t="str">
        <f t="shared" si="244"/>
        <v/>
      </c>
    </row>
    <row r="450" spans="1:99" x14ac:dyDescent="0.2">
      <c r="A450" s="77">
        <f t="shared" si="245"/>
        <v>445</v>
      </c>
      <c r="B450" s="81"/>
      <c r="C450" s="82"/>
      <c r="D450" s="71"/>
      <c r="E450" s="72"/>
      <c r="F450" s="73"/>
      <c r="G450" s="443"/>
      <c r="H450" s="443"/>
      <c r="I450" s="74"/>
      <c r="J450" s="75"/>
      <c r="K450" s="41">
        <f t="shared" si="249"/>
        <v>3625</v>
      </c>
      <c r="L450" s="104"/>
      <c r="M450" s="105"/>
      <c r="N450" s="106">
        <f t="shared" si="250"/>
        <v>537.05999999999995</v>
      </c>
      <c r="O450" s="104"/>
      <c r="P450" s="105"/>
      <c r="Q450" s="106">
        <f t="shared" si="247"/>
        <v>10045.83</v>
      </c>
      <c r="R450" s="104"/>
      <c r="S450" s="105"/>
      <c r="T450" s="106">
        <f t="shared" si="248"/>
        <v>0</v>
      </c>
      <c r="U450" s="439"/>
      <c r="V450" s="42">
        <f t="shared" si="216"/>
        <v>445</v>
      </c>
      <c r="W450" s="39" t="str">
        <f>IF(AND(E450='Povolené hodnoty'!$B$4,F450=2),I450+L450+O450+R450,"")</f>
        <v/>
      </c>
      <c r="X450" s="41" t="str">
        <f>IF(AND(E450='Povolené hodnoty'!$B$4,F450=1),I450+L450+O450+R450,"")</f>
        <v/>
      </c>
      <c r="Y450" s="39" t="str">
        <f>IF(AND(E450='Povolené hodnoty'!$B$4,F450=10),J450+M450+P450+S450,"")</f>
        <v/>
      </c>
      <c r="Z450" s="41" t="str">
        <f>IF(AND(E450='Povolené hodnoty'!$B$4,F450=9),J450+M450+P450+S450,"")</f>
        <v/>
      </c>
      <c r="AA450" s="39" t="str">
        <f>IF(AND(E450&lt;&gt;'Povolené hodnoty'!$B$4,F450=2),I450+L450+O450+R450,"")</f>
        <v/>
      </c>
      <c r="AB450" s="40" t="str">
        <f>IF(AND(E450&lt;&gt;'Povolené hodnoty'!$B$4,F450=3),I450+L450+O450+R450,"")</f>
        <v/>
      </c>
      <c r="AC450" s="40" t="str">
        <f>IF(AND(E450&lt;&gt;'Povolené hodnoty'!$B$4,F450=4),I450+L450+O450+R450,"")</f>
        <v/>
      </c>
      <c r="AD450" s="40" t="str">
        <f>IF(AND(E450&lt;&gt;'Povolené hodnoty'!$B$4,F450="5a"),I450-J450+L450-M450+O450-P450+R450-S450,"")</f>
        <v/>
      </c>
      <c r="AE450" s="40" t="str">
        <f>IF(AND(E450&lt;&gt;'Povolené hodnoty'!$B$4,F450="5b"),I450-J450+L450-M450+O450-P450+R450-S450,"")</f>
        <v/>
      </c>
      <c r="AF450" s="40" t="str">
        <f>IF(AND(E450&lt;&gt;'Povolené hodnoty'!$B$4,F450=6),I450+L450+O450+R450,"")</f>
        <v/>
      </c>
      <c r="AG450" s="41" t="str">
        <f>IF(AND(E450&lt;&gt;'Povolené hodnoty'!$B$4,F450=7),I450+L450+O450+R450,"")</f>
        <v/>
      </c>
      <c r="AH450" s="39" t="str">
        <f>IF(AND(E450&lt;&gt;'Povolené hodnoty'!$B$4,F450=10),J450+M450+P450+S450,"")</f>
        <v/>
      </c>
      <c r="AI450" s="40" t="str">
        <f>IF(AND(E450&lt;&gt;'Povolené hodnoty'!$B$4,F450=11),J450+M450+P450+S450,"")</f>
        <v/>
      </c>
      <c r="AJ450" s="40" t="str">
        <f>IF(AND(E450&lt;&gt;'Povolené hodnoty'!$B$4,F450=12),J450+M450+P450+S450,"")</f>
        <v/>
      </c>
      <c r="AK450" s="41" t="str">
        <f>IF(AND(E450&lt;&gt;'Povolené hodnoty'!$B$4,F450=13),J450+M450+P450+S450,"")</f>
        <v/>
      </c>
      <c r="AL450" s="39" t="str">
        <f>IF(AND($G450='Povolené hodnoty'!$B$13,$H450=AL$4),SUM($I450,$L450,$O450,$R450),"")</f>
        <v/>
      </c>
      <c r="AM450" s="458" t="str">
        <f>IF(AND($G450='Povolené hodnoty'!$B$13,$H450=AM$4),SUM($I450,$L450,$O450,$R450),"")</f>
        <v/>
      </c>
      <c r="AN450" s="458" t="str">
        <f>IF(AND($G450='Povolené hodnoty'!$B$13,$H450=AN$4),SUM($I450,$L450,$O450,$R450),"")</f>
        <v/>
      </c>
      <c r="AO450" s="458" t="str">
        <f>IF(AND($G450='Povolené hodnoty'!$B$13,$H450=AO$4),SUM($I450,$L450,$O450,$R450),"")</f>
        <v/>
      </c>
      <c r="AP450" s="458" t="str">
        <f>IF(AND($G450='Povolené hodnoty'!$B$13,$H450=AP$4),SUM($I450,$L450,$O450,$R450),"")</f>
        <v/>
      </c>
      <c r="AQ450" s="40" t="str">
        <f>IF(AND($G450='Povolené hodnoty'!$B$13,OR($H450=AQ$4,$H450='Povolené hodnoty'!$E$36)),SUM($I450,-$J450,$L450,-$M450,$O450,-$P450,$R450,-$S450),"")</f>
        <v/>
      </c>
      <c r="AR450" s="40" t="str">
        <f>IF(AND($G450='Povolené hodnoty'!$B$13,$H450=AR$4),SUM($I450,$L450,$O450,$R450),"")</f>
        <v/>
      </c>
      <c r="AS450" s="41" t="str">
        <f>IF(AND($G450='Povolené hodnoty'!$B$13,$H450=AS$4),SUM($I450,$L450,$O450,$R450),"")</f>
        <v/>
      </c>
      <c r="AT450" s="39" t="str">
        <f>IF(AND($G450='Povolené hodnoty'!$B$14,$H450=AT$4),SUM($I450,$L450,$O450,$R450),"")</f>
        <v/>
      </c>
      <c r="AU450" s="458" t="str">
        <f>IF(AND($G450='Povolené hodnoty'!$B$14,$H450=AU$4),SUM($I450,$L450,$O450,$R450),"")</f>
        <v/>
      </c>
      <c r="AV450" s="41" t="str">
        <f>IF(AND($G450='Povolené hodnoty'!$B$14,$H450=AV$4),SUM($I450,$L450,$O450,$R450),"")</f>
        <v/>
      </c>
      <c r="AW450" s="39" t="str">
        <f>IF(AND($G450='Povolené hodnoty'!$B$13,$H450=AW$4),SUM($J450,$M450,$P450,$S450),"")</f>
        <v/>
      </c>
      <c r="AX450" s="458" t="str">
        <f>IF(AND($G450='Povolené hodnoty'!$B$13,$H450=AX$4),SUM($J450,$M450,$P450,$S450),"")</f>
        <v/>
      </c>
      <c r="AY450" s="458" t="str">
        <f>IF(AND($G450='Povolené hodnoty'!$B$13,$H450=AY$4),SUM($J450,$M450,$P450,$S450),"")</f>
        <v/>
      </c>
      <c r="AZ450" s="458" t="str">
        <f>IF(AND($G450='Povolené hodnoty'!$B$13,$H450=AZ$4),SUM($J450,$M450,$P450,$S450),"")</f>
        <v/>
      </c>
      <c r="BA450" s="458" t="str">
        <f>IF(AND($G450='Povolené hodnoty'!$B$13,$H450=BA$4),SUM($J450,$M450,$P450,$S450),"")</f>
        <v/>
      </c>
      <c r="BB450" s="40" t="str">
        <f>IF(AND($G450='Povolené hodnoty'!$B$13,$H450=BB$4),SUM($J450,$M450,$P450,$S450),"")</f>
        <v/>
      </c>
      <c r="BC450" s="40" t="str">
        <f>IF(AND($G450='Povolené hodnoty'!$B$13,$H450=BC$4),SUM($J450,$M450,$P450,$S450),"")</f>
        <v/>
      </c>
      <c r="BD450" s="40" t="str">
        <f>IF(AND($G450='Povolené hodnoty'!$B$13,$H450=BD$4),SUM($J450,$M450,$P450,$S450),"")</f>
        <v/>
      </c>
      <c r="BE450" s="41" t="str">
        <f>IF(AND($G450='Povolené hodnoty'!$B$13,$H450=BE$4),SUM($J450,$M450,$P450,$S450),"")</f>
        <v/>
      </c>
      <c r="BF450" s="39" t="str">
        <f>IF(AND($G450='Povolené hodnoty'!$B$14,$H450=BF$4),SUM($J450,$M450,$P450,$S450),"")</f>
        <v/>
      </c>
      <c r="BG450" s="458" t="str">
        <f>IF(AND($G450='Povolené hodnoty'!$B$14,$H450=BG$4),SUM($J450,$M450,$P450,$S450),"")</f>
        <v/>
      </c>
      <c r="BH450" s="458" t="str">
        <f>IF(AND($G450='Povolené hodnoty'!$B$14,$H450=BH$4),SUM($J450,$M450,$P450,$S450),"")</f>
        <v/>
      </c>
      <c r="BI450" s="458" t="str">
        <f>IF(AND($G450='Povolené hodnoty'!$B$14,$H450=BI$4),SUM($J450,$M450,$P450,$S450),"")</f>
        <v/>
      </c>
      <c r="BJ450" s="458" t="str">
        <f>IF(AND($G450='Povolené hodnoty'!$B$14,$H450=BJ$4),SUM($J450,$M450,$P450,$S450),"")</f>
        <v/>
      </c>
      <c r="BK450" s="40" t="str">
        <f>IF(AND($G450='Povolené hodnoty'!$B$14,$H450=BK$4),SUM($J450,$M450,$P450,$S450),"")</f>
        <v/>
      </c>
      <c r="BL450" s="40" t="str">
        <f>IF(AND($G450='Povolené hodnoty'!$B$14,$H450=BL$4),SUM($J450,$M450,$P450,$S450),"")</f>
        <v/>
      </c>
      <c r="BM450" s="41" t="str">
        <f>IF(AND($G450='Povolené hodnoty'!$B$14,$H450=BM$4),SUM($J450,$M450,$P450,$S450),"")</f>
        <v/>
      </c>
      <c r="BO450" s="18" t="b">
        <f t="shared" si="246"/>
        <v>0</v>
      </c>
      <c r="BP450" s="18" t="b">
        <f t="shared" si="217"/>
        <v>0</v>
      </c>
      <c r="BQ450" s="18" t="b">
        <f>AND(E450&lt;&gt;'Povolené hodnoty'!$B$6,F450&lt;&gt;'Povolené hodnoty'!$D$7,F450&lt;&gt;'Povolené hodnoty'!$D$8,OR(SUM(I450,L450,O450,R450)&lt;&gt;SUM(W450:X450,AA450:AG450),SUM(J450,M450,P450,S450)&lt;&gt;SUM(Y450:Z450,AH450:AK450),COUNT(I450:J450,L450:M450,O450:P450,R450:S450)&lt;&gt;COUNT(W450:AK450)))</f>
        <v>0</v>
      </c>
      <c r="BR450" s="18" t="b">
        <f>OR(AND(E450='Povolené hodnoty'!$B$6,$BR$5),AND(E450='Povolené hodnoty'!$B$6,H450&lt;&gt;'Povolené hodnoty'!$E$26,H450&lt;&gt;'Povolené hodnoty'!$E$35),AND(E450&lt;&gt;'Povolené hodnoty'!$B$6,OR(H450='Povolené hodnoty'!$E$26,H450='Povolené hodnoty'!$E$35)))</f>
        <v>0</v>
      </c>
      <c r="BS450" s="18" t="b">
        <f>OR(AND(G450&lt;&gt;'Povolené hodnoty'!$B$13,OR(H450='Povolené hodnoty'!$E$21,H450='Povolené hodnoty'!$E$22,H450='Povolené hodnoty'!$E$23,H450='Povolené hodnoty'!$E$24,H450='Povolené hodnoty'!$E$26,H450='Povolené hodnoty'!$E$36)),COUNT(I450:J450,L450:M450,O450:P450,R450:S450)&lt;&gt;COUNT(AL450:BM450))</f>
        <v>0</v>
      </c>
      <c r="BT450" s="18" t="b">
        <f t="shared" si="218"/>
        <v>0</v>
      </c>
      <c r="BV450" s="39" t="str">
        <f t="shared" si="219"/>
        <v/>
      </c>
      <c r="BW450" s="458" t="str">
        <f t="shared" si="220"/>
        <v/>
      </c>
      <c r="BX450" s="458" t="str">
        <f t="shared" si="221"/>
        <v/>
      </c>
      <c r="BY450" s="458" t="str">
        <f t="shared" si="222"/>
        <v/>
      </c>
      <c r="BZ450" s="458" t="str">
        <f t="shared" si="223"/>
        <v/>
      </c>
      <c r="CA450" s="40" t="str">
        <f t="shared" si="224"/>
        <v/>
      </c>
      <c r="CB450" s="40" t="str">
        <f t="shared" si="225"/>
        <v/>
      </c>
      <c r="CC450" s="39" t="str">
        <f t="shared" si="226"/>
        <v/>
      </c>
      <c r="CD450" s="458" t="str">
        <f t="shared" si="227"/>
        <v/>
      </c>
      <c r="CE450" s="41" t="str">
        <f t="shared" si="228"/>
        <v/>
      </c>
      <c r="CF450" s="39" t="str">
        <f t="shared" si="229"/>
        <v/>
      </c>
      <c r="CG450" s="458" t="str">
        <f t="shared" si="230"/>
        <v/>
      </c>
      <c r="CH450" s="458" t="str">
        <f t="shared" si="231"/>
        <v/>
      </c>
      <c r="CI450" s="458" t="str">
        <f t="shared" si="232"/>
        <v/>
      </c>
      <c r="CJ450" s="458" t="str">
        <f t="shared" si="233"/>
        <v/>
      </c>
      <c r="CK450" s="40" t="str">
        <f t="shared" si="234"/>
        <v/>
      </c>
      <c r="CL450" s="40" t="str">
        <f t="shared" si="235"/>
        <v/>
      </c>
      <c r="CM450" s="40" t="str">
        <f t="shared" si="236"/>
        <v/>
      </c>
      <c r="CN450" s="39" t="str">
        <f t="shared" si="237"/>
        <v/>
      </c>
      <c r="CO450" s="458" t="str">
        <f t="shared" si="238"/>
        <v/>
      </c>
      <c r="CP450" s="458" t="str">
        <f t="shared" si="239"/>
        <v/>
      </c>
      <c r="CQ450" s="458" t="str">
        <f t="shared" si="240"/>
        <v/>
      </c>
      <c r="CR450" s="458" t="str">
        <f t="shared" si="241"/>
        <v/>
      </c>
      <c r="CS450" s="40" t="str">
        <f t="shared" si="242"/>
        <v/>
      </c>
      <c r="CT450" s="40" t="str">
        <f t="shared" si="243"/>
        <v/>
      </c>
      <c r="CU450" s="41" t="str">
        <f t="shared" si="244"/>
        <v/>
      </c>
    </row>
    <row r="451" spans="1:99" x14ac:dyDescent="0.2">
      <c r="A451" s="77">
        <f t="shared" si="245"/>
        <v>446</v>
      </c>
      <c r="B451" s="81"/>
      <c r="C451" s="82"/>
      <c r="D451" s="71"/>
      <c r="E451" s="72"/>
      <c r="F451" s="73"/>
      <c r="G451" s="443"/>
      <c r="H451" s="443"/>
      <c r="I451" s="74"/>
      <c r="J451" s="75"/>
      <c r="K451" s="41">
        <f t="shared" si="249"/>
        <v>3625</v>
      </c>
      <c r="L451" s="104"/>
      <c r="M451" s="105"/>
      <c r="N451" s="106">
        <f t="shared" si="250"/>
        <v>537.05999999999995</v>
      </c>
      <c r="O451" s="104"/>
      <c r="P451" s="105"/>
      <c r="Q451" s="106">
        <f t="shared" si="247"/>
        <v>10045.83</v>
      </c>
      <c r="R451" s="104"/>
      <c r="S451" s="105"/>
      <c r="T451" s="106">
        <f t="shared" si="248"/>
        <v>0</v>
      </c>
      <c r="U451" s="439"/>
      <c r="V451" s="42">
        <f t="shared" si="216"/>
        <v>446</v>
      </c>
      <c r="W451" s="39" t="str">
        <f>IF(AND(E451='Povolené hodnoty'!$B$4,F451=2),I451+L451+O451+R451,"")</f>
        <v/>
      </c>
      <c r="X451" s="41" t="str">
        <f>IF(AND(E451='Povolené hodnoty'!$B$4,F451=1),I451+L451+O451+R451,"")</f>
        <v/>
      </c>
      <c r="Y451" s="39" t="str">
        <f>IF(AND(E451='Povolené hodnoty'!$B$4,F451=10),J451+M451+P451+S451,"")</f>
        <v/>
      </c>
      <c r="Z451" s="41" t="str">
        <f>IF(AND(E451='Povolené hodnoty'!$B$4,F451=9),J451+M451+P451+S451,"")</f>
        <v/>
      </c>
      <c r="AA451" s="39" t="str">
        <f>IF(AND(E451&lt;&gt;'Povolené hodnoty'!$B$4,F451=2),I451+L451+O451+R451,"")</f>
        <v/>
      </c>
      <c r="AB451" s="40" t="str">
        <f>IF(AND(E451&lt;&gt;'Povolené hodnoty'!$B$4,F451=3),I451+L451+O451+R451,"")</f>
        <v/>
      </c>
      <c r="AC451" s="40" t="str">
        <f>IF(AND(E451&lt;&gt;'Povolené hodnoty'!$B$4,F451=4),I451+L451+O451+R451,"")</f>
        <v/>
      </c>
      <c r="AD451" s="40" t="str">
        <f>IF(AND(E451&lt;&gt;'Povolené hodnoty'!$B$4,F451="5a"),I451-J451+L451-M451+O451-P451+R451-S451,"")</f>
        <v/>
      </c>
      <c r="AE451" s="40" t="str">
        <f>IF(AND(E451&lt;&gt;'Povolené hodnoty'!$B$4,F451="5b"),I451-J451+L451-M451+O451-P451+R451-S451,"")</f>
        <v/>
      </c>
      <c r="AF451" s="40" t="str">
        <f>IF(AND(E451&lt;&gt;'Povolené hodnoty'!$B$4,F451=6),I451+L451+O451+R451,"")</f>
        <v/>
      </c>
      <c r="AG451" s="41" t="str">
        <f>IF(AND(E451&lt;&gt;'Povolené hodnoty'!$B$4,F451=7),I451+L451+O451+R451,"")</f>
        <v/>
      </c>
      <c r="AH451" s="39" t="str">
        <f>IF(AND(E451&lt;&gt;'Povolené hodnoty'!$B$4,F451=10),J451+M451+P451+S451,"")</f>
        <v/>
      </c>
      <c r="AI451" s="40" t="str">
        <f>IF(AND(E451&lt;&gt;'Povolené hodnoty'!$B$4,F451=11),J451+M451+P451+S451,"")</f>
        <v/>
      </c>
      <c r="AJ451" s="40" t="str">
        <f>IF(AND(E451&lt;&gt;'Povolené hodnoty'!$B$4,F451=12),J451+M451+P451+S451,"")</f>
        <v/>
      </c>
      <c r="AK451" s="41" t="str">
        <f>IF(AND(E451&lt;&gt;'Povolené hodnoty'!$B$4,F451=13),J451+M451+P451+S451,"")</f>
        <v/>
      </c>
      <c r="AL451" s="39" t="str">
        <f>IF(AND($G451='Povolené hodnoty'!$B$13,$H451=AL$4),SUM($I451,$L451,$O451,$R451),"")</f>
        <v/>
      </c>
      <c r="AM451" s="458" t="str">
        <f>IF(AND($G451='Povolené hodnoty'!$B$13,$H451=AM$4),SUM($I451,$L451,$O451,$R451),"")</f>
        <v/>
      </c>
      <c r="AN451" s="458" t="str">
        <f>IF(AND($G451='Povolené hodnoty'!$B$13,$H451=AN$4),SUM($I451,$L451,$O451,$R451),"")</f>
        <v/>
      </c>
      <c r="AO451" s="458" t="str">
        <f>IF(AND($G451='Povolené hodnoty'!$B$13,$H451=AO$4),SUM($I451,$L451,$O451,$R451),"")</f>
        <v/>
      </c>
      <c r="AP451" s="458" t="str">
        <f>IF(AND($G451='Povolené hodnoty'!$B$13,$H451=AP$4),SUM($I451,$L451,$O451,$R451),"")</f>
        <v/>
      </c>
      <c r="AQ451" s="40" t="str">
        <f>IF(AND($G451='Povolené hodnoty'!$B$13,OR($H451=AQ$4,$H451='Povolené hodnoty'!$E$36)),SUM($I451,-$J451,$L451,-$M451,$O451,-$P451,$R451,-$S451),"")</f>
        <v/>
      </c>
      <c r="AR451" s="40" t="str">
        <f>IF(AND($G451='Povolené hodnoty'!$B$13,$H451=AR$4),SUM($I451,$L451,$O451,$R451),"")</f>
        <v/>
      </c>
      <c r="AS451" s="41" t="str">
        <f>IF(AND($G451='Povolené hodnoty'!$B$13,$H451=AS$4),SUM($I451,$L451,$O451,$R451),"")</f>
        <v/>
      </c>
      <c r="AT451" s="39" t="str">
        <f>IF(AND($G451='Povolené hodnoty'!$B$14,$H451=AT$4),SUM($I451,$L451,$O451,$R451),"")</f>
        <v/>
      </c>
      <c r="AU451" s="458" t="str">
        <f>IF(AND($G451='Povolené hodnoty'!$B$14,$H451=AU$4),SUM($I451,$L451,$O451,$R451),"")</f>
        <v/>
      </c>
      <c r="AV451" s="41" t="str">
        <f>IF(AND($G451='Povolené hodnoty'!$B$14,$H451=AV$4),SUM($I451,$L451,$O451,$R451),"")</f>
        <v/>
      </c>
      <c r="AW451" s="39" t="str">
        <f>IF(AND($G451='Povolené hodnoty'!$B$13,$H451=AW$4),SUM($J451,$M451,$P451,$S451),"")</f>
        <v/>
      </c>
      <c r="AX451" s="458" t="str">
        <f>IF(AND($G451='Povolené hodnoty'!$B$13,$H451=AX$4),SUM($J451,$M451,$P451,$S451),"")</f>
        <v/>
      </c>
      <c r="AY451" s="458" t="str">
        <f>IF(AND($G451='Povolené hodnoty'!$B$13,$H451=AY$4),SUM($J451,$M451,$P451,$S451),"")</f>
        <v/>
      </c>
      <c r="AZ451" s="458" t="str">
        <f>IF(AND($G451='Povolené hodnoty'!$B$13,$H451=AZ$4),SUM($J451,$M451,$P451,$S451),"")</f>
        <v/>
      </c>
      <c r="BA451" s="458" t="str">
        <f>IF(AND($G451='Povolené hodnoty'!$B$13,$H451=BA$4),SUM($J451,$M451,$P451,$S451),"")</f>
        <v/>
      </c>
      <c r="BB451" s="40" t="str">
        <f>IF(AND($G451='Povolené hodnoty'!$B$13,$H451=BB$4),SUM($J451,$M451,$P451,$S451),"")</f>
        <v/>
      </c>
      <c r="BC451" s="40" t="str">
        <f>IF(AND($G451='Povolené hodnoty'!$B$13,$H451=BC$4),SUM($J451,$M451,$P451,$S451),"")</f>
        <v/>
      </c>
      <c r="BD451" s="40" t="str">
        <f>IF(AND($G451='Povolené hodnoty'!$B$13,$H451=BD$4),SUM($J451,$M451,$P451,$S451),"")</f>
        <v/>
      </c>
      <c r="BE451" s="41" t="str">
        <f>IF(AND($G451='Povolené hodnoty'!$B$13,$H451=BE$4),SUM($J451,$M451,$P451,$S451),"")</f>
        <v/>
      </c>
      <c r="BF451" s="39" t="str">
        <f>IF(AND($G451='Povolené hodnoty'!$B$14,$H451=BF$4),SUM($J451,$M451,$P451,$S451),"")</f>
        <v/>
      </c>
      <c r="BG451" s="458" t="str">
        <f>IF(AND($G451='Povolené hodnoty'!$B$14,$H451=BG$4),SUM($J451,$M451,$P451,$S451),"")</f>
        <v/>
      </c>
      <c r="BH451" s="458" t="str">
        <f>IF(AND($G451='Povolené hodnoty'!$B$14,$H451=BH$4),SUM($J451,$M451,$P451,$S451),"")</f>
        <v/>
      </c>
      <c r="BI451" s="458" t="str">
        <f>IF(AND($G451='Povolené hodnoty'!$B$14,$H451=BI$4),SUM($J451,$M451,$P451,$S451),"")</f>
        <v/>
      </c>
      <c r="BJ451" s="458" t="str">
        <f>IF(AND($G451='Povolené hodnoty'!$B$14,$H451=BJ$4),SUM($J451,$M451,$P451,$S451),"")</f>
        <v/>
      </c>
      <c r="BK451" s="40" t="str">
        <f>IF(AND($G451='Povolené hodnoty'!$B$14,$H451=BK$4),SUM($J451,$M451,$P451,$S451),"")</f>
        <v/>
      </c>
      <c r="BL451" s="40" t="str">
        <f>IF(AND($G451='Povolené hodnoty'!$B$14,$H451=BL$4),SUM($J451,$M451,$P451,$S451),"")</f>
        <v/>
      </c>
      <c r="BM451" s="41" t="str">
        <f>IF(AND($G451='Povolené hodnoty'!$B$14,$H451=BM$4),SUM($J451,$M451,$P451,$S451),"")</f>
        <v/>
      </c>
      <c r="BO451" s="18" t="b">
        <f t="shared" si="246"/>
        <v>0</v>
      </c>
      <c r="BP451" s="18" t="b">
        <f t="shared" si="217"/>
        <v>0</v>
      </c>
      <c r="BQ451" s="18" t="b">
        <f>AND(E451&lt;&gt;'Povolené hodnoty'!$B$6,F451&lt;&gt;'Povolené hodnoty'!$D$7,F451&lt;&gt;'Povolené hodnoty'!$D$8,OR(SUM(I451,L451,O451,R451)&lt;&gt;SUM(W451:X451,AA451:AG451),SUM(J451,M451,P451,S451)&lt;&gt;SUM(Y451:Z451,AH451:AK451),COUNT(I451:J451,L451:M451,O451:P451,R451:S451)&lt;&gt;COUNT(W451:AK451)))</f>
        <v>0</v>
      </c>
      <c r="BR451" s="18" t="b">
        <f>OR(AND(E451='Povolené hodnoty'!$B$6,$BR$5),AND(E451='Povolené hodnoty'!$B$6,H451&lt;&gt;'Povolené hodnoty'!$E$26,H451&lt;&gt;'Povolené hodnoty'!$E$35),AND(E451&lt;&gt;'Povolené hodnoty'!$B$6,OR(H451='Povolené hodnoty'!$E$26,H451='Povolené hodnoty'!$E$35)))</f>
        <v>0</v>
      </c>
      <c r="BS451" s="18" t="b">
        <f>OR(AND(G451&lt;&gt;'Povolené hodnoty'!$B$13,OR(H451='Povolené hodnoty'!$E$21,H451='Povolené hodnoty'!$E$22,H451='Povolené hodnoty'!$E$23,H451='Povolené hodnoty'!$E$24,H451='Povolené hodnoty'!$E$26,H451='Povolené hodnoty'!$E$36)),COUNT(I451:J451,L451:M451,O451:P451,R451:S451)&lt;&gt;COUNT(AL451:BM451))</f>
        <v>0</v>
      </c>
      <c r="BT451" s="18" t="b">
        <f t="shared" si="218"/>
        <v>0</v>
      </c>
      <c r="BV451" s="39" t="str">
        <f t="shared" si="219"/>
        <v/>
      </c>
      <c r="BW451" s="458" t="str">
        <f t="shared" si="220"/>
        <v/>
      </c>
      <c r="BX451" s="458" t="str">
        <f t="shared" si="221"/>
        <v/>
      </c>
      <c r="BY451" s="458" t="str">
        <f t="shared" si="222"/>
        <v/>
      </c>
      <c r="BZ451" s="458" t="str">
        <f t="shared" si="223"/>
        <v/>
      </c>
      <c r="CA451" s="40" t="str">
        <f t="shared" si="224"/>
        <v/>
      </c>
      <c r="CB451" s="40" t="str">
        <f t="shared" si="225"/>
        <v/>
      </c>
      <c r="CC451" s="39" t="str">
        <f t="shared" si="226"/>
        <v/>
      </c>
      <c r="CD451" s="458" t="str">
        <f t="shared" si="227"/>
        <v/>
      </c>
      <c r="CE451" s="41" t="str">
        <f t="shared" si="228"/>
        <v/>
      </c>
      <c r="CF451" s="39" t="str">
        <f t="shared" si="229"/>
        <v/>
      </c>
      <c r="CG451" s="458" t="str">
        <f t="shared" si="230"/>
        <v/>
      </c>
      <c r="CH451" s="458" t="str">
        <f t="shared" si="231"/>
        <v/>
      </c>
      <c r="CI451" s="458" t="str">
        <f t="shared" si="232"/>
        <v/>
      </c>
      <c r="CJ451" s="458" t="str">
        <f t="shared" si="233"/>
        <v/>
      </c>
      <c r="CK451" s="40" t="str">
        <f t="shared" si="234"/>
        <v/>
      </c>
      <c r="CL451" s="40" t="str">
        <f t="shared" si="235"/>
        <v/>
      </c>
      <c r="CM451" s="40" t="str">
        <f t="shared" si="236"/>
        <v/>
      </c>
      <c r="CN451" s="39" t="str">
        <f t="shared" si="237"/>
        <v/>
      </c>
      <c r="CO451" s="458" t="str">
        <f t="shared" si="238"/>
        <v/>
      </c>
      <c r="CP451" s="458" t="str">
        <f t="shared" si="239"/>
        <v/>
      </c>
      <c r="CQ451" s="458" t="str">
        <f t="shared" si="240"/>
        <v/>
      </c>
      <c r="CR451" s="458" t="str">
        <f t="shared" si="241"/>
        <v/>
      </c>
      <c r="CS451" s="40" t="str">
        <f t="shared" si="242"/>
        <v/>
      </c>
      <c r="CT451" s="40" t="str">
        <f t="shared" si="243"/>
        <v/>
      </c>
      <c r="CU451" s="41" t="str">
        <f t="shared" si="244"/>
        <v/>
      </c>
    </row>
    <row r="452" spans="1:99" x14ac:dyDescent="0.2">
      <c r="A452" s="77">
        <f t="shared" si="245"/>
        <v>447</v>
      </c>
      <c r="B452" s="81"/>
      <c r="C452" s="82"/>
      <c r="D452" s="71"/>
      <c r="E452" s="72"/>
      <c r="F452" s="73"/>
      <c r="G452" s="443"/>
      <c r="H452" s="443"/>
      <c r="I452" s="74"/>
      <c r="J452" s="75"/>
      <c r="K452" s="41">
        <f t="shared" si="249"/>
        <v>3625</v>
      </c>
      <c r="L452" s="104"/>
      <c r="M452" s="105"/>
      <c r="N452" s="106">
        <f t="shared" si="250"/>
        <v>537.05999999999995</v>
      </c>
      <c r="O452" s="104"/>
      <c r="P452" s="105"/>
      <c r="Q452" s="106">
        <f t="shared" si="247"/>
        <v>10045.83</v>
      </c>
      <c r="R452" s="104"/>
      <c r="S452" s="105"/>
      <c r="T452" s="106">
        <f t="shared" si="248"/>
        <v>0</v>
      </c>
      <c r="U452" s="439"/>
      <c r="V452" s="42">
        <f t="shared" si="216"/>
        <v>447</v>
      </c>
      <c r="W452" s="39" t="str">
        <f>IF(AND(E452='Povolené hodnoty'!$B$4,F452=2),I452+L452+O452+R452,"")</f>
        <v/>
      </c>
      <c r="X452" s="41" t="str">
        <f>IF(AND(E452='Povolené hodnoty'!$B$4,F452=1),I452+L452+O452+R452,"")</f>
        <v/>
      </c>
      <c r="Y452" s="39" t="str">
        <f>IF(AND(E452='Povolené hodnoty'!$B$4,F452=10),J452+M452+P452+S452,"")</f>
        <v/>
      </c>
      <c r="Z452" s="41" t="str">
        <f>IF(AND(E452='Povolené hodnoty'!$B$4,F452=9),J452+M452+P452+S452,"")</f>
        <v/>
      </c>
      <c r="AA452" s="39" t="str">
        <f>IF(AND(E452&lt;&gt;'Povolené hodnoty'!$B$4,F452=2),I452+L452+O452+R452,"")</f>
        <v/>
      </c>
      <c r="AB452" s="40" t="str">
        <f>IF(AND(E452&lt;&gt;'Povolené hodnoty'!$B$4,F452=3),I452+L452+O452+R452,"")</f>
        <v/>
      </c>
      <c r="AC452" s="40" t="str">
        <f>IF(AND(E452&lt;&gt;'Povolené hodnoty'!$B$4,F452=4),I452+L452+O452+R452,"")</f>
        <v/>
      </c>
      <c r="AD452" s="40" t="str">
        <f>IF(AND(E452&lt;&gt;'Povolené hodnoty'!$B$4,F452="5a"),I452-J452+L452-M452+O452-P452+R452-S452,"")</f>
        <v/>
      </c>
      <c r="AE452" s="40" t="str">
        <f>IF(AND(E452&lt;&gt;'Povolené hodnoty'!$B$4,F452="5b"),I452-J452+L452-M452+O452-P452+R452-S452,"")</f>
        <v/>
      </c>
      <c r="AF452" s="40" t="str">
        <f>IF(AND(E452&lt;&gt;'Povolené hodnoty'!$B$4,F452=6),I452+L452+O452+R452,"")</f>
        <v/>
      </c>
      <c r="AG452" s="41" t="str">
        <f>IF(AND(E452&lt;&gt;'Povolené hodnoty'!$B$4,F452=7),I452+L452+O452+R452,"")</f>
        <v/>
      </c>
      <c r="AH452" s="39" t="str">
        <f>IF(AND(E452&lt;&gt;'Povolené hodnoty'!$B$4,F452=10),J452+M452+P452+S452,"")</f>
        <v/>
      </c>
      <c r="AI452" s="40" t="str">
        <f>IF(AND(E452&lt;&gt;'Povolené hodnoty'!$B$4,F452=11),J452+M452+P452+S452,"")</f>
        <v/>
      </c>
      <c r="AJ452" s="40" t="str">
        <f>IF(AND(E452&lt;&gt;'Povolené hodnoty'!$B$4,F452=12),J452+M452+P452+S452,"")</f>
        <v/>
      </c>
      <c r="AK452" s="41" t="str">
        <f>IF(AND(E452&lt;&gt;'Povolené hodnoty'!$B$4,F452=13),J452+M452+P452+S452,"")</f>
        <v/>
      </c>
      <c r="AL452" s="39" t="str">
        <f>IF(AND($G452='Povolené hodnoty'!$B$13,$H452=AL$4),SUM($I452,$L452,$O452,$R452),"")</f>
        <v/>
      </c>
      <c r="AM452" s="458" t="str">
        <f>IF(AND($G452='Povolené hodnoty'!$B$13,$H452=AM$4),SUM($I452,$L452,$O452,$R452),"")</f>
        <v/>
      </c>
      <c r="AN452" s="458" t="str">
        <f>IF(AND($G452='Povolené hodnoty'!$B$13,$H452=AN$4),SUM($I452,$L452,$O452,$R452),"")</f>
        <v/>
      </c>
      <c r="AO452" s="458" t="str">
        <f>IF(AND($G452='Povolené hodnoty'!$B$13,$H452=AO$4),SUM($I452,$L452,$O452,$R452),"")</f>
        <v/>
      </c>
      <c r="AP452" s="458" t="str">
        <f>IF(AND($G452='Povolené hodnoty'!$B$13,$H452=AP$4),SUM($I452,$L452,$O452,$R452),"")</f>
        <v/>
      </c>
      <c r="AQ452" s="40" t="str">
        <f>IF(AND($G452='Povolené hodnoty'!$B$13,OR($H452=AQ$4,$H452='Povolené hodnoty'!$E$36)),SUM($I452,-$J452,$L452,-$M452,$O452,-$P452,$R452,-$S452),"")</f>
        <v/>
      </c>
      <c r="AR452" s="40" t="str">
        <f>IF(AND($G452='Povolené hodnoty'!$B$13,$H452=AR$4),SUM($I452,$L452,$O452,$R452),"")</f>
        <v/>
      </c>
      <c r="AS452" s="41" t="str">
        <f>IF(AND($G452='Povolené hodnoty'!$B$13,$H452=AS$4),SUM($I452,$L452,$O452,$R452),"")</f>
        <v/>
      </c>
      <c r="AT452" s="39" t="str">
        <f>IF(AND($G452='Povolené hodnoty'!$B$14,$H452=AT$4),SUM($I452,$L452,$O452,$R452),"")</f>
        <v/>
      </c>
      <c r="AU452" s="458" t="str">
        <f>IF(AND($G452='Povolené hodnoty'!$B$14,$H452=AU$4),SUM($I452,$L452,$O452,$R452),"")</f>
        <v/>
      </c>
      <c r="AV452" s="41" t="str">
        <f>IF(AND($G452='Povolené hodnoty'!$B$14,$H452=AV$4),SUM($I452,$L452,$O452,$R452),"")</f>
        <v/>
      </c>
      <c r="AW452" s="39" t="str">
        <f>IF(AND($G452='Povolené hodnoty'!$B$13,$H452=AW$4),SUM($J452,$M452,$P452,$S452),"")</f>
        <v/>
      </c>
      <c r="AX452" s="458" t="str">
        <f>IF(AND($G452='Povolené hodnoty'!$B$13,$H452=AX$4),SUM($J452,$M452,$P452,$S452),"")</f>
        <v/>
      </c>
      <c r="AY452" s="458" t="str">
        <f>IF(AND($G452='Povolené hodnoty'!$B$13,$H452=AY$4),SUM($J452,$M452,$P452,$S452),"")</f>
        <v/>
      </c>
      <c r="AZ452" s="458" t="str">
        <f>IF(AND($G452='Povolené hodnoty'!$B$13,$H452=AZ$4),SUM($J452,$M452,$P452,$S452),"")</f>
        <v/>
      </c>
      <c r="BA452" s="458" t="str">
        <f>IF(AND($G452='Povolené hodnoty'!$B$13,$H452=BA$4),SUM($J452,$M452,$P452,$S452),"")</f>
        <v/>
      </c>
      <c r="BB452" s="40" t="str">
        <f>IF(AND($G452='Povolené hodnoty'!$B$13,$H452=BB$4),SUM($J452,$M452,$P452,$S452),"")</f>
        <v/>
      </c>
      <c r="BC452" s="40" t="str">
        <f>IF(AND($G452='Povolené hodnoty'!$B$13,$H452=BC$4),SUM($J452,$M452,$P452,$S452),"")</f>
        <v/>
      </c>
      <c r="BD452" s="40" t="str">
        <f>IF(AND($G452='Povolené hodnoty'!$B$13,$H452=BD$4),SUM($J452,$M452,$P452,$S452),"")</f>
        <v/>
      </c>
      <c r="BE452" s="41" t="str">
        <f>IF(AND($G452='Povolené hodnoty'!$B$13,$H452=BE$4),SUM($J452,$M452,$P452,$S452),"")</f>
        <v/>
      </c>
      <c r="BF452" s="39" t="str">
        <f>IF(AND($G452='Povolené hodnoty'!$B$14,$H452=BF$4),SUM($J452,$M452,$P452,$S452),"")</f>
        <v/>
      </c>
      <c r="BG452" s="458" t="str">
        <f>IF(AND($G452='Povolené hodnoty'!$B$14,$H452=BG$4),SUM($J452,$M452,$P452,$S452),"")</f>
        <v/>
      </c>
      <c r="BH452" s="458" t="str">
        <f>IF(AND($G452='Povolené hodnoty'!$B$14,$H452=BH$4),SUM($J452,$M452,$P452,$S452),"")</f>
        <v/>
      </c>
      <c r="BI452" s="458" t="str">
        <f>IF(AND($G452='Povolené hodnoty'!$B$14,$H452=BI$4),SUM($J452,$M452,$P452,$S452),"")</f>
        <v/>
      </c>
      <c r="BJ452" s="458" t="str">
        <f>IF(AND($G452='Povolené hodnoty'!$B$14,$H452=BJ$4),SUM($J452,$M452,$P452,$S452),"")</f>
        <v/>
      </c>
      <c r="BK452" s="40" t="str">
        <f>IF(AND($G452='Povolené hodnoty'!$B$14,$H452=BK$4),SUM($J452,$M452,$P452,$S452),"")</f>
        <v/>
      </c>
      <c r="BL452" s="40" t="str">
        <f>IF(AND($G452='Povolené hodnoty'!$B$14,$H452=BL$4),SUM($J452,$M452,$P452,$S452),"")</f>
        <v/>
      </c>
      <c r="BM452" s="41" t="str">
        <f>IF(AND($G452='Povolené hodnoty'!$B$14,$H452=BM$4),SUM($J452,$M452,$P452,$S452),"")</f>
        <v/>
      </c>
      <c r="BO452" s="18" t="b">
        <f t="shared" si="246"/>
        <v>0</v>
      </c>
      <c r="BP452" s="18" t="b">
        <f t="shared" si="217"/>
        <v>0</v>
      </c>
      <c r="BQ452" s="18" t="b">
        <f>AND(E452&lt;&gt;'Povolené hodnoty'!$B$6,F452&lt;&gt;'Povolené hodnoty'!$D$7,F452&lt;&gt;'Povolené hodnoty'!$D$8,OR(SUM(I452,L452,O452,R452)&lt;&gt;SUM(W452:X452,AA452:AG452),SUM(J452,M452,P452,S452)&lt;&gt;SUM(Y452:Z452,AH452:AK452),COUNT(I452:J452,L452:M452,O452:P452,R452:S452)&lt;&gt;COUNT(W452:AK452)))</f>
        <v>0</v>
      </c>
      <c r="BR452" s="18" t="b">
        <f>OR(AND(E452='Povolené hodnoty'!$B$6,$BR$5),AND(E452='Povolené hodnoty'!$B$6,H452&lt;&gt;'Povolené hodnoty'!$E$26,H452&lt;&gt;'Povolené hodnoty'!$E$35),AND(E452&lt;&gt;'Povolené hodnoty'!$B$6,OR(H452='Povolené hodnoty'!$E$26,H452='Povolené hodnoty'!$E$35)))</f>
        <v>0</v>
      </c>
      <c r="BS452" s="18" t="b">
        <f>OR(AND(G452&lt;&gt;'Povolené hodnoty'!$B$13,OR(H452='Povolené hodnoty'!$E$21,H452='Povolené hodnoty'!$E$22,H452='Povolené hodnoty'!$E$23,H452='Povolené hodnoty'!$E$24,H452='Povolené hodnoty'!$E$26,H452='Povolené hodnoty'!$E$36)),COUNT(I452:J452,L452:M452,O452:P452,R452:S452)&lt;&gt;COUNT(AL452:BM452))</f>
        <v>0</v>
      </c>
      <c r="BT452" s="18" t="b">
        <f t="shared" si="218"/>
        <v>0</v>
      </c>
      <c r="BV452" s="39" t="str">
        <f t="shared" si="219"/>
        <v/>
      </c>
      <c r="BW452" s="458" t="str">
        <f t="shared" si="220"/>
        <v/>
      </c>
      <c r="BX452" s="458" t="str">
        <f t="shared" si="221"/>
        <v/>
      </c>
      <c r="BY452" s="458" t="str">
        <f t="shared" si="222"/>
        <v/>
      </c>
      <c r="BZ452" s="458" t="str">
        <f t="shared" si="223"/>
        <v/>
      </c>
      <c r="CA452" s="40" t="str">
        <f t="shared" si="224"/>
        <v/>
      </c>
      <c r="CB452" s="40" t="str">
        <f t="shared" si="225"/>
        <v/>
      </c>
      <c r="CC452" s="39" t="str">
        <f t="shared" si="226"/>
        <v/>
      </c>
      <c r="CD452" s="458" t="str">
        <f t="shared" si="227"/>
        <v/>
      </c>
      <c r="CE452" s="41" t="str">
        <f t="shared" si="228"/>
        <v/>
      </c>
      <c r="CF452" s="39" t="str">
        <f t="shared" si="229"/>
        <v/>
      </c>
      <c r="CG452" s="458" t="str">
        <f t="shared" si="230"/>
        <v/>
      </c>
      <c r="CH452" s="458" t="str">
        <f t="shared" si="231"/>
        <v/>
      </c>
      <c r="CI452" s="458" t="str">
        <f t="shared" si="232"/>
        <v/>
      </c>
      <c r="CJ452" s="458" t="str">
        <f t="shared" si="233"/>
        <v/>
      </c>
      <c r="CK452" s="40" t="str">
        <f t="shared" si="234"/>
        <v/>
      </c>
      <c r="CL452" s="40" t="str">
        <f t="shared" si="235"/>
        <v/>
      </c>
      <c r="CM452" s="40" t="str">
        <f t="shared" si="236"/>
        <v/>
      </c>
      <c r="CN452" s="39" t="str">
        <f t="shared" si="237"/>
        <v/>
      </c>
      <c r="CO452" s="458" t="str">
        <f t="shared" si="238"/>
        <v/>
      </c>
      <c r="CP452" s="458" t="str">
        <f t="shared" si="239"/>
        <v/>
      </c>
      <c r="CQ452" s="458" t="str">
        <f t="shared" si="240"/>
        <v/>
      </c>
      <c r="CR452" s="458" t="str">
        <f t="shared" si="241"/>
        <v/>
      </c>
      <c r="CS452" s="40" t="str">
        <f t="shared" si="242"/>
        <v/>
      </c>
      <c r="CT452" s="40" t="str">
        <f t="shared" si="243"/>
        <v/>
      </c>
      <c r="CU452" s="41" t="str">
        <f t="shared" si="244"/>
        <v/>
      </c>
    </row>
    <row r="453" spans="1:99" x14ac:dyDescent="0.2">
      <c r="A453" s="77">
        <f t="shared" si="245"/>
        <v>448</v>
      </c>
      <c r="B453" s="81"/>
      <c r="C453" s="82"/>
      <c r="D453" s="71"/>
      <c r="E453" s="72"/>
      <c r="F453" s="73"/>
      <c r="G453" s="443"/>
      <c r="H453" s="443"/>
      <c r="I453" s="74"/>
      <c r="J453" s="75"/>
      <c r="K453" s="41">
        <f t="shared" si="249"/>
        <v>3625</v>
      </c>
      <c r="L453" s="104"/>
      <c r="M453" s="105"/>
      <c r="N453" s="106">
        <f t="shared" si="250"/>
        <v>537.05999999999995</v>
      </c>
      <c r="O453" s="104"/>
      <c r="P453" s="105"/>
      <c r="Q453" s="106">
        <f t="shared" si="247"/>
        <v>10045.83</v>
      </c>
      <c r="R453" s="104"/>
      <c r="S453" s="105"/>
      <c r="T453" s="106">
        <f t="shared" si="248"/>
        <v>0</v>
      </c>
      <c r="U453" s="439"/>
      <c r="V453" s="42">
        <f t="shared" ref="V453:V516" si="251">A453</f>
        <v>448</v>
      </c>
      <c r="W453" s="39" t="str">
        <f>IF(AND(E453='Povolené hodnoty'!$B$4,F453=2),I453+L453+O453+R453,"")</f>
        <v/>
      </c>
      <c r="X453" s="41" t="str">
        <f>IF(AND(E453='Povolené hodnoty'!$B$4,F453=1),I453+L453+O453+R453,"")</f>
        <v/>
      </c>
      <c r="Y453" s="39" t="str">
        <f>IF(AND(E453='Povolené hodnoty'!$B$4,F453=10),J453+M453+P453+S453,"")</f>
        <v/>
      </c>
      <c r="Z453" s="41" t="str">
        <f>IF(AND(E453='Povolené hodnoty'!$B$4,F453=9),J453+M453+P453+S453,"")</f>
        <v/>
      </c>
      <c r="AA453" s="39" t="str">
        <f>IF(AND(E453&lt;&gt;'Povolené hodnoty'!$B$4,F453=2),I453+L453+O453+R453,"")</f>
        <v/>
      </c>
      <c r="AB453" s="40" t="str">
        <f>IF(AND(E453&lt;&gt;'Povolené hodnoty'!$B$4,F453=3),I453+L453+O453+R453,"")</f>
        <v/>
      </c>
      <c r="AC453" s="40" t="str">
        <f>IF(AND(E453&lt;&gt;'Povolené hodnoty'!$B$4,F453=4),I453+L453+O453+R453,"")</f>
        <v/>
      </c>
      <c r="AD453" s="40" t="str">
        <f>IF(AND(E453&lt;&gt;'Povolené hodnoty'!$B$4,F453="5a"),I453-J453+L453-M453+O453-P453+R453-S453,"")</f>
        <v/>
      </c>
      <c r="AE453" s="40" t="str">
        <f>IF(AND(E453&lt;&gt;'Povolené hodnoty'!$B$4,F453="5b"),I453-J453+L453-M453+O453-P453+R453-S453,"")</f>
        <v/>
      </c>
      <c r="AF453" s="40" t="str">
        <f>IF(AND(E453&lt;&gt;'Povolené hodnoty'!$B$4,F453=6),I453+L453+O453+R453,"")</f>
        <v/>
      </c>
      <c r="AG453" s="41" t="str">
        <f>IF(AND(E453&lt;&gt;'Povolené hodnoty'!$B$4,F453=7),I453+L453+O453+R453,"")</f>
        <v/>
      </c>
      <c r="AH453" s="39" t="str">
        <f>IF(AND(E453&lt;&gt;'Povolené hodnoty'!$B$4,F453=10),J453+M453+P453+S453,"")</f>
        <v/>
      </c>
      <c r="AI453" s="40" t="str">
        <f>IF(AND(E453&lt;&gt;'Povolené hodnoty'!$B$4,F453=11),J453+M453+P453+S453,"")</f>
        <v/>
      </c>
      <c r="AJ453" s="40" t="str">
        <f>IF(AND(E453&lt;&gt;'Povolené hodnoty'!$B$4,F453=12),J453+M453+P453+S453,"")</f>
        <v/>
      </c>
      <c r="AK453" s="41" t="str">
        <f>IF(AND(E453&lt;&gt;'Povolené hodnoty'!$B$4,F453=13),J453+M453+P453+S453,"")</f>
        <v/>
      </c>
      <c r="AL453" s="39" t="str">
        <f>IF(AND($G453='Povolené hodnoty'!$B$13,$H453=AL$4),SUM($I453,$L453,$O453,$R453),"")</f>
        <v/>
      </c>
      <c r="AM453" s="458" t="str">
        <f>IF(AND($G453='Povolené hodnoty'!$B$13,$H453=AM$4),SUM($I453,$L453,$O453,$R453),"")</f>
        <v/>
      </c>
      <c r="AN453" s="458" t="str">
        <f>IF(AND($G453='Povolené hodnoty'!$B$13,$H453=AN$4),SUM($I453,$L453,$O453,$R453),"")</f>
        <v/>
      </c>
      <c r="AO453" s="458" t="str">
        <f>IF(AND($G453='Povolené hodnoty'!$B$13,$H453=AO$4),SUM($I453,$L453,$O453,$R453),"")</f>
        <v/>
      </c>
      <c r="AP453" s="458" t="str">
        <f>IF(AND($G453='Povolené hodnoty'!$B$13,$H453=AP$4),SUM($I453,$L453,$O453,$R453),"")</f>
        <v/>
      </c>
      <c r="AQ453" s="40" t="str">
        <f>IF(AND($G453='Povolené hodnoty'!$B$13,OR($H453=AQ$4,$H453='Povolené hodnoty'!$E$36)),SUM($I453,-$J453,$L453,-$M453,$O453,-$P453,$R453,-$S453),"")</f>
        <v/>
      </c>
      <c r="AR453" s="40" t="str">
        <f>IF(AND($G453='Povolené hodnoty'!$B$13,$H453=AR$4),SUM($I453,$L453,$O453,$R453),"")</f>
        <v/>
      </c>
      <c r="AS453" s="41" t="str">
        <f>IF(AND($G453='Povolené hodnoty'!$B$13,$H453=AS$4),SUM($I453,$L453,$O453,$R453),"")</f>
        <v/>
      </c>
      <c r="AT453" s="39" t="str">
        <f>IF(AND($G453='Povolené hodnoty'!$B$14,$H453=AT$4),SUM($I453,$L453,$O453,$R453),"")</f>
        <v/>
      </c>
      <c r="AU453" s="458" t="str">
        <f>IF(AND($G453='Povolené hodnoty'!$B$14,$H453=AU$4),SUM($I453,$L453,$O453,$R453),"")</f>
        <v/>
      </c>
      <c r="AV453" s="41" t="str">
        <f>IF(AND($G453='Povolené hodnoty'!$B$14,$H453=AV$4),SUM($I453,$L453,$O453,$R453),"")</f>
        <v/>
      </c>
      <c r="AW453" s="39" t="str">
        <f>IF(AND($G453='Povolené hodnoty'!$B$13,$H453=AW$4),SUM($J453,$M453,$P453,$S453),"")</f>
        <v/>
      </c>
      <c r="AX453" s="458" t="str">
        <f>IF(AND($G453='Povolené hodnoty'!$B$13,$H453=AX$4),SUM($J453,$M453,$P453,$S453),"")</f>
        <v/>
      </c>
      <c r="AY453" s="458" t="str">
        <f>IF(AND($G453='Povolené hodnoty'!$B$13,$H453=AY$4),SUM($J453,$M453,$P453,$S453),"")</f>
        <v/>
      </c>
      <c r="AZ453" s="458" t="str">
        <f>IF(AND($G453='Povolené hodnoty'!$B$13,$H453=AZ$4),SUM($J453,$M453,$P453,$S453),"")</f>
        <v/>
      </c>
      <c r="BA453" s="458" t="str">
        <f>IF(AND($G453='Povolené hodnoty'!$B$13,$H453=BA$4),SUM($J453,$M453,$P453,$S453),"")</f>
        <v/>
      </c>
      <c r="BB453" s="40" t="str">
        <f>IF(AND($G453='Povolené hodnoty'!$B$13,$H453=BB$4),SUM($J453,$M453,$P453,$S453),"")</f>
        <v/>
      </c>
      <c r="BC453" s="40" t="str">
        <f>IF(AND($G453='Povolené hodnoty'!$B$13,$H453=BC$4),SUM($J453,$M453,$P453,$S453),"")</f>
        <v/>
      </c>
      <c r="BD453" s="40" t="str">
        <f>IF(AND($G453='Povolené hodnoty'!$B$13,$H453=BD$4),SUM($J453,$M453,$P453,$S453),"")</f>
        <v/>
      </c>
      <c r="BE453" s="41" t="str">
        <f>IF(AND($G453='Povolené hodnoty'!$B$13,$H453=BE$4),SUM($J453,$M453,$P453,$S453),"")</f>
        <v/>
      </c>
      <c r="BF453" s="39" t="str">
        <f>IF(AND($G453='Povolené hodnoty'!$B$14,$H453=BF$4),SUM($J453,$M453,$P453,$S453),"")</f>
        <v/>
      </c>
      <c r="BG453" s="458" t="str">
        <f>IF(AND($G453='Povolené hodnoty'!$B$14,$H453=BG$4),SUM($J453,$M453,$P453,$S453),"")</f>
        <v/>
      </c>
      <c r="BH453" s="458" t="str">
        <f>IF(AND($G453='Povolené hodnoty'!$B$14,$H453=BH$4),SUM($J453,$M453,$P453,$S453),"")</f>
        <v/>
      </c>
      <c r="BI453" s="458" t="str">
        <f>IF(AND($G453='Povolené hodnoty'!$B$14,$H453=BI$4),SUM($J453,$M453,$P453,$S453),"")</f>
        <v/>
      </c>
      <c r="BJ453" s="458" t="str">
        <f>IF(AND($G453='Povolené hodnoty'!$B$14,$H453=BJ$4),SUM($J453,$M453,$P453,$S453),"")</f>
        <v/>
      </c>
      <c r="BK453" s="40" t="str">
        <f>IF(AND($G453='Povolené hodnoty'!$B$14,$H453=BK$4),SUM($J453,$M453,$P453,$S453),"")</f>
        <v/>
      </c>
      <c r="BL453" s="40" t="str">
        <f>IF(AND($G453='Povolené hodnoty'!$B$14,$H453=BL$4),SUM($J453,$M453,$P453,$S453),"")</f>
        <v/>
      </c>
      <c r="BM453" s="41" t="str">
        <f>IF(AND($G453='Povolené hodnoty'!$B$14,$H453=BM$4),SUM($J453,$M453,$P453,$S453),"")</f>
        <v/>
      </c>
      <c r="BO453" s="18" t="b">
        <f t="shared" si="246"/>
        <v>0</v>
      </c>
      <c r="BP453" s="18" t="b">
        <f t="shared" si="217"/>
        <v>0</v>
      </c>
      <c r="BQ453" s="18" t="b">
        <f>AND(E453&lt;&gt;'Povolené hodnoty'!$B$6,F453&lt;&gt;'Povolené hodnoty'!$D$7,F453&lt;&gt;'Povolené hodnoty'!$D$8,OR(SUM(I453,L453,O453,R453)&lt;&gt;SUM(W453:X453,AA453:AG453),SUM(J453,M453,P453,S453)&lt;&gt;SUM(Y453:Z453,AH453:AK453),COUNT(I453:J453,L453:M453,O453:P453,R453:S453)&lt;&gt;COUNT(W453:AK453)))</f>
        <v>0</v>
      </c>
      <c r="BR453" s="18" t="b">
        <f>OR(AND(E453='Povolené hodnoty'!$B$6,$BR$5),AND(E453='Povolené hodnoty'!$B$6,H453&lt;&gt;'Povolené hodnoty'!$E$26,H453&lt;&gt;'Povolené hodnoty'!$E$35),AND(E453&lt;&gt;'Povolené hodnoty'!$B$6,OR(H453='Povolené hodnoty'!$E$26,H453='Povolené hodnoty'!$E$35)))</f>
        <v>0</v>
      </c>
      <c r="BS453" s="18" t="b">
        <f>OR(AND(G453&lt;&gt;'Povolené hodnoty'!$B$13,OR(H453='Povolené hodnoty'!$E$21,H453='Povolené hodnoty'!$E$22,H453='Povolené hodnoty'!$E$23,H453='Povolené hodnoty'!$E$24,H453='Povolené hodnoty'!$E$26,H453='Povolené hodnoty'!$E$36)),COUNT(I453:J453,L453:M453,O453:P453,R453:S453)&lt;&gt;COUNT(AL453:BM453))</f>
        <v>0</v>
      </c>
      <c r="BT453" s="18" t="b">
        <f t="shared" si="218"/>
        <v>0</v>
      </c>
      <c r="BV453" s="39" t="str">
        <f t="shared" si="219"/>
        <v/>
      </c>
      <c r="BW453" s="458" t="str">
        <f t="shared" si="220"/>
        <v/>
      </c>
      <c r="BX453" s="458" t="str">
        <f t="shared" si="221"/>
        <v/>
      </c>
      <c r="BY453" s="458" t="str">
        <f t="shared" si="222"/>
        <v/>
      </c>
      <c r="BZ453" s="458" t="str">
        <f t="shared" si="223"/>
        <v/>
      </c>
      <c r="CA453" s="40" t="str">
        <f t="shared" si="224"/>
        <v/>
      </c>
      <c r="CB453" s="40" t="str">
        <f t="shared" si="225"/>
        <v/>
      </c>
      <c r="CC453" s="39" t="str">
        <f t="shared" si="226"/>
        <v/>
      </c>
      <c r="CD453" s="458" t="str">
        <f t="shared" si="227"/>
        <v/>
      </c>
      <c r="CE453" s="41" t="str">
        <f t="shared" si="228"/>
        <v/>
      </c>
      <c r="CF453" s="39" t="str">
        <f t="shared" si="229"/>
        <v/>
      </c>
      <c r="CG453" s="458" t="str">
        <f t="shared" si="230"/>
        <v/>
      </c>
      <c r="CH453" s="458" t="str">
        <f t="shared" si="231"/>
        <v/>
      </c>
      <c r="CI453" s="458" t="str">
        <f t="shared" si="232"/>
        <v/>
      </c>
      <c r="CJ453" s="458" t="str">
        <f t="shared" si="233"/>
        <v/>
      </c>
      <c r="CK453" s="40" t="str">
        <f t="shared" si="234"/>
        <v/>
      </c>
      <c r="CL453" s="40" t="str">
        <f t="shared" si="235"/>
        <v/>
      </c>
      <c r="CM453" s="40" t="str">
        <f t="shared" si="236"/>
        <v/>
      </c>
      <c r="CN453" s="39" t="str">
        <f t="shared" si="237"/>
        <v/>
      </c>
      <c r="CO453" s="458" t="str">
        <f t="shared" si="238"/>
        <v/>
      </c>
      <c r="CP453" s="458" t="str">
        <f t="shared" si="239"/>
        <v/>
      </c>
      <c r="CQ453" s="458" t="str">
        <f t="shared" si="240"/>
        <v/>
      </c>
      <c r="CR453" s="458" t="str">
        <f t="shared" si="241"/>
        <v/>
      </c>
      <c r="CS453" s="40" t="str">
        <f t="shared" si="242"/>
        <v/>
      </c>
      <c r="CT453" s="40" t="str">
        <f t="shared" si="243"/>
        <v/>
      </c>
      <c r="CU453" s="41" t="str">
        <f t="shared" si="244"/>
        <v/>
      </c>
    </row>
    <row r="454" spans="1:99" x14ac:dyDescent="0.2">
      <c r="A454" s="77">
        <f t="shared" si="245"/>
        <v>449</v>
      </c>
      <c r="B454" s="81"/>
      <c r="C454" s="82"/>
      <c r="D454" s="71"/>
      <c r="E454" s="72"/>
      <c r="F454" s="73"/>
      <c r="G454" s="443"/>
      <c r="H454" s="443"/>
      <c r="I454" s="74"/>
      <c r="J454" s="75"/>
      <c r="K454" s="41">
        <f t="shared" si="249"/>
        <v>3625</v>
      </c>
      <c r="L454" s="104"/>
      <c r="M454" s="105"/>
      <c r="N454" s="106">
        <f t="shared" si="250"/>
        <v>537.05999999999995</v>
      </c>
      <c r="O454" s="104"/>
      <c r="P454" s="105"/>
      <c r="Q454" s="106">
        <f t="shared" si="247"/>
        <v>10045.83</v>
      </c>
      <c r="R454" s="104"/>
      <c r="S454" s="105"/>
      <c r="T454" s="106">
        <f t="shared" si="248"/>
        <v>0</v>
      </c>
      <c r="U454" s="439"/>
      <c r="V454" s="42">
        <f t="shared" si="251"/>
        <v>449</v>
      </c>
      <c r="W454" s="39" t="str">
        <f>IF(AND(E454='Povolené hodnoty'!$B$4,F454=2),I454+L454+O454+R454,"")</f>
        <v/>
      </c>
      <c r="X454" s="41" t="str">
        <f>IF(AND(E454='Povolené hodnoty'!$B$4,F454=1),I454+L454+O454+R454,"")</f>
        <v/>
      </c>
      <c r="Y454" s="39" t="str">
        <f>IF(AND(E454='Povolené hodnoty'!$B$4,F454=10),J454+M454+P454+S454,"")</f>
        <v/>
      </c>
      <c r="Z454" s="41" t="str">
        <f>IF(AND(E454='Povolené hodnoty'!$B$4,F454=9),J454+M454+P454+S454,"")</f>
        <v/>
      </c>
      <c r="AA454" s="39" t="str">
        <f>IF(AND(E454&lt;&gt;'Povolené hodnoty'!$B$4,F454=2),I454+L454+O454+R454,"")</f>
        <v/>
      </c>
      <c r="AB454" s="40" t="str">
        <f>IF(AND(E454&lt;&gt;'Povolené hodnoty'!$B$4,F454=3),I454+L454+O454+R454,"")</f>
        <v/>
      </c>
      <c r="AC454" s="40" t="str">
        <f>IF(AND(E454&lt;&gt;'Povolené hodnoty'!$B$4,F454=4),I454+L454+O454+R454,"")</f>
        <v/>
      </c>
      <c r="AD454" s="40" t="str">
        <f>IF(AND(E454&lt;&gt;'Povolené hodnoty'!$B$4,F454="5a"),I454-J454+L454-M454+O454-P454+R454-S454,"")</f>
        <v/>
      </c>
      <c r="AE454" s="40" t="str">
        <f>IF(AND(E454&lt;&gt;'Povolené hodnoty'!$B$4,F454="5b"),I454-J454+L454-M454+O454-P454+R454-S454,"")</f>
        <v/>
      </c>
      <c r="AF454" s="40" t="str">
        <f>IF(AND(E454&lt;&gt;'Povolené hodnoty'!$B$4,F454=6),I454+L454+O454+R454,"")</f>
        <v/>
      </c>
      <c r="AG454" s="41" t="str">
        <f>IF(AND(E454&lt;&gt;'Povolené hodnoty'!$B$4,F454=7),I454+L454+O454+R454,"")</f>
        <v/>
      </c>
      <c r="AH454" s="39" t="str">
        <f>IF(AND(E454&lt;&gt;'Povolené hodnoty'!$B$4,F454=10),J454+M454+P454+S454,"")</f>
        <v/>
      </c>
      <c r="AI454" s="40" t="str">
        <f>IF(AND(E454&lt;&gt;'Povolené hodnoty'!$B$4,F454=11),J454+M454+P454+S454,"")</f>
        <v/>
      </c>
      <c r="AJ454" s="40" t="str">
        <f>IF(AND(E454&lt;&gt;'Povolené hodnoty'!$B$4,F454=12),J454+M454+P454+S454,"")</f>
        <v/>
      </c>
      <c r="AK454" s="41" t="str">
        <f>IF(AND(E454&lt;&gt;'Povolené hodnoty'!$B$4,F454=13),J454+M454+P454+S454,"")</f>
        <v/>
      </c>
      <c r="AL454" s="39" t="str">
        <f>IF(AND($G454='Povolené hodnoty'!$B$13,$H454=AL$4),SUM($I454,$L454,$O454,$R454),"")</f>
        <v/>
      </c>
      <c r="AM454" s="458" t="str">
        <f>IF(AND($G454='Povolené hodnoty'!$B$13,$H454=AM$4),SUM($I454,$L454,$O454,$R454),"")</f>
        <v/>
      </c>
      <c r="AN454" s="458" t="str">
        <f>IF(AND($G454='Povolené hodnoty'!$B$13,$H454=AN$4),SUM($I454,$L454,$O454,$R454),"")</f>
        <v/>
      </c>
      <c r="AO454" s="458" t="str">
        <f>IF(AND($G454='Povolené hodnoty'!$B$13,$H454=AO$4),SUM($I454,$L454,$O454,$R454),"")</f>
        <v/>
      </c>
      <c r="AP454" s="458" t="str">
        <f>IF(AND($G454='Povolené hodnoty'!$B$13,$H454=AP$4),SUM($I454,$L454,$O454,$R454),"")</f>
        <v/>
      </c>
      <c r="AQ454" s="40" t="str">
        <f>IF(AND($G454='Povolené hodnoty'!$B$13,OR($H454=AQ$4,$H454='Povolené hodnoty'!$E$36)),SUM($I454,-$J454,$L454,-$M454,$O454,-$P454,$R454,-$S454),"")</f>
        <v/>
      </c>
      <c r="AR454" s="40" t="str">
        <f>IF(AND($G454='Povolené hodnoty'!$B$13,$H454=AR$4),SUM($I454,$L454,$O454,$R454),"")</f>
        <v/>
      </c>
      <c r="AS454" s="41" t="str">
        <f>IF(AND($G454='Povolené hodnoty'!$B$13,$H454=AS$4),SUM($I454,$L454,$O454,$R454),"")</f>
        <v/>
      </c>
      <c r="AT454" s="39" t="str">
        <f>IF(AND($G454='Povolené hodnoty'!$B$14,$H454=AT$4),SUM($I454,$L454,$O454,$R454),"")</f>
        <v/>
      </c>
      <c r="AU454" s="458" t="str">
        <f>IF(AND($G454='Povolené hodnoty'!$B$14,$H454=AU$4),SUM($I454,$L454,$O454,$R454),"")</f>
        <v/>
      </c>
      <c r="AV454" s="41" t="str">
        <f>IF(AND($G454='Povolené hodnoty'!$B$14,$H454=AV$4),SUM($I454,$L454,$O454,$R454),"")</f>
        <v/>
      </c>
      <c r="AW454" s="39" t="str">
        <f>IF(AND($G454='Povolené hodnoty'!$B$13,$H454=AW$4),SUM($J454,$M454,$P454,$S454),"")</f>
        <v/>
      </c>
      <c r="AX454" s="458" t="str">
        <f>IF(AND($G454='Povolené hodnoty'!$B$13,$H454=AX$4),SUM($J454,$M454,$P454,$S454),"")</f>
        <v/>
      </c>
      <c r="AY454" s="458" t="str">
        <f>IF(AND($G454='Povolené hodnoty'!$B$13,$H454=AY$4),SUM($J454,$M454,$P454,$S454),"")</f>
        <v/>
      </c>
      <c r="AZ454" s="458" t="str">
        <f>IF(AND($G454='Povolené hodnoty'!$B$13,$H454=AZ$4),SUM($J454,$M454,$P454,$S454),"")</f>
        <v/>
      </c>
      <c r="BA454" s="458" t="str">
        <f>IF(AND($G454='Povolené hodnoty'!$B$13,$H454=BA$4),SUM($J454,$M454,$P454,$S454),"")</f>
        <v/>
      </c>
      <c r="BB454" s="40" t="str">
        <f>IF(AND($G454='Povolené hodnoty'!$B$13,$H454=BB$4),SUM($J454,$M454,$P454,$S454),"")</f>
        <v/>
      </c>
      <c r="BC454" s="40" t="str">
        <f>IF(AND($G454='Povolené hodnoty'!$B$13,$H454=BC$4),SUM($J454,$M454,$P454,$S454),"")</f>
        <v/>
      </c>
      <c r="BD454" s="40" t="str">
        <f>IF(AND($G454='Povolené hodnoty'!$B$13,$H454=BD$4),SUM($J454,$M454,$P454,$S454),"")</f>
        <v/>
      </c>
      <c r="BE454" s="41" t="str">
        <f>IF(AND($G454='Povolené hodnoty'!$B$13,$H454=BE$4),SUM($J454,$M454,$P454,$S454),"")</f>
        <v/>
      </c>
      <c r="BF454" s="39" t="str">
        <f>IF(AND($G454='Povolené hodnoty'!$B$14,$H454=BF$4),SUM($J454,$M454,$P454,$S454),"")</f>
        <v/>
      </c>
      <c r="BG454" s="458" t="str">
        <f>IF(AND($G454='Povolené hodnoty'!$B$14,$H454=BG$4),SUM($J454,$M454,$P454,$S454),"")</f>
        <v/>
      </c>
      <c r="BH454" s="458" t="str">
        <f>IF(AND($G454='Povolené hodnoty'!$B$14,$H454=BH$4),SUM($J454,$M454,$P454,$S454),"")</f>
        <v/>
      </c>
      <c r="BI454" s="458" t="str">
        <f>IF(AND($G454='Povolené hodnoty'!$B$14,$H454=BI$4),SUM($J454,$M454,$P454,$S454),"")</f>
        <v/>
      </c>
      <c r="BJ454" s="458" t="str">
        <f>IF(AND($G454='Povolené hodnoty'!$B$14,$H454=BJ$4),SUM($J454,$M454,$P454,$S454),"")</f>
        <v/>
      </c>
      <c r="BK454" s="40" t="str">
        <f>IF(AND($G454='Povolené hodnoty'!$B$14,$H454=BK$4),SUM($J454,$M454,$P454,$S454),"")</f>
        <v/>
      </c>
      <c r="BL454" s="40" t="str">
        <f>IF(AND($G454='Povolené hodnoty'!$B$14,$H454=BL$4),SUM($J454,$M454,$P454,$S454),"")</f>
        <v/>
      </c>
      <c r="BM454" s="41" t="str">
        <f>IF(AND($G454='Povolené hodnoty'!$B$14,$H454=BM$4),SUM($J454,$M454,$P454,$S454),"")</f>
        <v/>
      </c>
      <c r="BO454" s="18" t="b">
        <f t="shared" si="246"/>
        <v>0</v>
      </c>
      <c r="BP454" s="18" t="b">
        <f t="shared" ref="BP454:BP517" si="252">COUNT(I454:J454,L454:M454,O454:P454,R454:S454)&gt;1</f>
        <v>0</v>
      </c>
      <c r="BQ454" s="18" t="b">
        <f>AND(E454&lt;&gt;'Povolené hodnoty'!$B$6,F454&lt;&gt;'Povolené hodnoty'!$D$7,F454&lt;&gt;'Povolené hodnoty'!$D$8,OR(SUM(I454,L454,O454,R454)&lt;&gt;SUM(W454:X454,AA454:AG454),SUM(J454,M454,P454,S454)&lt;&gt;SUM(Y454:Z454,AH454:AK454),COUNT(I454:J454,L454:M454,O454:P454,R454:S454)&lt;&gt;COUNT(W454:AK454)))</f>
        <v>0</v>
      </c>
      <c r="BR454" s="18" t="b">
        <f>OR(AND(E454='Povolené hodnoty'!$B$6,$BR$5),AND(E454='Povolené hodnoty'!$B$6,H454&lt;&gt;'Povolené hodnoty'!$E$26,H454&lt;&gt;'Povolené hodnoty'!$E$35),AND(E454&lt;&gt;'Povolené hodnoty'!$B$6,OR(H454='Povolené hodnoty'!$E$26,H454='Povolené hodnoty'!$E$35)))</f>
        <v>0</v>
      </c>
      <c r="BS454" s="18" t="b">
        <f>OR(AND(G454&lt;&gt;'Povolené hodnoty'!$B$13,OR(H454='Povolené hodnoty'!$E$21,H454='Povolené hodnoty'!$E$22,H454='Povolené hodnoty'!$E$23,H454='Povolené hodnoty'!$E$24,H454='Povolené hodnoty'!$E$26,H454='Povolené hodnoty'!$E$36)),COUNT(I454:J454,L454:M454,O454:P454,R454:S454)&lt;&gt;COUNT(AL454:BM454))</f>
        <v>0</v>
      </c>
      <c r="BT454" s="18" t="b">
        <f t="shared" ref="BT454:BT517" si="253">OR(AND(LEFT(H454,1)="V",COUNT(I454,L454,O454,R454)&gt;0),AND(LEFT(H454,1)="P",COUNT(J454,M454,P454,S454)&gt;0))</f>
        <v>0</v>
      </c>
      <c r="BV454" s="39" t="str">
        <f t="shared" ref="BV454:BV517" si="254">IF(SUM($W454:$X454)=AL454,AL454,"")</f>
        <v/>
      </c>
      <c r="BW454" s="458" t="str">
        <f t="shared" ref="BW454:BW517" si="255">IF(SUM($W454:$X454)=AM454,AM454,"")</f>
        <v/>
      </c>
      <c r="BX454" s="458" t="str">
        <f t="shared" ref="BX454:BX517" si="256">IF(SUM($W454:$X454)=AN454,AN454,"")</f>
        <v/>
      </c>
      <c r="BY454" s="458" t="str">
        <f t="shared" ref="BY454:BY517" si="257">IF(SUM($W454:$X454)=AO454,AO454,"")</f>
        <v/>
      </c>
      <c r="BZ454" s="458" t="str">
        <f t="shared" ref="BZ454:BZ517" si="258">IF(SUM($W454:$X454)=AP454,AP454,"")</f>
        <v/>
      </c>
      <c r="CA454" s="40" t="str">
        <f t="shared" ref="CA454:CA517" si="259">IF(SUM($W454:$X454)=AQ454,AQ454,"")</f>
        <v/>
      </c>
      <c r="CB454" s="40" t="str">
        <f t="shared" ref="CB454:CB517" si="260">IF(SUM($W454:$X454)=AR454,AR454,"")</f>
        <v/>
      </c>
      <c r="CC454" s="39" t="str">
        <f t="shared" ref="CC454:CC517" si="261">IF(SUM($W454:$X454)=AT454,AT454,"")</f>
        <v/>
      </c>
      <c r="CD454" s="458" t="str">
        <f t="shared" ref="CD454:CD517" si="262">IF(SUM($W454:$X454)=AU454,AU454,"")</f>
        <v/>
      </c>
      <c r="CE454" s="41" t="str">
        <f t="shared" ref="CE454:CE517" si="263">IF(SUM($W454:$X454)=AV454,AV454,"")</f>
        <v/>
      </c>
      <c r="CF454" s="39" t="str">
        <f t="shared" ref="CF454:CF517" si="264">IF(SUM($Y454:$Z454)=AW454,AW454,"")</f>
        <v/>
      </c>
      <c r="CG454" s="458" t="str">
        <f t="shared" ref="CG454:CG517" si="265">IF(SUM($Y454:$Z454)=AX454,AX454,"")</f>
        <v/>
      </c>
      <c r="CH454" s="458" t="str">
        <f t="shared" ref="CH454:CH517" si="266">IF(SUM($Y454:$Z454)=AY454,AY454,"")</f>
        <v/>
      </c>
      <c r="CI454" s="458" t="str">
        <f t="shared" ref="CI454:CI517" si="267">IF(SUM($Y454:$Z454)=AZ454,AZ454,"")</f>
        <v/>
      </c>
      <c r="CJ454" s="458" t="str">
        <f t="shared" ref="CJ454:CJ517" si="268">IF(SUM($Y454:$Z454)=BA454,BA454,"")</f>
        <v/>
      </c>
      <c r="CK454" s="40" t="str">
        <f t="shared" ref="CK454:CK517" si="269">IF(SUM($Y454:$Z454)=BB454,BB454,"")</f>
        <v/>
      </c>
      <c r="CL454" s="40" t="str">
        <f t="shared" ref="CL454:CL517" si="270">IF(SUM($Y454:$Z454)=BC454,BC454,"")</f>
        <v/>
      </c>
      <c r="CM454" s="40" t="str">
        <f t="shared" ref="CM454:CM517" si="271">IF(SUM($Y454:$Z454)=BD454,BD454,"")</f>
        <v/>
      </c>
      <c r="CN454" s="39" t="str">
        <f t="shared" ref="CN454:CN517" si="272">IF(SUM($Y454:$Z454)=BF454,BF454,"")</f>
        <v/>
      </c>
      <c r="CO454" s="458" t="str">
        <f t="shared" ref="CO454:CO517" si="273">IF(SUM($Y454:$Z454)=BG454,BG454,"")</f>
        <v/>
      </c>
      <c r="CP454" s="458" t="str">
        <f t="shared" ref="CP454:CP517" si="274">IF(SUM($Y454:$Z454)=BH454,BH454,"")</f>
        <v/>
      </c>
      <c r="CQ454" s="458" t="str">
        <f t="shared" ref="CQ454:CQ517" si="275">IF(SUM($Y454:$Z454)=BI454,BI454,"")</f>
        <v/>
      </c>
      <c r="CR454" s="458" t="str">
        <f t="shared" ref="CR454:CR517" si="276">IF(SUM($Y454:$Z454)=BJ454,BJ454,"")</f>
        <v/>
      </c>
      <c r="CS454" s="40" t="str">
        <f t="shared" ref="CS454:CS517" si="277">IF(SUM($Y454:$Z454)=BK454,BK454,"")</f>
        <v/>
      </c>
      <c r="CT454" s="40" t="str">
        <f t="shared" ref="CT454:CT517" si="278">IF(SUM($Y454:$Z454)=BL454,BL454,"")</f>
        <v/>
      </c>
      <c r="CU454" s="41" t="str">
        <f t="shared" ref="CU454:CU517" si="279">IF(SUM($Y454:$Z454)=BM454,BM454,"")</f>
        <v/>
      </c>
    </row>
    <row r="455" spans="1:99" x14ac:dyDescent="0.2">
      <c r="A455" s="77">
        <f t="shared" ref="A455:A518" si="280">A454+1</f>
        <v>450</v>
      </c>
      <c r="B455" s="81"/>
      <c r="C455" s="82"/>
      <c r="D455" s="71"/>
      <c r="E455" s="72"/>
      <c r="F455" s="73"/>
      <c r="G455" s="443"/>
      <c r="H455" s="443"/>
      <c r="I455" s="74"/>
      <c r="J455" s="75"/>
      <c r="K455" s="41">
        <f t="shared" si="249"/>
        <v>3625</v>
      </c>
      <c r="L455" s="104"/>
      <c r="M455" s="105"/>
      <c r="N455" s="106">
        <f t="shared" si="250"/>
        <v>537.05999999999995</v>
      </c>
      <c r="O455" s="104"/>
      <c r="P455" s="105"/>
      <c r="Q455" s="106">
        <f t="shared" si="247"/>
        <v>10045.83</v>
      </c>
      <c r="R455" s="104"/>
      <c r="S455" s="105"/>
      <c r="T455" s="106">
        <f t="shared" si="248"/>
        <v>0</v>
      </c>
      <c r="U455" s="439"/>
      <c r="V455" s="42">
        <f t="shared" si="251"/>
        <v>450</v>
      </c>
      <c r="W455" s="39" t="str">
        <f>IF(AND(E455='Povolené hodnoty'!$B$4,F455=2),I455+L455+O455+R455,"")</f>
        <v/>
      </c>
      <c r="X455" s="41" t="str">
        <f>IF(AND(E455='Povolené hodnoty'!$B$4,F455=1),I455+L455+O455+R455,"")</f>
        <v/>
      </c>
      <c r="Y455" s="39" t="str">
        <f>IF(AND(E455='Povolené hodnoty'!$B$4,F455=10),J455+M455+P455+S455,"")</f>
        <v/>
      </c>
      <c r="Z455" s="41" t="str">
        <f>IF(AND(E455='Povolené hodnoty'!$B$4,F455=9),J455+M455+P455+S455,"")</f>
        <v/>
      </c>
      <c r="AA455" s="39" t="str">
        <f>IF(AND(E455&lt;&gt;'Povolené hodnoty'!$B$4,F455=2),I455+L455+O455+R455,"")</f>
        <v/>
      </c>
      <c r="AB455" s="40" t="str">
        <f>IF(AND(E455&lt;&gt;'Povolené hodnoty'!$B$4,F455=3),I455+L455+O455+R455,"")</f>
        <v/>
      </c>
      <c r="AC455" s="40" t="str">
        <f>IF(AND(E455&lt;&gt;'Povolené hodnoty'!$B$4,F455=4),I455+L455+O455+R455,"")</f>
        <v/>
      </c>
      <c r="AD455" s="40" t="str">
        <f>IF(AND(E455&lt;&gt;'Povolené hodnoty'!$B$4,F455="5a"),I455-J455+L455-M455+O455-P455+R455-S455,"")</f>
        <v/>
      </c>
      <c r="AE455" s="40" t="str">
        <f>IF(AND(E455&lt;&gt;'Povolené hodnoty'!$B$4,F455="5b"),I455-J455+L455-M455+O455-P455+R455-S455,"")</f>
        <v/>
      </c>
      <c r="AF455" s="40" t="str">
        <f>IF(AND(E455&lt;&gt;'Povolené hodnoty'!$B$4,F455=6),I455+L455+O455+R455,"")</f>
        <v/>
      </c>
      <c r="AG455" s="41" t="str">
        <f>IF(AND(E455&lt;&gt;'Povolené hodnoty'!$B$4,F455=7),I455+L455+O455+R455,"")</f>
        <v/>
      </c>
      <c r="AH455" s="39" t="str">
        <f>IF(AND(E455&lt;&gt;'Povolené hodnoty'!$B$4,F455=10),J455+M455+P455+S455,"")</f>
        <v/>
      </c>
      <c r="AI455" s="40" t="str">
        <f>IF(AND(E455&lt;&gt;'Povolené hodnoty'!$B$4,F455=11),J455+M455+P455+S455,"")</f>
        <v/>
      </c>
      <c r="AJ455" s="40" t="str">
        <f>IF(AND(E455&lt;&gt;'Povolené hodnoty'!$B$4,F455=12),J455+M455+P455+S455,"")</f>
        <v/>
      </c>
      <c r="AK455" s="41" t="str">
        <f>IF(AND(E455&lt;&gt;'Povolené hodnoty'!$B$4,F455=13),J455+M455+P455+S455,"")</f>
        <v/>
      </c>
      <c r="AL455" s="39" t="str">
        <f>IF(AND($G455='Povolené hodnoty'!$B$13,$H455=AL$4),SUM($I455,$L455,$O455,$R455),"")</f>
        <v/>
      </c>
      <c r="AM455" s="458" t="str">
        <f>IF(AND($G455='Povolené hodnoty'!$B$13,$H455=AM$4),SUM($I455,$L455,$O455,$R455),"")</f>
        <v/>
      </c>
      <c r="AN455" s="458" t="str">
        <f>IF(AND($G455='Povolené hodnoty'!$B$13,$H455=AN$4),SUM($I455,$L455,$O455,$R455),"")</f>
        <v/>
      </c>
      <c r="AO455" s="458" t="str">
        <f>IF(AND($G455='Povolené hodnoty'!$B$13,$H455=AO$4),SUM($I455,$L455,$O455,$R455),"")</f>
        <v/>
      </c>
      <c r="AP455" s="458" t="str">
        <f>IF(AND($G455='Povolené hodnoty'!$B$13,$H455=AP$4),SUM($I455,$L455,$O455,$R455),"")</f>
        <v/>
      </c>
      <c r="AQ455" s="40" t="str">
        <f>IF(AND($G455='Povolené hodnoty'!$B$13,OR($H455=AQ$4,$H455='Povolené hodnoty'!$E$36)),SUM($I455,-$J455,$L455,-$M455,$O455,-$P455,$R455,-$S455),"")</f>
        <v/>
      </c>
      <c r="AR455" s="40" t="str">
        <f>IF(AND($G455='Povolené hodnoty'!$B$13,$H455=AR$4),SUM($I455,$L455,$O455,$R455),"")</f>
        <v/>
      </c>
      <c r="AS455" s="41" t="str">
        <f>IF(AND($G455='Povolené hodnoty'!$B$13,$H455=AS$4),SUM($I455,$L455,$O455,$R455),"")</f>
        <v/>
      </c>
      <c r="AT455" s="39" t="str">
        <f>IF(AND($G455='Povolené hodnoty'!$B$14,$H455=AT$4),SUM($I455,$L455,$O455,$R455),"")</f>
        <v/>
      </c>
      <c r="AU455" s="458" t="str">
        <f>IF(AND($G455='Povolené hodnoty'!$B$14,$H455=AU$4),SUM($I455,$L455,$O455,$R455),"")</f>
        <v/>
      </c>
      <c r="AV455" s="41" t="str">
        <f>IF(AND($G455='Povolené hodnoty'!$B$14,$H455=AV$4),SUM($I455,$L455,$O455,$R455),"")</f>
        <v/>
      </c>
      <c r="AW455" s="39" t="str">
        <f>IF(AND($G455='Povolené hodnoty'!$B$13,$H455=AW$4),SUM($J455,$M455,$P455,$S455),"")</f>
        <v/>
      </c>
      <c r="AX455" s="458" t="str">
        <f>IF(AND($G455='Povolené hodnoty'!$B$13,$H455=AX$4),SUM($J455,$M455,$P455,$S455),"")</f>
        <v/>
      </c>
      <c r="AY455" s="458" t="str">
        <f>IF(AND($G455='Povolené hodnoty'!$B$13,$H455=AY$4),SUM($J455,$M455,$P455,$S455),"")</f>
        <v/>
      </c>
      <c r="AZ455" s="458" t="str">
        <f>IF(AND($G455='Povolené hodnoty'!$B$13,$H455=AZ$4),SUM($J455,$M455,$P455,$S455),"")</f>
        <v/>
      </c>
      <c r="BA455" s="458" t="str">
        <f>IF(AND($G455='Povolené hodnoty'!$B$13,$H455=BA$4),SUM($J455,$M455,$P455,$S455),"")</f>
        <v/>
      </c>
      <c r="BB455" s="40" t="str">
        <f>IF(AND($G455='Povolené hodnoty'!$B$13,$H455=BB$4),SUM($J455,$M455,$P455,$S455),"")</f>
        <v/>
      </c>
      <c r="BC455" s="40" t="str">
        <f>IF(AND($G455='Povolené hodnoty'!$B$13,$H455=BC$4),SUM($J455,$M455,$P455,$S455),"")</f>
        <v/>
      </c>
      <c r="BD455" s="40" t="str">
        <f>IF(AND($G455='Povolené hodnoty'!$B$13,$H455=BD$4),SUM($J455,$M455,$P455,$S455),"")</f>
        <v/>
      </c>
      <c r="BE455" s="41" t="str">
        <f>IF(AND($G455='Povolené hodnoty'!$B$13,$H455=BE$4),SUM($J455,$M455,$P455,$S455),"")</f>
        <v/>
      </c>
      <c r="BF455" s="39" t="str">
        <f>IF(AND($G455='Povolené hodnoty'!$B$14,$H455=BF$4),SUM($J455,$M455,$P455,$S455),"")</f>
        <v/>
      </c>
      <c r="BG455" s="458" t="str">
        <f>IF(AND($G455='Povolené hodnoty'!$B$14,$H455=BG$4),SUM($J455,$M455,$P455,$S455),"")</f>
        <v/>
      </c>
      <c r="BH455" s="458" t="str">
        <f>IF(AND($G455='Povolené hodnoty'!$B$14,$H455=BH$4),SUM($J455,$M455,$P455,$S455),"")</f>
        <v/>
      </c>
      <c r="BI455" s="458" t="str">
        <f>IF(AND($G455='Povolené hodnoty'!$B$14,$H455=BI$4),SUM($J455,$M455,$P455,$S455),"")</f>
        <v/>
      </c>
      <c r="BJ455" s="458" t="str">
        <f>IF(AND($G455='Povolené hodnoty'!$B$14,$H455=BJ$4),SUM($J455,$M455,$P455,$S455),"")</f>
        <v/>
      </c>
      <c r="BK455" s="40" t="str">
        <f>IF(AND($G455='Povolené hodnoty'!$B$14,$H455=BK$4),SUM($J455,$M455,$P455,$S455),"")</f>
        <v/>
      </c>
      <c r="BL455" s="40" t="str">
        <f>IF(AND($G455='Povolené hodnoty'!$B$14,$H455=BL$4),SUM($J455,$M455,$P455,$S455),"")</f>
        <v/>
      </c>
      <c r="BM455" s="41" t="str">
        <f>IF(AND($G455='Povolené hodnoty'!$B$14,$H455=BM$4),SUM($J455,$M455,$P455,$S455),"")</f>
        <v/>
      </c>
      <c r="BO455" s="18" t="b">
        <f t="shared" ref="BO455:BO518" si="281">OR(BP455:BT455)</f>
        <v>0</v>
      </c>
      <c r="BP455" s="18" t="b">
        <f t="shared" si="252"/>
        <v>0</v>
      </c>
      <c r="BQ455" s="18" t="b">
        <f>AND(E455&lt;&gt;'Povolené hodnoty'!$B$6,F455&lt;&gt;'Povolené hodnoty'!$D$7,F455&lt;&gt;'Povolené hodnoty'!$D$8,OR(SUM(I455,L455,O455,R455)&lt;&gt;SUM(W455:X455,AA455:AG455),SUM(J455,M455,P455,S455)&lt;&gt;SUM(Y455:Z455,AH455:AK455),COUNT(I455:J455,L455:M455,O455:P455,R455:S455)&lt;&gt;COUNT(W455:AK455)))</f>
        <v>0</v>
      </c>
      <c r="BR455" s="18" t="b">
        <f>OR(AND(E455='Povolené hodnoty'!$B$6,$BR$5),AND(E455='Povolené hodnoty'!$B$6,H455&lt;&gt;'Povolené hodnoty'!$E$26,H455&lt;&gt;'Povolené hodnoty'!$E$35),AND(E455&lt;&gt;'Povolené hodnoty'!$B$6,OR(H455='Povolené hodnoty'!$E$26,H455='Povolené hodnoty'!$E$35)))</f>
        <v>0</v>
      </c>
      <c r="BS455" s="18" t="b">
        <f>OR(AND(G455&lt;&gt;'Povolené hodnoty'!$B$13,OR(H455='Povolené hodnoty'!$E$21,H455='Povolené hodnoty'!$E$22,H455='Povolené hodnoty'!$E$23,H455='Povolené hodnoty'!$E$24,H455='Povolené hodnoty'!$E$26,H455='Povolené hodnoty'!$E$36)),COUNT(I455:J455,L455:M455,O455:P455,R455:S455)&lt;&gt;COUNT(AL455:BM455))</f>
        <v>0</v>
      </c>
      <c r="BT455" s="18" t="b">
        <f t="shared" si="253"/>
        <v>0</v>
      </c>
      <c r="BV455" s="39" t="str">
        <f t="shared" si="254"/>
        <v/>
      </c>
      <c r="BW455" s="458" t="str">
        <f t="shared" si="255"/>
        <v/>
      </c>
      <c r="BX455" s="458" t="str">
        <f t="shared" si="256"/>
        <v/>
      </c>
      <c r="BY455" s="458" t="str">
        <f t="shared" si="257"/>
        <v/>
      </c>
      <c r="BZ455" s="458" t="str">
        <f t="shared" si="258"/>
        <v/>
      </c>
      <c r="CA455" s="40" t="str">
        <f t="shared" si="259"/>
        <v/>
      </c>
      <c r="CB455" s="40" t="str">
        <f t="shared" si="260"/>
        <v/>
      </c>
      <c r="CC455" s="39" t="str">
        <f t="shared" si="261"/>
        <v/>
      </c>
      <c r="CD455" s="458" t="str">
        <f t="shared" si="262"/>
        <v/>
      </c>
      <c r="CE455" s="41" t="str">
        <f t="shared" si="263"/>
        <v/>
      </c>
      <c r="CF455" s="39" t="str">
        <f t="shared" si="264"/>
        <v/>
      </c>
      <c r="CG455" s="458" t="str">
        <f t="shared" si="265"/>
        <v/>
      </c>
      <c r="CH455" s="458" t="str">
        <f t="shared" si="266"/>
        <v/>
      </c>
      <c r="CI455" s="458" t="str">
        <f t="shared" si="267"/>
        <v/>
      </c>
      <c r="CJ455" s="458" t="str">
        <f t="shared" si="268"/>
        <v/>
      </c>
      <c r="CK455" s="40" t="str">
        <f t="shared" si="269"/>
        <v/>
      </c>
      <c r="CL455" s="40" t="str">
        <f t="shared" si="270"/>
        <v/>
      </c>
      <c r="CM455" s="40" t="str">
        <f t="shared" si="271"/>
        <v/>
      </c>
      <c r="CN455" s="39" t="str">
        <f t="shared" si="272"/>
        <v/>
      </c>
      <c r="CO455" s="458" t="str">
        <f t="shared" si="273"/>
        <v/>
      </c>
      <c r="CP455" s="458" t="str">
        <f t="shared" si="274"/>
        <v/>
      </c>
      <c r="CQ455" s="458" t="str">
        <f t="shared" si="275"/>
        <v/>
      </c>
      <c r="CR455" s="458" t="str">
        <f t="shared" si="276"/>
        <v/>
      </c>
      <c r="CS455" s="40" t="str">
        <f t="shared" si="277"/>
        <v/>
      </c>
      <c r="CT455" s="40" t="str">
        <f t="shared" si="278"/>
        <v/>
      </c>
      <c r="CU455" s="41" t="str">
        <f t="shared" si="279"/>
        <v/>
      </c>
    </row>
    <row r="456" spans="1:99" x14ac:dyDescent="0.2">
      <c r="A456" s="77">
        <f t="shared" si="280"/>
        <v>451</v>
      </c>
      <c r="B456" s="81"/>
      <c r="C456" s="82"/>
      <c r="D456" s="71"/>
      <c r="E456" s="72"/>
      <c r="F456" s="73"/>
      <c r="G456" s="443"/>
      <c r="H456" s="443"/>
      <c r="I456" s="74"/>
      <c r="J456" s="75"/>
      <c r="K456" s="41">
        <f t="shared" si="249"/>
        <v>3625</v>
      </c>
      <c r="L456" s="104"/>
      <c r="M456" s="105"/>
      <c r="N456" s="106">
        <f t="shared" si="250"/>
        <v>537.05999999999995</v>
      </c>
      <c r="O456" s="104"/>
      <c r="P456" s="105"/>
      <c r="Q456" s="106">
        <f t="shared" ref="Q456:Q519" si="282">Q455+O456-P456</f>
        <v>10045.83</v>
      </c>
      <c r="R456" s="104"/>
      <c r="S456" s="105"/>
      <c r="T456" s="106">
        <f t="shared" ref="T456:T519" si="283">T455+R456-S456</f>
        <v>0</v>
      </c>
      <c r="U456" s="439"/>
      <c r="V456" s="42">
        <f t="shared" si="251"/>
        <v>451</v>
      </c>
      <c r="W456" s="39" t="str">
        <f>IF(AND(E456='Povolené hodnoty'!$B$4,F456=2),I456+L456+O456+R456,"")</f>
        <v/>
      </c>
      <c r="X456" s="41" t="str">
        <f>IF(AND(E456='Povolené hodnoty'!$B$4,F456=1),I456+L456+O456+R456,"")</f>
        <v/>
      </c>
      <c r="Y456" s="39" t="str">
        <f>IF(AND(E456='Povolené hodnoty'!$B$4,F456=10),J456+M456+P456+S456,"")</f>
        <v/>
      </c>
      <c r="Z456" s="41" t="str">
        <f>IF(AND(E456='Povolené hodnoty'!$B$4,F456=9),J456+M456+P456+S456,"")</f>
        <v/>
      </c>
      <c r="AA456" s="39" t="str">
        <f>IF(AND(E456&lt;&gt;'Povolené hodnoty'!$B$4,F456=2),I456+L456+O456+R456,"")</f>
        <v/>
      </c>
      <c r="AB456" s="40" t="str">
        <f>IF(AND(E456&lt;&gt;'Povolené hodnoty'!$B$4,F456=3),I456+L456+O456+R456,"")</f>
        <v/>
      </c>
      <c r="AC456" s="40" t="str">
        <f>IF(AND(E456&lt;&gt;'Povolené hodnoty'!$B$4,F456=4),I456+L456+O456+R456,"")</f>
        <v/>
      </c>
      <c r="AD456" s="40" t="str">
        <f>IF(AND(E456&lt;&gt;'Povolené hodnoty'!$B$4,F456="5a"),I456-J456+L456-M456+O456-P456+R456-S456,"")</f>
        <v/>
      </c>
      <c r="AE456" s="40" t="str">
        <f>IF(AND(E456&lt;&gt;'Povolené hodnoty'!$B$4,F456="5b"),I456-J456+L456-M456+O456-P456+R456-S456,"")</f>
        <v/>
      </c>
      <c r="AF456" s="40" t="str">
        <f>IF(AND(E456&lt;&gt;'Povolené hodnoty'!$B$4,F456=6),I456+L456+O456+R456,"")</f>
        <v/>
      </c>
      <c r="AG456" s="41" t="str">
        <f>IF(AND(E456&lt;&gt;'Povolené hodnoty'!$B$4,F456=7),I456+L456+O456+R456,"")</f>
        <v/>
      </c>
      <c r="AH456" s="39" t="str">
        <f>IF(AND(E456&lt;&gt;'Povolené hodnoty'!$B$4,F456=10),J456+M456+P456+S456,"")</f>
        <v/>
      </c>
      <c r="AI456" s="40" t="str">
        <f>IF(AND(E456&lt;&gt;'Povolené hodnoty'!$B$4,F456=11),J456+M456+P456+S456,"")</f>
        <v/>
      </c>
      <c r="AJ456" s="40" t="str">
        <f>IF(AND(E456&lt;&gt;'Povolené hodnoty'!$B$4,F456=12),J456+M456+P456+S456,"")</f>
        <v/>
      </c>
      <c r="AK456" s="41" t="str">
        <f>IF(AND(E456&lt;&gt;'Povolené hodnoty'!$B$4,F456=13),J456+M456+P456+S456,"")</f>
        <v/>
      </c>
      <c r="AL456" s="39" t="str">
        <f>IF(AND($G456='Povolené hodnoty'!$B$13,$H456=AL$4),SUM($I456,$L456,$O456,$R456),"")</f>
        <v/>
      </c>
      <c r="AM456" s="458" t="str">
        <f>IF(AND($G456='Povolené hodnoty'!$B$13,$H456=AM$4),SUM($I456,$L456,$O456,$R456),"")</f>
        <v/>
      </c>
      <c r="AN456" s="458" t="str">
        <f>IF(AND($G456='Povolené hodnoty'!$B$13,$H456=AN$4),SUM($I456,$L456,$O456,$R456),"")</f>
        <v/>
      </c>
      <c r="AO456" s="458" t="str">
        <f>IF(AND($G456='Povolené hodnoty'!$B$13,$H456=AO$4),SUM($I456,$L456,$O456,$R456),"")</f>
        <v/>
      </c>
      <c r="AP456" s="458" t="str">
        <f>IF(AND($G456='Povolené hodnoty'!$B$13,$H456=AP$4),SUM($I456,$L456,$O456,$R456),"")</f>
        <v/>
      </c>
      <c r="AQ456" s="40" t="str">
        <f>IF(AND($G456='Povolené hodnoty'!$B$13,OR($H456=AQ$4,$H456='Povolené hodnoty'!$E$36)),SUM($I456,-$J456,$L456,-$M456,$O456,-$P456,$R456,-$S456),"")</f>
        <v/>
      </c>
      <c r="AR456" s="40" t="str">
        <f>IF(AND($G456='Povolené hodnoty'!$B$13,$H456=AR$4),SUM($I456,$L456,$O456,$R456),"")</f>
        <v/>
      </c>
      <c r="AS456" s="41" t="str">
        <f>IF(AND($G456='Povolené hodnoty'!$B$13,$H456=AS$4),SUM($I456,$L456,$O456,$R456),"")</f>
        <v/>
      </c>
      <c r="AT456" s="39" t="str">
        <f>IF(AND($G456='Povolené hodnoty'!$B$14,$H456=AT$4),SUM($I456,$L456,$O456,$R456),"")</f>
        <v/>
      </c>
      <c r="AU456" s="458" t="str">
        <f>IF(AND($G456='Povolené hodnoty'!$B$14,$H456=AU$4),SUM($I456,$L456,$O456,$R456),"")</f>
        <v/>
      </c>
      <c r="AV456" s="41" t="str">
        <f>IF(AND($G456='Povolené hodnoty'!$B$14,$H456=AV$4),SUM($I456,$L456,$O456,$R456),"")</f>
        <v/>
      </c>
      <c r="AW456" s="39" t="str">
        <f>IF(AND($G456='Povolené hodnoty'!$B$13,$H456=AW$4),SUM($J456,$M456,$P456,$S456),"")</f>
        <v/>
      </c>
      <c r="AX456" s="458" t="str">
        <f>IF(AND($G456='Povolené hodnoty'!$B$13,$H456=AX$4),SUM($J456,$M456,$P456,$S456),"")</f>
        <v/>
      </c>
      <c r="AY456" s="458" t="str">
        <f>IF(AND($G456='Povolené hodnoty'!$B$13,$H456=AY$4),SUM($J456,$M456,$P456,$S456),"")</f>
        <v/>
      </c>
      <c r="AZ456" s="458" t="str">
        <f>IF(AND($G456='Povolené hodnoty'!$B$13,$H456=AZ$4),SUM($J456,$M456,$P456,$S456),"")</f>
        <v/>
      </c>
      <c r="BA456" s="458" t="str">
        <f>IF(AND($G456='Povolené hodnoty'!$B$13,$H456=BA$4),SUM($J456,$M456,$P456,$S456),"")</f>
        <v/>
      </c>
      <c r="BB456" s="40" t="str">
        <f>IF(AND($G456='Povolené hodnoty'!$B$13,$H456=BB$4),SUM($J456,$M456,$P456,$S456),"")</f>
        <v/>
      </c>
      <c r="BC456" s="40" t="str">
        <f>IF(AND($G456='Povolené hodnoty'!$B$13,$H456=BC$4),SUM($J456,$M456,$P456,$S456),"")</f>
        <v/>
      </c>
      <c r="BD456" s="40" t="str">
        <f>IF(AND($G456='Povolené hodnoty'!$B$13,$H456=BD$4),SUM($J456,$M456,$P456,$S456),"")</f>
        <v/>
      </c>
      <c r="BE456" s="41" t="str">
        <f>IF(AND($G456='Povolené hodnoty'!$B$13,$H456=BE$4),SUM($J456,$M456,$P456,$S456),"")</f>
        <v/>
      </c>
      <c r="BF456" s="39" t="str">
        <f>IF(AND($G456='Povolené hodnoty'!$B$14,$H456=BF$4),SUM($J456,$M456,$P456,$S456),"")</f>
        <v/>
      </c>
      <c r="BG456" s="458" t="str">
        <f>IF(AND($G456='Povolené hodnoty'!$B$14,$H456=BG$4),SUM($J456,$M456,$P456,$S456),"")</f>
        <v/>
      </c>
      <c r="BH456" s="458" t="str">
        <f>IF(AND($G456='Povolené hodnoty'!$B$14,$H456=BH$4),SUM($J456,$M456,$P456,$S456),"")</f>
        <v/>
      </c>
      <c r="BI456" s="458" t="str">
        <f>IF(AND($G456='Povolené hodnoty'!$B$14,$H456=BI$4),SUM($J456,$M456,$P456,$S456),"")</f>
        <v/>
      </c>
      <c r="BJ456" s="458" t="str">
        <f>IF(AND($G456='Povolené hodnoty'!$B$14,$H456=BJ$4),SUM($J456,$M456,$P456,$S456),"")</f>
        <v/>
      </c>
      <c r="BK456" s="40" t="str">
        <f>IF(AND($G456='Povolené hodnoty'!$B$14,$H456=BK$4),SUM($J456,$M456,$P456,$S456),"")</f>
        <v/>
      </c>
      <c r="BL456" s="40" t="str">
        <f>IF(AND($G456='Povolené hodnoty'!$B$14,$H456=BL$4),SUM($J456,$M456,$P456,$S456),"")</f>
        <v/>
      </c>
      <c r="BM456" s="41" t="str">
        <f>IF(AND($G456='Povolené hodnoty'!$B$14,$H456=BM$4),SUM($J456,$M456,$P456,$S456),"")</f>
        <v/>
      </c>
      <c r="BO456" s="18" t="b">
        <f t="shared" si="281"/>
        <v>0</v>
      </c>
      <c r="BP456" s="18" t="b">
        <f t="shared" si="252"/>
        <v>0</v>
      </c>
      <c r="BQ456" s="18" t="b">
        <f>AND(E456&lt;&gt;'Povolené hodnoty'!$B$6,F456&lt;&gt;'Povolené hodnoty'!$D$7,F456&lt;&gt;'Povolené hodnoty'!$D$8,OR(SUM(I456,L456,O456,R456)&lt;&gt;SUM(W456:X456,AA456:AG456),SUM(J456,M456,P456,S456)&lt;&gt;SUM(Y456:Z456,AH456:AK456),COUNT(I456:J456,L456:M456,O456:P456,R456:S456)&lt;&gt;COUNT(W456:AK456)))</f>
        <v>0</v>
      </c>
      <c r="BR456" s="18" t="b">
        <f>OR(AND(E456='Povolené hodnoty'!$B$6,$BR$5),AND(E456='Povolené hodnoty'!$B$6,H456&lt;&gt;'Povolené hodnoty'!$E$26,H456&lt;&gt;'Povolené hodnoty'!$E$35),AND(E456&lt;&gt;'Povolené hodnoty'!$B$6,OR(H456='Povolené hodnoty'!$E$26,H456='Povolené hodnoty'!$E$35)))</f>
        <v>0</v>
      </c>
      <c r="BS456" s="18" t="b">
        <f>OR(AND(G456&lt;&gt;'Povolené hodnoty'!$B$13,OR(H456='Povolené hodnoty'!$E$21,H456='Povolené hodnoty'!$E$22,H456='Povolené hodnoty'!$E$23,H456='Povolené hodnoty'!$E$24,H456='Povolené hodnoty'!$E$26,H456='Povolené hodnoty'!$E$36)),COUNT(I456:J456,L456:M456,O456:P456,R456:S456)&lt;&gt;COUNT(AL456:BM456))</f>
        <v>0</v>
      </c>
      <c r="BT456" s="18" t="b">
        <f t="shared" si="253"/>
        <v>0</v>
      </c>
      <c r="BV456" s="39" t="str">
        <f t="shared" si="254"/>
        <v/>
      </c>
      <c r="BW456" s="458" t="str">
        <f t="shared" si="255"/>
        <v/>
      </c>
      <c r="BX456" s="458" t="str">
        <f t="shared" si="256"/>
        <v/>
      </c>
      <c r="BY456" s="458" t="str">
        <f t="shared" si="257"/>
        <v/>
      </c>
      <c r="BZ456" s="458" t="str">
        <f t="shared" si="258"/>
        <v/>
      </c>
      <c r="CA456" s="40" t="str">
        <f t="shared" si="259"/>
        <v/>
      </c>
      <c r="CB456" s="40" t="str">
        <f t="shared" si="260"/>
        <v/>
      </c>
      <c r="CC456" s="39" t="str">
        <f t="shared" si="261"/>
        <v/>
      </c>
      <c r="CD456" s="458" t="str">
        <f t="shared" si="262"/>
        <v/>
      </c>
      <c r="CE456" s="41" t="str">
        <f t="shared" si="263"/>
        <v/>
      </c>
      <c r="CF456" s="39" t="str">
        <f t="shared" si="264"/>
        <v/>
      </c>
      <c r="CG456" s="458" t="str">
        <f t="shared" si="265"/>
        <v/>
      </c>
      <c r="CH456" s="458" t="str">
        <f t="shared" si="266"/>
        <v/>
      </c>
      <c r="CI456" s="458" t="str">
        <f t="shared" si="267"/>
        <v/>
      </c>
      <c r="CJ456" s="458" t="str">
        <f t="shared" si="268"/>
        <v/>
      </c>
      <c r="CK456" s="40" t="str">
        <f t="shared" si="269"/>
        <v/>
      </c>
      <c r="CL456" s="40" t="str">
        <f t="shared" si="270"/>
        <v/>
      </c>
      <c r="CM456" s="40" t="str">
        <f t="shared" si="271"/>
        <v/>
      </c>
      <c r="CN456" s="39" t="str">
        <f t="shared" si="272"/>
        <v/>
      </c>
      <c r="CO456" s="458" t="str">
        <f t="shared" si="273"/>
        <v/>
      </c>
      <c r="CP456" s="458" t="str">
        <f t="shared" si="274"/>
        <v/>
      </c>
      <c r="CQ456" s="458" t="str">
        <f t="shared" si="275"/>
        <v/>
      </c>
      <c r="CR456" s="458" t="str">
        <f t="shared" si="276"/>
        <v/>
      </c>
      <c r="CS456" s="40" t="str">
        <f t="shared" si="277"/>
        <v/>
      </c>
      <c r="CT456" s="40" t="str">
        <f t="shared" si="278"/>
        <v/>
      </c>
      <c r="CU456" s="41" t="str">
        <f t="shared" si="279"/>
        <v/>
      </c>
    </row>
    <row r="457" spans="1:99" x14ac:dyDescent="0.2">
      <c r="A457" s="77">
        <f t="shared" si="280"/>
        <v>452</v>
      </c>
      <c r="B457" s="81"/>
      <c r="C457" s="82"/>
      <c r="D457" s="71"/>
      <c r="E457" s="72"/>
      <c r="F457" s="73"/>
      <c r="G457" s="443"/>
      <c r="H457" s="443"/>
      <c r="I457" s="74"/>
      <c r="J457" s="75"/>
      <c r="K457" s="41">
        <f t="shared" si="249"/>
        <v>3625</v>
      </c>
      <c r="L457" s="104"/>
      <c r="M457" s="105"/>
      <c r="N457" s="106">
        <f t="shared" si="250"/>
        <v>537.05999999999995</v>
      </c>
      <c r="O457" s="104"/>
      <c r="P457" s="105"/>
      <c r="Q457" s="106">
        <f t="shared" si="282"/>
        <v>10045.83</v>
      </c>
      <c r="R457" s="104"/>
      <c r="S457" s="105"/>
      <c r="T457" s="106">
        <f t="shared" si="283"/>
        <v>0</v>
      </c>
      <c r="U457" s="439"/>
      <c r="V457" s="42">
        <f t="shared" si="251"/>
        <v>452</v>
      </c>
      <c r="W457" s="39" t="str">
        <f>IF(AND(E457='Povolené hodnoty'!$B$4,F457=2),I457+L457+O457+R457,"")</f>
        <v/>
      </c>
      <c r="X457" s="41" t="str">
        <f>IF(AND(E457='Povolené hodnoty'!$B$4,F457=1),I457+L457+O457+R457,"")</f>
        <v/>
      </c>
      <c r="Y457" s="39" t="str">
        <f>IF(AND(E457='Povolené hodnoty'!$B$4,F457=10),J457+M457+P457+S457,"")</f>
        <v/>
      </c>
      <c r="Z457" s="41" t="str">
        <f>IF(AND(E457='Povolené hodnoty'!$B$4,F457=9),J457+M457+P457+S457,"")</f>
        <v/>
      </c>
      <c r="AA457" s="39" t="str">
        <f>IF(AND(E457&lt;&gt;'Povolené hodnoty'!$B$4,F457=2),I457+L457+O457+R457,"")</f>
        <v/>
      </c>
      <c r="AB457" s="40" t="str">
        <f>IF(AND(E457&lt;&gt;'Povolené hodnoty'!$B$4,F457=3),I457+L457+O457+R457,"")</f>
        <v/>
      </c>
      <c r="AC457" s="40" t="str">
        <f>IF(AND(E457&lt;&gt;'Povolené hodnoty'!$B$4,F457=4),I457+L457+O457+R457,"")</f>
        <v/>
      </c>
      <c r="AD457" s="40" t="str">
        <f>IF(AND(E457&lt;&gt;'Povolené hodnoty'!$B$4,F457="5a"),I457-J457+L457-M457+O457-P457+R457-S457,"")</f>
        <v/>
      </c>
      <c r="AE457" s="40" t="str">
        <f>IF(AND(E457&lt;&gt;'Povolené hodnoty'!$B$4,F457="5b"),I457-J457+L457-M457+O457-P457+R457-S457,"")</f>
        <v/>
      </c>
      <c r="AF457" s="40" t="str">
        <f>IF(AND(E457&lt;&gt;'Povolené hodnoty'!$B$4,F457=6),I457+L457+O457+R457,"")</f>
        <v/>
      </c>
      <c r="AG457" s="41" t="str">
        <f>IF(AND(E457&lt;&gt;'Povolené hodnoty'!$B$4,F457=7),I457+L457+O457+R457,"")</f>
        <v/>
      </c>
      <c r="AH457" s="39" t="str">
        <f>IF(AND(E457&lt;&gt;'Povolené hodnoty'!$B$4,F457=10),J457+M457+P457+S457,"")</f>
        <v/>
      </c>
      <c r="AI457" s="40" t="str">
        <f>IF(AND(E457&lt;&gt;'Povolené hodnoty'!$B$4,F457=11),J457+M457+P457+S457,"")</f>
        <v/>
      </c>
      <c r="AJ457" s="40" t="str">
        <f>IF(AND(E457&lt;&gt;'Povolené hodnoty'!$B$4,F457=12),J457+M457+P457+S457,"")</f>
        <v/>
      </c>
      <c r="AK457" s="41" t="str">
        <f>IF(AND(E457&lt;&gt;'Povolené hodnoty'!$B$4,F457=13),J457+M457+P457+S457,"")</f>
        <v/>
      </c>
      <c r="AL457" s="39" t="str">
        <f>IF(AND($G457='Povolené hodnoty'!$B$13,$H457=AL$4),SUM($I457,$L457,$O457,$R457),"")</f>
        <v/>
      </c>
      <c r="AM457" s="458" t="str">
        <f>IF(AND($G457='Povolené hodnoty'!$B$13,$H457=AM$4),SUM($I457,$L457,$O457,$R457),"")</f>
        <v/>
      </c>
      <c r="AN457" s="458" t="str">
        <f>IF(AND($G457='Povolené hodnoty'!$B$13,$H457=AN$4),SUM($I457,$L457,$O457,$R457),"")</f>
        <v/>
      </c>
      <c r="AO457" s="458" t="str">
        <f>IF(AND($G457='Povolené hodnoty'!$B$13,$H457=AO$4),SUM($I457,$L457,$O457,$R457),"")</f>
        <v/>
      </c>
      <c r="AP457" s="458" t="str">
        <f>IF(AND($G457='Povolené hodnoty'!$B$13,$H457=AP$4),SUM($I457,$L457,$O457,$R457),"")</f>
        <v/>
      </c>
      <c r="AQ457" s="40" t="str">
        <f>IF(AND($G457='Povolené hodnoty'!$B$13,OR($H457=AQ$4,$H457='Povolené hodnoty'!$E$36)),SUM($I457,-$J457,$L457,-$M457,$O457,-$P457,$R457,-$S457),"")</f>
        <v/>
      </c>
      <c r="AR457" s="40" t="str">
        <f>IF(AND($G457='Povolené hodnoty'!$B$13,$H457=AR$4),SUM($I457,$L457,$O457,$R457),"")</f>
        <v/>
      </c>
      <c r="AS457" s="41" t="str">
        <f>IF(AND($G457='Povolené hodnoty'!$B$13,$H457=AS$4),SUM($I457,$L457,$O457,$R457),"")</f>
        <v/>
      </c>
      <c r="AT457" s="39" t="str">
        <f>IF(AND($G457='Povolené hodnoty'!$B$14,$H457=AT$4),SUM($I457,$L457,$O457,$R457),"")</f>
        <v/>
      </c>
      <c r="AU457" s="458" t="str">
        <f>IF(AND($G457='Povolené hodnoty'!$B$14,$H457=AU$4),SUM($I457,$L457,$O457,$R457),"")</f>
        <v/>
      </c>
      <c r="AV457" s="41" t="str">
        <f>IF(AND($G457='Povolené hodnoty'!$B$14,$H457=AV$4),SUM($I457,$L457,$O457,$R457),"")</f>
        <v/>
      </c>
      <c r="AW457" s="39" t="str">
        <f>IF(AND($G457='Povolené hodnoty'!$B$13,$H457=AW$4),SUM($J457,$M457,$P457,$S457),"")</f>
        <v/>
      </c>
      <c r="AX457" s="458" t="str">
        <f>IF(AND($G457='Povolené hodnoty'!$B$13,$H457=AX$4),SUM($J457,$M457,$P457,$S457),"")</f>
        <v/>
      </c>
      <c r="AY457" s="458" t="str">
        <f>IF(AND($G457='Povolené hodnoty'!$B$13,$H457=AY$4),SUM($J457,$M457,$P457,$S457),"")</f>
        <v/>
      </c>
      <c r="AZ457" s="458" t="str">
        <f>IF(AND($G457='Povolené hodnoty'!$B$13,$H457=AZ$4),SUM($J457,$M457,$P457,$S457),"")</f>
        <v/>
      </c>
      <c r="BA457" s="458" t="str">
        <f>IF(AND($G457='Povolené hodnoty'!$B$13,$H457=BA$4),SUM($J457,$M457,$P457,$S457),"")</f>
        <v/>
      </c>
      <c r="BB457" s="40" t="str">
        <f>IF(AND($G457='Povolené hodnoty'!$B$13,$H457=BB$4),SUM($J457,$M457,$P457,$S457),"")</f>
        <v/>
      </c>
      <c r="BC457" s="40" t="str">
        <f>IF(AND($G457='Povolené hodnoty'!$B$13,$H457=BC$4),SUM($J457,$M457,$P457,$S457),"")</f>
        <v/>
      </c>
      <c r="BD457" s="40" t="str">
        <f>IF(AND($G457='Povolené hodnoty'!$B$13,$H457=BD$4),SUM($J457,$M457,$P457,$S457),"")</f>
        <v/>
      </c>
      <c r="BE457" s="41" t="str">
        <f>IF(AND($G457='Povolené hodnoty'!$B$13,$H457=BE$4),SUM($J457,$M457,$P457,$S457),"")</f>
        <v/>
      </c>
      <c r="BF457" s="39" t="str">
        <f>IF(AND($G457='Povolené hodnoty'!$B$14,$H457=BF$4),SUM($J457,$M457,$P457,$S457),"")</f>
        <v/>
      </c>
      <c r="BG457" s="458" t="str">
        <f>IF(AND($G457='Povolené hodnoty'!$B$14,$H457=BG$4),SUM($J457,$M457,$P457,$S457),"")</f>
        <v/>
      </c>
      <c r="BH457" s="458" t="str">
        <f>IF(AND($G457='Povolené hodnoty'!$B$14,$H457=BH$4),SUM($J457,$M457,$P457,$S457),"")</f>
        <v/>
      </c>
      <c r="BI457" s="458" t="str">
        <f>IF(AND($G457='Povolené hodnoty'!$B$14,$H457=BI$4),SUM($J457,$M457,$P457,$S457),"")</f>
        <v/>
      </c>
      <c r="BJ457" s="458" t="str">
        <f>IF(AND($G457='Povolené hodnoty'!$B$14,$H457=BJ$4),SUM($J457,$M457,$P457,$S457),"")</f>
        <v/>
      </c>
      <c r="BK457" s="40" t="str">
        <f>IF(AND($G457='Povolené hodnoty'!$B$14,$H457=BK$4),SUM($J457,$M457,$P457,$S457),"")</f>
        <v/>
      </c>
      <c r="BL457" s="40" t="str">
        <f>IF(AND($G457='Povolené hodnoty'!$B$14,$H457=BL$4),SUM($J457,$M457,$P457,$S457),"")</f>
        <v/>
      </c>
      <c r="BM457" s="41" t="str">
        <f>IF(AND($G457='Povolené hodnoty'!$B$14,$H457=BM$4),SUM($J457,$M457,$P457,$S457),"")</f>
        <v/>
      </c>
      <c r="BO457" s="18" t="b">
        <f t="shared" si="281"/>
        <v>0</v>
      </c>
      <c r="BP457" s="18" t="b">
        <f t="shared" si="252"/>
        <v>0</v>
      </c>
      <c r="BQ457" s="18" t="b">
        <f>AND(E457&lt;&gt;'Povolené hodnoty'!$B$6,F457&lt;&gt;'Povolené hodnoty'!$D$7,F457&lt;&gt;'Povolené hodnoty'!$D$8,OR(SUM(I457,L457,O457,R457)&lt;&gt;SUM(W457:X457,AA457:AG457),SUM(J457,M457,P457,S457)&lt;&gt;SUM(Y457:Z457,AH457:AK457),COUNT(I457:J457,L457:M457,O457:P457,R457:S457)&lt;&gt;COUNT(W457:AK457)))</f>
        <v>0</v>
      </c>
      <c r="BR457" s="18" t="b">
        <f>OR(AND(E457='Povolené hodnoty'!$B$6,$BR$5),AND(E457='Povolené hodnoty'!$B$6,H457&lt;&gt;'Povolené hodnoty'!$E$26,H457&lt;&gt;'Povolené hodnoty'!$E$35),AND(E457&lt;&gt;'Povolené hodnoty'!$B$6,OR(H457='Povolené hodnoty'!$E$26,H457='Povolené hodnoty'!$E$35)))</f>
        <v>0</v>
      </c>
      <c r="BS457" s="18" t="b">
        <f>OR(AND(G457&lt;&gt;'Povolené hodnoty'!$B$13,OR(H457='Povolené hodnoty'!$E$21,H457='Povolené hodnoty'!$E$22,H457='Povolené hodnoty'!$E$23,H457='Povolené hodnoty'!$E$24,H457='Povolené hodnoty'!$E$26,H457='Povolené hodnoty'!$E$36)),COUNT(I457:J457,L457:M457,O457:P457,R457:S457)&lt;&gt;COUNT(AL457:BM457))</f>
        <v>0</v>
      </c>
      <c r="BT457" s="18" t="b">
        <f t="shared" si="253"/>
        <v>0</v>
      </c>
      <c r="BV457" s="39" t="str">
        <f t="shared" si="254"/>
        <v/>
      </c>
      <c r="BW457" s="458" t="str">
        <f t="shared" si="255"/>
        <v/>
      </c>
      <c r="BX457" s="458" t="str">
        <f t="shared" si="256"/>
        <v/>
      </c>
      <c r="BY457" s="458" t="str">
        <f t="shared" si="257"/>
        <v/>
      </c>
      <c r="BZ457" s="458" t="str">
        <f t="shared" si="258"/>
        <v/>
      </c>
      <c r="CA457" s="40" t="str">
        <f t="shared" si="259"/>
        <v/>
      </c>
      <c r="CB457" s="40" t="str">
        <f t="shared" si="260"/>
        <v/>
      </c>
      <c r="CC457" s="39" t="str">
        <f t="shared" si="261"/>
        <v/>
      </c>
      <c r="CD457" s="458" t="str">
        <f t="shared" si="262"/>
        <v/>
      </c>
      <c r="CE457" s="41" t="str">
        <f t="shared" si="263"/>
        <v/>
      </c>
      <c r="CF457" s="39" t="str">
        <f t="shared" si="264"/>
        <v/>
      </c>
      <c r="CG457" s="458" t="str">
        <f t="shared" si="265"/>
        <v/>
      </c>
      <c r="CH457" s="458" t="str">
        <f t="shared" si="266"/>
        <v/>
      </c>
      <c r="CI457" s="458" t="str">
        <f t="shared" si="267"/>
        <v/>
      </c>
      <c r="CJ457" s="458" t="str">
        <f t="shared" si="268"/>
        <v/>
      </c>
      <c r="CK457" s="40" t="str">
        <f t="shared" si="269"/>
        <v/>
      </c>
      <c r="CL457" s="40" t="str">
        <f t="shared" si="270"/>
        <v/>
      </c>
      <c r="CM457" s="40" t="str">
        <f t="shared" si="271"/>
        <v/>
      </c>
      <c r="CN457" s="39" t="str">
        <f t="shared" si="272"/>
        <v/>
      </c>
      <c r="CO457" s="458" t="str">
        <f t="shared" si="273"/>
        <v/>
      </c>
      <c r="CP457" s="458" t="str">
        <f t="shared" si="274"/>
        <v/>
      </c>
      <c r="CQ457" s="458" t="str">
        <f t="shared" si="275"/>
        <v/>
      </c>
      <c r="CR457" s="458" t="str">
        <f t="shared" si="276"/>
        <v/>
      </c>
      <c r="CS457" s="40" t="str">
        <f t="shared" si="277"/>
        <v/>
      </c>
      <c r="CT457" s="40" t="str">
        <f t="shared" si="278"/>
        <v/>
      </c>
      <c r="CU457" s="41" t="str">
        <f t="shared" si="279"/>
        <v/>
      </c>
    </row>
    <row r="458" spans="1:99" x14ac:dyDescent="0.2">
      <c r="A458" s="77">
        <f t="shared" si="280"/>
        <v>453</v>
      </c>
      <c r="B458" s="81"/>
      <c r="C458" s="82"/>
      <c r="D458" s="71"/>
      <c r="E458" s="72"/>
      <c r="F458" s="73"/>
      <c r="G458" s="443"/>
      <c r="H458" s="443"/>
      <c r="I458" s="74"/>
      <c r="J458" s="75"/>
      <c r="K458" s="41">
        <f t="shared" si="249"/>
        <v>3625</v>
      </c>
      <c r="L458" s="104"/>
      <c r="M458" s="105"/>
      <c r="N458" s="106">
        <f t="shared" si="250"/>
        <v>537.05999999999995</v>
      </c>
      <c r="O458" s="104"/>
      <c r="P458" s="105"/>
      <c r="Q458" s="106">
        <f t="shared" si="282"/>
        <v>10045.83</v>
      </c>
      <c r="R458" s="104"/>
      <c r="S458" s="105"/>
      <c r="T458" s="106">
        <f t="shared" si="283"/>
        <v>0</v>
      </c>
      <c r="U458" s="439"/>
      <c r="V458" s="42">
        <f t="shared" si="251"/>
        <v>453</v>
      </c>
      <c r="W458" s="39" t="str">
        <f>IF(AND(E458='Povolené hodnoty'!$B$4,F458=2),I458+L458+O458+R458,"")</f>
        <v/>
      </c>
      <c r="X458" s="41" t="str">
        <f>IF(AND(E458='Povolené hodnoty'!$B$4,F458=1),I458+L458+O458+R458,"")</f>
        <v/>
      </c>
      <c r="Y458" s="39" t="str">
        <f>IF(AND(E458='Povolené hodnoty'!$B$4,F458=10),J458+M458+P458+S458,"")</f>
        <v/>
      </c>
      <c r="Z458" s="41" t="str">
        <f>IF(AND(E458='Povolené hodnoty'!$B$4,F458=9),J458+M458+P458+S458,"")</f>
        <v/>
      </c>
      <c r="AA458" s="39" t="str">
        <f>IF(AND(E458&lt;&gt;'Povolené hodnoty'!$B$4,F458=2),I458+L458+O458+R458,"")</f>
        <v/>
      </c>
      <c r="AB458" s="40" t="str">
        <f>IF(AND(E458&lt;&gt;'Povolené hodnoty'!$B$4,F458=3),I458+L458+O458+R458,"")</f>
        <v/>
      </c>
      <c r="AC458" s="40" t="str">
        <f>IF(AND(E458&lt;&gt;'Povolené hodnoty'!$B$4,F458=4),I458+L458+O458+R458,"")</f>
        <v/>
      </c>
      <c r="AD458" s="40" t="str">
        <f>IF(AND(E458&lt;&gt;'Povolené hodnoty'!$B$4,F458="5a"),I458-J458+L458-M458+O458-P458+R458-S458,"")</f>
        <v/>
      </c>
      <c r="AE458" s="40" t="str">
        <f>IF(AND(E458&lt;&gt;'Povolené hodnoty'!$B$4,F458="5b"),I458-J458+L458-M458+O458-P458+R458-S458,"")</f>
        <v/>
      </c>
      <c r="AF458" s="40" t="str">
        <f>IF(AND(E458&lt;&gt;'Povolené hodnoty'!$B$4,F458=6),I458+L458+O458+R458,"")</f>
        <v/>
      </c>
      <c r="AG458" s="41" t="str">
        <f>IF(AND(E458&lt;&gt;'Povolené hodnoty'!$B$4,F458=7),I458+L458+O458+R458,"")</f>
        <v/>
      </c>
      <c r="AH458" s="39" t="str">
        <f>IF(AND(E458&lt;&gt;'Povolené hodnoty'!$B$4,F458=10),J458+M458+P458+S458,"")</f>
        <v/>
      </c>
      <c r="AI458" s="40" t="str">
        <f>IF(AND(E458&lt;&gt;'Povolené hodnoty'!$B$4,F458=11),J458+M458+P458+S458,"")</f>
        <v/>
      </c>
      <c r="AJ458" s="40" t="str">
        <f>IF(AND(E458&lt;&gt;'Povolené hodnoty'!$B$4,F458=12),J458+M458+P458+S458,"")</f>
        <v/>
      </c>
      <c r="AK458" s="41" t="str">
        <f>IF(AND(E458&lt;&gt;'Povolené hodnoty'!$B$4,F458=13),J458+M458+P458+S458,"")</f>
        <v/>
      </c>
      <c r="AL458" s="39" t="str">
        <f>IF(AND($G458='Povolené hodnoty'!$B$13,$H458=AL$4),SUM($I458,$L458,$O458,$R458),"")</f>
        <v/>
      </c>
      <c r="AM458" s="458" t="str">
        <f>IF(AND($G458='Povolené hodnoty'!$B$13,$H458=AM$4),SUM($I458,$L458,$O458,$R458),"")</f>
        <v/>
      </c>
      <c r="AN458" s="458" t="str">
        <f>IF(AND($G458='Povolené hodnoty'!$B$13,$H458=AN$4),SUM($I458,$L458,$O458,$R458),"")</f>
        <v/>
      </c>
      <c r="AO458" s="458" t="str">
        <f>IF(AND($G458='Povolené hodnoty'!$B$13,$H458=AO$4),SUM($I458,$L458,$O458,$R458),"")</f>
        <v/>
      </c>
      <c r="AP458" s="458" t="str">
        <f>IF(AND($G458='Povolené hodnoty'!$B$13,$H458=AP$4),SUM($I458,$L458,$O458,$R458),"")</f>
        <v/>
      </c>
      <c r="AQ458" s="40" t="str">
        <f>IF(AND($G458='Povolené hodnoty'!$B$13,OR($H458=AQ$4,$H458='Povolené hodnoty'!$E$36)),SUM($I458,-$J458,$L458,-$M458,$O458,-$P458,$R458,-$S458),"")</f>
        <v/>
      </c>
      <c r="AR458" s="40" t="str">
        <f>IF(AND($G458='Povolené hodnoty'!$B$13,$H458=AR$4),SUM($I458,$L458,$O458,$R458),"")</f>
        <v/>
      </c>
      <c r="AS458" s="41" t="str">
        <f>IF(AND($G458='Povolené hodnoty'!$B$13,$H458=AS$4),SUM($I458,$L458,$O458,$R458),"")</f>
        <v/>
      </c>
      <c r="AT458" s="39" t="str">
        <f>IF(AND($G458='Povolené hodnoty'!$B$14,$H458=AT$4),SUM($I458,$L458,$O458,$R458),"")</f>
        <v/>
      </c>
      <c r="AU458" s="458" t="str">
        <f>IF(AND($G458='Povolené hodnoty'!$B$14,$H458=AU$4),SUM($I458,$L458,$O458,$R458),"")</f>
        <v/>
      </c>
      <c r="AV458" s="41" t="str">
        <f>IF(AND($G458='Povolené hodnoty'!$B$14,$H458=AV$4),SUM($I458,$L458,$O458,$R458),"")</f>
        <v/>
      </c>
      <c r="AW458" s="39" t="str">
        <f>IF(AND($G458='Povolené hodnoty'!$B$13,$H458=AW$4),SUM($J458,$M458,$P458,$S458),"")</f>
        <v/>
      </c>
      <c r="AX458" s="458" t="str">
        <f>IF(AND($G458='Povolené hodnoty'!$B$13,$H458=AX$4),SUM($J458,$M458,$P458,$S458),"")</f>
        <v/>
      </c>
      <c r="AY458" s="458" t="str">
        <f>IF(AND($G458='Povolené hodnoty'!$B$13,$H458=AY$4),SUM($J458,$M458,$P458,$S458),"")</f>
        <v/>
      </c>
      <c r="AZ458" s="458" t="str">
        <f>IF(AND($G458='Povolené hodnoty'!$B$13,$H458=AZ$4),SUM($J458,$M458,$P458,$S458),"")</f>
        <v/>
      </c>
      <c r="BA458" s="458" t="str">
        <f>IF(AND($G458='Povolené hodnoty'!$B$13,$H458=BA$4),SUM($J458,$M458,$P458,$S458),"")</f>
        <v/>
      </c>
      <c r="BB458" s="40" t="str">
        <f>IF(AND($G458='Povolené hodnoty'!$B$13,$H458=BB$4),SUM($J458,$M458,$P458,$S458),"")</f>
        <v/>
      </c>
      <c r="BC458" s="40" t="str">
        <f>IF(AND($G458='Povolené hodnoty'!$B$13,$H458=BC$4),SUM($J458,$M458,$P458,$S458),"")</f>
        <v/>
      </c>
      <c r="BD458" s="40" t="str">
        <f>IF(AND($G458='Povolené hodnoty'!$B$13,$H458=BD$4),SUM($J458,$M458,$P458,$S458),"")</f>
        <v/>
      </c>
      <c r="BE458" s="41" t="str">
        <f>IF(AND($G458='Povolené hodnoty'!$B$13,$H458=BE$4),SUM($J458,$M458,$P458,$S458),"")</f>
        <v/>
      </c>
      <c r="BF458" s="39" t="str">
        <f>IF(AND($G458='Povolené hodnoty'!$B$14,$H458=BF$4),SUM($J458,$M458,$P458,$S458),"")</f>
        <v/>
      </c>
      <c r="BG458" s="458" t="str">
        <f>IF(AND($G458='Povolené hodnoty'!$B$14,$H458=BG$4),SUM($J458,$M458,$P458,$S458),"")</f>
        <v/>
      </c>
      <c r="BH458" s="458" t="str">
        <f>IF(AND($G458='Povolené hodnoty'!$B$14,$H458=BH$4),SUM($J458,$M458,$P458,$S458),"")</f>
        <v/>
      </c>
      <c r="BI458" s="458" t="str">
        <f>IF(AND($G458='Povolené hodnoty'!$B$14,$H458=BI$4),SUM($J458,$M458,$P458,$S458),"")</f>
        <v/>
      </c>
      <c r="BJ458" s="458" t="str">
        <f>IF(AND($G458='Povolené hodnoty'!$B$14,$H458=BJ$4),SUM($J458,$M458,$P458,$S458),"")</f>
        <v/>
      </c>
      <c r="BK458" s="40" t="str">
        <f>IF(AND($G458='Povolené hodnoty'!$B$14,$H458=BK$4),SUM($J458,$M458,$P458,$S458),"")</f>
        <v/>
      </c>
      <c r="BL458" s="40" t="str">
        <f>IF(AND($G458='Povolené hodnoty'!$B$14,$H458=BL$4),SUM($J458,$M458,$P458,$S458),"")</f>
        <v/>
      </c>
      <c r="BM458" s="41" t="str">
        <f>IF(AND($G458='Povolené hodnoty'!$B$14,$H458=BM$4),SUM($J458,$M458,$P458,$S458),"")</f>
        <v/>
      </c>
      <c r="BO458" s="18" t="b">
        <f t="shared" si="281"/>
        <v>0</v>
      </c>
      <c r="BP458" s="18" t="b">
        <f t="shared" si="252"/>
        <v>0</v>
      </c>
      <c r="BQ458" s="18" t="b">
        <f>AND(E458&lt;&gt;'Povolené hodnoty'!$B$6,F458&lt;&gt;'Povolené hodnoty'!$D$7,F458&lt;&gt;'Povolené hodnoty'!$D$8,OR(SUM(I458,L458,O458,R458)&lt;&gt;SUM(W458:X458,AA458:AG458),SUM(J458,M458,P458,S458)&lt;&gt;SUM(Y458:Z458,AH458:AK458),COUNT(I458:J458,L458:M458,O458:P458,R458:S458)&lt;&gt;COUNT(W458:AK458)))</f>
        <v>0</v>
      </c>
      <c r="BR458" s="18" t="b">
        <f>OR(AND(E458='Povolené hodnoty'!$B$6,$BR$5),AND(E458='Povolené hodnoty'!$B$6,H458&lt;&gt;'Povolené hodnoty'!$E$26,H458&lt;&gt;'Povolené hodnoty'!$E$35),AND(E458&lt;&gt;'Povolené hodnoty'!$B$6,OR(H458='Povolené hodnoty'!$E$26,H458='Povolené hodnoty'!$E$35)))</f>
        <v>0</v>
      </c>
      <c r="BS458" s="18" t="b">
        <f>OR(AND(G458&lt;&gt;'Povolené hodnoty'!$B$13,OR(H458='Povolené hodnoty'!$E$21,H458='Povolené hodnoty'!$E$22,H458='Povolené hodnoty'!$E$23,H458='Povolené hodnoty'!$E$24,H458='Povolené hodnoty'!$E$26,H458='Povolené hodnoty'!$E$36)),COUNT(I458:J458,L458:M458,O458:P458,R458:S458)&lt;&gt;COUNT(AL458:BM458))</f>
        <v>0</v>
      </c>
      <c r="BT458" s="18" t="b">
        <f t="shared" si="253"/>
        <v>0</v>
      </c>
      <c r="BV458" s="39" t="str">
        <f t="shared" si="254"/>
        <v/>
      </c>
      <c r="BW458" s="458" t="str">
        <f t="shared" si="255"/>
        <v/>
      </c>
      <c r="BX458" s="458" t="str">
        <f t="shared" si="256"/>
        <v/>
      </c>
      <c r="BY458" s="458" t="str">
        <f t="shared" si="257"/>
        <v/>
      </c>
      <c r="BZ458" s="458" t="str">
        <f t="shared" si="258"/>
        <v/>
      </c>
      <c r="CA458" s="40" t="str">
        <f t="shared" si="259"/>
        <v/>
      </c>
      <c r="CB458" s="40" t="str">
        <f t="shared" si="260"/>
        <v/>
      </c>
      <c r="CC458" s="39" t="str">
        <f t="shared" si="261"/>
        <v/>
      </c>
      <c r="CD458" s="458" t="str">
        <f t="shared" si="262"/>
        <v/>
      </c>
      <c r="CE458" s="41" t="str">
        <f t="shared" si="263"/>
        <v/>
      </c>
      <c r="CF458" s="39" t="str">
        <f t="shared" si="264"/>
        <v/>
      </c>
      <c r="CG458" s="458" t="str">
        <f t="shared" si="265"/>
        <v/>
      </c>
      <c r="CH458" s="458" t="str">
        <f t="shared" si="266"/>
        <v/>
      </c>
      <c r="CI458" s="458" t="str">
        <f t="shared" si="267"/>
        <v/>
      </c>
      <c r="CJ458" s="458" t="str">
        <f t="shared" si="268"/>
        <v/>
      </c>
      <c r="CK458" s="40" t="str">
        <f t="shared" si="269"/>
        <v/>
      </c>
      <c r="CL458" s="40" t="str">
        <f t="shared" si="270"/>
        <v/>
      </c>
      <c r="CM458" s="40" t="str">
        <f t="shared" si="271"/>
        <v/>
      </c>
      <c r="CN458" s="39" t="str">
        <f t="shared" si="272"/>
        <v/>
      </c>
      <c r="CO458" s="458" t="str">
        <f t="shared" si="273"/>
        <v/>
      </c>
      <c r="CP458" s="458" t="str">
        <f t="shared" si="274"/>
        <v/>
      </c>
      <c r="CQ458" s="458" t="str">
        <f t="shared" si="275"/>
        <v/>
      </c>
      <c r="CR458" s="458" t="str">
        <f t="shared" si="276"/>
        <v/>
      </c>
      <c r="CS458" s="40" t="str">
        <f t="shared" si="277"/>
        <v/>
      </c>
      <c r="CT458" s="40" t="str">
        <f t="shared" si="278"/>
        <v/>
      </c>
      <c r="CU458" s="41" t="str">
        <f t="shared" si="279"/>
        <v/>
      </c>
    </row>
    <row r="459" spans="1:99" x14ac:dyDescent="0.2">
      <c r="A459" s="77">
        <f t="shared" si="280"/>
        <v>454</v>
      </c>
      <c r="B459" s="81"/>
      <c r="C459" s="82"/>
      <c r="D459" s="71"/>
      <c r="E459" s="72"/>
      <c r="F459" s="73"/>
      <c r="G459" s="443"/>
      <c r="H459" s="443"/>
      <c r="I459" s="74"/>
      <c r="J459" s="75"/>
      <c r="K459" s="41">
        <f t="shared" si="249"/>
        <v>3625</v>
      </c>
      <c r="L459" s="104"/>
      <c r="M459" s="105"/>
      <c r="N459" s="106">
        <f t="shared" si="250"/>
        <v>537.05999999999995</v>
      </c>
      <c r="O459" s="104"/>
      <c r="P459" s="105"/>
      <c r="Q459" s="106">
        <f t="shared" si="282"/>
        <v>10045.83</v>
      </c>
      <c r="R459" s="104"/>
      <c r="S459" s="105"/>
      <c r="T459" s="106">
        <f t="shared" si="283"/>
        <v>0</v>
      </c>
      <c r="U459" s="439"/>
      <c r="V459" s="42">
        <f t="shared" si="251"/>
        <v>454</v>
      </c>
      <c r="W459" s="39" t="str">
        <f>IF(AND(E459='Povolené hodnoty'!$B$4,F459=2),I459+L459+O459+R459,"")</f>
        <v/>
      </c>
      <c r="X459" s="41" t="str">
        <f>IF(AND(E459='Povolené hodnoty'!$B$4,F459=1),I459+L459+O459+R459,"")</f>
        <v/>
      </c>
      <c r="Y459" s="39" t="str">
        <f>IF(AND(E459='Povolené hodnoty'!$B$4,F459=10),J459+M459+P459+S459,"")</f>
        <v/>
      </c>
      <c r="Z459" s="41" t="str">
        <f>IF(AND(E459='Povolené hodnoty'!$B$4,F459=9),J459+M459+P459+S459,"")</f>
        <v/>
      </c>
      <c r="AA459" s="39" t="str">
        <f>IF(AND(E459&lt;&gt;'Povolené hodnoty'!$B$4,F459=2),I459+L459+O459+R459,"")</f>
        <v/>
      </c>
      <c r="AB459" s="40" t="str">
        <f>IF(AND(E459&lt;&gt;'Povolené hodnoty'!$B$4,F459=3),I459+L459+O459+R459,"")</f>
        <v/>
      </c>
      <c r="AC459" s="40" t="str">
        <f>IF(AND(E459&lt;&gt;'Povolené hodnoty'!$B$4,F459=4),I459+L459+O459+R459,"")</f>
        <v/>
      </c>
      <c r="AD459" s="40" t="str">
        <f>IF(AND(E459&lt;&gt;'Povolené hodnoty'!$B$4,F459="5a"),I459-J459+L459-M459+O459-P459+R459-S459,"")</f>
        <v/>
      </c>
      <c r="AE459" s="40" t="str">
        <f>IF(AND(E459&lt;&gt;'Povolené hodnoty'!$B$4,F459="5b"),I459-J459+L459-M459+O459-P459+R459-S459,"")</f>
        <v/>
      </c>
      <c r="AF459" s="40" t="str">
        <f>IF(AND(E459&lt;&gt;'Povolené hodnoty'!$B$4,F459=6),I459+L459+O459+R459,"")</f>
        <v/>
      </c>
      <c r="AG459" s="41" t="str">
        <f>IF(AND(E459&lt;&gt;'Povolené hodnoty'!$B$4,F459=7),I459+L459+O459+R459,"")</f>
        <v/>
      </c>
      <c r="AH459" s="39" t="str">
        <f>IF(AND(E459&lt;&gt;'Povolené hodnoty'!$B$4,F459=10),J459+M459+P459+S459,"")</f>
        <v/>
      </c>
      <c r="AI459" s="40" t="str">
        <f>IF(AND(E459&lt;&gt;'Povolené hodnoty'!$B$4,F459=11),J459+M459+P459+S459,"")</f>
        <v/>
      </c>
      <c r="AJ459" s="40" t="str">
        <f>IF(AND(E459&lt;&gt;'Povolené hodnoty'!$B$4,F459=12),J459+M459+P459+S459,"")</f>
        <v/>
      </c>
      <c r="AK459" s="41" t="str">
        <f>IF(AND(E459&lt;&gt;'Povolené hodnoty'!$B$4,F459=13),J459+M459+P459+S459,"")</f>
        <v/>
      </c>
      <c r="AL459" s="39" t="str">
        <f>IF(AND($G459='Povolené hodnoty'!$B$13,$H459=AL$4),SUM($I459,$L459,$O459,$R459),"")</f>
        <v/>
      </c>
      <c r="AM459" s="458" t="str">
        <f>IF(AND($G459='Povolené hodnoty'!$B$13,$H459=AM$4),SUM($I459,$L459,$O459,$R459),"")</f>
        <v/>
      </c>
      <c r="AN459" s="458" t="str">
        <f>IF(AND($G459='Povolené hodnoty'!$B$13,$H459=AN$4),SUM($I459,$L459,$O459,$R459),"")</f>
        <v/>
      </c>
      <c r="AO459" s="458" t="str">
        <f>IF(AND($G459='Povolené hodnoty'!$B$13,$H459=AO$4),SUM($I459,$L459,$O459,$R459),"")</f>
        <v/>
      </c>
      <c r="AP459" s="458" t="str">
        <f>IF(AND($G459='Povolené hodnoty'!$B$13,$H459=AP$4),SUM($I459,$L459,$O459,$R459),"")</f>
        <v/>
      </c>
      <c r="AQ459" s="40" t="str">
        <f>IF(AND($G459='Povolené hodnoty'!$B$13,OR($H459=AQ$4,$H459='Povolené hodnoty'!$E$36)),SUM($I459,-$J459,$L459,-$M459,$O459,-$P459,$R459,-$S459),"")</f>
        <v/>
      </c>
      <c r="AR459" s="40" t="str">
        <f>IF(AND($G459='Povolené hodnoty'!$B$13,$H459=AR$4),SUM($I459,$L459,$O459,$R459),"")</f>
        <v/>
      </c>
      <c r="AS459" s="41" t="str">
        <f>IF(AND($G459='Povolené hodnoty'!$B$13,$H459=AS$4),SUM($I459,$L459,$O459,$R459),"")</f>
        <v/>
      </c>
      <c r="AT459" s="39" t="str">
        <f>IF(AND($G459='Povolené hodnoty'!$B$14,$H459=AT$4),SUM($I459,$L459,$O459,$R459),"")</f>
        <v/>
      </c>
      <c r="AU459" s="458" t="str">
        <f>IF(AND($G459='Povolené hodnoty'!$B$14,$H459=AU$4),SUM($I459,$L459,$O459,$R459),"")</f>
        <v/>
      </c>
      <c r="AV459" s="41" t="str">
        <f>IF(AND($G459='Povolené hodnoty'!$B$14,$H459=AV$4),SUM($I459,$L459,$O459,$R459),"")</f>
        <v/>
      </c>
      <c r="AW459" s="39" t="str">
        <f>IF(AND($G459='Povolené hodnoty'!$B$13,$H459=AW$4),SUM($J459,$M459,$P459,$S459),"")</f>
        <v/>
      </c>
      <c r="AX459" s="458" t="str">
        <f>IF(AND($G459='Povolené hodnoty'!$B$13,$H459=AX$4),SUM($J459,$M459,$P459,$S459),"")</f>
        <v/>
      </c>
      <c r="AY459" s="458" t="str">
        <f>IF(AND($G459='Povolené hodnoty'!$B$13,$H459=AY$4),SUM($J459,$M459,$P459,$S459),"")</f>
        <v/>
      </c>
      <c r="AZ459" s="458" t="str">
        <f>IF(AND($G459='Povolené hodnoty'!$B$13,$H459=AZ$4),SUM($J459,$M459,$P459,$S459),"")</f>
        <v/>
      </c>
      <c r="BA459" s="458" t="str">
        <f>IF(AND($G459='Povolené hodnoty'!$B$13,$H459=BA$4),SUM($J459,$M459,$P459,$S459),"")</f>
        <v/>
      </c>
      <c r="BB459" s="40" t="str">
        <f>IF(AND($G459='Povolené hodnoty'!$B$13,$H459=BB$4),SUM($J459,$M459,$P459,$S459),"")</f>
        <v/>
      </c>
      <c r="BC459" s="40" t="str">
        <f>IF(AND($G459='Povolené hodnoty'!$B$13,$H459=BC$4),SUM($J459,$M459,$P459,$S459),"")</f>
        <v/>
      </c>
      <c r="BD459" s="40" t="str">
        <f>IF(AND($G459='Povolené hodnoty'!$B$13,$H459=BD$4),SUM($J459,$M459,$P459,$S459),"")</f>
        <v/>
      </c>
      <c r="BE459" s="41" t="str">
        <f>IF(AND($G459='Povolené hodnoty'!$B$13,$H459=BE$4),SUM($J459,$M459,$P459,$S459),"")</f>
        <v/>
      </c>
      <c r="BF459" s="39" t="str">
        <f>IF(AND($G459='Povolené hodnoty'!$B$14,$H459=BF$4),SUM($J459,$M459,$P459,$S459),"")</f>
        <v/>
      </c>
      <c r="BG459" s="458" t="str">
        <f>IF(AND($G459='Povolené hodnoty'!$B$14,$H459=BG$4),SUM($J459,$M459,$P459,$S459),"")</f>
        <v/>
      </c>
      <c r="BH459" s="458" t="str">
        <f>IF(AND($G459='Povolené hodnoty'!$B$14,$H459=BH$4),SUM($J459,$M459,$P459,$S459),"")</f>
        <v/>
      </c>
      <c r="BI459" s="458" t="str">
        <f>IF(AND($G459='Povolené hodnoty'!$B$14,$H459=BI$4),SUM($J459,$M459,$P459,$S459),"")</f>
        <v/>
      </c>
      <c r="BJ459" s="458" t="str">
        <f>IF(AND($G459='Povolené hodnoty'!$B$14,$H459=BJ$4),SUM($J459,$M459,$P459,$S459),"")</f>
        <v/>
      </c>
      <c r="BK459" s="40" t="str">
        <f>IF(AND($G459='Povolené hodnoty'!$B$14,$H459=BK$4),SUM($J459,$M459,$P459,$S459),"")</f>
        <v/>
      </c>
      <c r="BL459" s="40" t="str">
        <f>IF(AND($G459='Povolené hodnoty'!$B$14,$H459=BL$4),SUM($J459,$M459,$P459,$S459),"")</f>
        <v/>
      </c>
      <c r="BM459" s="41" t="str">
        <f>IF(AND($G459='Povolené hodnoty'!$B$14,$H459=BM$4),SUM($J459,$M459,$P459,$S459),"")</f>
        <v/>
      </c>
      <c r="BO459" s="18" t="b">
        <f t="shared" si="281"/>
        <v>0</v>
      </c>
      <c r="BP459" s="18" t="b">
        <f t="shared" si="252"/>
        <v>0</v>
      </c>
      <c r="BQ459" s="18" t="b">
        <f>AND(E459&lt;&gt;'Povolené hodnoty'!$B$6,F459&lt;&gt;'Povolené hodnoty'!$D$7,F459&lt;&gt;'Povolené hodnoty'!$D$8,OR(SUM(I459,L459,O459,R459)&lt;&gt;SUM(W459:X459,AA459:AG459),SUM(J459,M459,P459,S459)&lt;&gt;SUM(Y459:Z459,AH459:AK459),COUNT(I459:J459,L459:M459,O459:P459,R459:S459)&lt;&gt;COUNT(W459:AK459)))</f>
        <v>0</v>
      </c>
      <c r="BR459" s="18" t="b">
        <f>OR(AND(E459='Povolené hodnoty'!$B$6,$BR$5),AND(E459='Povolené hodnoty'!$B$6,H459&lt;&gt;'Povolené hodnoty'!$E$26,H459&lt;&gt;'Povolené hodnoty'!$E$35),AND(E459&lt;&gt;'Povolené hodnoty'!$B$6,OR(H459='Povolené hodnoty'!$E$26,H459='Povolené hodnoty'!$E$35)))</f>
        <v>0</v>
      </c>
      <c r="BS459" s="18" t="b">
        <f>OR(AND(G459&lt;&gt;'Povolené hodnoty'!$B$13,OR(H459='Povolené hodnoty'!$E$21,H459='Povolené hodnoty'!$E$22,H459='Povolené hodnoty'!$E$23,H459='Povolené hodnoty'!$E$24,H459='Povolené hodnoty'!$E$26,H459='Povolené hodnoty'!$E$36)),COUNT(I459:J459,L459:M459,O459:P459,R459:S459)&lt;&gt;COUNT(AL459:BM459))</f>
        <v>0</v>
      </c>
      <c r="BT459" s="18" t="b">
        <f t="shared" si="253"/>
        <v>0</v>
      </c>
      <c r="BV459" s="39" t="str">
        <f t="shared" si="254"/>
        <v/>
      </c>
      <c r="BW459" s="458" t="str">
        <f t="shared" si="255"/>
        <v/>
      </c>
      <c r="BX459" s="458" t="str">
        <f t="shared" si="256"/>
        <v/>
      </c>
      <c r="BY459" s="458" t="str">
        <f t="shared" si="257"/>
        <v/>
      </c>
      <c r="BZ459" s="458" t="str">
        <f t="shared" si="258"/>
        <v/>
      </c>
      <c r="CA459" s="40" t="str">
        <f t="shared" si="259"/>
        <v/>
      </c>
      <c r="CB459" s="40" t="str">
        <f t="shared" si="260"/>
        <v/>
      </c>
      <c r="CC459" s="39" t="str">
        <f t="shared" si="261"/>
        <v/>
      </c>
      <c r="CD459" s="458" t="str">
        <f t="shared" si="262"/>
        <v/>
      </c>
      <c r="CE459" s="41" t="str">
        <f t="shared" si="263"/>
        <v/>
      </c>
      <c r="CF459" s="39" t="str">
        <f t="shared" si="264"/>
        <v/>
      </c>
      <c r="CG459" s="458" t="str">
        <f t="shared" si="265"/>
        <v/>
      </c>
      <c r="CH459" s="458" t="str">
        <f t="shared" si="266"/>
        <v/>
      </c>
      <c r="CI459" s="458" t="str">
        <f t="shared" si="267"/>
        <v/>
      </c>
      <c r="CJ459" s="458" t="str">
        <f t="shared" si="268"/>
        <v/>
      </c>
      <c r="CK459" s="40" t="str">
        <f t="shared" si="269"/>
        <v/>
      </c>
      <c r="CL459" s="40" t="str">
        <f t="shared" si="270"/>
        <v/>
      </c>
      <c r="CM459" s="40" t="str">
        <f t="shared" si="271"/>
        <v/>
      </c>
      <c r="CN459" s="39" t="str">
        <f t="shared" si="272"/>
        <v/>
      </c>
      <c r="CO459" s="458" t="str">
        <f t="shared" si="273"/>
        <v/>
      </c>
      <c r="CP459" s="458" t="str">
        <f t="shared" si="274"/>
        <v/>
      </c>
      <c r="CQ459" s="458" t="str">
        <f t="shared" si="275"/>
        <v/>
      </c>
      <c r="CR459" s="458" t="str">
        <f t="shared" si="276"/>
        <v/>
      </c>
      <c r="CS459" s="40" t="str">
        <f t="shared" si="277"/>
        <v/>
      </c>
      <c r="CT459" s="40" t="str">
        <f t="shared" si="278"/>
        <v/>
      </c>
      <c r="CU459" s="41" t="str">
        <f t="shared" si="279"/>
        <v/>
      </c>
    </row>
    <row r="460" spans="1:99" x14ac:dyDescent="0.2">
      <c r="A460" s="77">
        <f t="shared" si="280"/>
        <v>455</v>
      </c>
      <c r="B460" s="81"/>
      <c r="C460" s="82"/>
      <c r="D460" s="71"/>
      <c r="E460" s="72"/>
      <c r="F460" s="73"/>
      <c r="G460" s="443"/>
      <c r="H460" s="443"/>
      <c r="I460" s="74"/>
      <c r="J460" s="75"/>
      <c r="K460" s="41">
        <f t="shared" si="249"/>
        <v>3625</v>
      </c>
      <c r="L460" s="104"/>
      <c r="M460" s="105"/>
      <c r="N460" s="106">
        <f t="shared" si="250"/>
        <v>537.05999999999995</v>
      </c>
      <c r="O460" s="104"/>
      <c r="P460" s="105"/>
      <c r="Q460" s="106">
        <f t="shared" si="282"/>
        <v>10045.83</v>
      </c>
      <c r="R460" s="104"/>
      <c r="S460" s="105"/>
      <c r="T460" s="106">
        <f t="shared" si="283"/>
        <v>0</v>
      </c>
      <c r="U460" s="439"/>
      <c r="V460" s="42">
        <f t="shared" si="251"/>
        <v>455</v>
      </c>
      <c r="W460" s="39" t="str">
        <f>IF(AND(E460='Povolené hodnoty'!$B$4,F460=2),I460+L460+O460+R460,"")</f>
        <v/>
      </c>
      <c r="X460" s="41" t="str">
        <f>IF(AND(E460='Povolené hodnoty'!$B$4,F460=1),I460+L460+O460+R460,"")</f>
        <v/>
      </c>
      <c r="Y460" s="39" t="str">
        <f>IF(AND(E460='Povolené hodnoty'!$B$4,F460=10),J460+M460+P460+S460,"")</f>
        <v/>
      </c>
      <c r="Z460" s="41" t="str">
        <f>IF(AND(E460='Povolené hodnoty'!$B$4,F460=9),J460+M460+P460+S460,"")</f>
        <v/>
      </c>
      <c r="AA460" s="39" t="str">
        <f>IF(AND(E460&lt;&gt;'Povolené hodnoty'!$B$4,F460=2),I460+L460+O460+R460,"")</f>
        <v/>
      </c>
      <c r="AB460" s="40" t="str">
        <f>IF(AND(E460&lt;&gt;'Povolené hodnoty'!$B$4,F460=3),I460+L460+O460+R460,"")</f>
        <v/>
      </c>
      <c r="AC460" s="40" t="str">
        <f>IF(AND(E460&lt;&gt;'Povolené hodnoty'!$B$4,F460=4),I460+L460+O460+R460,"")</f>
        <v/>
      </c>
      <c r="AD460" s="40" t="str">
        <f>IF(AND(E460&lt;&gt;'Povolené hodnoty'!$B$4,F460="5a"),I460-J460+L460-M460+O460-P460+R460-S460,"")</f>
        <v/>
      </c>
      <c r="AE460" s="40" t="str">
        <f>IF(AND(E460&lt;&gt;'Povolené hodnoty'!$B$4,F460="5b"),I460-J460+L460-M460+O460-P460+R460-S460,"")</f>
        <v/>
      </c>
      <c r="AF460" s="40" t="str">
        <f>IF(AND(E460&lt;&gt;'Povolené hodnoty'!$B$4,F460=6),I460+L460+O460+R460,"")</f>
        <v/>
      </c>
      <c r="AG460" s="41" t="str">
        <f>IF(AND(E460&lt;&gt;'Povolené hodnoty'!$B$4,F460=7),I460+L460+O460+R460,"")</f>
        <v/>
      </c>
      <c r="AH460" s="39" t="str">
        <f>IF(AND(E460&lt;&gt;'Povolené hodnoty'!$B$4,F460=10),J460+M460+P460+S460,"")</f>
        <v/>
      </c>
      <c r="AI460" s="40" t="str">
        <f>IF(AND(E460&lt;&gt;'Povolené hodnoty'!$B$4,F460=11),J460+M460+P460+S460,"")</f>
        <v/>
      </c>
      <c r="AJ460" s="40" t="str">
        <f>IF(AND(E460&lt;&gt;'Povolené hodnoty'!$B$4,F460=12),J460+M460+P460+S460,"")</f>
        <v/>
      </c>
      <c r="AK460" s="41" t="str">
        <f>IF(AND(E460&lt;&gt;'Povolené hodnoty'!$B$4,F460=13),J460+M460+P460+S460,"")</f>
        <v/>
      </c>
      <c r="AL460" s="39" t="str">
        <f>IF(AND($G460='Povolené hodnoty'!$B$13,$H460=AL$4),SUM($I460,$L460,$O460,$R460),"")</f>
        <v/>
      </c>
      <c r="AM460" s="458" t="str">
        <f>IF(AND($G460='Povolené hodnoty'!$B$13,$H460=AM$4),SUM($I460,$L460,$O460,$R460),"")</f>
        <v/>
      </c>
      <c r="AN460" s="458" t="str">
        <f>IF(AND($G460='Povolené hodnoty'!$B$13,$H460=AN$4),SUM($I460,$L460,$O460,$R460),"")</f>
        <v/>
      </c>
      <c r="AO460" s="458" t="str">
        <f>IF(AND($G460='Povolené hodnoty'!$B$13,$H460=AO$4),SUM($I460,$L460,$O460,$R460),"")</f>
        <v/>
      </c>
      <c r="AP460" s="458" t="str">
        <f>IF(AND($G460='Povolené hodnoty'!$B$13,$H460=AP$4),SUM($I460,$L460,$O460,$R460),"")</f>
        <v/>
      </c>
      <c r="AQ460" s="40" t="str">
        <f>IF(AND($G460='Povolené hodnoty'!$B$13,OR($H460=AQ$4,$H460='Povolené hodnoty'!$E$36)),SUM($I460,-$J460,$L460,-$M460,$O460,-$P460,$R460,-$S460),"")</f>
        <v/>
      </c>
      <c r="AR460" s="40" t="str">
        <f>IF(AND($G460='Povolené hodnoty'!$B$13,$H460=AR$4),SUM($I460,$L460,$O460,$R460),"")</f>
        <v/>
      </c>
      <c r="AS460" s="41" t="str">
        <f>IF(AND($G460='Povolené hodnoty'!$B$13,$H460=AS$4),SUM($I460,$L460,$O460,$R460),"")</f>
        <v/>
      </c>
      <c r="AT460" s="39" t="str">
        <f>IF(AND($G460='Povolené hodnoty'!$B$14,$H460=AT$4),SUM($I460,$L460,$O460,$R460),"")</f>
        <v/>
      </c>
      <c r="AU460" s="458" t="str">
        <f>IF(AND($G460='Povolené hodnoty'!$B$14,$H460=AU$4),SUM($I460,$L460,$O460,$R460),"")</f>
        <v/>
      </c>
      <c r="AV460" s="41" t="str">
        <f>IF(AND($G460='Povolené hodnoty'!$B$14,$H460=AV$4),SUM($I460,$L460,$O460,$R460),"")</f>
        <v/>
      </c>
      <c r="AW460" s="39" t="str">
        <f>IF(AND($G460='Povolené hodnoty'!$B$13,$H460=AW$4),SUM($J460,$M460,$P460,$S460),"")</f>
        <v/>
      </c>
      <c r="AX460" s="458" t="str">
        <f>IF(AND($G460='Povolené hodnoty'!$B$13,$H460=AX$4),SUM($J460,$M460,$P460,$S460),"")</f>
        <v/>
      </c>
      <c r="AY460" s="458" t="str">
        <f>IF(AND($G460='Povolené hodnoty'!$B$13,$H460=AY$4),SUM($J460,$M460,$P460,$S460),"")</f>
        <v/>
      </c>
      <c r="AZ460" s="458" t="str">
        <f>IF(AND($G460='Povolené hodnoty'!$B$13,$H460=AZ$4),SUM($J460,$M460,$P460,$S460),"")</f>
        <v/>
      </c>
      <c r="BA460" s="458" t="str">
        <f>IF(AND($G460='Povolené hodnoty'!$B$13,$H460=BA$4),SUM($J460,$M460,$P460,$S460),"")</f>
        <v/>
      </c>
      <c r="BB460" s="40" t="str">
        <f>IF(AND($G460='Povolené hodnoty'!$B$13,$H460=BB$4),SUM($J460,$M460,$P460,$S460),"")</f>
        <v/>
      </c>
      <c r="BC460" s="40" t="str">
        <f>IF(AND($G460='Povolené hodnoty'!$B$13,$H460=BC$4),SUM($J460,$M460,$P460,$S460),"")</f>
        <v/>
      </c>
      <c r="BD460" s="40" t="str">
        <f>IF(AND($G460='Povolené hodnoty'!$B$13,$H460=BD$4),SUM($J460,$M460,$P460,$S460),"")</f>
        <v/>
      </c>
      <c r="BE460" s="41" t="str">
        <f>IF(AND($G460='Povolené hodnoty'!$B$13,$H460=BE$4),SUM($J460,$M460,$P460,$S460),"")</f>
        <v/>
      </c>
      <c r="BF460" s="39" t="str">
        <f>IF(AND($G460='Povolené hodnoty'!$B$14,$H460=BF$4),SUM($J460,$M460,$P460,$S460),"")</f>
        <v/>
      </c>
      <c r="BG460" s="458" t="str">
        <f>IF(AND($G460='Povolené hodnoty'!$B$14,$H460=BG$4),SUM($J460,$M460,$P460,$S460),"")</f>
        <v/>
      </c>
      <c r="BH460" s="458" t="str">
        <f>IF(AND($G460='Povolené hodnoty'!$B$14,$H460=BH$4),SUM($J460,$M460,$P460,$S460),"")</f>
        <v/>
      </c>
      <c r="BI460" s="458" t="str">
        <f>IF(AND($G460='Povolené hodnoty'!$B$14,$H460=BI$4),SUM($J460,$M460,$P460,$S460),"")</f>
        <v/>
      </c>
      <c r="BJ460" s="458" t="str">
        <f>IF(AND($G460='Povolené hodnoty'!$B$14,$H460=BJ$4),SUM($J460,$M460,$P460,$S460),"")</f>
        <v/>
      </c>
      <c r="BK460" s="40" t="str">
        <f>IF(AND($G460='Povolené hodnoty'!$B$14,$H460=BK$4),SUM($J460,$M460,$P460,$S460),"")</f>
        <v/>
      </c>
      <c r="BL460" s="40" t="str">
        <f>IF(AND($G460='Povolené hodnoty'!$B$14,$H460=BL$4),SUM($J460,$M460,$P460,$S460),"")</f>
        <v/>
      </c>
      <c r="BM460" s="41" t="str">
        <f>IF(AND($G460='Povolené hodnoty'!$B$14,$H460=BM$4),SUM($J460,$M460,$P460,$S460),"")</f>
        <v/>
      </c>
      <c r="BO460" s="18" t="b">
        <f t="shared" si="281"/>
        <v>0</v>
      </c>
      <c r="BP460" s="18" t="b">
        <f t="shared" si="252"/>
        <v>0</v>
      </c>
      <c r="BQ460" s="18" t="b">
        <f>AND(E460&lt;&gt;'Povolené hodnoty'!$B$6,F460&lt;&gt;'Povolené hodnoty'!$D$7,F460&lt;&gt;'Povolené hodnoty'!$D$8,OR(SUM(I460,L460,O460,R460)&lt;&gt;SUM(W460:X460,AA460:AG460),SUM(J460,M460,P460,S460)&lt;&gt;SUM(Y460:Z460,AH460:AK460),COUNT(I460:J460,L460:M460,O460:P460,R460:S460)&lt;&gt;COUNT(W460:AK460)))</f>
        <v>0</v>
      </c>
      <c r="BR460" s="18" t="b">
        <f>OR(AND(E460='Povolené hodnoty'!$B$6,$BR$5),AND(E460='Povolené hodnoty'!$B$6,H460&lt;&gt;'Povolené hodnoty'!$E$26,H460&lt;&gt;'Povolené hodnoty'!$E$35),AND(E460&lt;&gt;'Povolené hodnoty'!$B$6,OR(H460='Povolené hodnoty'!$E$26,H460='Povolené hodnoty'!$E$35)))</f>
        <v>0</v>
      </c>
      <c r="BS460" s="18" t="b">
        <f>OR(AND(G460&lt;&gt;'Povolené hodnoty'!$B$13,OR(H460='Povolené hodnoty'!$E$21,H460='Povolené hodnoty'!$E$22,H460='Povolené hodnoty'!$E$23,H460='Povolené hodnoty'!$E$24,H460='Povolené hodnoty'!$E$26,H460='Povolené hodnoty'!$E$36)),COUNT(I460:J460,L460:M460,O460:P460,R460:S460)&lt;&gt;COUNT(AL460:BM460))</f>
        <v>0</v>
      </c>
      <c r="BT460" s="18" t="b">
        <f t="shared" si="253"/>
        <v>0</v>
      </c>
      <c r="BV460" s="39" t="str">
        <f t="shared" si="254"/>
        <v/>
      </c>
      <c r="BW460" s="458" t="str">
        <f t="shared" si="255"/>
        <v/>
      </c>
      <c r="BX460" s="458" t="str">
        <f t="shared" si="256"/>
        <v/>
      </c>
      <c r="BY460" s="458" t="str">
        <f t="shared" si="257"/>
        <v/>
      </c>
      <c r="BZ460" s="458" t="str">
        <f t="shared" si="258"/>
        <v/>
      </c>
      <c r="CA460" s="40" t="str">
        <f t="shared" si="259"/>
        <v/>
      </c>
      <c r="CB460" s="40" t="str">
        <f t="shared" si="260"/>
        <v/>
      </c>
      <c r="CC460" s="39" t="str">
        <f t="shared" si="261"/>
        <v/>
      </c>
      <c r="CD460" s="458" t="str">
        <f t="shared" si="262"/>
        <v/>
      </c>
      <c r="CE460" s="41" t="str">
        <f t="shared" si="263"/>
        <v/>
      </c>
      <c r="CF460" s="39" t="str">
        <f t="shared" si="264"/>
        <v/>
      </c>
      <c r="CG460" s="458" t="str">
        <f t="shared" si="265"/>
        <v/>
      </c>
      <c r="CH460" s="458" t="str">
        <f t="shared" si="266"/>
        <v/>
      </c>
      <c r="CI460" s="458" t="str">
        <f t="shared" si="267"/>
        <v/>
      </c>
      <c r="CJ460" s="458" t="str">
        <f t="shared" si="268"/>
        <v/>
      </c>
      <c r="CK460" s="40" t="str">
        <f t="shared" si="269"/>
        <v/>
      </c>
      <c r="CL460" s="40" t="str">
        <f t="shared" si="270"/>
        <v/>
      </c>
      <c r="CM460" s="40" t="str">
        <f t="shared" si="271"/>
        <v/>
      </c>
      <c r="CN460" s="39" t="str">
        <f t="shared" si="272"/>
        <v/>
      </c>
      <c r="CO460" s="458" t="str">
        <f t="shared" si="273"/>
        <v/>
      </c>
      <c r="CP460" s="458" t="str">
        <f t="shared" si="274"/>
        <v/>
      </c>
      <c r="CQ460" s="458" t="str">
        <f t="shared" si="275"/>
        <v/>
      </c>
      <c r="CR460" s="458" t="str">
        <f t="shared" si="276"/>
        <v/>
      </c>
      <c r="CS460" s="40" t="str">
        <f t="shared" si="277"/>
        <v/>
      </c>
      <c r="CT460" s="40" t="str">
        <f t="shared" si="278"/>
        <v/>
      </c>
      <c r="CU460" s="41" t="str">
        <f t="shared" si="279"/>
        <v/>
      </c>
    </row>
    <row r="461" spans="1:99" x14ac:dyDescent="0.2">
      <c r="A461" s="77">
        <f t="shared" si="280"/>
        <v>456</v>
      </c>
      <c r="B461" s="81"/>
      <c r="C461" s="82"/>
      <c r="D461" s="71"/>
      <c r="E461" s="72"/>
      <c r="F461" s="73"/>
      <c r="G461" s="443"/>
      <c r="H461" s="443"/>
      <c r="I461" s="74"/>
      <c r="J461" s="75"/>
      <c r="K461" s="41">
        <f t="shared" si="249"/>
        <v>3625</v>
      </c>
      <c r="L461" s="104"/>
      <c r="M461" s="105"/>
      <c r="N461" s="106">
        <f t="shared" si="250"/>
        <v>537.05999999999995</v>
      </c>
      <c r="O461" s="104"/>
      <c r="P461" s="105"/>
      <c r="Q461" s="106">
        <f t="shared" si="282"/>
        <v>10045.83</v>
      </c>
      <c r="R461" s="104"/>
      <c r="S461" s="105"/>
      <c r="T461" s="106">
        <f t="shared" si="283"/>
        <v>0</v>
      </c>
      <c r="U461" s="439"/>
      <c r="V461" s="42">
        <f t="shared" si="251"/>
        <v>456</v>
      </c>
      <c r="W461" s="39" t="str">
        <f>IF(AND(E461='Povolené hodnoty'!$B$4,F461=2),I461+L461+O461+R461,"")</f>
        <v/>
      </c>
      <c r="X461" s="41" t="str">
        <f>IF(AND(E461='Povolené hodnoty'!$B$4,F461=1),I461+L461+O461+R461,"")</f>
        <v/>
      </c>
      <c r="Y461" s="39" t="str">
        <f>IF(AND(E461='Povolené hodnoty'!$B$4,F461=10),J461+M461+P461+S461,"")</f>
        <v/>
      </c>
      <c r="Z461" s="41" t="str">
        <f>IF(AND(E461='Povolené hodnoty'!$B$4,F461=9),J461+M461+P461+S461,"")</f>
        <v/>
      </c>
      <c r="AA461" s="39" t="str">
        <f>IF(AND(E461&lt;&gt;'Povolené hodnoty'!$B$4,F461=2),I461+L461+O461+R461,"")</f>
        <v/>
      </c>
      <c r="AB461" s="40" t="str">
        <f>IF(AND(E461&lt;&gt;'Povolené hodnoty'!$B$4,F461=3),I461+L461+O461+R461,"")</f>
        <v/>
      </c>
      <c r="AC461" s="40" t="str">
        <f>IF(AND(E461&lt;&gt;'Povolené hodnoty'!$B$4,F461=4),I461+L461+O461+R461,"")</f>
        <v/>
      </c>
      <c r="AD461" s="40" t="str">
        <f>IF(AND(E461&lt;&gt;'Povolené hodnoty'!$B$4,F461="5a"),I461-J461+L461-M461+O461-P461+R461-S461,"")</f>
        <v/>
      </c>
      <c r="AE461" s="40" t="str">
        <f>IF(AND(E461&lt;&gt;'Povolené hodnoty'!$B$4,F461="5b"),I461-J461+L461-M461+O461-P461+R461-S461,"")</f>
        <v/>
      </c>
      <c r="AF461" s="40" t="str">
        <f>IF(AND(E461&lt;&gt;'Povolené hodnoty'!$B$4,F461=6),I461+L461+O461+R461,"")</f>
        <v/>
      </c>
      <c r="AG461" s="41" t="str">
        <f>IF(AND(E461&lt;&gt;'Povolené hodnoty'!$B$4,F461=7),I461+L461+O461+R461,"")</f>
        <v/>
      </c>
      <c r="AH461" s="39" t="str">
        <f>IF(AND(E461&lt;&gt;'Povolené hodnoty'!$B$4,F461=10),J461+M461+P461+S461,"")</f>
        <v/>
      </c>
      <c r="AI461" s="40" t="str">
        <f>IF(AND(E461&lt;&gt;'Povolené hodnoty'!$B$4,F461=11),J461+M461+P461+S461,"")</f>
        <v/>
      </c>
      <c r="AJ461" s="40" t="str">
        <f>IF(AND(E461&lt;&gt;'Povolené hodnoty'!$B$4,F461=12),J461+M461+P461+S461,"")</f>
        <v/>
      </c>
      <c r="AK461" s="41" t="str">
        <f>IF(AND(E461&lt;&gt;'Povolené hodnoty'!$B$4,F461=13),J461+M461+P461+S461,"")</f>
        <v/>
      </c>
      <c r="AL461" s="39" t="str">
        <f>IF(AND($G461='Povolené hodnoty'!$B$13,$H461=AL$4),SUM($I461,$L461,$O461,$R461),"")</f>
        <v/>
      </c>
      <c r="AM461" s="458" t="str">
        <f>IF(AND($G461='Povolené hodnoty'!$B$13,$H461=AM$4),SUM($I461,$L461,$O461,$R461),"")</f>
        <v/>
      </c>
      <c r="AN461" s="458" t="str">
        <f>IF(AND($G461='Povolené hodnoty'!$B$13,$H461=AN$4),SUM($I461,$L461,$O461,$R461),"")</f>
        <v/>
      </c>
      <c r="AO461" s="458" t="str">
        <f>IF(AND($G461='Povolené hodnoty'!$B$13,$H461=AO$4),SUM($I461,$L461,$O461,$R461),"")</f>
        <v/>
      </c>
      <c r="AP461" s="458" t="str">
        <f>IF(AND($G461='Povolené hodnoty'!$B$13,$H461=AP$4),SUM($I461,$L461,$O461,$R461),"")</f>
        <v/>
      </c>
      <c r="AQ461" s="40" t="str">
        <f>IF(AND($G461='Povolené hodnoty'!$B$13,OR($H461=AQ$4,$H461='Povolené hodnoty'!$E$36)),SUM($I461,-$J461,$L461,-$M461,$O461,-$P461,$R461,-$S461),"")</f>
        <v/>
      </c>
      <c r="AR461" s="40" t="str">
        <f>IF(AND($G461='Povolené hodnoty'!$B$13,$H461=AR$4),SUM($I461,$L461,$O461,$R461),"")</f>
        <v/>
      </c>
      <c r="AS461" s="41" t="str">
        <f>IF(AND($G461='Povolené hodnoty'!$B$13,$H461=AS$4),SUM($I461,$L461,$O461,$R461),"")</f>
        <v/>
      </c>
      <c r="AT461" s="39" t="str">
        <f>IF(AND($G461='Povolené hodnoty'!$B$14,$H461=AT$4),SUM($I461,$L461,$O461,$R461),"")</f>
        <v/>
      </c>
      <c r="AU461" s="458" t="str">
        <f>IF(AND($G461='Povolené hodnoty'!$B$14,$H461=AU$4),SUM($I461,$L461,$O461,$R461),"")</f>
        <v/>
      </c>
      <c r="AV461" s="41" t="str">
        <f>IF(AND($G461='Povolené hodnoty'!$B$14,$H461=AV$4),SUM($I461,$L461,$O461,$R461),"")</f>
        <v/>
      </c>
      <c r="AW461" s="39" t="str">
        <f>IF(AND($G461='Povolené hodnoty'!$B$13,$H461=AW$4),SUM($J461,$M461,$P461,$S461),"")</f>
        <v/>
      </c>
      <c r="AX461" s="458" t="str">
        <f>IF(AND($G461='Povolené hodnoty'!$B$13,$H461=AX$4),SUM($J461,$M461,$P461,$S461),"")</f>
        <v/>
      </c>
      <c r="AY461" s="458" t="str">
        <f>IF(AND($G461='Povolené hodnoty'!$B$13,$H461=AY$4),SUM($J461,$M461,$P461,$S461),"")</f>
        <v/>
      </c>
      <c r="AZ461" s="458" t="str">
        <f>IF(AND($G461='Povolené hodnoty'!$B$13,$H461=AZ$4),SUM($J461,$M461,$P461,$S461),"")</f>
        <v/>
      </c>
      <c r="BA461" s="458" t="str">
        <f>IF(AND($G461='Povolené hodnoty'!$B$13,$H461=BA$4),SUM($J461,$M461,$P461,$S461),"")</f>
        <v/>
      </c>
      <c r="BB461" s="40" t="str">
        <f>IF(AND($G461='Povolené hodnoty'!$B$13,$H461=BB$4),SUM($J461,$M461,$P461,$S461),"")</f>
        <v/>
      </c>
      <c r="BC461" s="40" t="str">
        <f>IF(AND($G461='Povolené hodnoty'!$B$13,$H461=BC$4),SUM($J461,$M461,$P461,$S461),"")</f>
        <v/>
      </c>
      <c r="BD461" s="40" t="str">
        <f>IF(AND($G461='Povolené hodnoty'!$B$13,$H461=BD$4),SUM($J461,$M461,$P461,$S461),"")</f>
        <v/>
      </c>
      <c r="BE461" s="41" t="str">
        <f>IF(AND($G461='Povolené hodnoty'!$B$13,$H461=BE$4),SUM($J461,$M461,$P461,$S461),"")</f>
        <v/>
      </c>
      <c r="BF461" s="39" t="str">
        <f>IF(AND($G461='Povolené hodnoty'!$B$14,$H461=BF$4),SUM($J461,$M461,$P461,$S461),"")</f>
        <v/>
      </c>
      <c r="BG461" s="458" t="str">
        <f>IF(AND($G461='Povolené hodnoty'!$B$14,$H461=BG$4),SUM($J461,$M461,$P461,$S461),"")</f>
        <v/>
      </c>
      <c r="BH461" s="458" t="str">
        <f>IF(AND($G461='Povolené hodnoty'!$B$14,$H461=BH$4),SUM($J461,$M461,$P461,$S461),"")</f>
        <v/>
      </c>
      <c r="BI461" s="458" t="str">
        <f>IF(AND($G461='Povolené hodnoty'!$B$14,$H461=BI$4),SUM($J461,$M461,$P461,$S461),"")</f>
        <v/>
      </c>
      <c r="BJ461" s="458" t="str">
        <f>IF(AND($G461='Povolené hodnoty'!$B$14,$H461=BJ$4),SUM($J461,$M461,$P461,$S461),"")</f>
        <v/>
      </c>
      <c r="BK461" s="40" t="str">
        <f>IF(AND($G461='Povolené hodnoty'!$B$14,$H461=BK$4),SUM($J461,$M461,$P461,$S461),"")</f>
        <v/>
      </c>
      <c r="BL461" s="40" t="str">
        <f>IF(AND($G461='Povolené hodnoty'!$B$14,$H461=BL$4),SUM($J461,$M461,$P461,$S461),"")</f>
        <v/>
      </c>
      <c r="BM461" s="41" t="str">
        <f>IF(AND($G461='Povolené hodnoty'!$B$14,$H461=BM$4),SUM($J461,$M461,$P461,$S461),"")</f>
        <v/>
      </c>
      <c r="BO461" s="18" t="b">
        <f t="shared" si="281"/>
        <v>0</v>
      </c>
      <c r="BP461" s="18" t="b">
        <f t="shared" si="252"/>
        <v>0</v>
      </c>
      <c r="BQ461" s="18" t="b">
        <f>AND(E461&lt;&gt;'Povolené hodnoty'!$B$6,F461&lt;&gt;'Povolené hodnoty'!$D$7,F461&lt;&gt;'Povolené hodnoty'!$D$8,OR(SUM(I461,L461,O461,R461)&lt;&gt;SUM(W461:X461,AA461:AG461),SUM(J461,M461,P461,S461)&lt;&gt;SUM(Y461:Z461,AH461:AK461),COUNT(I461:J461,L461:M461,O461:P461,R461:S461)&lt;&gt;COUNT(W461:AK461)))</f>
        <v>0</v>
      </c>
      <c r="BR461" s="18" t="b">
        <f>OR(AND(E461='Povolené hodnoty'!$B$6,$BR$5),AND(E461='Povolené hodnoty'!$B$6,H461&lt;&gt;'Povolené hodnoty'!$E$26,H461&lt;&gt;'Povolené hodnoty'!$E$35),AND(E461&lt;&gt;'Povolené hodnoty'!$B$6,OR(H461='Povolené hodnoty'!$E$26,H461='Povolené hodnoty'!$E$35)))</f>
        <v>0</v>
      </c>
      <c r="BS461" s="18" t="b">
        <f>OR(AND(G461&lt;&gt;'Povolené hodnoty'!$B$13,OR(H461='Povolené hodnoty'!$E$21,H461='Povolené hodnoty'!$E$22,H461='Povolené hodnoty'!$E$23,H461='Povolené hodnoty'!$E$24,H461='Povolené hodnoty'!$E$26,H461='Povolené hodnoty'!$E$36)),COUNT(I461:J461,L461:M461,O461:P461,R461:S461)&lt;&gt;COUNT(AL461:BM461))</f>
        <v>0</v>
      </c>
      <c r="BT461" s="18" t="b">
        <f t="shared" si="253"/>
        <v>0</v>
      </c>
      <c r="BV461" s="39" t="str">
        <f t="shared" si="254"/>
        <v/>
      </c>
      <c r="BW461" s="458" t="str">
        <f t="shared" si="255"/>
        <v/>
      </c>
      <c r="BX461" s="458" t="str">
        <f t="shared" si="256"/>
        <v/>
      </c>
      <c r="BY461" s="458" t="str">
        <f t="shared" si="257"/>
        <v/>
      </c>
      <c r="BZ461" s="458" t="str">
        <f t="shared" si="258"/>
        <v/>
      </c>
      <c r="CA461" s="40" t="str">
        <f t="shared" si="259"/>
        <v/>
      </c>
      <c r="CB461" s="40" t="str">
        <f t="shared" si="260"/>
        <v/>
      </c>
      <c r="CC461" s="39" t="str">
        <f t="shared" si="261"/>
        <v/>
      </c>
      <c r="CD461" s="458" t="str">
        <f t="shared" si="262"/>
        <v/>
      </c>
      <c r="CE461" s="41" t="str">
        <f t="shared" si="263"/>
        <v/>
      </c>
      <c r="CF461" s="39" t="str">
        <f t="shared" si="264"/>
        <v/>
      </c>
      <c r="CG461" s="458" t="str">
        <f t="shared" si="265"/>
        <v/>
      </c>
      <c r="CH461" s="458" t="str">
        <f t="shared" si="266"/>
        <v/>
      </c>
      <c r="CI461" s="458" t="str">
        <f t="shared" si="267"/>
        <v/>
      </c>
      <c r="CJ461" s="458" t="str">
        <f t="shared" si="268"/>
        <v/>
      </c>
      <c r="CK461" s="40" t="str">
        <f t="shared" si="269"/>
        <v/>
      </c>
      <c r="CL461" s="40" t="str">
        <f t="shared" si="270"/>
        <v/>
      </c>
      <c r="CM461" s="40" t="str">
        <f t="shared" si="271"/>
        <v/>
      </c>
      <c r="CN461" s="39" t="str">
        <f t="shared" si="272"/>
        <v/>
      </c>
      <c r="CO461" s="458" t="str">
        <f t="shared" si="273"/>
        <v/>
      </c>
      <c r="CP461" s="458" t="str">
        <f t="shared" si="274"/>
        <v/>
      </c>
      <c r="CQ461" s="458" t="str">
        <f t="shared" si="275"/>
        <v/>
      </c>
      <c r="CR461" s="458" t="str">
        <f t="shared" si="276"/>
        <v/>
      </c>
      <c r="CS461" s="40" t="str">
        <f t="shared" si="277"/>
        <v/>
      </c>
      <c r="CT461" s="40" t="str">
        <f t="shared" si="278"/>
        <v/>
      </c>
      <c r="CU461" s="41" t="str">
        <f t="shared" si="279"/>
        <v/>
      </c>
    </row>
    <row r="462" spans="1:99" x14ac:dyDescent="0.2">
      <c r="A462" s="77">
        <f t="shared" si="280"/>
        <v>457</v>
      </c>
      <c r="B462" s="81"/>
      <c r="C462" s="82"/>
      <c r="D462" s="71"/>
      <c r="E462" s="72"/>
      <c r="F462" s="73"/>
      <c r="G462" s="443"/>
      <c r="H462" s="443"/>
      <c r="I462" s="74"/>
      <c r="J462" s="75"/>
      <c r="K462" s="41">
        <f t="shared" si="249"/>
        <v>3625</v>
      </c>
      <c r="L462" s="104"/>
      <c r="M462" s="105"/>
      <c r="N462" s="106">
        <f t="shared" si="250"/>
        <v>537.05999999999995</v>
      </c>
      <c r="O462" s="104"/>
      <c r="P462" s="105"/>
      <c r="Q462" s="106">
        <f t="shared" si="282"/>
        <v>10045.83</v>
      </c>
      <c r="R462" s="104"/>
      <c r="S462" s="105"/>
      <c r="T462" s="106">
        <f t="shared" si="283"/>
        <v>0</v>
      </c>
      <c r="U462" s="439"/>
      <c r="V462" s="42">
        <f t="shared" si="251"/>
        <v>457</v>
      </c>
      <c r="W462" s="39" t="str">
        <f>IF(AND(E462='Povolené hodnoty'!$B$4,F462=2),I462+L462+O462+R462,"")</f>
        <v/>
      </c>
      <c r="X462" s="41" t="str">
        <f>IF(AND(E462='Povolené hodnoty'!$B$4,F462=1),I462+L462+O462+R462,"")</f>
        <v/>
      </c>
      <c r="Y462" s="39" t="str">
        <f>IF(AND(E462='Povolené hodnoty'!$B$4,F462=10),J462+M462+P462+S462,"")</f>
        <v/>
      </c>
      <c r="Z462" s="41" t="str">
        <f>IF(AND(E462='Povolené hodnoty'!$B$4,F462=9),J462+M462+P462+S462,"")</f>
        <v/>
      </c>
      <c r="AA462" s="39" t="str">
        <f>IF(AND(E462&lt;&gt;'Povolené hodnoty'!$B$4,F462=2),I462+L462+O462+R462,"")</f>
        <v/>
      </c>
      <c r="AB462" s="40" t="str">
        <f>IF(AND(E462&lt;&gt;'Povolené hodnoty'!$B$4,F462=3),I462+L462+O462+R462,"")</f>
        <v/>
      </c>
      <c r="AC462" s="40" t="str">
        <f>IF(AND(E462&lt;&gt;'Povolené hodnoty'!$B$4,F462=4),I462+L462+O462+R462,"")</f>
        <v/>
      </c>
      <c r="AD462" s="40" t="str">
        <f>IF(AND(E462&lt;&gt;'Povolené hodnoty'!$B$4,F462="5a"),I462-J462+L462-M462+O462-P462+R462-S462,"")</f>
        <v/>
      </c>
      <c r="AE462" s="40" t="str">
        <f>IF(AND(E462&lt;&gt;'Povolené hodnoty'!$B$4,F462="5b"),I462-J462+L462-M462+O462-P462+R462-S462,"")</f>
        <v/>
      </c>
      <c r="AF462" s="40" t="str">
        <f>IF(AND(E462&lt;&gt;'Povolené hodnoty'!$B$4,F462=6),I462+L462+O462+R462,"")</f>
        <v/>
      </c>
      <c r="AG462" s="41" t="str">
        <f>IF(AND(E462&lt;&gt;'Povolené hodnoty'!$B$4,F462=7),I462+L462+O462+R462,"")</f>
        <v/>
      </c>
      <c r="AH462" s="39" t="str">
        <f>IF(AND(E462&lt;&gt;'Povolené hodnoty'!$B$4,F462=10),J462+M462+P462+S462,"")</f>
        <v/>
      </c>
      <c r="AI462" s="40" t="str">
        <f>IF(AND(E462&lt;&gt;'Povolené hodnoty'!$B$4,F462=11),J462+M462+P462+S462,"")</f>
        <v/>
      </c>
      <c r="AJ462" s="40" t="str">
        <f>IF(AND(E462&lt;&gt;'Povolené hodnoty'!$B$4,F462=12),J462+M462+P462+S462,"")</f>
        <v/>
      </c>
      <c r="AK462" s="41" t="str">
        <f>IF(AND(E462&lt;&gt;'Povolené hodnoty'!$B$4,F462=13),J462+M462+P462+S462,"")</f>
        <v/>
      </c>
      <c r="AL462" s="39" t="str">
        <f>IF(AND($G462='Povolené hodnoty'!$B$13,$H462=AL$4),SUM($I462,$L462,$O462,$R462),"")</f>
        <v/>
      </c>
      <c r="AM462" s="458" t="str">
        <f>IF(AND($G462='Povolené hodnoty'!$B$13,$H462=AM$4),SUM($I462,$L462,$O462,$R462),"")</f>
        <v/>
      </c>
      <c r="AN462" s="458" t="str">
        <f>IF(AND($G462='Povolené hodnoty'!$B$13,$H462=AN$4),SUM($I462,$L462,$O462,$R462),"")</f>
        <v/>
      </c>
      <c r="AO462" s="458" t="str">
        <f>IF(AND($G462='Povolené hodnoty'!$B$13,$H462=AO$4),SUM($I462,$L462,$O462,$R462),"")</f>
        <v/>
      </c>
      <c r="AP462" s="458" t="str">
        <f>IF(AND($G462='Povolené hodnoty'!$B$13,$H462=AP$4),SUM($I462,$L462,$O462,$R462),"")</f>
        <v/>
      </c>
      <c r="AQ462" s="40" t="str">
        <f>IF(AND($G462='Povolené hodnoty'!$B$13,OR($H462=AQ$4,$H462='Povolené hodnoty'!$E$36)),SUM($I462,-$J462,$L462,-$M462,$O462,-$P462,$R462,-$S462),"")</f>
        <v/>
      </c>
      <c r="AR462" s="40" t="str">
        <f>IF(AND($G462='Povolené hodnoty'!$B$13,$H462=AR$4),SUM($I462,$L462,$O462,$R462),"")</f>
        <v/>
      </c>
      <c r="AS462" s="41" t="str">
        <f>IF(AND($G462='Povolené hodnoty'!$B$13,$H462=AS$4),SUM($I462,$L462,$O462,$R462),"")</f>
        <v/>
      </c>
      <c r="AT462" s="39" t="str">
        <f>IF(AND($G462='Povolené hodnoty'!$B$14,$H462=AT$4),SUM($I462,$L462,$O462,$R462),"")</f>
        <v/>
      </c>
      <c r="AU462" s="458" t="str">
        <f>IF(AND($G462='Povolené hodnoty'!$B$14,$H462=AU$4),SUM($I462,$L462,$O462,$R462),"")</f>
        <v/>
      </c>
      <c r="AV462" s="41" t="str">
        <f>IF(AND($G462='Povolené hodnoty'!$B$14,$H462=AV$4),SUM($I462,$L462,$O462,$R462),"")</f>
        <v/>
      </c>
      <c r="AW462" s="39" t="str">
        <f>IF(AND($G462='Povolené hodnoty'!$B$13,$H462=AW$4),SUM($J462,$M462,$P462,$S462),"")</f>
        <v/>
      </c>
      <c r="AX462" s="458" t="str">
        <f>IF(AND($G462='Povolené hodnoty'!$B$13,$H462=AX$4),SUM($J462,$M462,$P462,$S462),"")</f>
        <v/>
      </c>
      <c r="AY462" s="458" t="str">
        <f>IF(AND($G462='Povolené hodnoty'!$B$13,$H462=AY$4),SUM($J462,$M462,$P462,$S462),"")</f>
        <v/>
      </c>
      <c r="AZ462" s="458" t="str">
        <f>IF(AND($G462='Povolené hodnoty'!$B$13,$H462=AZ$4),SUM($J462,$M462,$P462,$S462),"")</f>
        <v/>
      </c>
      <c r="BA462" s="458" t="str">
        <f>IF(AND($G462='Povolené hodnoty'!$B$13,$H462=BA$4),SUM($J462,$M462,$P462,$S462),"")</f>
        <v/>
      </c>
      <c r="BB462" s="40" t="str">
        <f>IF(AND($G462='Povolené hodnoty'!$B$13,$H462=BB$4),SUM($J462,$M462,$P462,$S462),"")</f>
        <v/>
      </c>
      <c r="BC462" s="40" t="str">
        <f>IF(AND($G462='Povolené hodnoty'!$B$13,$H462=BC$4),SUM($J462,$M462,$P462,$S462),"")</f>
        <v/>
      </c>
      <c r="BD462" s="40" t="str">
        <f>IF(AND($G462='Povolené hodnoty'!$B$13,$H462=BD$4),SUM($J462,$M462,$P462,$S462),"")</f>
        <v/>
      </c>
      <c r="BE462" s="41" t="str">
        <f>IF(AND($G462='Povolené hodnoty'!$B$13,$H462=BE$4),SUM($J462,$M462,$P462,$S462),"")</f>
        <v/>
      </c>
      <c r="BF462" s="39" t="str">
        <f>IF(AND($G462='Povolené hodnoty'!$B$14,$H462=BF$4),SUM($J462,$M462,$P462,$S462),"")</f>
        <v/>
      </c>
      <c r="BG462" s="458" t="str">
        <f>IF(AND($G462='Povolené hodnoty'!$B$14,$H462=BG$4),SUM($J462,$M462,$P462,$S462),"")</f>
        <v/>
      </c>
      <c r="BH462" s="458" t="str">
        <f>IF(AND($G462='Povolené hodnoty'!$B$14,$H462=BH$4),SUM($J462,$M462,$P462,$S462),"")</f>
        <v/>
      </c>
      <c r="BI462" s="458" t="str">
        <f>IF(AND($G462='Povolené hodnoty'!$B$14,$H462=BI$4),SUM($J462,$M462,$P462,$S462),"")</f>
        <v/>
      </c>
      <c r="BJ462" s="458" t="str">
        <f>IF(AND($G462='Povolené hodnoty'!$B$14,$H462=BJ$4),SUM($J462,$M462,$P462,$S462),"")</f>
        <v/>
      </c>
      <c r="BK462" s="40" t="str">
        <f>IF(AND($G462='Povolené hodnoty'!$B$14,$H462=BK$4),SUM($J462,$M462,$P462,$S462),"")</f>
        <v/>
      </c>
      <c r="BL462" s="40" t="str">
        <f>IF(AND($G462='Povolené hodnoty'!$B$14,$H462=BL$4),SUM($J462,$M462,$P462,$S462),"")</f>
        <v/>
      </c>
      <c r="BM462" s="41" t="str">
        <f>IF(AND($G462='Povolené hodnoty'!$B$14,$H462=BM$4),SUM($J462,$M462,$P462,$S462),"")</f>
        <v/>
      </c>
      <c r="BO462" s="18" t="b">
        <f t="shared" si="281"/>
        <v>0</v>
      </c>
      <c r="BP462" s="18" t="b">
        <f t="shared" si="252"/>
        <v>0</v>
      </c>
      <c r="BQ462" s="18" t="b">
        <f>AND(E462&lt;&gt;'Povolené hodnoty'!$B$6,F462&lt;&gt;'Povolené hodnoty'!$D$7,F462&lt;&gt;'Povolené hodnoty'!$D$8,OR(SUM(I462,L462,O462,R462)&lt;&gt;SUM(W462:X462,AA462:AG462),SUM(J462,M462,P462,S462)&lt;&gt;SUM(Y462:Z462,AH462:AK462),COUNT(I462:J462,L462:M462,O462:P462,R462:S462)&lt;&gt;COUNT(W462:AK462)))</f>
        <v>0</v>
      </c>
      <c r="BR462" s="18" t="b">
        <f>OR(AND(E462='Povolené hodnoty'!$B$6,$BR$5),AND(E462='Povolené hodnoty'!$B$6,H462&lt;&gt;'Povolené hodnoty'!$E$26,H462&lt;&gt;'Povolené hodnoty'!$E$35),AND(E462&lt;&gt;'Povolené hodnoty'!$B$6,OR(H462='Povolené hodnoty'!$E$26,H462='Povolené hodnoty'!$E$35)))</f>
        <v>0</v>
      </c>
      <c r="BS462" s="18" t="b">
        <f>OR(AND(G462&lt;&gt;'Povolené hodnoty'!$B$13,OR(H462='Povolené hodnoty'!$E$21,H462='Povolené hodnoty'!$E$22,H462='Povolené hodnoty'!$E$23,H462='Povolené hodnoty'!$E$24,H462='Povolené hodnoty'!$E$26,H462='Povolené hodnoty'!$E$36)),COUNT(I462:J462,L462:M462,O462:P462,R462:S462)&lt;&gt;COUNT(AL462:BM462))</f>
        <v>0</v>
      </c>
      <c r="BT462" s="18" t="b">
        <f t="shared" si="253"/>
        <v>0</v>
      </c>
      <c r="BV462" s="39" t="str">
        <f t="shared" si="254"/>
        <v/>
      </c>
      <c r="BW462" s="458" t="str">
        <f t="shared" si="255"/>
        <v/>
      </c>
      <c r="BX462" s="458" t="str">
        <f t="shared" si="256"/>
        <v/>
      </c>
      <c r="BY462" s="458" t="str">
        <f t="shared" si="257"/>
        <v/>
      </c>
      <c r="BZ462" s="458" t="str">
        <f t="shared" si="258"/>
        <v/>
      </c>
      <c r="CA462" s="40" t="str">
        <f t="shared" si="259"/>
        <v/>
      </c>
      <c r="CB462" s="40" t="str">
        <f t="shared" si="260"/>
        <v/>
      </c>
      <c r="CC462" s="39" t="str">
        <f t="shared" si="261"/>
        <v/>
      </c>
      <c r="CD462" s="458" t="str">
        <f t="shared" si="262"/>
        <v/>
      </c>
      <c r="CE462" s="41" t="str">
        <f t="shared" si="263"/>
        <v/>
      </c>
      <c r="CF462" s="39" t="str">
        <f t="shared" si="264"/>
        <v/>
      </c>
      <c r="CG462" s="458" t="str">
        <f t="shared" si="265"/>
        <v/>
      </c>
      <c r="CH462" s="458" t="str">
        <f t="shared" si="266"/>
        <v/>
      </c>
      <c r="CI462" s="458" t="str">
        <f t="shared" si="267"/>
        <v/>
      </c>
      <c r="CJ462" s="458" t="str">
        <f t="shared" si="268"/>
        <v/>
      </c>
      <c r="CK462" s="40" t="str">
        <f t="shared" si="269"/>
        <v/>
      </c>
      <c r="CL462" s="40" t="str">
        <f t="shared" si="270"/>
        <v/>
      </c>
      <c r="CM462" s="40" t="str">
        <f t="shared" si="271"/>
        <v/>
      </c>
      <c r="CN462" s="39" t="str">
        <f t="shared" si="272"/>
        <v/>
      </c>
      <c r="CO462" s="458" t="str">
        <f t="shared" si="273"/>
        <v/>
      </c>
      <c r="CP462" s="458" t="str">
        <f t="shared" si="274"/>
        <v/>
      </c>
      <c r="CQ462" s="458" t="str">
        <f t="shared" si="275"/>
        <v/>
      </c>
      <c r="CR462" s="458" t="str">
        <f t="shared" si="276"/>
        <v/>
      </c>
      <c r="CS462" s="40" t="str">
        <f t="shared" si="277"/>
        <v/>
      </c>
      <c r="CT462" s="40" t="str">
        <f t="shared" si="278"/>
        <v/>
      </c>
      <c r="CU462" s="41" t="str">
        <f t="shared" si="279"/>
        <v/>
      </c>
    </row>
    <row r="463" spans="1:99" x14ac:dyDescent="0.2">
      <c r="A463" s="77">
        <f t="shared" si="280"/>
        <v>458</v>
      </c>
      <c r="B463" s="81"/>
      <c r="C463" s="82"/>
      <c r="D463" s="71"/>
      <c r="E463" s="72"/>
      <c r="F463" s="73"/>
      <c r="G463" s="443"/>
      <c r="H463" s="443"/>
      <c r="I463" s="74"/>
      <c r="J463" s="75"/>
      <c r="K463" s="41">
        <f t="shared" si="249"/>
        <v>3625</v>
      </c>
      <c r="L463" s="104"/>
      <c r="M463" s="105"/>
      <c r="N463" s="106">
        <f t="shared" si="250"/>
        <v>537.05999999999995</v>
      </c>
      <c r="O463" s="104"/>
      <c r="P463" s="105"/>
      <c r="Q463" s="106">
        <f t="shared" si="282"/>
        <v>10045.83</v>
      </c>
      <c r="R463" s="104"/>
      <c r="S463" s="105"/>
      <c r="T463" s="106">
        <f t="shared" si="283"/>
        <v>0</v>
      </c>
      <c r="U463" s="439"/>
      <c r="V463" s="42">
        <f t="shared" si="251"/>
        <v>458</v>
      </c>
      <c r="W463" s="39" t="str">
        <f>IF(AND(E463='Povolené hodnoty'!$B$4,F463=2),I463+L463+O463+R463,"")</f>
        <v/>
      </c>
      <c r="X463" s="41" t="str">
        <f>IF(AND(E463='Povolené hodnoty'!$B$4,F463=1),I463+L463+O463+R463,"")</f>
        <v/>
      </c>
      <c r="Y463" s="39" t="str">
        <f>IF(AND(E463='Povolené hodnoty'!$B$4,F463=10),J463+M463+P463+S463,"")</f>
        <v/>
      </c>
      <c r="Z463" s="41" t="str">
        <f>IF(AND(E463='Povolené hodnoty'!$B$4,F463=9),J463+M463+P463+S463,"")</f>
        <v/>
      </c>
      <c r="AA463" s="39" t="str">
        <f>IF(AND(E463&lt;&gt;'Povolené hodnoty'!$B$4,F463=2),I463+L463+O463+R463,"")</f>
        <v/>
      </c>
      <c r="AB463" s="40" t="str">
        <f>IF(AND(E463&lt;&gt;'Povolené hodnoty'!$B$4,F463=3),I463+L463+O463+R463,"")</f>
        <v/>
      </c>
      <c r="AC463" s="40" t="str">
        <f>IF(AND(E463&lt;&gt;'Povolené hodnoty'!$B$4,F463=4),I463+L463+O463+R463,"")</f>
        <v/>
      </c>
      <c r="AD463" s="40" t="str">
        <f>IF(AND(E463&lt;&gt;'Povolené hodnoty'!$B$4,F463="5a"),I463-J463+L463-M463+O463-P463+R463-S463,"")</f>
        <v/>
      </c>
      <c r="AE463" s="40" t="str">
        <f>IF(AND(E463&lt;&gt;'Povolené hodnoty'!$B$4,F463="5b"),I463-J463+L463-M463+O463-P463+R463-S463,"")</f>
        <v/>
      </c>
      <c r="AF463" s="40" t="str">
        <f>IF(AND(E463&lt;&gt;'Povolené hodnoty'!$B$4,F463=6),I463+L463+O463+R463,"")</f>
        <v/>
      </c>
      <c r="AG463" s="41" t="str">
        <f>IF(AND(E463&lt;&gt;'Povolené hodnoty'!$B$4,F463=7),I463+L463+O463+R463,"")</f>
        <v/>
      </c>
      <c r="AH463" s="39" t="str">
        <f>IF(AND(E463&lt;&gt;'Povolené hodnoty'!$B$4,F463=10),J463+M463+P463+S463,"")</f>
        <v/>
      </c>
      <c r="AI463" s="40" t="str">
        <f>IF(AND(E463&lt;&gt;'Povolené hodnoty'!$B$4,F463=11),J463+M463+P463+S463,"")</f>
        <v/>
      </c>
      <c r="AJ463" s="40" t="str">
        <f>IF(AND(E463&lt;&gt;'Povolené hodnoty'!$B$4,F463=12),J463+M463+P463+S463,"")</f>
        <v/>
      </c>
      <c r="AK463" s="41" t="str">
        <f>IF(AND(E463&lt;&gt;'Povolené hodnoty'!$B$4,F463=13),J463+M463+P463+S463,"")</f>
        <v/>
      </c>
      <c r="AL463" s="39" t="str">
        <f>IF(AND($G463='Povolené hodnoty'!$B$13,$H463=AL$4),SUM($I463,$L463,$O463,$R463),"")</f>
        <v/>
      </c>
      <c r="AM463" s="458" t="str">
        <f>IF(AND($G463='Povolené hodnoty'!$B$13,$H463=AM$4),SUM($I463,$L463,$O463,$R463),"")</f>
        <v/>
      </c>
      <c r="AN463" s="458" t="str">
        <f>IF(AND($G463='Povolené hodnoty'!$B$13,$H463=AN$4),SUM($I463,$L463,$O463,$R463),"")</f>
        <v/>
      </c>
      <c r="AO463" s="458" t="str">
        <f>IF(AND($G463='Povolené hodnoty'!$B$13,$H463=AO$4),SUM($I463,$L463,$O463,$R463),"")</f>
        <v/>
      </c>
      <c r="AP463" s="458" t="str">
        <f>IF(AND($G463='Povolené hodnoty'!$B$13,$H463=AP$4),SUM($I463,$L463,$O463,$R463),"")</f>
        <v/>
      </c>
      <c r="AQ463" s="40" t="str">
        <f>IF(AND($G463='Povolené hodnoty'!$B$13,OR($H463=AQ$4,$H463='Povolené hodnoty'!$E$36)),SUM($I463,-$J463,$L463,-$M463,$O463,-$P463,$R463,-$S463),"")</f>
        <v/>
      </c>
      <c r="AR463" s="40" t="str">
        <f>IF(AND($G463='Povolené hodnoty'!$B$13,$H463=AR$4),SUM($I463,$L463,$O463,$R463),"")</f>
        <v/>
      </c>
      <c r="AS463" s="41" t="str">
        <f>IF(AND($G463='Povolené hodnoty'!$B$13,$H463=AS$4),SUM($I463,$L463,$O463,$R463),"")</f>
        <v/>
      </c>
      <c r="AT463" s="39" t="str">
        <f>IF(AND($G463='Povolené hodnoty'!$B$14,$H463=AT$4),SUM($I463,$L463,$O463,$R463),"")</f>
        <v/>
      </c>
      <c r="AU463" s="458" t="str">
        <f>IF(AND($G463='Povolené hodnoty'!$B$14,$H463=AU$4),SUM($I463,$L463,$O463,$R463),"")</f>
        <v/>
      </c>
      <c r="AV463" s="41" t="str">
        <f>IF(AND($G463='Povolené hodnoty'!$B$14,$H463=AV$4),SUM($I463,$L463,$O463,$R463),"")</f>
        <v/>
      </c>
      <c r="AW463" s="39" t="str">
        <f>IF(AND($G463='Povolené hodnoty'!$B$13,$H463=AW$4),SUM($J463,$M463,$P463,$S463),"")</f>
        <v/>
      </c>
      <c r="AX463" s="458" t="str">
        <f>IF(AND($G463='Povolené hodnoty'!$B$13,$H463=AX$4),SUM($J463,$M463,$P463,$S463),"")</f>
        <v/>
      </c>
      <c r="AY463" s="458" t="str">
        <f>IF(AND($G463='Povolené hodnoty'!$B$13,$H463=AY$4),SUM($J463,$M463,$P463,$S463),"")</f>
        <v/>
      </c>
      <c r="AZ463" s="458" t="str">
        <f>IF(AND($G463='Povolené hodnoty'!$B$13,$H463=AZ$4),SUM($J463,$M463,$P463,$S463),"")</f>
        <v/>
      </c>
      <c r="BA463" s="458" t="str">
        <f>IF(AND($G463='Povolené hodnoty'!$B$13,$H463=BA$4),SUM($J463,$M463,$P463,$S463),"")</f>
        <v/>
      </c>
      <c r="BB463" s="40" t="str">
        <f>IF(AND($G463='Povolené hodnoty'!$B$13,$H463=BB$4),SUM($J463,$M463,$P463,$S463),"")</f>
        <v/>
      </c>
      <c r="BC463" s="40" t="str">
        <f>IF(AND($G463='Povolené hodnoty'!$B$13,$H463=BC$4),SUM($J463,$M463,$P463,$S463),"")</f>
        <v/>
      </c>
      <c r="BD463" s="40" t="str">
        <f>IF(AND($G463='Povolené hodnoty'!$B$13,$H463=BD$4),SUM($J463,$M463,$P463,$S463),"")</f>
        <v/>
      </c>
      <c r="BE463" s="41" t="str">
        <f>IF(AND($G463='Povolené hodnoty'!$B$13,$H463=BE$4),SUM($J463,$M463,$P463,$S463),"")</f>
        <v/>
      </c>
      <c r="BF463" s="39" t="str">
        <f>IF(AND($G463='Povolené hodnoty'!$B$14,$H463=BF$4),SUM($J463,$M463,$P463,$S463),"")</f>
        <v/>
      </c>
      <c r="BG463" s="458" t="str">
        <f>IF(AND($G463='Povolené hodnoty'!$B$14,$H463=BG$4),SUM($J463,$M463,$P463,$S463),"")</f>
        <v/>
      </c>
      <c r="BH463" s="458" t="str">
        <f>IF(AND($G463='Povolené hodnoty'!$B$14,$H463=BH$4),SUM($J463,$M463,$P463,$S463),"")</f>
        <v/>
      </c>
      <c r="BI463" s="458" t="str">
        <f>IF(AND($G463='Povolené hodnoty'!$B$14,$H463=BI$4),SUM($J463,$M463,$P463,$S463),"")</f>
        <v/>
      </c>
      <c r="BJ463" s="458" t="str">
        <f>IF(AND($G463='Povolené hodnoty'!$B$14,$H463=BJ$4),SUM($J463,$M463,$P463,$S463),"")</f>
        <v/>
      </c>
      <c r="BK463" s="40" t="str">
        <f>IF(AND($G463='Povolené hodnoty'!$B$14,$H463=BK$4),SUM($J463,$M463,$P463,$S463),"")</f>
        <v/>
      </c>
      <c r="BL463" s="40" t="str">
        <f>IF(AND($G463='Povolené hodnoty'!$B$14,$H463=BL$4),SUM($J463,$M463,$P463,$S463),"")</f>
        <v/>
      </c>
      <c r="BM463" s="41" t="str">
        <f>IF(AND($G463='Povolené hodnoty'!$B$14,$H463=BM$4),SUM($J463,$M463,$P463,$S463),"")</f>
        <v/>
      </c>
      <c r="BO463" s="18" t="b">
        <f t="shared" si="281"/>
        <v>0</v>
      </c>
      <c r="BP463" s="18" t="b">
        <f t="shared" si="252"/>
        <v>0</v>
      </c>
      <c r="BQ463" s="18" t="b">
        <f>AND(E463&lt;&gt;'Povolené hodnoty'!$B$6,F463&lt;&gt;'Povolené hodnoty'!$D$7,F463&lt;&gt;'Povolené hodnoty'!$D$8,OR(SUM(I463,L463,O463,R463)&lt;&gt;SUM(W463:X463,AA463:AG463),SUM(J463,M463,P463,S463)&lt;&gt;SUM(Y463:Z463,AH463:AK463),COUNT(I463:J463,L463:M463,O463:P463,R463:S463)&lt;&gt;COUNT(W463:AK463)))</f>
        <v>0</v>
      </c>
      <c r="BR463" s="18" t="b">
        <f>OR(AND(E463='Povolené hodnoty'!$B$6,$BR$5),AND(E463='Povolené hodnoty'!$B$6,H463&lt;&gt;'Povolené hodnoty'!$E$26,H463&lt;&gt;'Povolené hodnoty'!$E$35),AND(E463&lt;&gt;'Povolené hodnoty'!$B$6,OR(H463='Povolené hodnoty'!$E$26,H463='Povolené hodnoty'!$E$35)))</f>
        <v>0</v>
      </c>
      <c r="BS463" s="18" t="b">
        <f>OR(AND(G463&lt;&gt;'Povolené hodnoty'!$B$13,OR(H463='Povolené hodnoty'!$E$21,H463='Povolené hodnoty'!$E$22,H463='Povolené hodnoty'!$E$23,H463='Povolené hodnoty'!$E$24,H463='Povolené hodnoty'!$E$26,H463='Povolené hodnoty'!$E$36)),COUNT(I463:J463,L463:M463,O463:P463,R463:S463)&lt;&gt;COUNT(AL463:BM463))</f>
        <v>0</v>
      </c>
      <c r="BT463" s="18" t="b">
        <f t="shared" si="253"/>
        <v>0</v>
      </c>
      <c r="BV463" s="39" t="str">
        <f t="shared" si="254"/>
        <v/>
      </c>
      <c r="BW463" s="458" t="str">
        <f t="shared" si="255"/>
        <v/>
      </c>
      <c r="BX463" s="458" t="str">
        <f t="shared" si="256"/>
        <v/>
      </c>
      <c r="BY463" s="458" t="str">
        <f t="shared" si="257"/>
        <v/>
      </c>
      <c r="BZ463" s="458" t="str">
        <f t="shared" si="258"/>
        <v/>
      </c>
      <c r="CA463" s="40" t="str">
        <f t="shared" si="259"/>
        <v/>
      </c>
      <c r="CB463" s="40" t="str">
        <f t="shared" si="260"/>
        <v/>
      </c>
      <c r="CC463" s="39" t="str">
        <f t="shared" si="261"/>
        <v/>
      </c>
      <c r="CD463" s="458" t="str">
        <f t="shared" si="262"/>
        <v/>
      </c>
      <c r="CE463" s="41" t="str">
        <f t="shared" si="263"/>
        <v/>
      </c>
      <c r="CF463" s="39" t="str">
        <f t="shared" si="264"/>
        <v/>
      </c>
      <c r="CG463" s="458" t="str">
        <f t="shared" si="265"/>
        <v/>
      </c>
      <c r="CH463" s="458" t="str">
        <f t="shared" si="266"/>
        <v/>
      </c>
      <c r="CI463" s="458" t="str">
        <f t="shared" si="267"/>
        <v/>
      </c>
      <c r="CJ463" s="458" t="str">
        <f t="shared" si="268"/>
        <v/>
      </c>
      <c r="CK463" s="40" t="str">
        <f t="shared" si="269"/>
        <v/>
      </c>
      <c r="CL463" s="40" t="str">
        <f t="shared" si="270"/>
        <v/>
      </c>
      <c r="CM463" s="40" t="str">
        <f t="shared" si="271"/>
        <v/>
      </c>
      <c r="CN463" s="39" t="str">
        <f t="shared" si="272"/>
        <v/>
      </c>
      <c r="CO463" s="458" t="str">
        <f t="shared" si="273"/>
        <v/>
      </c>
      <c r="CP463" s="458" t="str">
        <f t="shared" si="274"/>
        <v/>
      </c>
      <c r="CQ463" s="458" t="str">
        <f t="shared" si="275"/>
        <v/>
      </c>
      <c r="CR463" s="458" t="str">
        <f t="shared" si="276"/>
        <v/>
      </c>
      <c r="CS463" s="40" t="str">
        <f t="shared" si="277"/>
        <v/>
      </c>
      <c r="CT463" s="40" t="str">
        <f t="shared" si="278"/>
        <v/>
      </c>
      <c r="CU463" s="41" t="str">
        <f t="shared" si="279"/>
        <v/>
      </c>
    </row>
    <row r="464" spans="1:99" x14ac:dyDescent="0.2">
      <c r="A464" s="77">
        <f t="shared" si="280"/>
        <v>459</v>
      </c>
      <c r="B464" s="81"/>
      <c r="C464" s="82"/>
      <c r="D464" s="71"/>
      <c r="E464" s="72"/>
      <c r="F464" s="73"/>
      <c r="G464" s="443"/>
      <c r="H464" s="443"/>
      <c r="I464" s="74"/>
      <c r="J464" s="75"/>
      <c r="K464" s="41">
        <f t="shared" si="249"/>
        <v>3625</v>
      </c>
      <c r="L464" s="104"/>
      <c r="M464" s="105"/>
      <c r="N464" s="106">
        <f t="shared" si="250"/>
        <v>537.05999999999995</v>
      </c>
      <c r="O464" s="104"/>
      <c r="P464" s="105"/>
      <c r="Q464" s="106">
        <f t="shared" si="282"/>
        <v>10045.83</v>
      </c>
      <c r="R464" s="104"/>
      <c r="S464" s="105"/>
      <c r="T464" s="106">
        <f t="shared" si="283"/>
        <v>0</v>
      </c>
      <c r="U464" s="439"/>
      <c r="V464" s="42">
        <f t="shared" si="251"/>
        <v>459</v>
      </c>
      <c r="W464" s="39" t="str">
        <f>IF(AND(E464='Povolené hodnoty'!$B$4,F464=2),I464+L464+O464+R464,"")</f>
        <v/>
      </c>
      <c r="X464" s="41" t="str">
        <f>IF(AND(E464='Povolené hodnoty'!$B$4,F464=1),I464+L464+O464+R464,"")</f>
        <v/>
      </c>
      <c r="Y464" s="39" t="str">
        <f>IF(AND(E464='Povolené hodnoty'!$B$4,F464=10),J464+M464+P464+S464,"")</f>
        <v/>
      </c>
      <c r="Z464" s="41" t="str">
        <f>IF(AND(E464='Povolené hodnoty'!$B$4,F464=9),J464+M464+P464+S464,"")</f>
        <v/>
      </c>
      <c r="AA464" s="39" t="str">
        <f>IF(AND(E464&lt;&gt;'Povolené hodnoty'!$B$4,F464=2),I464+L464+O464+R464,"")</f>
        <v/>
      </c>
      <c r="AB464" s="40" t="str">
        <f>IF(AND(E464&lt;&gt;'Povolené hodnoty'!$B$4,F464=3),I464+L464+O464+R464,"")</f>
        <v/>
      </c>
      <c r="AC464" s="40" t="str">
        <f>IF(AND(E464&lt;&gt;'Povolené hodnoty'!$B$4,F464=4),I464+L464+O464+R464,"")</f>
        <v/>
      </c>
      <c r="AD464" s="40" t="str">
        <f>IF(AND(E464&lt;&gt;'Povolené hodnoty'!$B$4,F464="5a"),I464-J464+L464-M464+O464-P464+R464-S464,"")</f>
        <v/>
      </c>
      <c r="AE464" s="40" t="str">
        <f>IF(AND(E464&lt;&gt;'Povolené hodnoty'!$B$4,F464="5b"),I464-J464+L464-M464+O464-P464+R464-S464,"")</f>
        <v/>
      </c>
      <c r="AF464" s="40" t="str">
        <f>IF(AND(E464&lt;&gt;'Povolené hodnoty'!$B$4,F464=6),I464+L464+O464+R464,"")</f>
        <v/>
      </c>
      <c r="AG464" s="41" t="str">
        <f>IF(AND(E464&lt;&gt;'Povolené hodnoty'!$B$4,F464=7),I464+L464+O464+R464,"")</f>
        <v/>
      </c>
      <c r="AH464" s="39" t="str">
        <f>IF(AND(E464&lt;&gt;'Povolené hodnoty'!$B$4,F464=10),J464+M464+P464+S464,"")</f>
        <v/>
      </c>
      <c r="AI464" s="40" t="str">
        <f>IF(AND(E464&lt;&gt;'Povolené hodnoty'!$B$4,F464=11),J464+M464+P464+S464,"")</f>
        <v/>
      </c>
      <c r="AJ464" s="40" t="str">
        <f>IF(AND(E464&lt;&gt;'Povolené hodnoty'!$B$4,F464=12),J464+M464+P464+S464,"")</f>
        <v/>
      </c>
      <c r="AK464" s="41" t="str">
        <f>IF(AND(E464&lt;&gt;'Povolené hodnoty'!$B$4,F464=13),J464+M464+P464+S464,"")</f>
        <v/>
      </c>
      <c r="AL464" s="39" t="str">
        <f>IF(AND($G464='Povolené hodnoty'!$B$13,$H464=AL$4),SUM($I464,$L464,$O464,$R464),"")</f>
        <v/>
      </c>
      <c r="AM464" s="458" t="str">
        <f>IF(AND($G464='Povolené hodnoty'!$B$13,$H464=AM$4),SUM($I464,$L464,$O464,$R464),"")</f>
        <v/>
      </c>
      <c r="AN464" s="458" t="str">
        <f>IF(AND($G464='Povolené hodnoty'!$B$13,$H464=AN$4),SUM($I464,$L464,$O464,$R464),"")</f>
        <v/>
      </c>
      <c r="AO464" s="458" t="str">
        <f>IF(AND($G464='Povolené hodnoty'!$B$13,$H464=AO$4),SUM($I464,$L464,$O464,$R464),"")</f>
        <v/>
      </c>
      <c r="AP464" s="458" t="str">
        <f>IF(AND($G464='Povolené hodnoty'!$B$13,$H464=AP$4),SUM($I464,$L464,$O464,$R464),"")</f>
        <v/>
      </c>
      <c r="AQ464" s="40" t="str">
        <f>IF(AND($G464='Povolené hodnoty'!$B$13,OR($H464=AQ$4,$H464='Povolené hodnoty'!$E$36)),SUM($I464,-$J464,$L464,-$M464,$O464,-$P464,$R464,-$S464),"")</f>
        <v/>
      </c>
      <c r="AR464" s="40" t="str">
        <f>IF(AND($G464='Povolené hodnoty'!$B$13,$H464=AR$4),SUM($I464,$L464,$O464,$R464),"")</f>
        <v/>
      </c>
      <c r="AS464" s="41" t="str">
        <f>IF(AND($G464='Povolené hodnoty'!$B$13,$H464=AS$4),SUM($I464,$L464,$O464,$R464),"")</f>
        <v/>
      </c>
      <c r="AT464" s="39" t="str">
        <f>IF(AND($G464='Povolené hodnoty'!$B$14,$H464=AT$4),SUM($I464,$L464,$O464,$R464),"")</f>
        <v/>
      </c>
      <c r="AU464" s="458" t="str">
        <f>IF(AND($G464='Povolené hodnoty'!$B$14,$H464=AU$4),SUM($I464,$L464,$O464,$R464),"")</f>
        <v/>
      </c>
      <c r="AV464" s="41" t="str">
        <f>IF(AND($G464='Povolené hodnoty'!$B$14,$H464=AV$4),SUM($I464,$L464,$O464,$R464),"")</f>
        <v/>
      </c>
      <c r="AW464" s="39" t="str">
        <f>IF(AND($G464='Povolené hodnoty'!$B$13,$H464=AW$4),SUM($J464,$M464,$P464,$S464),"")</f>
        <v/>
      </c>
      <c r="AX464" s="458" t="str">
        <f>IF(AND($G464='Povolené hodnoty'!$B$13,$H464=AX$4),SUM($J464,$M464,$P464,$S464),"")</f>
        <v/>
      </c>
      <c r="AY464" s="458" t="str">
        <f>IF(AND($G464='Povolené hodnoty'!$B$13,$H464=AY$4),SUM($J464,$M464,$P464,$S464),"")</f>
        <v/>
      </c>
      <c r="AZ464" s="458" t="str">
        <f>IF(AND($G464='Povolené hodnoty'!$B$13,$H464=AZ$4),SUM($J464,$M464,$P464,$S464),"")</f>
        <v/>
      </c>
      <c r="BA464" s="458" t="str">
        <f>IF(AND($G464='Povolené hodnoty'!$B$13,$H464=BA$4),SUM($J464,$M464,$P464,$S464),"")</f>
        <v/>
      </c>
      <c r="BB464" s="40" t="str">
        <f>IF(AND($G464='Povolené hodnoty'!$B$13,$H464=BB$4),SUM($J464,$M464,$P464,$S464),"")</f>
        <v/>
      </c>
      <c r="BC464" s="40" t="str">
        <f>IF(AND($G464='Povolené hodnoty'!$B$13,$H464=BC$4),SUM($J464,$M464,$P464,$S464),"")</f>
        <v/>
      </c>
      <c r="BD464" s="40" t="str">
        <f>IF(AND($G464='Povolené hodnoty'!$B$13,$H464=BD$4),SUM($J464,$M464,$P464,$S464),"")</f>
        <v/>
      </c>
      <c r="BE464" s="41" t="str">
        <f>IF(AND($G464='Povolené hodnoty'!$B$13,$H464=BE$4),SUM($J464,$M464,$P464,$S464),"")</f>
        <v/>
      </c>
      <c r="BF464" s="39" t="str">
        <f>IF(AND($G464='Povolené hodnoty'!$B$14,$H464=BF$4),SUM($J464,$M464,$P464,$S464),"")</f>
        <v/>
      </c>
      <c r="BG464" s="458" t="str">
        <f>IF(AND($G464='Povolené hodnoty'!$B$14,$H464=BG$4),SUM($J464,$M464,$P464,$S464),"")</f>
        <v/>
      </c>
      <c r="BH464" s="458" t="str">
        <f>IF(AND($G464='Povolené hodnoty'!$B$14,$H464=BH$4),SUM($J464,$M464,$P464,$S464),"")</f>
        <v/>
      </c>
      <c r="BI464" s="458" t="str">
        <f>IF(AND($G464='Povolené hodnoty'!$B$14,$H464=BI$4),SUM($J464,$M464,$P464,$S464),"")</f>
        <v/>
      </c>
      <c r="BJ464" s="458" t="str">
        <f>IF(AND($G464='Povolené hodnoty'!$B$14,$H464=BJ$4),SUM($J464,$M464,$P464,$S464),"")</f>
        <v/>
      </c>
      <c r="BK464" s="40" t="str">
        <f>IF(AND($G464='Povolené hodnoty'!$B$14,$H464=BK$4),SUM($J464,$M464,$P464,$S464),"")</f>
        <v/>
      </c>
      <c r="BL464" s="40" t="str">
        <f>IF(AND($G464='Povolené hodnoty'!$B$14,$H464=BL$4),SUM($J464,$M464,$P464,$S464),"")</f>
        <v/>
      </c>
      <c r="BM464" s="41" t="str">
        <f>IF(AND($G464='Povolené hodnoty'!$B$14,$H464=BM$4),SUM($J464,$M464,$P464,$S464),"")</f>
        <v/>
      </c>
      <c r="BO464" s="18" t="b">
        <f t="shared" si="281"/>
        <v>0</v>
      </c>
      <c r="BP464" s="18" t="b">
        <f t="shared" si="252"/>
        <v>0</v>
      </c>
      <c r="BQ464" s="18" t="b">
        <f>AND(E464&lt;&gt;'Povolené hodnoty'!$B$6,F464&lt;&gt;'Povolené hodnoty'!$D$7,F464&lt;&gt;'Povolené hodnoty'!$D$8,OR(SUM(I464,L464,O464,R464)&lt;&gt;SUM(W464:X464,AA464:AG464),SUM(J464,M464,P464,S464)&lt;&gt;SUM(Y464:Z464,AH464:AK464),COUNT(I464:J464,L464:M464,O464:P464,R464:S464)&lt;&gt;COUNT(W464:AK464)))</f>
        <v>0</v>
      </c>
      <c r="BR464" s="18" t="b">
        <f>OR(AND(E464='Povolené hodnoty'!$B$6,$BR$5),AND(E464='Povolené hodnoty'!$B$6,H464&lt;&gt;'Povolené hodnoty'!$E$26,H464&lt;&gt;'Povolené hodnoty'!$E$35),AND(E464&lt;&gt;'Povolené hodnoty'!$B$6,OR(H464='Povolené hodnoty'!$E$26,H464='Povolené hodnoty'!$E$35)))</f>
        <v>0</v>
      </c>
      <c r="BS464" s="18" t="b">
        <f>OR(AND(G464&lt;&gt;'Povolené hodnoty'!$B$13,OR(H464='Povolené hodnoty'!$E$21,H464='Povolené hodnoty'!$E$22,H464='Povolené hodnoty'!$E$23,H464='Povolené hodnoty'!$E$24,H464='Povolené hodnoty'!$E$26,H464='Povolené hodnoty'!$E$36)),COUNT(I464:J464,L464:M464,O464:P464,R464:S464)&lt;&gt;COUNT(AL464:BM464))</f>
        <v>0</v>
      </c>
      <c r="BT464" s="18" t="b">
        <f t="shared" si="253"/>
        <v>0</v>
      </c>
      <c r="BV464" s="39" t="str">
        <f t="shared" si="254"/>
        <v/>
      </c>
      <c r="BW464" s="458" t="str">
        <f t="shared" si="255"/>
        <v/>
      </c>
      <c r="BX464" s="458" t="str">
        <f t="shared" si="256"/>
        <v/>
      </c>
      <c r="BY464" s="458" t="str">
        <f t="shared" si="257"/>
        <v/>
      </c>
      <c r="BZ464" s="458" t="str">
        <f t="shared" si="258"/>
        <v/>
      </c>
      <c r="CA464" s="40" t="str">
        <f t="shared" si="259"/>
        <v/>
      </c>
      <c r="CB464" s="40" t="str">
        <f t="shared" si="260"/>
        <v/>
      </c>
      <c r="CC464" s="39" t="str">
        <f t="shared" si="261"/>
        <v/>
      </c>
      <c r="CD464" s="458" t="str">
        <f t="shared" si="262"/>
        <v/>
      </c>
      <c r="CE464" s="41" t="str">
        <f t="shared" si="263"/>
        <v/>
      </c>
      <c r="CF464" s="39" t="str">
        <f t="shared" si="264"/>
        <v/>
      </c>
      <c r="CG464" s="458" t="str">
        <f t="shared" si="265"/>
        <v/>
      </c>
      <c r="CH464" s="458" t="str">
        <f t="shared" si="266"/>
        <v/>
      </c>
      <c r="CI464" s="458" t="str">
        <f t="shared" si="267"/>
        <v/>
      </c>
      <c r="CJ464" s="458" t="str">
        <f t="shared" si="268"/>
        <v/>
      </c>
      <c r="CK464" s="40" t="str">
        <f t="shared" si="269"/>
        <v/>
      </c>
      <c r="CL464" s="40" t="str">
        <f t="shared" si="270"/>
        <v/>
      </c>
      <c r="CM464" s="40" t="str">
        <f t="shared" si="271"/>
        <v/>
      </c>
      <c r="CN464" s="39" t="str">
        <f t="shared" si="272"/>
        <v/>
      </c>
      <c r="CO464" s="458" t="str">
        <f t="shared" si="273"/>
        <v/>
      </c>
      <c r="CP464" s="458" t="str">
        <f t="shared" si="274"/>
        <v/>
      </c>
      <c r="CQ464" s="458" t="str">
        <f t="shared" si="275"/>
        <v/>
      </c>
      <c r="CR464" s="458" t="str">
        <f t="shared" si="276"/>
        <v/>
      </c>
      <c r="CS464" s="40" t="str">
        <f t="shared" si="277"/>
        <v/>
      </c>
      <c r="CT464" s="40" t="str">
        <f t="shared" si="278"/>
        <v/>
      </c>
      <c r="CU464" s="41" t="str">
        <f t="shared" si="279"/>
        <v/>
      </c>
    </row>
    <row r="465" spans="1:99" x14ac:dyDescent="0.2">
      <c r="A465" s="77">
        <f t="shared" si="280"/>
        <v>460</v>
      </c>
      <c r="B465" s="81"/>
      <c r="C465" s="82"/>
      <c r="D465" s="71"/>
      <c r="E465" s="72"/>
      <c r="F465" s="73"/>
      <c r="G465" s="443"/>
      <c r="H465" s="443"/>
      <c r="I465" s="74"/>
      <c r="J465" s="75"/>
      <c r="K465" s="41">
        <f t="shared" si="249"/>
        <v>3625</v>
      </c>
      <c r="L465" s="104"/>
      <c r="M465" s="105"/>
      <c r="N465" s="106">
        <f t="shared" si="250"/>
        <v>537.05999999999995</v>
      </c>
      <c r="O465" s="104"/>
      <c r="P465" s="105"/>
      <c r="Q465" s="106">
        <f t="shared" si="282"/>
        <v>10045.83</v>
      </c>
      <c r="R465" s="104"/>
      <c r="S465" s="105"/>
      <c r="T465" s="106">
        <f t="shared" si="283"/>
        <v>0</v>
      </c>
      <c r="U465" s="439"/>
      <c r="V465" s="42">
        <f t="shared" si="251"/>
        <v>460</v>
      </c>
      <c r="W465" s="39" t="str">
        <f>IF(AND(E465='Povolené hodnoty'!$B$4,F465=2),I465+L465+O465+R465,"")</f>
        <v/>
      </c>
      <c r="X465" s="41" t="str">
        <f>IF(AND(E465='Povolené hodnoty'!$B$4,F465=1),I465+L465+O465+R465,"")</f>
        <v/>
      </c>
      <c r="Y465" s="39" t="str">
        <f>IF(AND(E465='Povolené hodnoty'!$B$4,F465=10),J465+M465+P465+S465,"")</f>
        <v/>
      </c>
      <c r="Z465" s="41" t="str">
        <f>IF(AND(E465='Povolené hodnoty'!$B$4,F465=9),J465+M465+P465+S465,"")</f>
        <v/>
      </c>
      <c r="AA465" s="39" t="str">
        <f>IF(AND(E465&lt;&gt;'Povolené hodnoty'!$B$4,F465=2),I465+L465+O465+R465,"")</f>
        <v/>
      </c>
      <c r="AB465" s="40" t="str">
        <f>IF(AND(E465&lt;&gt;'Povolené hodnoty'!$B$4,F465=3),I465+L465+O465+R465,"")</f>
        <v/>
      </c>
      <c r="AC465" s="40" t="str">
        <f>IF(AND(E465&lt;&gt;'Povolené hodnoty'!$B$4,F465=4),I465+L465+O465+R465,"")</f>
        <v/>
      </c>
      <c r="AD465" s="40" t="str">
        <f>IF(AND(E465&lt;&gt;'Povolené hodnoty'!$B$4,F465="5a"),I465-J465+L465-M465+O465-P465+R465-S465,"")</f>
        <v/>
      </c>
      <c r="AE465" s="40" t="str">
        <f>IF(AND(E465&lt;&gt;'Povolené hodnoty'!$B$4,F465="5b"),I465-J465+L465-M465+O465-P465+R465-S465,"")</f>
        <v/>
      </c>
      <c r="AF465" s="40" t="str">
        <f>IF(AND(E465&lt;&gt;'Povolené hodnoty'!$B$4,F465=6),I465+L465+O465+R465,"")</f>
        <v/>
      </c>
      <c r="AG465" s="41" t="str">
        <f>IF(AND(E465&lt;&gt;'Povolené hodnoty'!$B$4,F465=7),I465+L465+O465+R465,"")</f>
        <v/>
      </c>
      <c r="AH465" s="39" t="str">
        <f>IF(AND(E465&lt;&gt;'Povolené hodnoty'!$B$4,F465=10),J465+M465+P465+S465,"")</f>
        <v/>
      </c>
      <c r="AI465" s="40" t="str">
        <f>IF(AND(E465&lt;&gt;'Povolené hodnoty'!$B$4,F465=11),J465+M465+P465+S465,"")</f>
        <v/>
      </c>
      <c r="AJ465" s="40" t="str">
        <f>IF(AND(E465&lt;&gt;'Povolené hodnoty'!$B$4,F465=12),J465+M465+P465+S465,"")</f>
        <v/>
      </c>
      <c r="AK465" s="41" t="str">
        <f>IF(AND(E465&lt;&gt;'Povolené hodnoty'!$B$4,F465=13),J465+M465+P465+S465,"")</f>
        <v/>
      </c>
      <c r="AL465" s="39" t="str">
        <f>IF(AND($G465='Povolené hodnoty'!$B$13,$H465=AL$4),SUM($I465,$L465,$O465,$R465),"")</f>
        <v/>
      </c>
      <c r="AM465" s="458" t="str">
        <f>IF(AND($G465='Povolené hodnoty'!$B$13,$H465=AM$4),SUM($I465,$L465,$O465,$R465),"")</f>
        <v/>
      </c>
      <c r="AN465" s="458" t="str">
        <f>IF(AND($G465='Povolené hodnoty'!$B$13,$H465=AN$4),SUM($I465,$L465,$O465,$R465),"")</f>
        <v/>
      </c>
      <c r="AO465" s="458" t="str">
        <f>IF(AND($G465='Povolené hodnoty'!$B$13,$H465=AO$4),SUM($I465,$L465,$O465,$R465),"")</f>
        <v/>
      </c>
      <c r="AP465" s="458" t="str">
        <f>IF(AND($G465='Povolené hodnoty'!$B$13,$H465=AP$4),SUM($I465,$L465,$O465,$R465),"")</f>
        <v/>
      </c>
      <c r="AQ465" s="40" t="str">
        <f>IF(AND($G465='Povolené hodnoty'!$B$13,OR($H465=AQ$4,$H465='Povolené hodnoty'!$E$36)),SUM($I465,-$J465,$L465,-$M465,$O465,-$P465,$R465,-$S465),"")</f>
        <v/>
      </c>
      <c r="AR465" s="40" t="str">
        <f>IF(AND($G465='Povolené hodnoty'!$B$13,$H465=AR$4),SUM($I465,$L465,$O465,$R465),"")</f>
        <v/>
      </c>
      <c r="AS465" s="41" t="str">
        <f>IF(AND($G465='Povolené hodnoty'!$B$13,$H465=AS$4),SUM($I465,$L465,$O465,$R465),"")</f>
        <v/>
      </c>
      <c r="AT465" s="39" t="str">
        <f>IF(AND($G465='Povolené hodnoty'!$B$14,$H465=AT$4),SUM($I465,$L465,$O465,$R465),"")</f>
        <v/>
      </c>
      <c r="AU465" s="458" t="str">
        <f>IF(AND($G465='Povolené hodnoty'!$B$14,$H465=AU$4),SUM($I465,$L465,$O465,$R465),"")</f>
        <v/>
      </c>
      <c r="AV465" s="41" t="str">
        <f>IF(AND($G465='Povolené hodnoty'!$B$14,$H465=AV$4),SUM($I465,$L465,$O465,$R465),"")</f>
        <v/>
      </c>
      <c r="AW465" s="39" t="str">
        <f>IF(AND($G465='Povolené hodnoty'!$B$13,$H465=AW$4),SUM($J465,$M465,$P465,$S465),"")</f>
        <v/>
      </c>
      <c r="AX465" s="458" t="str">
        <f>IF(AND($G465='Povolené hodnoty'!$B$13,$H465=AX$4),SUM($J465,$M465,$P465,$S465),"")</f>
        <v/>
      </c>
      <c r="AY465" s="458" t="str">
        <f>IF(AND($G465='Povolené hodnoty'!$B$13,$H465=AY$4),SUM($J465,$M465,$P465,$S465),"")</f>
        <v/>
      </c>
      <c r="AZ465" s="458" t="str">
        <f>IF(AND($G465='Povolené hodnoty'!$B$13,$H465=AZ$4),SUM($J465,$M465,$P465,$S465),"")</f>
        <v/>
      </c>
      <c r="BA465" s="458" t="str">
        <f>IF(AND($G465='Povolené hodnoty'!$B$13,$H465=BA$4),SUM($J465,$M465,$P465,$S465),"")</f>
        <v/>
      </c>
      <c r="BB465" s="40" t="str">
        <f>IF(AND($G465='Povolené hodnoty'!$B$13,$H465=BB$4),SUM($J465,$M465,$P465,$S465),"")</f>
        <v/>
      </c>
      <c r="BC465" s="40" t="str">
        <f>IF(AND($G465='Povolené hodnoty'!$B$13,$H465=BC$4),SUM($J465,$M465,$P465,$S465),"")</f>
        <v/>
      </c>
      <c r="BD465" s="40" t="str">
        <f>IF(AND($G465='Povolené hodnoty'!$B$13,$H465=BD$4),SUM($J465,$M465,$P465,$S465),"")</f>
        <v/>
      </c>
      <c r="BE465" s="41" t="str">
        <f>IF(AND($G465='Povolené hodnoty'!$B$13,$H465=BE$4),SUM($J465,$M465,$P465,$S465),"")</f>
        <v/>
      </c>
      <c r="BF465" s="39" t="str">
        <f>IF(AND($G465='Povolené hodnoty'!$B$14,$H465=BF$4),SUM($J465,$M465,$P465,$S465),"")</f>
        <v/>
      </c>
      <c r="BG465" s="458" t="str">
        <f>IF(AND($G465='Povolené hodnoty'!$B$14,$H465=BG$4),SUM($J465,$M465,$P465,$S465),"")</f>
        <v/>
      </c>
      <c r="BH465" s="458" t="str">
        <f>IF(AND($G465='Povolené hodnoty'!$B$14,$H465=BH$4),SUM($J465,$M465,$P465,$S465),"")</f>
        <v/>
      </c>
      <c r="BI465" s="458" t="str">
        <f>IF(AND($G465='Povolené hodnoty'!$B$14,$H465=BI$4),SUM($J465,$M465,$P465,$S465),"")</f>
        <v/>
      </c>
      <c r="BJ465" s="458" t="str">
        <f>IF(AND($G465='Povolené hodnoty'!$B$14,$H465=BJ$4),SUM($J465,$M465,$P465,$S465),"")</f>
        <v/>
      </c>
      <c r="BK465" s="40" t="str">
        <f>IF(AND($G465='Povolené hodnoty'!$B$14,$H465=BK$4),SUM($J465,$M465,$P465,$S465),"")</f>
        <v/>
      </c>
      <c r="BL465" s="40" t="str">
        <f>IF(AND($G465='Povolené hodnoty'!$B$14,$H465=BL$4),SUM($J465,$M465,$P465,$S465),"")</f>
        <v/>
      </c>
      <c r="BM465" s="41" t="str">
        <f>IF(AND($G465='Povolené hodnoty'!$B$14,$H465=BM$4),SUM($J465,$M465,$P465,$S465),"")</f>
        <v/>
      </c>
      <c r="BO465" s="18" t="b">
        <f t="shared" si="281"/>
        <v>0</v>
      </c>
      <c r="BP465" s="18" t="b">
        <f t="shared" si="252"/>
        <v>0</v>
      </c>
      <c r="BQ465" s="18" t="b">
        <f>AND(E465&lt;&gt;'Povolené hodnoty'!$B$6,F465&lt;&gt;'Povolené hodnoty'!$D$7,F465&lt;&gt;'Povolené hodnoty'!$D$8,OR(SUM(I465,L465,O465,R465)&lt;&gt;SUM(W465:X465,AA465:AG465),SUM(J465,M465,P465,S465)&lt;&gt;SUM(Y465:Z465,AH465:AK465),COUNT(I465:J465,L465:M465,O465:P465,R465:S465)&lt;&gt;COUNT(W465:AK465)))</f>
        <v>0</v>
      </c>
      <c r="BR465" s="18" t="b">
        <f>OR(AND(E465='Povolené hodnoty'!$B$6,$BR$5),AND(E465='Povolené hodnoty'!$B$6,H465&lt;&gt;'Povolené hodnoty'!$E$26,H465&lt;&gt;'Povolené hodnoty'!$E$35),AND(E465&lt;&gt;'Povolené hodnoty'!$B$6,OR(H465='Povolené hodnoty'!$E$26,H465='Povolené hodnoty'!$E$35)))</f>
        <v>0</v>
      </c>
      <c r="BS465" s="18" t="b">
        <f>OR(AND(G465&lt;&gt;'Povolené hodnoty'!$B$13,OR(H465='Povolené hodnoty'!$E$21,H465='Povolené hodnoty'!$E$22,H465='Povolené hodnoty'!$E$23,H465='Povolené hodnoty'!$E$24,H465='Povolené hodnoty'!$E$26,H465='Povolené hodnoty'!$E$36)),COUNT(I465:J465,L465:M465,O465:P465,R465:S465)&lt;&gt;COUNT(AL465:BM465))</f>
        <v>0</v>
      </c>
      <c r="BT465" s="18" t="b">
        <f t="shared" si="253"/>
        <v>0</v>
      </c>
      <c r="BV465" s="39" t="str">
        <f t="shared" si="254"/>
        <v/>
      </c>
      <c r="BW465" s="458" t="str">
        <f t="shared" si="255"/>
        <v/>
      </c>
      <c r="BX465" s="458" t="str">
        <f t="shared" si="256"/>
        <v/>
      </c>
      <c r="BY465" s="458" t="str">
        <f t="shared" si="257"/>
        <v/>
      </c>
      <c r="BZ465" s="458" t="str">
        <f t="shared" si="258"/>
        <v/>
      </c>
      <c r="CA465" s="40" t="str">
        <f t="shared" si="259"/>
        <v/>
      </c>
      <c r="CB465" s="40" t="str">
        <f t="shared" si="260"/>
        <v/>
      </c>
      <c r="CC465" s="39" t="str">
        <f t="shared" si="261"/>
        <v/>
      </c>
      <c r="CD465" s="458" t="str">
        <f t="shared" si="262"/>
        <v/>
      </c>
      <c r="CE465" s="41" t="str">
        <f t="shared" si="263"/>
        <v/>
      </c>
      <c r="CF465" s="39" t="str">
        <f t="shared" si="264"/>
        <v/>
      </c>
      <c r="CG465" s="458" t="str">
        <f t="shared" si="265"/>
        <v/>
      </c>
      <c r="CH465" s="458" t="str">
        <f t="shared" si="266"/>
        <v/>
      </c>
      <c r="CI465" s="458" t="str">
        <f t="shared" si="267"/>
        <v/>
      </c>
      <c r="CJ465" s="458" t="str">
        <f t="shared" si="268"/>
        <v/>
      </c>
      <c r="CK465" s="40" t="str">
        <f t="shared" si="269"/>
        <v/>
      </c>
      <c r="CL465" s="40" t="str">
        <f t="shared" si="270"/>
        <v/>
      </c>
      <c r="CM465" s="40" t="str">
        <f t="shared" si="271"/>
        <v/>
      </c>
      <c r="CN465" s="39" t="str">
        <f t="shared" si="272"/>
        <v/>
      </c>
      <c r="CO465" s="458" t="str">
        <f t="shared" si="273"/>
        <v/>
      </c>
      <c r="CP465" s="458" t="str">
        <f t="shared" si="274"/>
        <v/>
      </c>
      <c r="CQ465" s="458" t="str">
        <f t="shared" si="275"/>
        <v/>
      </c>
      <c r="CR465" s="458" t="str">
        <f t="shared" si="276"/>
        <v/>
      </c>
      <c r="CS465" s="40" t="str">
        <f t="shared" si="277"/>
        <v/>
      </c>
      <c r="CT465" s="40" t="str">
        <f t="shared" si="278"/>
        <v/>
      </c>
      <c r="CU465" s="41" t="str">
        <f t="shared" si="279"/>
        <v/>
      </c>
    </row>
    <row r="466" spans="1:99" x14ac:dyDescent="0.2">
      <c r="A466" s="77">
        <f t="shared" si="280"/>
        <v>461</v>
      </c>
      <c r="B466" s="81"/>
      <c r="C466" s="82"/>
      <c r="D466" s="71"/>
      <c r="E466" s="72"/>
      <c r="F466" s="73"/>
      <c r="G466" s="443"/>
      <c r="H466" s="443"/>
      <c r="I466" s="74"/>
      <c r="J466" s="75"/>
      <c r="K466" s="41">
        <f t="shared" si="249"/>
        <v>3625</v>
      </c>
      <c r="L466" s="104"/>
      <c r="M466" s="105"/>
      <c r="N466" s="106">
        <f t="shared" si="250"/>
        <v>537.05999999999995</v>
      </c>
      <c r="O466" s="104"/>
      <c r="P466" s="105"/>
      <c r="Q466" s="106">
        <f t="shared" si="282"/>
        <v>10045.83</v>
      </c>
      <c r="R466" s="104"/>
      <c r="S466" s="105"/>
      <c r="T466" s="106">
        <f t="shared" si="283"/>
        <v>0</v>
      </c>
      <c r="U466" s="439"/>
      <c r="V466" s="42">
        <f t="shared" si="251"/>
        <v>461</v>
      </c>
      <c r="W466" s="39" t="str">
        <f>IF(AND(E466='Povolené hodnoty'!$B$4,F466=2),I466+L466+O466+R466,"")</f>
        <v/>
      </c>
      <c r="X466" s="41" t="str">
        <f>IF(AND(E466='Povolené hodnoty'!$B$4,F466=1),I466+L466+O466+R466,"")</f>
        <v/>
      </c>
      <c r="Y466" s="39" t="str">
        <f>IF(AND(E466='Povolené hodnoty'!$B$4,F466=10),J466+M466+P466+S466,"")</f>
        <v/>
      </c>
      <c r="Z466" s="41" t="str">
        <f>IF(AND(E466='Povolené hodnoty'!$B$4,F466=9),J466+M466+P466+S466,"")</f>
        <v/>
      </c>
      <c r="AA466" s="39" t="str">
        <f>IF(AND(E466&lt;&gt;'Povolené hodnoty'!$B$4,F466=2),I466+L466+O466+R466,"")</f>
        <v/>
      </c>
      <c r="AB466" s="40" t="str">
        <f>IF(AND(E466&lt;&gt;'Povolené hodnoty'!$B$4,F466=3),I466+L466+O466+R466,"")</f>
        <v/>
      </c>
      <c r="AC466" s="40" t="str">
        <f>IF(AND(E466&lt;&gt;'Povolené hodnoty'!$B$4,F466=4),I466+L466+O466+R466,"")</f>
        <v/>
      </c>
      <c r="AD466" s="40" t="str">
        <f>IF(AND(E466&lt;&gt;'Povolené hodnoty'!$B$4,F466="5a"),I466-J466+L466-M466+O466-P466+R466-S466,"")</f>
        <v/>
      </c>
      <c r="AE466" s="40" t="str">
        <f>IF(AND(E466&lt;&gt;'Povolené hodnoty'!$B$4,F466="5b"),I466-J466+L466-M466+O466-P466+R466-S466,"")</f>
        <v/>
      </c>
      <c r="AF466" s="40" t="str">
        <f>IF(AND(E466&lt;&gt;'Povolené hodnoty'!$B$4,F466=6),I466+L466+O466+R466,"")</f>
        <v/>
      </c>
      <c r="AG466" s="41" t="str">
        <f>IF(AND(E466&lt;&gt;'Povolené hodnoty'!$B$4,F466=7),I466+L466+O466+R466,"")</f>
        <v/>
      </c>
      <c r="AH466" s="39" t="str">
        <f>IF(AND(E466&lt;&gt;'Povolené hodnoty'!$B$4,F466=10),J466+M466+P466+S466,"")</f>
        <v/>
      </c>
      <c r="AI466" s="40" t="str">
        <f>IF(AND(E466&lt;&gt;'Povolené hodnoty'!$B$4,F466=11),J466+M466+P466+S466,"")</f>
        <v/>
      </c>
      <c r="AJ466" s="40" t="str">
        <f>IF(AND(E466&lt;&gt;'Povolené hodnoty'!$B$4,F466=12),J466+M466+P466+S466,"")</f>
        <v/>
      </c>
      <c r="AK466" s="41" t="str">
        <f>IF(AND(E466&lt;&gt;'Povolené hodnoty'!$B$4,F466=13),J466+M466+P466+S466,"")</f>
        <v/>
      </c>
      <c r="AL466" s="39" t="str">
        <f>IF(AND($G466='Povolené hodnoty'!$B$13,$H466=AL$4),SUM($I466,$L466,$O466,$R466),"")</f>
        <v/>
      </c>
      <c r="AM466" s="458" t="str">
        <f>IF(AND($G466='Povolené hodnoty'!$B$13,$H466=AM$4),SUM($I466,$L466,$O466,$R466),"")</f>
        <v/>
      </c>
      <c r="AN466" s="458" t="str">
        <f>IF(AND($G466='Povolené hodnoty'!$B$13,$H466=AN$4),SUM($I466,$L466,$O466,$R466),"")</f>
        <v/>
      </c>
      <c r="AO466" s="458" t="str">
        <f>IF(AND($G466='Povolené hodnoty'!$B$13,$H466=AO$4),SUM($I466,$L466,$O466,$R466),"")</f>
        <v/>
      </c>
      <c r="AP466" s="458" t="str">
        <f>IF(AND($G466='Povolené hodnoty'!$B$13,$H466=AP$4),SUM($I466,$L466,$O466,$R466),"")</f>
        <v/>
      </c>
      <c r="AQ466" s="40" t="str">
        <f>IF(AND($G466='Povolené hodnoty'!$B$13,OR($H466=AQ$4,$H466='Povolené hodnoty'!$E$36)),SUM($I466,-$J466,$L466,-$M466,$O466,-$P466,$R466,-$S466),"")</f>
        <v/>
      </c>
      <c r="AR466" s="40" t="str">
        <f>IF(AND($G466='Povolené hodnoty'!$B$13,$H466=AR$4),SUM($I466,$L466,$O466,$R466),"")</f>
        <v/>
      </c>
      <c r="AS466" s="41" t="str">
        <f>IF(AND($G466='Povolené hodnoty'!$B$13,$H466=AS$4),SUM($I466,$L466,$O466,$R466),"")</f>
        <v/>
      </c>
      <c r="AT466" s="39" t="str">
        <f>IF(AND($G466='Povolené hodnoty'!$B$14,$H466=AT$4),SUM($I466,$L466,$O466,$R466),"")</f>
        <v/>
      </c>
      <c r="AU466" s="458" t="str">
        <f>IF(AND($G466='Povolené hodnoty'!$B$14,$H466=AU$4),SUM($I466,$L466,$O466,$R466),"")</f>
        <v/>
      </c>
      <c r="AV466" s="41" t="str">
        <f>IF(AND($G466='Povolené hodnoty'!$B$14,$H466=AV$4),SUM($I466,$L466,$O466,$R466),"")</f>
        <v/>
      </c>
      <c r="AW466" s="39" t="str">
        <f>IF(AND($G466='Povolené hodnoty'!$B$13,$H466=AW$4),SUM($J466,$M466,$P466,$S466),"")</f>
        <v/>
      </c>
      <c r="AX466" s="458" t="str">
        <f>IF(AND($G466='Povolené hodnoty'!$B$13,$H466=AX$4),SUM($J466,$M466,$P466,$S466),"")</f>
        <v/>
      </c>
      <c r="AY466" s="458" t="str">
        <f>IF(AND($G466='Povolené hodnoty'!$B$13,$H466=AY$4),SUM($J466,$M466,$P466,$S466),"")</f>
        <v/>
      </c>
      <c r="AZ466" s="458" t="str">
        <f>IF(AND($G466='Povolené hodnoty'!$B$13,$H466=AZ$4),SUM($J466,$M466,$P466,$S466),"")</f>
        <v/>
      </c>
      <c r="BA466" s="458" t="str">
        <f>IF(AND($G466='Povolené hodnoty'!$B$13,$H466=BA$4),SUM($J466,$M466,$P466,$S466),"")</f>
        <v/>
      </c>
      <c r="BB466" s="40" t="str">
        <f>IF(AND($G466='Povolené hodnoty'!$B$13,$H466=BB$4),SUM($J466,$M466,$P466,$S466),"")</f>
        <v/>
      </c>
      <c r="BC466" s="40" t="str">
        <f>IF(AND($G466='Povolené hodnoty'!$B$13,$H466=BC$4),SUM($J466,$M466,$P466,$S466),"")</f>
        <v/>
      </c>
      <c r="BD466" s="40" t="str">
        <f>IF(AND($G466='Povolené hodnoty'!$B$13,$H466=BD$4),SUM($J466,$M466,$P466,$S466),"")</f>
        <v/>
      </c>
      <c r="BE466" s="41" t="str">
        <f>IF(AND($G466='Povolené hodnoty'!$B$13,$H466=BE$4),SUM($J466,$M466,$P466,$S466),"")</f>
        <v/>
      </c>
      <c r="BF466" s="39" t="str">
        <f>IF(AND($G466='Povolené hodnoty'!$B$14,$H466=BF$4),SUM($J466,$M466,$P466,$S466),"")</f>
        <v/>
      </c>
      <c r="BG466" s="458" t="str">
        <f>IF(AND($G466='Povolené hodnoty'!$B$14,$H466=BG$4),SUM($J466,$M466,$P466,$S466),"")</f>
        <v/>
      </c>
      <c r="BH466" s="458" t="str">
        <f>IF(AND($G466='Povolené hodnoty'!$B$14,$H466=BH$4),SUM($J466,$M466,$P466,$S466),"")</f>
        <v/>
      </c>
      <c r="BI466" s="458" t="str">
        <f>IF(AND($G466='Povolené hodnoty'!$B$14,$H466=BI$4),SUM($J466,$M466,$P466,$S466),"")</f>
        <v/>
      </c>
      <c r="BJ466" s="458" t="str">
        <f>IF(AND($G466='Povolené hodnoty'!$B$14,$H466=BJ$4),SUM($J466,$M466,$P466,$S466),"")</f>
        <v/>
      </c>
      <c r="BK466" s="40" t="str">
        <f>IF(AND($G466='Povolené hodnoty'!$B$14,$H466=BK$4),SUM($J466,$M466,$P466,$S466),"")</f>
        <v/>
      </c>
      <c r="BL466" s="40" t="str">
        <f>IF(AND($G466='Povolené hodnoty'!$B$14,$H466=BL$4),SUM($J466,$M466,$P466,$S466),"")</f>
        <v/>
      </c>
      <c r="BM466" s="41" t="str">
        <f>IF(AND($G466='Povolené hodnoty'!$B$14,$H466=BM$4),SUM($J466,$M466,$P466,$S466),"")</f>
        <v/>
      </c>
      <c r="BO466" s="18" t="b">
        <f t="shared" si="281"/>
        <v>0</v>
      </c>
      <c r="BP466" s="18" t="b">
        <f t="shared" si="252"/>
        <v>0</v>
      </c>
      <c r="BQ466" s="18" t="b">
        <f>AND(E466&lt;&gt;'Povolené hodnoty'!$B$6,F466&lt;&gt;'Povolené hodnoty'!$D$7,F466&lt;&gt;'Povolené hodnoty'!$D$8,OR(SUM(I466,L466,O466,R466)&lt;&gt;SUM(W466:X466,AA466:AG466),SUM(J466,M466,P466,S466)&lt;&gt;SUM(Y466:Z466,AH466:AK466),COUNT(I466:J466,L466:M466,O466:P466,R466:S466)&lt;&gt;COUNT(W466:AK466)))</f>
        <v>0</v>
      </c>
      <c r="BR466" s="18" t="b">
        <f>OR(AND(E466='Povolené hodnoty'!$B$6,$BR$5),AND(E466='Povolené hodnoty'!$B$6,H466&lt;&gt;'Povolené hodnoty'!$E$26,H466&lt;&gt;'Povolené hodnoty'!$E$35),AND(E466&lt;&gt;'Povolené hodnoty'!$B$6,OR(H466='Povolené hodnoty'!$E$26,H466='Povolené hodnoty'!$E$35)))</f>
        <v>0</v>
      </c>
      <c r="BS466" s="18" t="b">
        <f>OR(AND(G466&lt;&gt;'Povolené hodnoty'!$B$13,OR(H466='Povolené hodnoty'!$E$21,H466='Povolené hodnoty'!$E$22,H466='Povolené hodnoty'!$E$23,H466='Povolené hodnoty'!$E$24,H466='Povolené hodnoty'!$E$26,H466='Povolené hodnoty'!$E$36)),COUNT(I466:J466,L466:M466,O466:P466,R466:S466)&lt;&gt;COUNT(AL466:BM466))</f>
        <v>0</v>
      </c>
      <c r="BT466" s="18" t="b">
        <f t="shared" si="253"/>
        <v>0</v>
      </c>
      <c r="BV466" s="39" t="str">
        <f t="shared" si="254"/>
        <v/>
      </c>
      <c r="BW466" s="458" t="str">
        <f t="shared" si="255"/>
        <v/>
      </c>
      <c r="BX466" s="458" t="str">
        <f t="shared" si="256"/>
        <v/>
      </c>
      <c r="BY466" s="458" t="str">
        <f t="shared" si="257"/>
        <v/>
      </c>
      <c r="BZ466" s="458" t="str">
        <f t="shared" si="258"/>
        <v/>
      </c>
      <c r="CA466" s="40" t="str">
        <f t="shared" si="259"/>
        <v/>
      </c>
      <c r="CB466" s="40" t="str">
        <f t="shared" si="260"/>
        <v/>
      </c>
      <c r="CC466" s="39" t="str">
        <f t="shared" si="261"/>
        <v/>
      </c>
      <c r="CD466" s="458" t="str">
        <f t="shared" si="262"/>
        <v/>
      </c>
      <c r="CE466" s="41" t="str">
        <f t="shared" si="263"/>
        <v/>
      </c>
      <c r="CF466" s="39" t="str">
        <f t="shared" si="264"/>
        <v/>
      </c>
      <c r="CG466" s="458" t="str">
        <f t="shared" si="265"/>
        <v/>
      </c>
      <c r="CH466" s="458" t="str">
        <f t="shared" si="266"/>
        <v/>
      </c>
      <c r="CI466" s="458" t="str">
        <f t="shared" si="267"/>
        <v/>
      </c>
      <c r="CJ466" s="458" t="str">
        <f t="shared" si="268"/>
        <v/>
      </c>
      <c r="CK466" s="40" t="str">
        <f t="shared" si="269"/>
        <v/>
      </c>
      <c r="CL466" s="40" t="str">
        <f t="shared" si="270"/>
        <v/>
      </c>
      <c r="CM466" s="40" t="str">
        <f t="shared" si="271"/>
        <v/>
      </c>
      <c r="CN466" s="39" t="str">
        <f t="shared" si="272"/>
        <v/>
      </c>
      <c r="CO466" s="458" t="str">
        <f t="shared" si="273"/>
        <v/>
      </c>
      <c r="CP466" s="458" t="str">
        <f t="shared" si="274"/>
        <v/>
      </c>
      <c r="CQ466" s="458" t="str">
        <f t="shared" si="275"/>
        <v/>
      </c>
      <c r="CR466" s="458" t="str">
        <f t="shared" si="276"/>
        <v/>
      </c>
      <c r="CS466" s="40" t="str">
        <f t="shared" si="277"/>
        <v/>
      </c>
      <c r="CT466" s="40" t="str">
        <f t="shared" si="278"/>
        <v/>
      </c>
      <c r="CU466" s="41" t="str">
        <f t="shared" si="279"/>
        <v/>
      </c>
    </row>
    <row r="467" spans="1:99" x14ac:dyDescent="0.2">
      <c r="A467" s="77">
        <f t="shared" si="280"/>
        <v>462</v>
      </c>
      <c r="B467" s="81"/>
      <c r="C467" s="82"/>
      <c r="D467" s="71"/>
      <c r="E467" s="72"/>
      <c r="F467" s="73"/>
      <c r="G467" s="443"/>
      <c r="H467" s="443"/>
      <c r="I467" s="74"/>
      <c r="J467" s="75"/>
      <c r="K467" s="41">
        <f t="shared" si="249"/>
        <v>3625</v>
      </c>
      <c r="L467" s="104"/>
      <c r="M467" s="105"/>
      <c r="N467" s="106">
        <f t="shared" si="250"/>
        <v>537.05999999999995</v>
      </c>
      <c r="O467" s="104"/>
      <c r="P467" s="105"/>
      <c r="Q467" s="106">
        <f t="shared" si="282"/>
        <v>10045.83</v>
      </c>
      <c r="R467" s="104"/>
      <c r="S467" s="105"/>
      <c r="T467" s="106">
        <f t="shared" si="283"/>
        <v>0</v>
      </c>
      <c r="U467" s="439"/>
      <c r="V467" s="42">
        <f t="shared" si="251"/>
        <v>462</v>
      </c>
      <c r="W467" s="39" t="str">
        <f>IF(AND(E467='Povolené hodnoty'!$B$4,F467=2),I467+L467+O467+R467,"")</f>
        <v/>
      </c>
      <c r="X467" s="41" t="str">
        <f>IF(AND(E467='Povolené hodnoty'!$B$4,F467=1),I467+L467+O467+R467,"")</f>
        <v/>
      </c>
      <c r="Y467" s="39" t="str">
        <f>IF(AND(E467='Povolené hodnoty'!$B$4,F467=10),J467+M467+P467+S467,"")</f>
        <v/>
      </c>
      <c r="Z467" s="41" t="str">
        <f>IF(AND(E467='Povolené hodnoty'!$B$4,F467=9),J467+M467+P467+S467,"")</f>
        <v/>
      </c>
      <c r="AA467" s="39" t="str">
        <f>IF(AND(E467&lt;&gt;'Povolené hodnoty'!$B$4,F467=2),I467+L467+O467+R467,"")</f>
        <v/>
      </c>
      <c r="AB467" s="40" t="str">
        <f>IF(AND(E467&lt;&gt;'Povolené hodnoty'!$B$4,F467=3),I467+L467+O467+R467,"")</f>
        <v/>
      </c>
      <c r="AC467" s="40" t="str">
        <f>IF(AND(E467&lt;&gt;'Povolené hodnoty'!$B$4,F467=4),I467+L467+O467+R467,"")</f>
        <v/>
      </c>
      <c r="AD467" s="40" t="str">
        <f>IF(AND(E467&lt;&gt;'Povolené hodnoty'!$B$4,F467="5a"),I467-J467+L467-M467+O467-P467+R467-S467,"")</f>
        <v/>
      </c>
      <c r="AE467" s="40" t="str">
        <f>IF(AND(E467&lt;&gt;'Povolené hodnoty'!$B$4,F467="5b"),I467-J467+L467-M467+O467-P467+R467-S467,"")</f>
        <v/>
      </c>
      <c r="AF467" s="40" t="str">
        <f>IF(AND(E467&lt;&gt;'Povolené hodnoty'!$B$4,F467=6),I467+L467+O467+R467,"")</f>
        <v/>
      </c>
      <c r="AG467" s="41" t="str">
        <f>IF(AND(E467&lt;&gt;'Povolené hodnoty'!$B$4,F467=7),I467+L467+O467+R467,"")</f>
        <v/>
      </c>
      <c r="AH467" s="39" t="str">
        <f>IF(AND(E467&lt;&gt;'Povolené hodnoty'!$B$4,F467=10),J467+M467+P467+S467,"")</f>
        <v/>
      </c>
      <c r="AI467" s="40" t="str">
        <f>IF(AND(E467&lt;&gt;'Povolené hodnoty'!$B$4,F467=11),J467+M467+P467+S467,"")</f>
        <v/>
      </c>
      <c r="AJ467" s="40" t="str">
        <f>IF(AND(E467&lt;&gt;'Povolené hodnoty'!$B$4,F467=12),J467+M467+P467+S467,"")</f>
        <v/>
      </c>
      <c r="AK467" s="41" t="str">
        <f>IF(AND(E467&lt;&gt;'Povolené hodnoty'!$B$4,F467=13),J467+M467+P467+S467,"")</f>
        <v/>
      </c>
      <c r="AL467" s="39" t="str">
        <f>IF(AND($G467='Povolené hodnoty'!$B$13,$H467=AL$4),SUM($I467,$L467,$O467,$R467),"")</f>
        <v/>
      </c>
      <c r="AM467" s="458" t="str">
        <f>IF(AND($G467='Povolené hodnoty'!$B$13,$H467=AM$4),SUM($I467,$L467,$O467,$R467),"")</f>
        <v/>
      </c>
      <c r="AN467" s="458" t="str">
        <f>IF(AND($G467='Povolené hodnoty'!$B$13,$H467=AN$4),SUM($I467,$L467,$O467,$R467),"")</f>
        <v/>
      </c>
      <c r="AO467" s="458" t="str">
        <f>IF(AND($G467='Povolené hodnoty'!$B$13,$H467=AO$4),SUM($I467,$L467,$O467,$R467),"")</f>
        <v/>
      </c>
      <c r="AP467" s="458" t="str">
        <f>IF(AND($G467='Povolené hodnoty'!$B$13,$H467=AP$4),SUM($I467,$L467,$O467,$R467),"")</f>
        <v/>
      </c>
      <c r="AQ467" s="40" t="str">
        <f>IF(AND($G467='Povolené hodnoty'!$B$13,OR($H467=AQ$4,$H467='Povolené hodnoty'!$E$36)),SUM($I467,-$J467,$L467,-$M467,$O467,-$P467,$R467,-$S467),"")</f>
        <v/>
      </c>
      <c r="AR467" s="40" t="str">
        <f>IF(AND($G467='Povolené hodnoty'!$B$13,$H467=AR$4),SUM($I467,$L467,$O467,$R467),"")</f>
        <v/>
      </c>
      <c r="AS467" s="41" t="str">
        <f>IF(AND($G467='Povolené hodnoty'!$B$13,$H467=AS$4),SUM($I467,$L467,$O467,$R467),"")</f>
        <v/>
      </c>
      <c r="AT467" s="39" t="str">
        <f>IF(AND($G467='Povolené hodnoty'!$B$14,$H467=AT$4),SUM($I467,$L467,$O467,$R467),"")</f>
        <v/>
      </c>
      <c r="AU467" s="458" t="str">
        <f>IF(AND($G467='Povolené hodnoty'!$B$14,$H467=AU$4),SUM($I467,$L467,$O467,$R467),"")</f>
        <v/>
      </c>
      <c r="AV467" s="41" t="str">
        <f>IF(AND($G467='Povolené hodnoty'!$B$14,$H467=AV$4),SUM($I467,$L467,$O467,$R467),"")</f>
        <v/>
      </c>
      <c r="AW467" s="39" t="str">
        <f>IF(AND($G467='Povolené hodnoty'!$B$13,$H467=AW$4),SUM($J467,$M467,$P467,$S467),"")</f>
        <v/>
      </c>
      <c r="AX467" s="458" t="str">
        <f>IF(AND($G467='Povolené hodnoty'!$B$13,$H467=AX$4),SUM($J467,$M467,$P467,$S467),"")</f>
        <v/>
      </c>
      <c r="AY467" s="458" t="str">
        <f>IF(AND($G467='Povolené hodnoty'!$B$13,$H467=AY$4),SUM($J467,$M467,$P467,$S467),"")</f>
        <v/>
      </c>
      <c r="AZ467" s="458" t="str">
        <f>IF(AND($G467='Povolené hodnoty'!$B$13,$H467=AZ$4),SUM($J467,$M467,$P467,$S467),"")</f>
        <v/>
      </c>
      <c r="BA467" s="458" t="str">
        <f>IF(AND($G467='Povolené hodnoty'!$B$13,$H467=BA$4),SUM($J467,$M467,$P467,$S467),"")</f>
        <v/>
      </c>
      <c r="BB467" s="40" t="str">
        <f>IF(AND($G467='Povolené hodnoty'!$B$13,$H467=BB$4),SUM($J467,$M467,$P467,$S467),"")</f>
        <v/>
      </c>
      <c r="BC467" s="40" t="str">
        <f>IF(AND($G467='Povolené hodnoty'!$B$13,$H467=BC$4),SUM($J467,$M467,$P467,$S467),"")</f>
        <v/>
      </c>
      <c r="BD467" s="40" t="str">
        <f>IF(AND($G467='Povolené hodnoty'!$B$13,$H467=BD$4),SUM($J467,$M467,$P467,$S467),"")</f>
        <v/>
      </c>
      <c r="BE467" s="41" t="str">
        <f>IF(AND($G467='Povolené hodnoty'!$B$13,$H467=BE$4),SUM($J467,$M467,$P467,$S467),"")</f>
        <v/>
      </c>
      <c r="BF467" s="39" t="str">
        <f>IF(AND($G467='Povolené hodnoty'!$B$14,$H467=BF$4),SUM($J467,$M467,$P467,$S467),"")</f>
        <v/>
      </c>
      <c r="BG467" s="458" t="str">
        <f>IF(AND($G467='Povolené hodnoty'!$B$14,$H467=BG$4),SUM($J467,$M467,$P467,$S467),"")</f>
        <v/>
      </c>
      <c r="BH467" s="458" t="str">
        <f>IF(AND($G467='Povolené hodnoty'!$B$14,$H467=BH$4),SUM($J467,$M467,$P467,$S467),"")</f>
        <v/>
      </c>
      <c r="BI467" s="458" t="str">
        <f>IF(AND($G467='Povolené hodnoty'!$B$14,$H467=BI$4),SUM($J467,$M467,$P467,$S467),"")</f>
        <v/>
      </c>
      <c r="BJ467" s="458" t="str">
        <f>IF(AND($G467='Povolené hodnoty'!$B$14,$H467=BJ$4),SUM($J467,$M467,$P467,$S467),"")</f>
        <v/>
      </c>
      <c r="BK467" s="40" t="str">
        <f>IF(AND($G467='Povolené hodnoty'!$B$14,$H467=BK$4),SUM($J467,$M467,$P467,$S467),"")</f>
        <v/>
      </c>
      <c r="BL467" s="40" t="str">
        <f>IF(AND($G467='Povolené hodnoty'!$B$14,$H467=BL$4),SUM($J467,$M467,$P467,$S467),"")</f>
        <v/>
      </c>
      <c r="BM467" s="41" t="str">
        <f>IF(AND($G467='Povolené hodnoty'!$B$14,$H467=BM$4),SUM($J467,$M467,$P467,$S467),"")</f>
        <v/>
      </c>
      <c r="BO467" s="18" t="b">
        <f t="shared" si="281"/>
        <v>0</v>
      </c>
      <c r="BP467" s="18" t="b">
        <f t="shared" si="252"/>
        <v>0</v>
      </c>
      <c r="BQ467" s="18" t="b">
        <f>AND(E467&lt;&gt;'Povolené hodnoty'!$B$6,F467&lt;&gt;'Povolené hodnoty'!$D$7,F467&lt;&gt;'Povolené hodnoty'!$D$8,OR(SUM(I467,L467,O467,R467)&lt;&gt;SUM(W467:X467,AA467:AG467),SUM(J467,M467,P467,S467)&lt;&gt;SUM(Y467:Z467,AH467:AK467),COUNT(I467:J467,L467:M467,O467:P467,R467:S467)&lt;&gt;COUNT(W467:AK467)))</f>
        <v>0</v>
      </c>
      <c r="BR467" s="18" t="b">
        <f>OR(AND(E467='Povolené hodnoty'!$B$6,$BR$5),AND(E467='Povolené hodnoty'!$B$6,H467&lt;&gt;'Povolené hodnoty'!$E$26,H467&lt;&gt;'Povolené hodnoty'!$E$35),AND(E467&lt;&gt;'Povolené hodnoty'!$B$6,OR(H467='Povolené hodnoty'!$E$26,H467='Povolené hodnoty'!$E$35)))</f>
        <v>0</v>
      </c>
      <c r="BS467" s="18" t="b">
        <f>OR(AND(G467&lt;&gt;'Povolené hodnoty'!$B$13,OR(H467='Povolené hodnoty'!$E$21,H467='Povolené hodnoty'!$E$22,H467='Povolené hodnoty'!$E$23,H467='Povolené hodnoty'!$E$24,H467='Povolené hodnoty'!$E$26,H467='Povolené hodnoty'!$E$36)),COUNT(I467:J467,L467:M467,O467:P467,R467:S467)&lt;&gt;COUNT(AL467:BM467))</f>
        <v>0</v>
      </c>
      <c r="BT467" s="18" t="b">
        <f t="shared" si="253"/>
        <v>0</v>
      </c>
      <c r="BV467" s="39" t="str">
        <f t="shared" si="254"/>
        <v/>
      </c>
      <c r="BW467" s="458" t="str">
        <f t="shared" si="255"/>
        <v/>
      </c>
      <c r="BX467" s="458" t="str">
        <f t="shared" si="256"/>
        <v/>
      </c>
      <c r="BY467" s="458" t="str">
        <f t="shared" si="257"/>
        <v/>
      </c>
      <c r="BZ467" s="458" t="str">
        <f t="shared" si="258"/>
        <v/>
      </c>
      <c r="CA467" s="40" t="str">
        <f t="shared" si="259"/>
        <v/>
      </c>
      <c r="CB467" s="40" t="str">
        <f t="shared" si="260"/>
        <v/>
      </c>
      <c r="CC467" s="39" t="str">
        <f t="shared" si="261"/>
        <v/>
      </c>
      <c r="CD467" s="458" t="str">
        <f t="shared" si="262"/>
        <v/>
      </c>
      <c r="CE467" s="41" t="str">
        <f t="shared" si="263"/>
        <v/>
      </c>
      <c r="CF467" s="39" t="str">
        <f t="shared" si="264"/>
        <v/>
      </c>
      <c r="CG467" s="458" t="str">
        <f t="shared" si="265"/>
        <v/>
      </c>
      <c r="CH467" s="458" t="str">
        <f t="shared" si="266"/>
        <v/>
      </c>
      <c r="CI467" s="458" t="str">
        <f t="shared" si="267"/>
        <v/>
      </c>
      <c r="CJ467" s="458" t="str">
        <f t="shared" si="268"/>
        <v/>
      </c>
      <c r="CK467" s="40" t="str">
        <f t="shared" si="269"/>
        <v/>
      </c>
      <c r="CL467" s="40" t="str">
        <f t="shared" si="270"/>
        <v/>
      </c>
      <c r="CM467" s="40" t="str">
        <f t="shared" si="271"/>
        <v/>
      </c>
      <c r="CN467" s="39" t="str">
        <f t="shared" si="272"/>
        <v/>
      </c>
      <c r="CO467" s="458" t="str">
        <f t="shared" si="273"/>
        <v/>
      </c>
      <c r="CP467" s="458" t="str">
        <f t="shared" si="274"/>
        <v/>
      </c>
      <c r="CQ467" s="458" t="str">
        <f t="shared" si="275"/>
        <v/>
      </c>
      <c r="CR467" s="458" t="str">
        <f t="shared" si="276"/>
        <v/>
      </c>
      <c r="CS467" s="40" t="str">
        <f t="shared" si="277"/>
        <v/>
      </c>
      <c r="CT467" s="40" t="str">
        <f t="shared" si="278"/>
        <v/>
      </c>
      <c r="CU467" s="41" t="str">
        <f t="shared" si="279"/>
        <v/>
      </c>
    </row>
    <row r="468" spans="1:99" x14ac:dyDescent="0.2">
      <c r="A468" s="77">
        <f t="shared" si="280"/>
        <v>463</v>
      </c>
      <c r="B468" s="81"/>
      <c r="C468" s="82"/>
      <c r="D468" s="71"/>
      <c r="E468" s="72"/>
      <c r="F468" s="73"/>
      <c r="G468" s="443"/>
      <c r="H468" s="443"/>
      <c r="I468" s="74"/>
      <c r="J468" s="75"/>
      <c r="K468" s="41">
        <f t="shared" si="249"/>
        <v>3625</v>
      </c>
      <c r="L468" s="104"/>
      <c r="M468" s="105"/>
      <c r="N468" s="106">
        <f t="shared" si="250"/>
        <v>537.05999999999995</v>
      </c>
      <c r="O468" s="104"/>
      <c r="P468" s="105"/>
      <c r="Q468" s="106">
        <f t="shared" si="282"/>
        <v>10045.83</v>
      </c>
      <c r="R468" s="104"/>
      <c r="S468" s="105"/>
      <c r="T468" s="106">
        <f t="shared" si="283"/>
        <v>0</v>
      </c>
      <c r="U468" s="439"/>
      <c r="V468" s="42">
        <f t="shared" si="251"/>
        <v>463</v>
      </c>
      <c r="W468" s="39" t="str">
        <f>IF(AND(E468='Povolené hodnoty'!$B$4,F468=2),I468+L468+O468+R468,"")</f>
        <v/>
      </c>
      <c r="X468" s="41" t="str">
        <f>IF(AND(E468='Povolené hodnoty'!$B$4,F468=1),I468+L468+O468+R468,"")</f>
        <v/>
      </c>
      <c r="Y468" s="39" t="str">
        <f>IF(AND(E468='Povolené hodnoty'!$B$4,F468=10),J468+M468+P468+S468,"")</f>
        <v/>
      </c>
      <c r="Z468" s="41" t="str">
        <f>IF(AND(E468='Povolené hodnoty'!$B$4,F468=9),J468+M468+P468+S468,"")</f>
        <v/>
      </c>
      <c r="AA468" s="39" t="str">
        <f>IF(AND(E468&lt;&gt;'Povolené hodnoty'!$B$4,F468=2),I468+L468+O468+R468,"")</f>
        <v/>
      </c>
      <c r="AB468" s="40" t="str">
        <f>IF(AND(E468&lt;&gt;'Povolené hodnoty'!$B$4,F468=3),I468+L468+O468+R468,"")</f>
        <v/>
      </c>
      <c r="AC468" s="40" t="str">
        <f>IF(AND(E468&lt;&gt;'Povolené hodnoty'!$B$4,F468=4),I468+L468+O468+R468,"")</f>
        <v/>
      </c>
      <c r="AD468" s="40" t="str">
        <f>IF(AND(E468&lt;&gt;'Povolené hodnoty'!$B$4,F468="5a"),I468-J468+L468-M468+O468-P468+R468-S468,"")</f>
        <v/>
      </c>
      <c r="AE468" s="40" t="str">
        <f>IF(AND(E468&lt;&gt;'Povolené hodnoty'!$B$4,F468="5b"),I468-J468+L468-M468+O468-P468+R468-S468,"")</f>
        <v/>
      </c>
      <c r="AF468" s="40" t="str">
        <f>IF(AND(E468&lt;&gt;'Povolené hodnoty'!$B$4,F468=6),I468+L468+O468+R468,"")</f>
        <v/>
      </c>
      <c r="AG468" s="41" t="str">
        <f>IF(AND(E468&lt;&gt;'Povolené hodnoty'!$B$4,F468=7),I468+L468+O468+R468,"")</f>
        <v/>
      </c>
      <c r="AH468" s="39" t="str">
        <f>IF(AND(E468&lt;&gt;'Povolené hodnoty'!$B$4,F468=10),J468+M468+P468+S468,"")</f>
        <v/>
      </c>
      <c r="AI468" s="40" t="str">
        <f>IF(AND(E468&lt;&gt;'Povolené hodnoty'!$B$4,F468=11),J468+M468+P468+S468,"")</f>
        <v/>
      </c>
      <c r="AJ468" s="40" t="str">
        <f>IF(AND(E468&lt;&gt;'Povolené hodnoty'!$B$4,F468=12),J468+M468+P468+S468,"")</f>
        <v/>
      </c>
      <c r="AK468" s="41" t="str">
        <f>IF(AND(E468&lt;&gt;'Povolené hodnoty'!$B$4,F468=13),J468+M468+P468+S468,"")</f>
        <v/>
      </c>
      <c r="AL468" s="39" t="str">
        <f>IF(AND($G468='Povolené hodnoty'!$B$13,$H468=AL$4),SUM($I468,$L468,$O468,$R468),"")</f>
        <v/>
      </c>
      <c r="AM468" s="458" t="str">
        <f>IF(AND($G468='Povolené hodnoty'!$B$13,$H468=AM$4),SUM($I468,$L468,$O468,$R468),"")</f>
        <v/>
      </c>
      <c r="AN468" s="458" t="str">
        <f>IF(AND($G468='Povolené hodnoty'!$B$13,$H468=AN$4),SUM($I468,$L468,$O468,$R468),"")</f>
        <v/>
      </c>
      <c r="AO468" s="458" t="str">
        <f>IF(AND($G468='Povolené hodnoty'!$B$13,$H468=AO$4),SUM($I468,$L468,$O468,$R468),"")</f>
        <v/>
      </c>
      <c r="AP468" s="458" t="str">
        <f>IF(AND($G468='Povolené hodnoty'!$B$13,$H468=AP$4),SUM($I468,$L468,$O468,$R468),"")</f>
        <v/>
      </c>
      <c r="AQ468" s="40" t="str">
        <f>IF(AND($G468='Povolené hodnoty'!$B$13,OR($H468=AQ$4,$H468='Povolené hodnoty'!$E$36)),SUM($I468,-$J468,$L468,-$M468,$O468,-$P468,$R468,-$S468),"")</f>
        <v/>
      </c>
      <c r="AR468" s="40" t="str">
        <f>IF(AND($G468='Povolené hodnoty'!$B$13,$H468=AR$4),SUM($I468,$L468,$O468,$R468),"")</f>
        <v/>
      </c>
      <c r="AS468" s="41" t="str">
        <f>IF(AND($G468='Povolené hodnoty'!$B$13,$H468=AS$4),SUM($I468,$L468,$O468,$R468),"")</f>
        <v/>
      </c>
      <c r="AT468" s="39" t="str">
        <f>IF(AND($G468='Povolené hodnoty'!$B$14,$H468=AT$4),SUM($I468,$L468,$O468,$R468),"")</f>
        <v/>
      </c>
      <c r="AU468" s="458" t="str">
        <f>IF(AND($G468='Povolené hodnoty'!$B$14,$H468=AU$4),SUM($I468,$L468,$O468,$R468),"")</f>
        <v/>
      </c>
      <c r="AV468" s="41" t="str">
        <f>IF(AND($G468='Povolené hodnoty'!$B$14,$H468=AV$4),SUM($I468,$L468,$O468,$R468),"")</f>
        <v/>
      </c>
      <c r="AW468" s="39" t="str">
        <f>IF(AND($G468='Povolené hodnoty'!$B$13,$H468=AW$4),SUM($J468,$M468,$P468,$S468),"")</f>
        <v/>
      </c>
      <c r="AX468" s="458" t="str">
        <f>IF(AND($G468='Povolené hodnoty'!$B$13,$H468=AX$4),SUM($J468,$M468,$P468,$S468),"")</f>
        <v/>
      </c>
      <c r="AY468" s="458" t="str">
        <f>IF(AND($G468='Povolené hodnoty'!$B$13,$H468=AY$4),SUM($J468,$M468,$P468,$S468),"")</f>
        <v/>
      </c>
      <c r="AZ468" s="458" t="str">
        <f>IF(AND($G468='Povolené hodnoty'!$B$13,$H468=AZ$4),SUM($J468,$M468,$P468,$S468),"")</f>
        <v/>
      </c>
      <c r="BA468" s="458" t="str">
        <f>IF(AND($G468='Povolené hodnoty'!$B$13,$H468=BA$4),SUM($J468,$M468,$P468,$S468),"")</f>
        <v/>
      </c>
      <c r="BB468" s="40" t="str">
        <f>IF(AND($G468='Povolené hodnoty'!$B$13,$H468=BB$4),SUM($J468,$M468,$P468,$S468),"")</f>
        <v/>
      </c>
      <c r="BC468" s="40" t="str">
        <f>IF(AND($G468='Povolené hodnoty'!$B$13,$H468=BC$4),SUM($J468,$M468,$P468,$S468),"")</f>
        <v/>
      </c>
      <c r="BD468" s="40" t="str">
        <f>IF(AND($G468='Povolené hodnoty'!$B$13,$H468=BD$4),SUM($J468,$M468,$P468,$S468),"")</f>
        <v/>
      </c>
      <c r="BE468" s="41" t="str">
        <f>IF(AND($G468='Povolené hodnoty'!$B$13,$H468=BE$4),SUM($J468,$M468,$P468,$S468),"")</f>
        <v/>
      </c>
      <c r="BF468" s="39" t="str">
        <f>IF(AND($G468='Povolené hodnoty'!$B$14,$H468=BF$4),SUM($J468,$M468,$P468,$S468),"")</f>
        <v/>
      </c>
      <c r="BG468" s="458" t="str">
        <f>IF(AND($G468='Povolené hodnoty'!$B$14,$H468=BG$4),SUM($J468,$M468,$P468,$S468),"")</f>
        <v/>
      </c>
      <c r="BH468" s="458" t="str">
        <f>IF(AND($G468='Povolené hodnoty'!$B$14,$H468=BH$4),SUM($J468,$M468,$P468,$S468),"")</f>
        <v/>
      </c>
      <c r="BI468" s="458" t="str">
        <f>IF(AND($G468='Povolené hodnoty'!$B$14,$H468=BI$4),SUM($J468,$M468,$P468,$S468),"")</f>
        <v/>
      </c>
      <c r="BJ468" s="458" t="str">
        <f>IF(AND($G468='Povolené hodnoty'!$B$14,$H468=BJ$4),SUM($J468,$M468,$P468,$S468),"")</f>
        <v/>
      </c>
      <c r="BK468" s="40" t="str">
        <f>IF(AND($G468='Povolené hodnoty'!$B$14,$H468=BK$4),SUM($J468,$M468,$P468,$S468),"")</f>
        <v/>
      </c>
      <c r="BL468" s="40" t="str">
        <f>IF(AND($G468='Povolené hodnoty'!$B$14,$H468=BL$4),SUM($J468,$M468,$P468,$S468),"")</f>
        <v/>
      </c>
      <c r="BM468" s="41" t="str">
        <f>IF(AND($G468='Povolené hodnoty'!$B$14,$H468=BM$4),SUM($J468,$M468,$P468,$S468),"")</f>
        <v/>
      </c>
      <c r="BO468" s="18" t="b">
        <f t="shared" si="281"/>
        <v>0</v>
      </c>
      <c r="BP468" s="18" t="b">
        <f t="shared" si="252"/>
        <v>0</v>
      </c>
      <c r="BQ468" s="18" t="b">
        <f>AND(E468&lt;&gt;'Povolené hodnoty'!$B$6,F468&lt;&gt;'Povolené hodnoty'!$D$7,F468&lt;&gt;'Povolené hodnoty'!$D$8,OR(SUM(I468,L468,O468,R468)&lt;&gt;SUM(W468:X468,AA468:AG468),SUM(J468,M468,P468,S468)&lt;&gt;SUM(Y468:Z468,AH468:AK468),COUNT(I468:J468,L468:M468,O468:P468,R468:S468)&lt;&gt;COUNT(W468:AK468)))</f>
        <v>0</v>
      </c>
      <c r="BR468" s="18" t="b">
        <f>OR(AND(E468='Povolené hodnoty'!$B$6,$BR$5),AND(E468='Povolené hodnoty'!$B$6,H468&lt;&gt;'Povolené hodnoty'!$E$26,H468&lt;&gt;'Povolené hodnoty'!$E$35),AND(E468&lt;&gt;'Povolené hodnoty'!$B$6,OR(H468='Povolené hodnoty'!$E$26,H468='Povolené hodnoty'!$E$35)))</f>
        <v>0</v>
      </c>
      <c r="BS468" s="18" t="b">
        <f>OR(AND(G468&lt;&gt;'Povolené hodnoty'!$B$13,OR(H468='Povolené hodnoty'!$E$21,H468='Povolené hodnoty'!$E$22,H468='Povolené hodnoty'!$E$23,H468='Povolené hodnoty'!$E$24,H468='Povolené hodnoty'!$E$26,H468='Povolené hodnoty'!$E$36)),COUNT(I468:J468,L468:M468,O468:P468,R468:S468)&lt;&gt;COUNT(AL468:BM468))</f>
        <v>0</v>
      </c>
      <c r="BT468" s="18" t="b">
        <f t="shared" si="253"/>
        <v>0</v>
      </c>
      <c r="BV468" s="39" t="str">
        <f t="shared" si="254"/>
        <v/>
      </c>
      <c r="BW468" s="458" t="str">
        <f t="shared" si="255"/>
        <v/>
      </c>
      <c r="BX468" s="458" t="str">
        <f t="shared" si="256"/>
        <v/>
      </c>
      <c r="BY468" s="458" t="str">
        <f t="shared" si="257"/>
        <v/>
      </c>
      <c r="BZ468" s="458" t="str">
        <f t="shared" si="258"/>
        <v/>
      </c>
      <c r="CA468" s="40" t="str">
        <f t="shared" si="259"/>
        <v/>
      </c>
      <c r="CB468" s="40" t="str">
        <f t="shared" si="260"/>
        <v/>
      </c>
      <c r="CC468" s="39" t="str">
        <f t="shared" si="261"/>
        <v/>
      </c>
      <c r="CD468" s="458" t="str">
        <f t="shared" si="262"/>
        <v/>
      </c>
      <c r="CE468" s="41" t="str">
        <f t="shared" si="263"/>
        <v/>
      </c>
      <c r="CF468" s="39" t="str">
        <f t="shared" si="264"/>
        <v/>
      </c>
      <c r="CG468" s="458" t="str">
        <f t="shared" si="265"/>
        <v/>
      </c>
      <c r="CH468" s="458" t="str">
        <f t="shared" si="266"/>
        <v/>
      </c>
      <c r="CI468" s="458" t="str">
        <f t="shared" si="267"/>
        <v/>
      </c>
      <c r="CJ468" s="458" t="str">
        <f t="shared" si="268"/>
        <v/>
      </c>
      <c r="CK468" s="40" t="str">
        <f t="shared" si="269"/>
        <v/>
      </c>
      <c r="CL468" s="40" t="str">
        <f t="shared" si="270"/>
        <v/>
      </c>
      <c r="CM468" s="40" t="str">
        <f t="shared" si="271"/>
        <v/>
      </c>
      <c r="CN468" s="39" t="str">
        <f t="shared" si="272"/>
        <v/>
      </c>
      <c r="CO468" s="458" t="str">
        <f t="shared" si="273"/>
        <v/>
      </c>
      <c r="CP468" s="458" t="str">
        <f t="shared" si="274"/>
        <v/>
      </c>
      <c r="CQ468" s="458" t="str">
        <f t="shared" si="275"/>
        <v/>
      </c>
      <c r="CR468" s="458" t="str">
        <f t="shared" si="276"/>
        <v/>
      </c>
      <c r="CS468" s="40" t="str">
        <f t="shared" si="277"/>
        <v/>
      </c>
      <c r="CT468" s="40" t="str">
        <f t="shared" si="278"/>
        <v/>
      </c>
      <c r="CU468" s="41" t="str">
        <f t="shared" si="279"/>
        <v/>
      </c>
    </row>
    <row r="469" spans="1:99" x14ac:dyDescent="0.2">
      <c r="A469" s="77">
        <f t="shared" si="280"/>
        <v>464</v>
      </c>
      <c r="B469" s="81"/>
      <c r="C469" s="82"/>
      <c r="D469" s="71"/>
      <c r="E469" s="72"/>
      <c r="F469" s="73"/>
      <c r="G469" s="443"/>
      <c r="H469" s="443"/>
      <c r="I469" s="74"/>
      <c r="J469" s="75"/>
      <c r="K469" s="41">
        <f t="shared" si="249"/>
        <v>3625</v>
      </c>
      <c r="L469" s="104"/>
      <c r="M469" s="105"/>
      <c r="N469" s="106">
        <f t="shared" si="250"/>
        <v>537.05999999999995</v>
      </c>
      <c r="O469" s="104"/>
      <c r="P469" s="105"/>
      <c r="Q469" s="106">
        <f t="shared" si="282"/>
        <v>10045.83</v>
      </c>
      <c r="R469" s="104"/>
      <c r="S469" s="105"/>
      <c r="T469" s="106">
        <f t="shared" si="283"/>
        <v>0</v>
      </c>
      <c r="U469" s="439"/>
      <c r="V469" s="42">
        <f t="shared" si="251"/>
        <v>464</v>
      </c>
      <c r="W469" s="39" t="str">
        <f>IF(AND(E469='Povolené hodnoty'!$B$4,F469=2),I469+L469+O469+R469,"")</f>
        <v/>
      </c>
      <c r="X469" s="41" t="str">
        <f>IF(AND(E469='Povolené hodnoty'!$B$4,F469=1),I469+L469+O469+R469,"")</f>
        <v/>
      </c>
      <c r="Y469" s="39" t="str">
        <f>IF(AND(E469='Povolené hodnoty'!$B$4,F469=10),J469+M469+P469+S469,"")</f>
        <v/>
      </c>
      <c r="Z469" s="41" t="str">
        <f>IF(AND(E469='Povolené hodnoty'!$B$4,F469=9),J469+M469+P469+S469,"")</f>
        <v/>
      </c>
      <c r="AA469" s="39" t="str">
        <f>IF(AND(E469&lt;&gt;'Povolené hodnoty'!$B$4,F469=2),I469+L469+O469+R469,"")</f>
        <v/>
      </c>
      <c r="AB469" s="40" t="str">
        <f>IF(AND(E469&lt;&gt;'Povolené hodnoty'!$B$4,F469=3),I469+L469+O469+R469,"")</f>
        <v/>
      </c>
      <c r="AC469" s="40" t="str">
        <f>IF(AND(E469&lt;&gt;'Povolené hodnoty'!$B$4,F469=4),I469+L469+O469+R469,"")</f>
        <v/>
      </c>
      <c r="AD469" s="40" t="str">
        <f>IF(AND(E469&lt;&gt;'Povolené hodnoty'!$B$4,F469="5a"),I469-J469+L469-M469+O469-P469+R469-S469,"")</f>
        <v/>
      </c>
      <c r="AE469" s="40" t="str">
        <f>IF(AND(E469&lt;&gt;'Povolené hodnoty'!$B$4,F469="5b"),I469-J469+L469-M469+O469-P469+R469-S469,"")</f>
        <v/>
      </c>
      <c r="AF469" s="40" t="str">
        <f>IF(AND(E469&lt;&gt;'Povolené hodnoty'!$B$4,F469=6),I469+L469+O469+R469,"")</f>
        <v/>
      </c>
      <c r="AG469" s="41" t="str">
        <f>IF(AND(E469&lt;&gt;'Povolené hodnoty'!$B$4,F469=7),I469+L469+O469+R469,"")</f>
        <v/>
      </c>
      <c r="AH469" s="39" t="str">
        <f>IF(AND(E469&lt;&gt;'Povolené hodnoty'!$B$4,F469=10),J469+M469+P469+S469,"")</f>
        <v/>
      </c>
      <c r="AI469" s="40" t="str">
        <f>IF(AND(E469&lt;&gt;'Povolené hodnoty'!$B$4,F469=11),J469+M469+P469+S469,"")</f>
        <v/>
      </c>
      <c r="AJ469" s="40" t="str">
        <f>IF(AND(E469&lt;&gt;'Povolené hodnoty'!$B$4,F469=12),J469+M469+P469+S469,"")</f>
        <v/>
      </c>
      <c r="AK469" s="41" t="str">
        <f>IF(AND(E469&lt;&gt;'Povolené hodnoty'!$B$4,F469=13),J469+M469+P469+S469,"")</f>
        <v/>
      </c>
      <c r="AL469" s="39" t="str">
        <f>IF(AND($G469='Povolené hodnoty'!$B$13,$H469=AL$4),SUM($I469,$L469,$O469,$R469),"")</f>
        <v/>
      </c>
      <c r="AM469" s="458" t="str">
        <f>IF(AND($G469='Povolené hodnoty'!$B$13,$H469=AM$4),SUM($I469,$L469,$O469,$R469),"")</f>
        <v/>
      </c>
      <c r="AN469" s="458" t="str">
        <f>IF(AND($G469='Povolené hodnoty'!$B$13,$H469=AN$4),SUM($I469,$L469,$O469,$R469),"")</f>
        <v/>
      </c>
      <c r="AO469" s="458" t="str">
        <f>IF(AND($G469='Povolené hodnoty'!$B$13,$H469=AO$4),SUM($I469,$L469,$O469,$R469),"")</f>
        <v/>
      </c>
      <c r="AP469" s="458" t="str">
        <f>IF(AND($G469='Povolené hodnoty'!$B$13,$H469=AP$4),SUM($I469,$L469,$O469,$R469),"")</f>
        <v/>
      </c>
      <c r="AQ469" s="40" t="str">
        <f>IF(AND($G469='Povolené hodnoty'!$B$13,OR($H469=AQ$4,$H469='Povolené hodnoty'!$E$36)),SUM($I469,-$J469,$L469,-$M469,$O469,-$P469,$R469,-$S469),"")</f>
        <v/>
      </c>
      <c r="AR469" s="40" t="str">
        <f>IF(AND($G469='Povolené hodnoty'!$B$13,$H469=AR$4),SUM($I469,$L469,$O469,$R469),"")</f>
        <v/>
      </c>
      <c r="AS469" s="41" t="str">
        <f>IF(AND($G469='Povolené hodnoty'!$B$13,$H469=AS$4),SUM($I469,$L469,$O469,$R469),"")</f>
        <v/>
      </c>
      <c r="AT469" s="39" t="str">
        <f>IF(AND($G469='Povolené hodnoty'!$B$14,$H469=AT$4),SUM($I469,$L469,$O469,$R469),"")</f>
        <v/>
      </c>
      <c r="AU469" s="458" t="str">
        <f>IF(AND($G469='Povolené hodnoty'!$B$14,$H469=AU$4),SUM($I469,$L469,$O469,$R469),"")</f>
        <v/>
      </c>
      <c r="AV469" s="41" t="str">
        <f>IF(AND($G469='Povolené hodnoty'!$B$14,$H469=AV$4),SUM($I469,$L469,$O469,$R469),"")</f>
        <v/>
      </c>
      <c r="AW469" s="39" t="str">
        <f>IF(AND($G469='Povolené hodnoty'!$B$13,$H469=AW$4),SUM($J469,$M469,$P469,$S469),"")</f>
        <v/>
      </c>
      <c r="AX469" s="458" t="str">
        <f>IF(AND($G469='Povolené hodnoty'!$B$13,$H469=AX$4),SUM($J469,$M469,$P469,$S469),"")</f>
        <v/>
      </c>
      <c r="AY469" s="458" t="str">
        <f>IF(AND($G469='Povolené hodnoty'!$B$13,$H469=AY$4),SUM($J469,$M469,$P469,$S469),"")</f>
        <v/>
      </c>
      <c r="AZ469" s="458" t="str">
        <f>IF(AND($G469='Povolené hodnoty'!$B$13,$H469=AZ$4),SUM($J469,$M469,$P469,$S469),"")</f>
        <v/>
      </c>
      <c r="BA469" s="458" t="str">
        <f>IF(AND($G469='Povolené hodnoty'!$B$13,$H469=BA$4),SUM($J469,$M469,$P469,$S469),"")</f>
        <v/>
      </c>
      <c r="BB469" s="40" t="str">
        <f>IF(AND($G469='Povolené hodnoty'!$B$13,$H469=BB$4),SUM($J469,$M469,$P469,$S469),"")</f>
        <v/>
      </c>
      <c r="BC469" s="40" t="str">
        <f>IF(AND($G469='Povolené hodnoty'!$B$13,$H469=BC$4),SUM($J469,$M469,$P469,$S469),"")</f>
        <v/>
      </c>
      <c r="BD469" s="40" t="str">
        <f>IF(AND($G469='Povolené hodnoty'!$B$13,$H469=BD$4),SUM($J469,$M469,$P469,$S469),"")</f>
        <v/>
      </c>
      <c r="BE469" s="41" t="str">
        <f>IF(AND($G469='Povolené hodnoty'!$B$13,$H469=BE$4),SUM($J469,$M469,$P469,$S469),"")</f>
        <v/>
      </c>
      <c r="BF469" s="39" t="str">
        <f>IF(AND($G469='Povolené hodnoty'!$B$14,$H469=BF$4),SUM($J469,$M469,$P469,$S469),"")</f>
        <v/>
      </c>
      <c r="BG469" s="458" t="str">
        <f>IF(AND($G469='Povolené hodnoty'!$B$14,$H469=BG$4),SUM($J469,$M469,$P469,$S469),"")</f>
        <v/>
      </c>
      <c r="BH469" s="458" t="str">
        <f>IF(AND($G469='Povolené hodnoty'!$B$14,$H469=BH$4),SUM($J469,$M469,$P469,$S469),"")</f>
        <v/>
      </c>
      <c r="BI469" s="458" t="str">
        <f>IF(AND($G469='Povolené hodnoty'!$B$14,$H469=BI$4),SUM($J469,$M469,$P469,$S469),"")</f>
        <v/>
      </c>
      <c r="BJ469" s="458" t="str">
        <f>IF(AND($G469='Povolené hodnoty'!$B$14,$H469=BJ$4),SUM($J469,$M469,$P469,$S469),"")</f>
        <v/>
      </c>
      <c r="BK469" s="40" t="str">
        <f>IF(AND($G469='Povolené hodnoty'!$B$14,$H469=BK$4),SUM($J469,$M469,$P469,$S469),"")</f>
        <v/>
      </c>
      <c r="BL469" s="40" t="str">
        <f>IF(AND($G469='Povolené hodnoty'!$B$14,$H469=BL$4),SUM($J469,$M469,$P469,$S469),"")</f>
        <v/>
      </c>
      <c r="BM469" s="41" t="str">
        <f>IF(AND($G469='Povolené hodnoty'!$B$14,$H469=BM$4),SUM($J469,$M469,$P469,$S469),"")</f>
        <v/>
      </c>
      <c r="BO469" s="18" t="b">
        <f t="shared" si="281"/>
        <v>0</v>
      </c>
      <c r="BP469" s="18" t="b">
        <f t="shared" si="252"/>
        <v>0</v>
      </c>
      <c r="BQ469" s="18" t="b">
        <f>AND(E469&lt;&gt;'Povolené hodnoty'!$B$6,F469&lt;&gt;'Povolené hodnoty'!$D$7,F469&lt;&gt;'Povolené hodnoty'!$D$8,OR(SUM(I469,L469,O469,R469)&lt;&gt;SUM(W469:X469,AA469:AG469),SUM(J469,M469,P469,S469)&lt;&gt;SUM(Y469:Z469,AH469:AK469),COUNT(I469:J469,L469:M469,O469:P469,R469:S469)&lt;&gt;COUNT(W469:AK469)))</f>
        <v>0</v>
      </c>
      <c r="BR469" s="18" t="b">
        <f>OR(AND(E469='Povolené hodnoty'!$B$6,$BR$5),AND(E469='Povolené hodnoty'!$B$6,H469&lt;&gt;'Povolené hodnoty'!$E$26,H469&lt;&gt;'Povolené hodnoty'!$E$35),AND(E469&lt;&gt;'Povolené hodnoty'!$B$6,OR(H469='Povolené hodnoty'!$E$26,H469='Povolené hodnoty'!$E$35)))</f>
        <v>0</v>
      </c>
      <c r="BS469" s="18" t="b">
        <f>OR(AND(G469&lt;&gt;'Povolené hodnoty'!$B$13,OR(H469='Povolené hodnoty'!$E$21,H469='Povolené hodnoty'!$E$22,H469='Povolené hodnoty'!$E$23,H469='Povolené hodnoty'!$E$24,H469='Povolené hodnoty'!$E$26,H469='Povolené hodnoty'!$E$36)),COUNT(I469:J469,L469:M469,O469:P469,R469:S469)&lt;&gt;COUNT(AL469:BM469))</f>
        <v>0</v>
      </c>
      <c r="BT469" s="18" t="b">
        <f t="shared" si="253"/>
        <v>0</v>
      </c>
      <c r="BV469" s="39" t="str">
        <f t="shared" si="254"/>
        <v/>
      </c>
      <c r="BW469" s="458" t="str">
        <f t="shared" si="255"/>
        <v/>
      </c>
      <c r="BX469" s="458" t="str">
        <f t="shared" si="256"/>
        <v/>
      </c>
      <c r="BY469" s="458" t="str">
        <f t="shared" si="257"/>
        <v/>
      </c>
      <c r="BZ469" s="458" t="str">
        <f t="shared" si="258"/>
        <v/>
      </c>
      <c r="CA469" s="40" t="str">
        <f t="shared" si="259"/>
        <v/>
      </c>
      <c r="CB469" s="40" t="str">
        <f t="shared" si="260"/>
        <v/>
      </c>
      <c r="CC469" s="39" t="str">
        <f t="shared" si="261"/>
        <v/>
      </c>
      <c r="CD469" s="458" t="str">
        <f t="shared" si="262"/>
        <v/>
      </c>
      <c r="CE469" s="41" t="str">
        <f t="shared" si="263"/>
        <v/>
      </c>
      <c r="CF469" s="39" t="str">
        <f t="shared" si="264"/>
        <v/>
      </c>
      <c r="CG469" s="458" t="str">
        <f t="shared" si="265"/>
        <v/>
      </c>
      <c r="CH469" s="458" t="str">
        <f t="shared" si="266"/>
        <v/>
      </c>
      <c r="CI469" s="458" t="str">
        <f t="shared" si="267"/>
        <v/>
      </c>
      <c r="CJ469" s="458" t="str">
        <f t="shared" si="268"/>
        <v/>
      </c>
      <c r="CK469" s="40" t="str">
        <f t="shared" si="269"/>
        <v/>
      </c>
      <c r="CL469" s="40" t="str">
        <f t="shared" si="270"/>
        <v/>
      </c>
      <c r="CM469" s="40" t="str">
        <f t="shared" si="271"/>
        <v/>
      </c>
      <c r="CN469" s="39" t="str">
        <f t="shared" si="272"/>
        <v/>
      </c>
      <c r="CO469" s="458" t="str">
        <f t="shared" si="273"/>
        <v/>
      </c>
      <c r="CP469" s="458" t="str">
        <f t="shared" si="274"/>
        <v/>
      </c>
      <c r="CQ469" s="458" t="str">
        <f t="shared" si="275"/>
        <v/>
      </c>
      <c r="CR469" s="458" t="str">
        <f t="shared" si="276"/>
        <v/>
      </c>
      <c r="CS469" s="40" t="str">
        <f t="shared" si="277"/>
        <v/>
      </c>
      <c r="CT469" s="40" t="str">
        <f t="shared" si="278"/>
        <v/>
      </c>
      <c r="CU469" s="41" t="str">
        <f t="shared" si="279"/>
        <v/>
      </c>
    </row>
    <row r="470" spans="1:99" x14ac:dyDescent="0.2">
      <c r="A470" s="77">
        <f t="shared" si="280"/>
        <v>465</v>
      </c>
      <c r="B470" s="81"/>
      <c r="C470" s="82"/>
      <c r="D470" s="71"/>
      <c r="E470" s="72"/>
      <c r="F470" s="73"/>
      <c r="G470" s="443"/>
      <c r="H470" s="443"/>
      <c r="I470" s="74"/>
      <c r="J470" s="75"/>
      <c r="K470" s="41">
        <f t="shared" si="249"/>
        <v>3625</v>
      </c>
      <c r="L470" s="104"/>
      <c r="M470" s="105"/>
      <c r="N470" s="106">
        <f t="shared" si="250"/>
        <v>537.05999999999995</v>
      </c>
      <c r="O470" s="104"/>
      <c r="P470" s="105"/>
      <c r="Q470" s="106">
        <f t="shared" si="282"/>
        <v>10045.83</v>
      </c>
      <c r="R470" s="104"/>
      <c r="S470" s="105"/>
      <c r="T470" s="106">
        <f t="shared" si="283"/>
        <v>0</v>
      </c>
      <c r="U470" s="439"/>
      <c r="V470" s="42">
        <f t="shared" si="251"/>
        <v>465</v>
      </c>
      <c r="W470" s="39" t="str">
        <f>IF(AND(E470='Povolené hodnoty'!$B$4,F470=2),I470+L470+O470+R470,"")</f>
        <v/>
      </c>
      <c r="X470" s="41" t="str">
        <f>IF(AND(E470='Povolené hodnoty'!$B$4,F470=1),I470+L470+O470+R470,"")</f>
        <v/>
      </c>
      <c r="Y470" s="39" t="str">
        <f>IF(AND(E470='Povolené hodnoty'!$B$4,F470=10),J470+M470+P470+S470,"")</f>
        <v/>
      </c>
      <c r="Z470" s="41" t="str">
        <f>IF(AND(E470='Povolené hodnoty'!$B$4,F470=9),J470+M470+P470+S470,"")</f>
        <v/>
      </c>
      <c r="AA470" s="39" t="str">
        <f>IF(AND(E470&lt;&gt;'Povolené hodnoty'!$B$4,F470=2),I470+L470+O470+R470,"")</f>
        <v/>
      </c>
      <c r="AB470" s="40" t="str">
        <f>IF(AND(E470&lt;&gt;'Povolené hodnoty'!$B$4,F470=3),I470+L470+O470+R470,"")</f>
        <v/>
      </c>
      <c r="AC470" s="40" t="str">
        <f>IF(AND(E470&lt;&gt;'Povolené hodnoty'!$B$4,F470=4),I470+L470+O470+R470,"")</f>
        <v/>
      </c>
      <c r="AD470" s="40" t="str">
        <f>IF(AND(E470&lt;&gt;'Povolené hodnoty'!$B$4,F470="5a"),I470-J470+L470-M470+O470-P470+R470-S470,"")</f>
        <v/>
      </c>
      <c r="AE470" s="40" t="str">
        <f>IF(AND(E470&lt;&gt;'Povolené hodnoty'!$B$4,F470="5b"),I470-J470+L470-M470+O470-P470+R470-S470,"")</f>
        <v/>
      </c>
      <c r="AF470" s="40" t="str">
        <f>IF(AND(E470&lt;&gt;'Povolené hodnoty'!$B$4,F470=6),I470+L470+O470+R470,"")</f>
        <v/>
      </c>
      <c r="AG470" s="41" t="str">
        <f>IF(AND(E470&lt;&gt;'Povolené hodnoty'!$B$4,F470=7),I470+L470+O470+R470,"")</f>
        <v/>
      </c>
      <c r="AH470" s="39" t="str">
        <f>IF(AND(E470&lt;&gt;'Povolené hodnoty'!$B$4,F470=10),J470+M470+P470+S470,"")</f>
        <v/>
      </c>
      <c r="AI470" s="40" t="str">
        <f>IF(AND(E470&lt;&gt;'Povolené hodnoty'!$B$4,F470=11),J470+M470+P470+S470,"")</f>
        <v/>
      </c>
      <c r="AJ470" s="40" t="str">
        <f>IF(AND(E470&lt;&gt;'Povolené hodnoty'!$B$4,F470=12),J470+M470+P470+S470,"")</f>
        <v/>
      </c>
      <c r="AK470" s="41" t="str">
        <f>IF(AND(E470&lt;&gt;'Povolené hodnoty'!$B$4,F470=13),J470+M470+P470+S470,"")</f>
        <v/>
      </c>
      <c r="AL470" s="39" t="str">
        <f>IF(AND($G470='Povolené hodnoty'!$B$13,$H470=AL$4),SUM($I470,$L470,$O470,$R470),"")</f>
        <v/>
      </c>
      <c r="AM470" s="458" t="str">
        <f>IF(AND($G470='Povolené hodnoty'!$B$13,$H470=AM$4),SUM($I470,$L470,$O470,$R470),"")</f>
        <v/>
      </c>
      <c r="AN470" s="458" t="str">
        <f>IF(AND($G470='Povolené hodnoty'!$B$13,$H470=AN$4),SUM($I470,$L470,$O470,$R470),"")</f>
        <v/>
      </c>
      <c r="AO470" s="458" t="str">
        <f>IF(AND($G470='Povolené hodnoty'!$B$13,$H470=AO$4),SUM($I470,$L470,$O470,$R470),"")</f>
        <v/>
      </c>
      <c r="AP470" s="458" t="str">
        <f>IF(AND($G470='Povolené hodnoty'!$B$13,$H470=AP$4),SUM($I470,$L470,$O470,$R470),"")</f>
        <v/>
      </c>
      <c r="AQ470" s="40" t="str">
        <f>IF(AND($G470='Povolené hodnoty'!$B$13,OR($H470=AQ$4,$H470='Povolené hodnoty'!$E$36)),SUM($I470,-$J470,$L470,-$M470,$O470,-$P470,$R470,-$S470),"")</f>
        <v/>
      </c>
      <c r="AR470" s="40" t="str">
        <f>IF(AND($G470='Povolené hodnoty'!$B$13,$H470=AR$4),SUM($I470,$L470,$O470,$R470),"")</f>
        <v/>
      </c>
      <c r="AS470" s="41" t="str">
        <f>IF(AND($G470='Povolené hodnoty'!$B$13,$H470=AS$4),SUM($I470,$L470,$O470,$R470),"")</f>
        <v/>
      </c>
      <c r="AT470" s="39" t="str">
        <f>IF(AND($G470='Povolené hodnoty'!$B$14,$H470=AT$4),SUM($I470,$L470,$O470,$R470),"")</f>
        <v/>
      </c>
      <c r="AU470" s="458" t="str">
        <f>IF(AND($G470='Povolené hodnoty'!$B$14,$H470=AU$4),SUM($I470,$L470,$O470,$R470),"")</f>
        <v/>
      </c>
      <c r="AV470" s="41" t="str">
        <f>IF(AND($G470='Povolené hodnoty'!$B$14,$H470=AV$4),SUM($I470,$L470,$O470,$R470),"")</f>
        <v/>
      </c>
      <c r="AW470" s="39" t="str">
        <f>IF(AND($G470='Povolené hodnoty'!$B$13,$H470=AW$4),SUM($J470,$M470,$P470,$S470),"")</f>
        <v/>
      </c>
      <c r="AX470" s="458" t="str">
        <f>IF(AND($G470='Povolené hodnoty'!$B$13,$H470=AX$4),SUM($J470,$M470,$P470,$S470),"")</f>
        <v/>
      </c>
      <c r="AY470" s="458" t="str">
        <f>IF(AND($G470='Povolené hodnoty'!$B$13,$H470=AY$4),SUM($J470,$M470,$P470,$S470),"")</f>
        <v/>
      </c>
      <c r="AZ470" s="458" t="str">
        <f>IF(AND($G470='Povolené hodnoty'!$B$13,$H470=AZ$4),SUM($J470,$M470,$P470,$S470),"")</f>
        <v/>
      </c>
      <c r="BA470" s="458" t="str">
        <f>IF(AND($G470='Povolené hodnoty'!$B$13,$H470=BA$4),SUM($J470,$M470,$P470,$S470),"")</f>
        <v/>
      </c>
      <c r="BB470" s="40" t="str">
        <f>IF(AND($G470='Povolené hodnoty'!$B$13,$H470=BB$4),SUM($J470,$M470,$P470,$S470),"")</f>
        <v/>
      </c>
      <c r="BC470" s="40" t="str">
        <f>IF(AND($G470='Povolené hodnoty'!$B$13,$H470=BC$4),SUM($J470,$M470,$P470,$S470),"")</f>
        <v/>
      </c>
      <c r="BD470" s="40" t="str">
        <f>IF(AND($G470='Povolené hodnoty'!$B$13,$H470=BD$4),SUM($J470,$M470,$P470,$S470),"")</f>
        <v/>
      </c>
      <c r="BE470" s="41" t="str">
        <f>IF(AND($G470='Povolené hodnoty'!$B$13,$H470=BE$4),SUM($J470,$M470,$P470,$S470),"")</f>
        <v/>
      </c>
      <c r="BF470" s="39" t="str">
        <f>IF(AND($G470='Povolené hodnoty'!$B$14,$H470=BF$4),SUM($J470,$M470,$P470,$S470),"")</f>
        <v/>
      </c>
      <c r="BG470" s="458" t="str">
        <f>IF(AND($G470='Povolené hodnoty'!$B$14,$H470=BG$4),SUM($J470,$M470,$P470,$S470),"")</f>
        <v/>
      </c>
      <c r="BH470" s="458" t="str">
        <f>IF(AND($G470='Povolené hodnoty'!$B$14,$H470=BH$4),SUM($J470,$M470,$P470,$S470),"")</f>
        <v/>
      </c>
      <c r="BI470" s="458" t="str">
        <f>IF(AND($G470='Povolené hodnoty'!$B$14,$H470=BI$4),SUM($J470,$M470,$P470,$S470),"")</f>
        <v/>
      </c>
      <c r="BJ470" s="458" t="str">
        <f>IF(AND($G470='Povolené hodnoty'!$B$14,$H470=BJ$4),SUM($J470,$M470,$P470,$S470),"")</f>
        <v/>
      </c>
      <c r="BK470" s="40" t="str">
        <f>IF(AND($G470='Povolené hodnoty'!$B$14,$H470=BK$4),SUM($J470,$M470,$P470,$S470),"")</f>
        <v/>
      </c>
      <c r="BL470" s="40" t="str">
        <f>IF(AND($G470='Povolené hodnoty'!$B$14,$H470=BL$4),SUM($J470,$M470,$P470,$S470),"")</f>
        <v/>
      </c>
      <c r="BM470" s="41" t="str">
        <f>IF(AND($G470='Povolené hodnoty'!$B$14,$H470=BM$4),SUM($J470,$M470,$P470,$S470),"")</f>
        <v/>
      </c>
      <c r="BO470" s="18" t="b">
        <f t="shared" si="281"/>
        <v>0</v>
      </c>
      <c r="BP470" s="18" t="b">
        <f t="shared" si="252"/>
        <v>0</v>
      </c>
      <c r="BQ470" s="18" t="b">
        <f>AND(E470&lt;&gt;'Povolené hodnoty'!$B$6,F470&lt;&gt;'Povolené hodnoty'!$D$7,F470&lt;&gt;'Povolené hodnoty'!$D$8,OR(SUM(I470,L470,O470,R470)&lt;&gt;SUM(W470:X470,AA470:AG470),SUM(J470,M470,P470,S470)&lt;&gt;SUM(Y470:Z470,AH470:AK470),COUNT(I470:J470,L470:M470,O470:P470,R470:S470)&lt;&gt;COUNT(W470:AK470)))</f>
        <v>0</v>
      </c>
      <c r="BR470" s="18" t="b">
        <f>OR(AND(E470='Povolené hodnoty'!$B$6,$BR$5),AND(E470='Povolené hodnoty'!$B$6,H470&lt;&gt;'Povolené hodnoty'!$E$26,H470&lt;&gt;'Povolené hodnoty'!$E$35),AND(E470&lt;&gt;'Povolené hodnoty'!$B$6,OR(H470='Povolené hodnoty'!$E$26,H470='Povolené hodnoty'!$E$35)))</f>
        <v>0</v>
      </c>
      <c r="BS470" s="18" t="b">
        <f>OR(AND(G470&lt;&gt;'Povolené hodnoty'!$B$13,OR(H470='Povolené hodnoty'!$E$21,H470='Povolené hodnoty'!$E$22,H470='Povolené hodnoty'!$E$23,H470='Povolené hodnoty'!$E$24,H470='Povolené hodnoty'!$E$26,H470='Povolené hodnoty'!$E$36)),COUNT(I470:J470,L470:M470,O470:P470,R470:S470)&lt;&gt;COUNT(AL470:BM470))</f>
        <v>0</v>
      </c>
      <c r="BT470" s="18" t="b">
        <f t="shared" si="253"/>
        <v>0</v>
      </c>
      <c r="BV470" s="39" t="str">
        <f t="shared" si="254"/>
        <v/>
      </c>
      <c r="BW470" s="458" t="str">
        <f t="shared" si="255"/>
        <v/>
      </c>
      <c r="BX470" s="458" t="str">
        <f t="shared" si="256"/>
        <v/>
      </c>
      <c r="BY470" s="458" t="str">
        <f t="shared" si="257"/>
        <v/>
      </c>
      <c r="BZ470" s="458" t="str">
        <f t="shared" si="258"/>
        <v/>
      </c>
      <c r="CA470" s="40" t="str">
        <f t="shared" si="259"/>
        <v/>
      </c>
      <c r="CB470" s="40" t="str">
        <f t="shared" si="260"/>
        <v/>
      </c>
      <c r="CC470" s="39" t="str">
        <f t="shared" si="261"/>
        <v/>
      </c>
      <c r="CD470" s="458" t="str">
        <f t="shared" si="262"/>
        <v/>
      </c>
      <c r="CE470" s="41" t="str">
        <f t="shared" si="263"/>
        <v/>
      </c>
      <c r="CF470" s="39" t="str">
        <f t="shared" si="264"/>
        <v/>
      </c>
      <c r="CG470" s="458" t="str">
        <f t="shared" si="265"/>
        <v/>
      </c>
      <c r="CH470" s="458" t="str">
        <f t="shared" si="266"/>
        <v/>
      </c>
      <c r="CI470" s="458" t="str">
        <f t="shared" si="267"/>
        <v/>
      </c>
      <c r="CJ470" s="458" t="str">
        <f t="shared" si="268"/>
        <v/>
      </c>
      <c r="CK470" s="40" t="str">
        <f t="shared" si="269"/>
        <v/>
      </c>
      <c r="CL470" s="40" t="str">
        <f t="shared" si="270"/>
        <v/>
      </c>
      <c r="CM470" s="40" t="str">
        <f t="shared" si="271"/>
        <v/>
      </c>
      <c r="CN470" s="39" t="str">
        <f t="shared" si="272"/>
        <v/>
      </c>
      <c r="CO470" s="458" t="str">
        <f t="shared" si="273"/>
        <v/>
      </c>
      <c r="CP470" s="458" t="str">
        <f t="shared" si="274"/>
        <v/>
      </c>
      <c r="CQ470" s="458" t="str">
        <f t="shared" si="275"/>
        <v/>
      </c>
      <c r="CR470" s="458" t="str">
        <f t="shared" si="276"/>
        <v/>
      </c>
      <c r="CS470" s="40" t="str">
        <f t="shared" si="277"/>
        <v/>
      </c>
      <c r="CT470" s="40" t="str">
        <f t="shared" si="278"/>
        <v/>
      </c>
      <c r="CU470" s="41" t="str">
        <f t="shared" si="279"/>
        <v/>
      </c>
    </row>
    <row r="471" spans="1:99" x14ac:dyDescent="0.2">
      <c r="A471" s="77">
        <f t="shared" si="280"/>
        <v>466</v>
      </c>
      <c r="B471" s="81"/>
      <c r="C471" s="82"/>
      <c r="D471" s="71"/>
      <c r="E471" s="72"/>
      <c r="F471" s="73"/>
      <c r="G471" s="443"/>
      <c r="H471" s="443"/>
      <c r="I471" s="74"/>
      <c r="J471" s="75"/>
      <c r="K471" s="41">
        <f t="shared" si="249"/>
        <v>3625</v>
      </c>
      <c r="L471" s="104"/>
      <c r="M471" s="105"/>
      <c r="N471" s="106">
        <f t="shared" si="250"/>
        <v>537.05999999999995</v>
      </c>
      <c r="O471" s="104"/>
      <c r="P471" s="105"/>
      <c r="Q471" s="106">
        <f t="shared" si="282"/>
        <v>10045.83</v>
      </c>
      <c r="R471" s="104"/>
      <c r="S471" s="105"/>
      <c r="T471" s="106">
        <f t="shared" si="283"/>
        <v>0</v>
      </c>
      <c r="U471" s="439"/>
      <c r="V471" s="42">
        <f t="shared" si="251"/>
        <v>466</v>
      </c>
      <c r="W471" s="39" t="str">
        <f>IF(AND(E471='Povolené hodnoty'!$B$4,F471=2),I471+L471+O471+R471,"")</f>
        <v/>
      </c>
      <c r="X471" s="41" t="str">
        <f>IF(AND(E471='Povolené hodnoty'!$B$4,F471=1),I471+L471+O471+R471,"")</f>
        <v/>
      </c>
      <c r="Y471" s="39" t="str">
        <f>IF(AND(E471='Povolené hodnoty'!$B$4,F471=10),J471+M471+P471+S471,"")</f>
        <v/>
      </c>
      <c r="Z471" s="41" t="str">
        <f>IF(AND(E471='Povolené hodnoty'!$B$4,F471=9),J471+M471+P471+S471,"")</f>
        <v/>
      </c>
      <c r="AA471" s="39" t="str">
        <f>IF(AND(E471&lt;&gt;'Povolené hodnoty'!$B$4,F471=2),I471+L471+O471+R471,"")</f>
        <v/>
      </c>
      <c r="AB471" s="40" t="str">
        <f>IF(AND(E471&lt;&gt;'Povolené hodnoty'!$B$4,F471=3),I471+L471+O471+R471,"")</f>
        <v/>
      </c>
      <c r="AC471" s="40" t="str">
        <f>IF(AND(E471&lt;&gt;'Povolené hodnoty'!$B$4,F471=4),I471+L471+O471+R471,"")</f>
        <v/>
      </c>
      <c r="AD471" s="40" t="str">
        <f>IF(AND(E471&lt;&gt;'Povolené hodnoty'!$B$4,F471="5a"),I471-J471+L471-M471+O471-P471+R471-S471,"")</f>
        <v/>
      </c>
      <c r="AE471" s="40" t="str">
        <f>IF(AND(E471&lt;&gt;'Povolené hodnoty'!$B$4,F471="5b"),I471-J471+L471-M471+O471-P471+R471-S471,"")</f>
        <v/>
      </c>
      <c r="AF471" s="40" t="str">
        <f>IF(AND(E471&lt;&gt;'Povolené hodnoty'!$B$4,F471=6),I471+L471+O471+R471,"")</f>
        <v/>
      </c>
      <c r="AG471" s="41" t="str">
        <f>IF(AND(E471&lt;&gt;'Povolené hodnoty'!$B$4,F471=7),I471+L471+O471+R471,"")</f>
        <v/>
      </c>
      <c r="AH471" s="39" t="str">
        <f>IF(AND(E471&lt;&gt;'Povolené hodnoty'!$B$4,F471=10),J471+M471+P471+S471,"")</f>
        <v/>
      </c>
      <c r="AI471" s="40" t="str">
        <f>IF(AND(E471&lt;&gt;'Povolené hodnoty'!$B$4,F471=11),J471+M471+P471+S471,"")</f>
        <v/>
      </c>
      <c r="AJ471" s="40" t="str">
        <f>IF(AND(E471&lt;&gt;'Povolené hodnoty'!$B$4,F471=12),J471+M471+P471+S471,"")</f>
        <v/>
      </c>
      <c r="AK471" s="41" t="str">
        <f>IF(AND(E471&lt;&gt;'Povolené hodnoty'!$B$4,F471=13),J471+M471+P471+S471,"")</f>
        <v/>
      </c>
      <c r="AL471" s="39" t="str">
        <f>IF(AND($G471='Povolené hodnoty'!$B$13,$H471=AL$4),SUM($I471,$L471,$O471,$R471),"")</f>
        <v/>
      </c>
      <c r="AM471" s="458" t="str">
        <f>IF(AND($G471='Povolené hodnoty'!$B$13,$H471=AM$4),SUM($I471,$L471,$O471,$R471),"")</f>
        <v/>
      </c>
      <c r="AN471" s="458" t="str">
        <f>IF(AND($G471='Povolené hodnoty'!$B$13,$H471=AN$4),SUM($I471,$L471,$O471,$R471),"")</f>
        <v/>
      </c>
      <c r="AO471" s="458" t="str">
        <f>IF(AND($G471='Povolené hodnoty'!$B$13,$H471=AO$4),SUM($I471,$L471,$O471,$R471),"")</f>
        <v/>
      </c>
      <c r="AP471" s="458" t="str">
        <f>IF(AND($G471='Povolené hodnoty'!$B$13,$H471=AP$4),SUM($I471,$L471,$O471,$R471),"")</f>
        <v/>
      </c>
      <c r="AQ471" s="40" t="str">
        <f>IF(AND($G471='Povolené hodnoty'!$B$13,OR($H471=AQ$4,$H471='Povolené hodnoty'!$E$36)),SUM($I471,-$J471,$L471,-$M471,$O471,-$P471,$R471,-$S471),"")</f>
        <v/>
      </c>
      <c r="AR471" s="40" t="str">
        <f>IF(AND($G471='Povolené hodnoty'!$B$13,$H471=AR$4),SUM($I471,$L471,$O471,$R471),"")</f>
        <v/>
      </c>
      <c r="AS471" s="41" t="str">
        <f>IF(AND($G471='Povolené hodnoty'!$B$13,$H471=AS$4),SUM($I471,$L471,$O471,$R471),"")</f>
        <v/>
      </c>
      <c r="AT471" s="39" t="str">
        <f>IF(AND($G471='Povolené hodnoty'!$B$14,$H471=AT$4),SUM($I471,$L471,$O471,$R471),"")</f>
        <v/>
      </c>
      <c r="AU471" s="458" t="str">
        <f>IF(AND($G471='Povolené hodnoty'!$B$14,$H471=AU$4),SUM($I471,$L471,$O471,$R471),"")</f>
        <v/>
      </c>
      <c r="AV471" s="41" t="str">
        <f>IF(AND($G471='Povolené hodnoty'!$B$14,$H471=AV$4),SUM($I471,$L471,$O471,$R471),"")</f>
        <v/>
      </c>
      <c r="AW471" s="39" t="str">
        <f>IF(AND($G471='Povolené hodnoty'!$B$13,$H471=AW$4),SUM($J471,$M471,$P471,$S471),"")</f>
        <v/>
      </c>
      <c r="AX471" s="458" t="str">
        <f>IF(AND($G471='Povolené hodnoty'!$B$13,$H471=AX$4),SUM($J471,$M471,$P471,$S471),"")</f>
        <v/>
      </c>
      <c r="AY471" s="458" t="str">
        <f>IF(AND($G471='Povolené hodnoty'!$B$13,$H471=AY$4),SUM($J471,$M471,$P471,$S471),"")</f>
        <v/>
      </c>
      <c r="AZ471" s="458" t="str">
        <f>IF(AND($G471='Povolené hodnoty'!$B$13,$H471=AZ$4),SUM($J471,$M471,$P471,$S471),"")</f>
        <v/>
      </c>
      <c r="BA471" s="458" t="str">
        <f>IF(AND($G471='Povolené hodnoty'!$B$13,$H471=BA$4),SUM($J471,$M471,$P471,$S471),"")</f>
        <v/>
      </c>
      <c r="BB471" s="40" t="str">
        <f>IF(AND($G471='Povolené hodnoty'!$B$13,$H471=BB$4),SUM($J471,$M471,$P471,$S471),"")</f>
        <v/>
      </c>
      <c r="BC471" s="40" t="str">
        <f>IF(AND($G471='Povolené hodnoty'!$B$13,$H471=BC$4),SUM($J471,$M471,$P471,$S471),"")</f>
        <v/>
      </c>
      <c r="BD471" s="40" t="str">
        <f>IF(AND($G471='Povolené hodnoty'!$B$13,$H471=BD$4),SUM($J471,$M471,$P471,$S471),"")</f>
        <v/>
      </c>
      <c r="BE471" s="41" t="str">
        <f>IF(AND($G471='Povolené hodnoty'!$B$13,$H471=BE$4),SUM($J471,$M471,$P471,$S471),"")</f>
        <v/>
      </c>
      <c r="BF471" s="39" t="str">
        <f>IF(AND($G471='Povolené hodnoty'!$B$14,$H471=BF$4),SUM($J471,$M471,$P471,$S471),"")</f>
        <v/>
      </c>
      <c r="BG471" s="458" t="str">
        <f>IF(AND($G471='Povolené hodnoty'!$B$14,$H471=BG$4),SUM($J471,$M471,$P471,$S471),"")</f>
        <v/>
      </c>
      <c r="BH471" s="458" t="str">
        <f>IF(AND($G471='Povolené hodnoty'!$B$14,$H471=BH$4),SUM($J471,$M471,$P471,$S471),"")</f>
        <v/>
      </c>
      <c r="BI471" s="458" t="str">
        <f>IF(AND($G471='Povolené hodnoty'!$B$14,$H471=BI$4),SUM($J471,$M471,$P471,$S471),"")</f>
        <v/>
      </c>
      <c r="BJ471" s="458" t="str">
        <f>IF(AND($G471='Povolené hodnoty'!$B$14,$H471=BJ$4),SUM($J471,$M471,$P471,$S471),"")</f>
        <v/>
      </c>
      <c r="BK471" s="40" t="str">
        <f>IF(AND($G471='Povolené hodnoty'!$B$14,$H471=BK$4),SUM($J471,$M471,$P471,$S471),"")</f>
        <v/>
      </c>
      <c r="BL471" s="40" t="str">
        <f>IF(AND($G471='Povolené hodnoty'!$B$14,$H471=BL$4),SUM($J471,$M471,$P471,$S471),"")</f>
        <v/>
      </c>
      <c r="BM471" s="41" t="str">
        <f>IF(AND($G471='Povolené hodnoty'!$B$14,$H471=BM$4),SUM($J471,$M471,$P471,$S471),"")</f>
        <v/>
      </c>
      <c r="BO471" s="18" t="b">
        <f t="shared" si="281"/>
        <v>0</v>
      </c>
      <c r="BP471" s="18" t="b">
        <f t="shared" si="252"/>
        <v>0</v>
      </c>
      <c r="BQ471" s="18" t="b">
        <f>AND(E471&lt;&gt;'Povolené hodnoty'!$B$6,F471&lt;&gt;'Povolené hodnoty'!$D$7,F471&lt;&gt;'Povolené hodnoty'!$D$8,OR(SUM(I471,L471,O471,R471)&lt;&gt;SUM(W471:X471,AA471:AG471),SUM(J471,M471,P471,S471)&lt;&gt;SUM(Y471:Z471,AH471:AK471),COUNT(I471:J471,L471:M471,O471:P471,R471:S471)&lt;&gt;COUNT(W471:AK471)))</f>
        <v>0</v>
      </c>
      <c r="BR471" s="18" t="b">
        <f>OR(AND(E471='Povolené hodnoty'!$B$6,$BR$5),AND(E471='Povolené hodnoty'!$B$6,H471&lt;&gt;'Povolené hodnoty'!$E$26,H471&lt;&gt;'Povolené hodnoty'!$E$35),AND(E471&lt;&gt;'Povolené hodnoty'!$B$6,OR(H471='Povolené hodnoty'!$E$26,H471='Povolené hodnoty'!$E$35)))</f>
        <v>0</v>
      </c>
      <c r="BS471" s="18" t="b">
        <f>OR(AND(G471&lt;&gt;'Povolené hodnoty'!$B$13,OR(H471='Povolené hodnoty'!$E$21,H471='Povolené hodnoty'!$E$22,H471='Povolené hodnoty'!$E$23,H471='Povolené hodnoty'!$E$24,H471='Povolené hodnoty'!$E$26,H471='Povolené hodnoty'!$E$36)),COUNT(I471:J471,L471:M471,O471:P471,R471:S471)&lt;&gt;COUNT(AL471:BM471))</f>
        <v>0</v>
      </c>
      <c r="BT471" s="18" t="b">
        <f t="shared" si="253"/>
        <v>0</v>
      </c>
      <c r="BV471" s="39" t="str">
        <f t="shared" si="254"/>
        <v/>
      </c>
      <c r="BW471" s="458" t="str">
        <f t="shared" si="255"/>
        <v/>
      </c>
      <c r="BX471" s="458" t="str">
        <f t="shared" si="256"/>
        <v/>
      </c>
      <c r="BY471" s="458" t="str">
        <f t="shared" si="257"/>
        <v/>
      </c>
      <c r="BZ471" s="458" t="str">
        <f t="shared" si="258"/>
        <v/>
      </c>
      <c r="CA471" s="40" t="str">
        <f t="shared" si="259"/>
        <v/>
      </c>
      <c r="CB471" s="40" t="str">
        <f t="shared" si="260"/>
        <v/>
      </c>
      <c r="CC471" s="39" t="str">
        <f t="shared" si="261"/>
        <v/>
      </c>
      <c r="CD471" s="458" t="str">
        <f t="shared" si="262"/>
        <v/>
      </c>
      <c r="CE471" s="41" t="str">
        <f t="shared" si="263"/>
        <v/>
      </c>
      <c r="CF471" s="39" t="str">
        <f t="shared" si="264"/>
        <v/>
      </c>
      <c r="CG471" s="458" t="str">
        <f t="shared" si="265"/>
        <v/>
      </c>
      <c r="CH471" s="458" t="str">
        <f t="shared" si="266"/>
        <v/>
      </c>
      <c r="CI471" s="458" t="str">
        <f t="shared" si="267"/>
        <v/>
      </c>
      <c r="CJ471" s="458" t="str">
        <f t="shared" si="268"/>
        <v/>
      </c>
      <c r="CK471" s="40" t="str">
        <f t="shared" si="269"/>
        <v/>
      </c>
      <c r="CL471" s="40" t="str">
        <f t="shared" si="270"/>
        <v/>
      </c>
      <c r="CM471" s="40" t="str">
        <f t="shared" si="271"/>
        <v/>
      </c>
      <c r="CN471" s="39" t="str">
        <f t="shared" si="272"/>
        <v/>
      </c>
      <c r="CO471" s="458" t="str">
        <f t="shared" si="273"/>
        <v/>
      </c>
      <c r="CP471" s="458" t="str">
        <f t="shared" si="274"/>
        <v/>
      </c>
      <c r="CQ471" s="458" t="str">
        <f t="shared" si="275"/>
        <v/>
      </c>
      <c r="CR471" s="458" t="str">
        <f t="shared" si="276"/>
        <v/>
      </c>
      <c r="CS471" s="40" t="str">
        <f t="shared" si="277"/>
        <v/>
      </c>
      <c r="CT471" s="40" t="str">
        <f t="shared" si="278"/>
        <v/>
      </c>
      <c r="CU471" s="41" t="str">
        <f t="shared" si="279"/>
        <v/>
      </c>
    </row>
    <row r="472" spans="1:99" x14ac:dyDescent="0.2">
      <c r="A472" s="77">
        <f t="shared" si="280"/>
        <v>467</v>
      </c>
      <c r="B472" s="81"/>
      <c r="C472" s="82"/>
      <c r="D472" s="71"/>
      <c r="E472" s="72"/>
      <c r="F472" s="73"/>
      <c r="G472" s="443"/>
      <c r="H472" s="443"/>
      <c r="I472" s="74"/>
      <c r="J472" s="75"/>
      <c r="K472" s="41">
        <f t="shared" si="249"/>
        <v>3625</v>
      </c>
      <c r="L472" s="104"/>
      <c r="M472" s="105"/>
      <c r="N472" s="106">
        <f t="shared" si="250"/>
        <v>537.05999999999995</v>
      </c>
      <c r="O472" s="104"/>
      <c r="P472" s="105"/>
      <c r="Q472" s="106">
        <f t="shared" si="282"/>
        <v>10045.83</v>
      </c>
      <c r="R472" s="104"/>
      <c r="S472" s="105"/>
      <c r="T472" s="106">
        <f t="shared" si="283"/>
        <v>0</v>
      </c>
      <c r="U472" s="439"/>
      <c r="V472" s="42">
        <f t="shared" si="251"/>
        <v>467</v>
      </c>
      <c r="W472" s="39" t="str">
        <f>IF(AND(E472='Povolené hodnoty'!$B$4,F472=2),I472+L472+O472+R472,"")</f>
        <v/>
      </c>
      <c r="X472" s="41" t="str">
        <f>IF(AND(E472='Povolené hodnoty'!$B$4,F472=1),I472+L472+O472+R472,"")</f>
        <v/>
      </c>
      <c r="Y472" s="39" t="str">
        <f>IF(AND(E472='Povolené hodnoty'!$B$4,F472=10),J472+M472+P472+S472,"")</f>
        <v/>
      </c>
      <c r="Z472" s="41" t="str">
        <f>IF(AND(E472='Povolené hodnoty'!$B$4,F472=9),J472+M472+P472+S472,"")</f>
        <v/>
      </c>
      <c r="AA472" s="39" t="str">
        <f>IF(AND(E472&lt;&gt;'Povolené hodnoty'!$B$4,F472=2),I472+L472+O472+R472,"")</f>
        <v/>
      </c>
      <c r="AB472" s="40" t="str">
        <f>IF(AND(E472&lt;&gt;'Povolené hodnoty'!$B$4,F472=3),I472+L472+O472+R472,"")</f>
        <v/>
      </c>
      <c r="AC472" s="40" t="str">
        <f>IF(AND(E472&lt;&gt;'Povolené hodnoty'!$B$4,F472=4),I472+L472+O472+R472,"")</f>
        <v/>
      </c>
      <c r="AD472" s="40" t="str">
        <f>IF(AND(E472&lt;&gt;'Povolené hodnoty'!$B$4,F472="5a"),I472-J472+L472-M472+O472-P472+R472-S472,"")</f>
        <v/>
      </c>
      <c r="AE472" s="40" t="str">
        <f>IF(AND(E472&lt;&gt;'Povolené hodnoty'!$B$4,F472="5b"),I472-J472+L472-M472+O472-P472+R472-S472,"")</f>
        <v/>
      </c>
      <c r="AF472" s="40" t="str">
        <f>IF(AND(E472&lt;&gt;'Povolené hodnoty'!$B$4,F472=6),I472+L472+O472+R472,"")</f>
        <v/>
      </c>
      <c r="AG472" s="41" t="str">
        <f>IF(AND(E472&lt;&gt;'Povolené hodnoty'!$B$4,F472=7),I472+L472+O472+R472,"")</f>
        <v/>
      </c>
      <c r="AH472" s="39" t="str">
        <f>IF(AND(E472&lt;&gt;'Povolené hodnoty'!$B$4,F472=10),J472+M472+P472+S472,"")</f>
        <v/>
      </c>
      <c r="AI472" s="40" t="str">
        <f>IF(AND(E472&lt;&gt;'Povolené hodnoty'!$B$4,F472=11),J472+M472+P472+S472,"")</f>
        <v/>
      </c>
      <c r="AJ472" s="40" t="str">
        <f>IF(AND(E472&lt;&gt;'Povolené hodnoty'!$B$4,F472=12),J472+M472+P472+S472,"")</f>
        <v/>
      </c>
      <c r="AK472" s="41" t="str">
        <f>IF(AND(E472&lt;&gt;'Povolené hodnoty'!$B$4,F472=13),J472+M472+P472+S472,"")</f>
        <v/>
      </c>
      <c r="AL472" s="39" t="str">
        <f>IF(AND($G472='Povolené hodnoty'!$B$13,$H472=AL$4),SUM($I472,$L472,$O472,$R472),"")</f>
        <v/>
      </c>
      <c r="AM472" s="458" t="str">
        <f>IF(AND($G472='Povolené hodnoty'!$B$13,$H472=AM$4),SUM($I472,$L472,$O472,$R472),"")</f>
        <v/>
      </c>
      <c r="AN472" s="458" t="str">
        <f>IF(AND($G472='Povolené hodnoty'!$B$13,$H472=AN$4),SUM($I472,$L472,$O472,$R472),"")</f>
        <v/>
      </c>
      <c r="AO472" s="458" t="str">
        <f>IF(AND($G472='Povolené hodnoty'!$B$13,$H472=AO$4),SUM($I472,$L472,$O472,$R472),"")</f>
        <v/>
      </c>
      <c r="AP472" s="458" t="str">
        <f>IF(AND($G472='Povolené hodnoty'!$B$13,$H472=AP$4),SUM($I472,$L472,$O472,$R472),"")</f>
        <v/>
      </c>
      <c r="AQ472" s="40" t="str">
        <f>IF(AND($G472='Povolené hodnoty'!$B$13,OR($H472=AQ$4,$H472='Povolené hodnoty'!$E$36)),SUM($I472,-$J472,$L472,-$M472,$O472,-$P472,$R472,-$S472),"")</f>
        <v/>
      </c>
      <c r="AR472" s="40" t="str">
        <f>IF(AND($G472='Povolené hodnoty'!$B$13,$H472=AR$4),SUM($I472,$L472,$O472,$R472),"")</f>
        <v/>
      </c>
      <c r="AS472" s="41" t="str">
        <f>IF(AND($G472='Povolené hodnoty'!$B$13,$H472=AS$4),SUM($I472,$L472,$O472,$R472),"")</f>
        <v/>
      </c>
      <c r="AT472" s="39" t="str">
        <f>IF(AND($G472='Povolené hodnoty'!$B$14,$H472=AT$4),SUM($I472,$L472,$O472,$R472),"")</f>
        <v/>
      </c>
      <c r="AU472" s="458" t="str">
        <f>IF(AND($G472='Povolené hodnoty'!$B$14,$H472=AU$4),SUM($I472,$L472,$O472,$R472),"")</f>
        <v/>
      </c>
      <c r="AV472" s="41" t="str">
        <f>IF(AND($G472='Povolené hodnoty'!$B$14,$H472=AV$4),SUM($I472,$L472,$O472,$R472),"")</f>
        <v/>
      </c>
      <c r="AW472" s="39" t="str">
        <f>IF(AND($G472='Povolené hodnoty'!$B$13,$H472=AW$4),SUM($J472,$M472,$P472,$S472),"")</f>
        <v/>
      </c>
      <c r="AX472" s="458" t="str">
        <f>IF(AND($G472='Povolené hodnoty'!$B$13,$H472=AX$4),SUM($J472,$M472,$P472,$S472),"")</f>
        <v/>
      </c>
      <c r="AY472" s="458" t="str">
        <f>IF(AND($G472='Povolené hodnoty'!$B$13,$H472=AY$4),SUM($J472,$M472,$P472,$S472),"")</f>
        <v/>
      </c>
      <c r="AZ472" s="458" t="str">
        <f>IF(AND($G472='Povolené hodnoty'!$B$13,$H472=AZ$4),SUM($J472,$M472,$P472,$S472),"")</f>
        <v/>
      </c>
      <c r="BA472" s="458" t="str">
        <f>IF(AND($G472='Povolené hodnoty'!$B$13,$H472=BA$4),SUM($J472,$M472,$P472,$S472),"")</f>
        <v/>
      </c>
      <c r="BB472" s="40" t="str">
        <f>IF(AND($G472='Povolené hodnoty'!$B$13,$H472=BB$4),SUM($J472,$M472,$P472,$S472),"")</f>
        <v/>
      </c>
      <c r="BC472" s="40" t="str">
        <f>IF(AND($G472='Povolené hodnoty'!$B$13,$H472=BC$4),SUM($J472,$M472,$P472,$S472),"")</f>
        <v/>
      </c>
      <c r="BD472" s="40" t="str">
        <f>IF(AND($G472='Povolené hodnoty'!$B$13,$H472=BD$4),SUM($J472,$M472,$P472,$S472),"")</f>
        <v/>
      </c>
      <c r="BE472" s="41" t="str">
        <f>IF(AND($G472='Povolené hodnoty'!$B$13,$H472=BE$4),SUM($J472,$M472,$P472,$S472),"")</f>
        <v/>
      </c>
      <c r="BF472" s="39" t="str">
        <f>IF(AND($G472='Povolené hodnoty'!$B$14,$H472=BF$4),SUM($J472,$M472,$P472,$S472),"")</f>
        <v/>
      </c>
      <c r="BG472" s="458" t="str">
        <f>IF(AND($G472='Povolené hodnoty'!$B$14,$H472=BG$4),SUM($J472,$M472,$P472,$S472),"")</f>
        <v/>
      </c>
      <c r="BH472" s="458" t="str">
        <f>IF(AND($G472='Povolené hodnoty'!$B$14,$H472=BH$4),SUM($J472,$M472,$P472,$S472),"")</f>
        <v/>
      </c>
      <c r="BI472" s="458" t="str">
        <f>IF(AND($G472='Povolené hodnoty'!$B$14,$H472=BI$4),SUM($J472,$M472,$P472,$S472),"")</f>
        <v/>
      </c>
      <c r="BJ472" s="458" t="str">
        <f>IF(AND($G472='Povolené hodnoty'!$B$14,$H472=BJ$4),SUM($J472,$M472,$P472,$S472),"")</f>
        <v/>
      </c>
      <c r="BK472" s="40" t="str">
        <f>IF(AND($G472='Povolené hodnoty'!$B$14,$H472=BK$4),SUM($J472,$M472,$P472,$S472),"")</f>
        <v/>
      </c>
      <c r="BL472" s="40" t="str">
        <f>IF(AND($G472='Povolené hodnoty'!$B$14,$H472=BL$4),SUM($J472,$M472,$P472,$S472),"")</f>
        <v/>
      </c>
      <c r="BM472" s="41" t="str">
        <f>IF(AND($G472='Povolené hodnoty'!$B$14,$H472=BM$4),SUM($J472,$M472,$P472,$S472),"")</f>
        <v/>
      </c>
      <c r="BO472" s="18" t="b">
        <f t="shared" si="281"/>
        <v>0</v>
      </c>
      <c r="BP472" s="18" t="b">
        <f t="shared" si="252"/>
        <v>0</v>
      </c>
      <c r="BQ472" s="18" t="b">
        <f>AND(E472&lt;&gt;'Povolené hodnoty'!$B$6,F472&lt;&gt;'Povolené hodnoty'!$D$7,F472&lt;&gt;'Povolené hodnoty'!$D$8,OR(SUM(I472,L472,O472,R472)&lt;&gt;SUM(W472:X472,AA472:AG472),SUM(J472,M472,P472,S472)&lt;&gt;SUM(Y472:Z472,AH472:AK472),COUNT(I472:J472,L472:M472,O472:P472,R472:S472)&lt;&gt;COUNT(W472:AK472)))</f>
        <v>0</v>
      </c>
      <c r="BR472" s="18" t="b">
        <f>OR(AND(E472='Povolené hodnoty'!$B$6,$BR$5),AND(E472='Povolené hodnoty'!$B$6,H472&lt;&gt;'Povolené hodnoty'!$E$26,H472&lt;&gt;'Povolené hodnoty'!$E$35),AND(E472&lt;&gt;'Povolené hodnoty'!$B$6,OR(H472='Povolené hodnoty'!$E$26,H472='Povolené hodnoty'!$E$35)))</f>
        <v>0</v>
      </c>
      <c r="BS472" s="18" t="b">
        <f>OR(AND(G472&lt;&gt;'Povolené hodnoty'!$B$13,OR(H472='Povolené hodnoty'!$E$21,H472='Povolené hodnoty'!$E$22,H472='Povolené hodnoty'!$E$23,H472='Povolené hodnoty'!$E$24,H472='Povolené hodnoty'!$E$26,H472='Povolené hodnoty'!$E$36)),COUNT(I472:J472,L472:M472,O472:P472,R472:S472)&lt;&gt;COUNT(AL472:BM472))</f>
        <v>0</v>
      </c>
      <c r="BT472" s="18" t="b">
        <f t="shared" si="253"/>
        <v>0</v>
      </c>
      <c r="BV472" s="39" t="str">
        <f t="shared" si="254"/>
        <v/>
      </c>
      <c r="BW472" s="458" t="str">
        <f t="shared" si="255"/>
        <v/>
      </c>
      <c r="BX472" s="458" t="str">
        <f t="shared" si="256"/>
        <v/>
      </c>
      <c r="BY472" s="458" t="str">
        <f t="shared" si="257"/>
        <v/>
      </c>
      <c r="BZ472" s="458" t="str">
        <f t="shared" si="258"/>
        <v/>
      </c>
      <c r="CA472" s="40" t="str">
        <f t="shared" si="259"/>
        <v/>
      </c>
      <c r="CB472" s="40" t="str">
        <f t="shared" si="260"/>
        <v/>
      </c>
      <c r="CC472" s="39" t="str">
        <f t="shared" si="261"/>
        <v/>
      </c>
      <c r="CD472" s="458" t="str">
        <f t="shared" si="262"/>
        <v/>
      </c>
      <c r="CE472" s="41" t="str">
        <f t="shared" si="263"/>
        <v/>
      </c>
      <c r="CF472" s="39" t="str">
        <f t="shared" si="264"/>
        <v/>
      </c>
      <c r="CG472" s="458" t="str">
        <f t="shared" si="265"/>
        <v/>
      </c>
      <c r="CH472" s="458" t="str">
        <f t="shared" si="266"/>
        <v/>
      </c>
      <c r="CI472" s="458" t="str">
        <f t="shared" si="267"/>
        <v/>
      </c>
      <c r="CJ472" s="458" t="str">
        <f t="shared" si="268"/>
        <v/>
      </c>
      <c r="CK472" s="40" t="str">
        <f t="shared" si="269"/>
        <v/>
      </c>
      <c r="CL472" s="40" t="str">
        <f t="shared" si="270"/>
        <v/>
      </c>
      <c r="CM472" s="40" t="str">
        <f t="shared" si="271"/>
        <v/>
      </c>
      <c r="CN472" s="39" t="str">
        <f t="shared" si="272"/>
        <v/>
      </c>
      <c r="CO472" s="458" t="str">
        <f t="shared" si="273"/>
        <v/>
      </c>
      <c r="CP472" s="458" t="str">
        <f t="shared" si="274"/>
        <v/>
      </c>
      <c r="CQ472" s="458" t="str">
        <f t="shared" si="275"/>
        <v/>
      </c>
      <c r="CR472" s="458" t="str">
        <f t="shared" si="276"/>
        <v/>
      </c>
      <c r="CS472" s="40" t="str">
        <f t="shared" si="277"/>
        <v/>
      </c>
      <c r="CT472" s="40" t="str">
        <f t="shared" si="278"/>
        <v/>
      </c>
      <c r="CU472" s="41" t="str">
        <f t="shared" si="279"/>
        <v/>
      </c>
    </row>
    <row r="473" spans="1:99" x14ac:dyDescent="0.2">
      <c r="A473" s="77">
        <f t="shared" si="280"/>
        <v>468</v>
      </c>
      <c r="B473" s="81"/>
      <c r="C473" s="82"/>
      <c r="D473" s="71"/>
      <c r="E473" s="72"/>
      <c r="F473" s="73"/>
      <c r="G473" s="443"/>
      <c r="H473" s="443"/>
      <c r="I473" s="74"/>
      <c r="J473" s="75"/>
      <c r="K473" s="41">
        <f t="shared" si="249"/>
        <v>3625</v>
      </c>
      <c r="L473" s="104"/>
      <c r="M473" s="105"/>
      <c r="N473" s="106">
        <f t="shared" si="250"/>
        <v>537.05999999999995</v>
      </c>
      <c r="O473" s="104"/>
      <c r="P473" s="105"/>
      <c r="Q473" s="106">
        <f t="shared" si="282"/>
        <v>10045.83</v>
      </c>
      <c r="R473" s="104"/>
      <c r="S473" s="105"/>
      <c r="T473" s="106">
        <f t="shared" si="283"/>
        <v>0</v>
      </c>
      <c r="U473" s="439"/>
      <c r="V473" s="42">
        <f t="shared" si="251"/>
        <v>468</v>
      </c>
      <c r="W473" s="39" t="str">
        <f>IF(AND(E473='Povolené hodnoty'!$B$4,F473=2),I473+L473+O473+R473,"")</f>
        <v/>
      </c>
      <c r="X473" s="41" t="str">
        <f>IF(AND(E473='Povolené hodnoty'!$B$4,F473=1),I473+L473+O473+R473,"")</f>
        <v/>
      </c>
      <c r="Y473" s="39" t="str">
        <f>IF(AND(E473='Povolené hodnoty'!$B$4,F473=10),J473+M473+P473+S473,"")</f>
        <v/>
      </c>
      <c r="Z473" s="41" t="str">
        <f>IF(AND(E473='Povolené hodnoty'!$B$4,F473=9),J473+M473+P473+S473,"")</f>
        <v/>
      </c>
      <c r="AA473" s="39" t="str">
        <f>IF(AND(E473&lt;&gt;'Povolené hodnoty'!$B$4,F473=2),I473+L473+O473+R473,"")</f>
        <v/>
      </c>
      <c r="AB473" s="40" t="str">
        <f>IF(AND(E473&lt;&gt;'Povolené hodnoty'!$B$4,F473=3),I473+L473+O473+R473,"")</f>
        <v/>
      </c>
      <c r="AC473" s="40" t="str">
        <f>IF(AND(E473&lt;&gt;'Povolené hodnoty'!$B$4,F473=4),I473+L473+O473+R473,"")</f>
        <v/>
      </c>
      <c r="AD473" s="40" t="str">
        <f>IF(AND(E473&lt;&gt;'Povolené hodnoty'!$B$4,F473="5a"),I473-J473+L473-M473+O473-P473+R473-S473,"")</f>
        <v/>
      </c>
      <c r="AE473" s="40" t="str">
        <f>IF(AND(E473&lt;&gt;'Povolené hodnoty'!$B$4,F473="5b"),I473-J473+L473-M473+O473-P473+R473-S473,"")</f>
        <v/>
      </c>
      <c r="AF473" s="40" t="str">
        <f>IF(AND(E473&lt;&gt;'Povolené hodnoty'!$B$4,F473=6),I473+L473+O473+R473,"")</f>
        <v/>
      </c>
      <c r="AG473" s="41" t="str">
        <f>IF(AND(E473&lt;&gt;'Povolené hodnoty'!$B$4,F473=7),I473+L473+O473+R473,"")</f>
        <v/>
      </c>
      <c r="AH473" s="39" t="str">
        <f>IF(AND(E473&lt;&gt;'Povolené hodnoty'!$B$4,F473=10),J473+M473+P473+S473,"")</f>
        <v/>
      </c>
      <c r="AI473" s="40" t="str">
        <f>IF(AND(E473&lt;&gt;'Povolené hodnoty'!$B$4,F473=11),J473+M473+P473+S473,"")</f>
        <v/>
      </c>
      <c r="AJ473" s="40" t="str">
        <f>IF(AND(E473&lt;&gt;'Povolené hodnoty'!$B$4,F473=12),J473+M473+P473+S473,"")</f>
        <v/>
      </c>
      <c r="AK473" s="41" t="str">
        <f>IF(AND(E473&lt;&gt;'Povolené hodnoty'!$B$4,F473=13),J473+M473+P473+S473,"")</f>
        <v/>
      </c>
      <c r="AL473" s="39" t="str">
        <f>IF(AND($G473='Povolené hodnoty'!$B$13,$H473=AL$4),SUM($I473,$L473,$O473,$R473),"")</f>
        <v/>
      </c>
      <c r="AM473" s="458" t="str">
        <f>IF(AND($G473='Povolené hodnoty'!$B$13,$H473=AM$4),SUM($I473,$L473,$O473,$R473),"")</f>
        <v/>
      </c>
      <c r="AN473" s="458" t="str">
        <f>IF(AND($G473='Povolené hodnoty'!$B$13,$H473=AN$4),SUM($I473,$L473,$O473,$R473),"")</f>
        <v/>
      </c>
      <c r="AO473" s="458" t="str">
        <f>IF(AND($G473='Povolené hodnoty'!$B$13,$H473=AO$4),SUM($I473,$L473,$O473,$R473),"")</f>
        <v/>
      </c>
      <c r="AP473" s="458" t="str">
        <f>IF(AND($G473='Povolené hodnoty'!$B$13,$H473=AP$4),SUM($I473,$L473,$O473,$R473),"")</f>
        <v/>
      </c>
      <c r="AQ473" s="40" t="str">
        <f>IF(AND($G473='Povolené hodnoty'!$B$13,OR($H473=AQ$4,$H473='Povolené hodnoty'!$E$36)),SUM($I473,-$J473,$L473,-$M473,$O473,-$P473,$R473,-$S473),"")</f>
        <v/>
      </c>
      <c r="AR473" s="40" t="str">
        <f>IF(AND($G473='Povolené hodnoty'!$B$13,$H473=AR$4),SUM($I473,$L473,$O473,$R473),"")</f>
        <v/>
      </c>
      <c r="AS473" s="41" t="str">
        <f>IF(AND($G473='Povolené hodnoty'!$B$13,$H473=AS$4),SUM($I473,$L473,$O473,$R473),"")</f>
        <v/>
      </c>
      <c r="AT473" s="39" t="str">
        <f>IF(AND($G473='Povolené hodnoty'!$B$14,$H473=AT$4),SUM($I473,$L473,$O473,$R473),"")</f>
        <v/>
      </c>
      <c r="AU473" s="458" t="str">
        <f>IF(AND($G473='Povolené hodnoty'!$B$14,$H473=AU$4),SUM($I473,$L473,$O473,$R473),"")</f>
        <v/>
      </c>
      <c r="AV473" s="41" t="str">
        <f>IF(AND($G473='Povolené hodnoty'!$B$14,$H473=AV$4),SUM($I473,$L473,$O473,$R473),"")</f>
        <v/>
      </c>
      <c r="AW473" s="39" t="str">
        <f>IF(AND($G473='Povolené hodnoty'!$B$13,$H473=AW$4),SUM($J473,$M473,$P473,$S473),"")</f>
        <v/>
      </c>
      <c r="AX473" s="458" t="str">
        <f>IF(AND($G473='Povolené hodnoty'!$B$13,$H473=AX$4),SUM($J473,$M473,$P473,$S473),"")</f>
        <v/>
      </c>
      <c r="AY473" s="458" t="str">
        <f>IF(AND($G473='Povolené hodnoty'!$B$13,$H473=AY$4),SUM($J473,$M473,$P473,$S473),"")</f>
        <v/>
      </c>
      <c r="AZ473" s="458" t="str">
        <f>IF(AND($G473='Povolené hodnoty'!$B$13,$H473=AZ$4),SUM($J473,$M473,$P473,$S473),"")</f>
        <v/>
      </c>
      <c r="BA473" s="458" t="str">
        <f>IF(AND($G473='Povolené hodnoty'!$B$13,$H473=BA$4),SUM($J473,$M473,$P473,$S473),"")</f>
        <v/>
      </c>
      <c r="BB473" s="40" t="str">
        <f>IF(AND($G473='Povolené hodnoty'!$B$13,$H473=BB$4),SUM($J473,$M473,$P473,$S473),"")</f>
        <v/>
      </c>
      <c r="BC473" s="40" t="str">
        <f>IF(AND($G473='Povolené hodnoty'!$B$13,$H473=BC$4),SUM($J473,$M473,$P473,$S473),"")</f>
        <v/>
      </c>
      <c r="BD473" s="40" t="str">
        <f>IF(AND($G473='Povolené hodnoty'!$B$13,$H473=BD$4),SUM($J473,$M473,$P473,$S473),"")</f>
        <v/>
      </c>
      <c r="BE473" s="41" t="str">
        <f>IF(AND($G473='Povolené hodnoty'!$B$13,$H473=BE$4),SUM($J473,$M473,$P473,$S473),"")</f>
        <v/>
      </c>
      <c r="BF473" s="39" t="str">
        <f>IF(AND($G473='Povolené hodnoty'!$B$14,$H473=BF$4),SUM($J473,$M473,$P473,$S473),"")</f>
        <v/>
      </c>
      <c r="BG473" s="458" t="str">
        <f>IF(AND($G473='Povolené hodnoty'!$B$14,$H473=BG$4),SUM($J473,$M473,$P473,$S473),"")</f>
        <v/>
      </c>
      <c r="BH473" s="458" t="str">
        <f>IF(AND($G473='Povolené hodnoty'!$B$14,$H473=BH$4),SUM($J473,$M473,$P473,$S473),"")</f>
        <v/>
      </c>
      <c r="BI473" s="458" t="str">
        <f>IF(AND($G473='Povolené hodnoty'!$B$14,$H473=BI$4),SUM($J473,$M473,$P473,$S473),"")</f>
        <v/>
      </c>
      <c r="BJ473" s="458" t="str">
        <f>IF(AND($G473='Povolené hodnoty'!$B$14,$H473=BJ$4),SUM($J473,$M473,$P473,$S473),"")</f>
        <v/>
      </c>
      <c r="BK473" s="40" t="str">
        <f>IF(AND($G473='Povolené hodnoty'!$B$14,$H473=BK$4),SUM($J473,$M473,$P473,$S473),"")</f>
        <v/>
      </c>
      <c r="BL473" s="40" t="str">
        <f>IF(AND($G473='Povolené hodnoty'!$B$14,$H473=BL$4),SUM($J473,$M473,$P473,$S473),"")</f>
        <v/>
      </c>
      <c r="BM473" s="41" t="str">
        <f>IF(AND($G473='Povolené hodnoty'!$B$14,$H473=BM$4),SUM($J473,$M473,$P473,$S473),"")</f>
        <v/>
      </c>
      <c r="BO473" s="18" t="b">
        <f t="shared" si="281"/>
        <v>0</v>
      </c>
      <c r="BP473" s="18" t="b">
        <f t="shared" si="252"/>
        <v>0</v>
      </c>
      <c r="BQ473" s="18" t="b">
        <f>AND(E473&lt;&gt;'Povolené hodnoty'!$B$6,F473&lt;&gt;'Povolené hodnoty'!$D$7,F473&lt;&gt;'Povolené hodnoty'!$D$8,OR(SUM(I473,L473,O473,R473)&lt;&gt;SUM(W473:X473,AA473:AG473),SUM(J473,M473,P473,S473)&lt;&gt;SUM(Y473:Z473,AH473:AK473),COUNT(I473:J473,L473:M473,O473:P473,R473:S473)&lt;&gt;COUNT(W473:AK473)))</f>
        <v>0</v>
      </c>
      <c r="BR473" s="18" t="b">
        <f>OR(AND(E473='Povolené hodnoty'!$B$6,$BR$5),AND(E473='Povolené hodnoty'!$B$6,H473&lt;&gt;'Povolené hodnoty'!$E$26,H473&lt;&gt;'Povolené hodnoty'!$E$35),AND(E473&lt;&gt;'Povolené hodnoty'!$B$6,OR(H473='Povolené hodnoty'!$E$26,H473='Povolené hodnoty'!$E$35)))</f>
        <v>0</v>
      </c>
      <c r="BS473" s="18" t="b">
        <f>OR(AND(G473&lt;&gt;'Povolené hodnoty'!$B$13,OR(H473='Povolené hodnoty'!$E$21,H473='Povolené hodnoty'!$E$22,H473='Povolené hodnoty'!$E$23,H473='Povolené hodnoty'!$E$24,H473='Povolené hodnoty'!$E$26,H473='Povolené hodnoty'!$E$36)),COUNT(I473:J473,L473:M473,O473:P473,R473:S473)&lt;&gt;COUNT(AL473:BM473))</f>
        <v>0</v>
      </c>
      <c r="BT473" s="18" t="b">
        <f t="shared" si="253"/>
        <v>0</v>
      </c>
      <c r="BV473" s="39" t="str">
        <f t="shared" si="254"/>
        <v/>
      </c>
      <c r="BW473" s="458" t="str">
        <f t="shared" si="255"/>
        <v/>
      </c>
      <c r="BX473" s="458" t="str">
        <f t="shared" si="256"/>
        <v/>
      </c>
      <c r="BY473" s="458" t="str">
        <f t="shared" si="257"/>
        <v/>
      </c>
      <c r="BZ473" s="458" t="str">
        <f t="shared" si="258"/>
        <v/>
      </c>
      <c r="CA473" s="40" t="str">
        <f t="shared" si="259"/>
        <v/>
      </c>
      <c r="CB473" s="40" t="str">
        <f t="shared" si="260"/>
        <v/>
      </c>
      <c r="CC473" s="39" t="str">
        <f t="shared" si="261"/>
        <v/>
      </c>
      <c r="CD473" s="458" t="str">
        <f t="shared" si="262"/>
        <v/>
      </c>
      <c r="CE473" s="41" t="str">
        <f t="shared" si="263"/>
        <v/>
      </c>
      <c r="CF473" s="39" t="str">
        <f t="shared" si="264"/>
        <v/>
      </c>
      <c r="CG473" s="458" t="str">
        <f t="shared" si="265"/>
        <v/>
      </c>
      <c r="CH473" s="458" t="str">
        <f t="shared" si="266"/>
        <v/>
      </c>
      <c r="CI473" s="458" t="str">
        <f t="shared" si="267"/>
        <v/>
      </c>
      <c r="CJ473" s="458" t="str">
        <f t="shared" si="268"/>
        <v/>
      </c>
      <c r="CK473" s="40" t="str">
        <f t="shared" si="269"/>
        <v/>
      </c>
      <c r="CL473" s="40" t="str">
        <f t="shared" si="270"/>
        <v/>
      </c>
      <c r="CM473" s="40" t="str">
        <f t="shared" si="271"/>
        <v/>
      </c>
      <c r="CN473" s="39" t="str">
        <f t="shared" si="272"/>
        <v/>
      </c>
      <c r="CO473" s="458" t="str">
        <f t="shared" si="273"/>
        <v/>
      </c>
      <c r="CP473" s="458" t="str">
        <f t="shared" si="274"/>
        <v/>
      </c>
      <c r="CQ473" s="458" t="str">
        <f t="shared" si="275"/>
        <v/>
      </c>
      <c r="CR473" s="458" t="str">
        <f t="shared" si="276"/>
        <v/>
      </c>
      <c r="CS473" s="40" t="str">
        <f t="shared" si="277"/>
        <v/>
      </c>
      <c r="CT473" s="40" t="str">
        <f t="shared" si="278"/>
        <v/>
      </c>
      <c r="CU473" s="41" t="str">
        <f t="shared" si="279"/>
        <v/>
      </c>
    </row>
    <row r="474" spans="1:99" x14ac:dyDescent="0.2">
      <c r="A474" s="77">
        <f t="shared" si="280"/>
        <v>469</v>
      </c>
      <c r="B474" s="81"/>
      <c r="C474" s="82"/>
      <c r="D474" s="71"/>
      <c r="E474" s="72"/>
      <c r="F474" s="73"/>
      <c r="G474" s="443"/>
      <c r="H474" s="443"/>
      <c r="I474" s="74"/>
      <c r="J474" s="75"/>
      <c r="K474" s="41">
        <f t="shared" si="249"/>
        <v>3625</v>
      </c>
      <c r="L474" s="104"/>
      <c r="M474" s="105"/>
      <c r="N474" s="106">
        <f t="shared" si="250"/>
        <v>537.05999999999995</v>
      </c>
      <c r="O474" s="104"/>
      <c r="P474" s="105"/>
      <c r="Q474" s="106">
        <f t="shared" si="282"/>
        <v>10045.83</v>
      </c>
      <c r="R474" s="104"/>
      <c r="S474" s="105"/>
      <c r="T474" s="106">
        <f t="shared" si="283"/>
        <v>0</v>
      </c>
      <c r="U474" s="439"/>
      <c r="V474" s="42">
        <f t="shared" si="251"/>
        <v>469</v>
      </c>
      <c r="W474" s="39" t="str">
        <f>IF(AND(E474='Povolené hodnoty'!$B$4,F474=2),I474+L474+O474+R474,"")</f>
        <v/>
      </c>
      <c r="X474" s="41" t="str">
        <f>IF(AND(E474='Povolené hodnoty'!$B$4,F474=1),I474+L474+O474+R474,"")</f>
        <v/>
      </c>
      <c r="Y474" s="39" t="str">
        <f>IF(AND(E474='Povolené hodnoty'!$B$4,F474=10),J474+M474+P474+S474,"")</f>
        <v/>
      </c>
      <c r="Z474" s="41" t="str">
        <f>IF(AND(E474='Povolené hodnoty'!$B$4,F474=9),J474+M474+P474+S474,"")</f>
        <v/>
      </c>
      <c r="AA474" s="39" t="str">
        <f>IF(AND(E474&lt;&gt;'Povolené hodnoty'!$B$4,F474=2),I474+L474+O474+R474,"")</f>
        <v/>
      </c>
      <c r="AB474" s="40" t="str">
        <f>IF(AND(E474&lt;&gt;'Povolené hodnoty'!$B$4,F474=3),I474+L474+O474+R474,"")</f>
        <v/>
      </c>
      <c r="AC474" s="40" t="str">
        <f>IF(AND(E474&lt;&gt;'Povolené hodnoty'!$B$4,F474=4),I474+L474+O474+R474,"")</f>
        <v/>
      </c>
      <c r="AD474" s="40" t="str">
        <f>IF(AND(E474&lt;&gt;'Povolené hodnoty'!$B$4,F474="5a"),I474-J474+L474-M474+O474-P474+R474-S474,"")</f>
        <v/>
      </c>
      <c r="AE474" s="40" t="str">
        <f>IF(AND(E474&lt;&gt;'Povolené hodnoty'!$B$4,F474="5b"),I474-J474+L474-M474+O474-P474+R474-S474,"")</f>
        <v/>
      </c>
      <c r="AF474" s="40" t="str">
        <f>IF(AND(E474&lt;&gt;'Povolené hodnoty'!$B$4,F474=6),I474+L474+O474+R474,"")</f>
        <v/>
      </c>
      <c r="AG474" s="41" t="str">
        <f>IF(AND(E474&lt;&gt;'Povolené hodnoty'!$B$4,F474=7),I474+L474+O474+R474,"")</f>
        <v/>
      </c>
      <c r="AH474" s="39" t="str">
        <f>IF(AND(E474&lt;&gt;'Povolené hodnoty'!$B$4,F474=10),J474+M474+P474+S474,"")</f>
        <v/>
      </c>
      <c r="AI474" s="40" t="str">
        <f>IF(AND(E474&lt;&gt;'Povolené hodnoty'!$B$4,F474=11),J474+M474+P474+S474,"")</f>
        <v/>
      </c>
      <c r="AJ474" s="40" t="str">
        <f>IF(AND(E474&lt;&gt;'Povolené hodnoty'!$B$4,F474=12),J474+M474+P474+S474,"")</f>
        <v/>
      </c>
      <c r="AK474" s="41" t="str">
        <f>IF(AND(E474&lt;&gt;'Povolené hodnoty'!$B$4,F474=13),J474+M474+P474+S474,"")</f>
        <v/>
      </c>
      <c r="AL474" s="39" t="str">
        <f>IF(AND($G474='Povolené hodnoty'!$B$13,$H474=AL$4),SUM($I474,$L474,$O474,$R474),"")</f>
        <v/>
      </c>
      <c r="AM474" s="458" t="str">
        <f>IF(AND($G474='Povolené hodnoty'!$B$13,$H474=AM$4),SUM($I474,$L474,$O474,$R474),"")</f>
        <v/>
      </c>
      <c r="AN474" s="458" t="str">
        <f>IF(AND($G474='Povolené hodnoty'!$B$13,$H474=AN$4),SUM($I474,$L474,$O474,$R474),"")</f>
        <v/>
      </c>
      <c r="AO474" s="458" t="str">
        <f>IF(AND($G474='Povolené hodnoty'!$B$13,$H474=AO$4),SUM($I474,$L474,$O474,$R474),"")</f>
        <v/>
      </c>
      <c r="AP474" s="458" t="str">
        <f>IF(AND($G474='Povolené hodnoty'!$B$13,$H474=AP$4),SUM($I474,$L474,$O474,$R474),"")</f>
        <v/>
      </c>
      <c r="AQ474" s="40" t="str">
        <f>IF(AND($G474='Povolené hodnoty'!$B$13,OR($H474=AQ$4,$H474='Povolené hodnoty'!$E$36)),SUM($I474,-$J474,$L474,-$M474,$O474,-$P474,$R474,-$S474),"")</f>
        <v/>
      </c>
      <c r="AR474" s="40" t="str">
        <f>IF(AND($G474='Povolené hodnoty'!$B$13,$H474=AR$4),SUM($I474,$L474,$O474,$R474),"")</f>
        <v/>
      </c>
      <c r="AS474" s="41" t="str">
        <f>IF(AND($G474='Povolené hodnoty'!$B$13,$H474=AS$4),SUM($I474,$L474,$O474,$R474),"")</f>
        <v/>
      </c>
      <c r="AT474" s="39" t="str">
        <f>IF(AND($G474='Povolené hodnoty'!$B$14,$H474=AT$4),SUM($I474,$L474,$O474,$R474),"")</f>
        <v/>
      </c>
      <c r="AU474" s="458" t="str">
        <f>IF(AND($G474='Povolené hodnoty'!$B$14,$H474=AU$4),SUM($I474,$L474,$O474,$R474),"")</f>
        <v/>
      </c>
      <c r="AV474" s="41" t="str">
        <f>IF(AND($G474='Povolené hodnoty'!$B$14,$H474=AV$4),SUM($I474,$L474,$O474,$R474),"")</f>
        <v/>
      </c>
      <c r="AW474" s="39" t="str">
        <f>IF(AND($G474='Povolené hodnoty'!$B$13,$H474=AW$4),SUM($J474,$M474,$P474,$S474),"")</f>
        <v/>
      </c>
      <c r="AX474" s="458" t="str">
        <f>IF(AND($G474='Povolené hodnoty'!$B$13,$H474=AX$4),SUM($J474,$M474,$P474,$S474),"")</f>
        <v/>
      </c>
      <c r="AY474" s="458" t="str">
        <f>IF(AND($G474='Povolené hodnoty'!$B$13,$H474=AY$4),SUM($J474,$M474,$P474,$S474),"")</f>
        <v/>
      </c>
      <c r="AZ474" s="458" t="str">
        <f>IF(AND($G474='Povolené hodnoty'!$B$13,$H474=AZ$4),SUM($J474,$M474,$P474,$S474),"")</f>
        <v/>
      </c>
      <c r="BA474" s="458" t="str">
        <f>IF(AND($G474='Povolené hodnoty'!$B$13,$H474=BA$4),SUM($J474,$M474,$P474,$S474),"")</f>
        <v/>
      </c>
      <c r="BB474" s="40" t="str">
        <f>IF(AND($G474='Povolené hodnoty'!$B$13,$H474=BB$4),SUM($J474,$M474,$P474,$S474),"")</f>
        <v/>
      </c>
      <c r="BC474" s="40" t="str">
        <f>IF(AND($G474='Povolené hodnoty'!$B$13,$H474=BC$4),SUM($J474,$M474,$P474,$S474),"")</f>
        <v/>
      </c>
      <c r="BD474" s="40" t="str">
        <f>IF(AND($G474='Povolené hodnoty'!$B$13,$H474=BD$4),SUM($J474,$M474,$P474,$S474),"")</f>
        <v/>
      </c>
      <c r="BE474" s="41" t="str">
        <f>IF(AND($G474='Povolené hodnoty'!$B$13,$H474=BE$4),SUM($J474,$M474,$P474,$S474),"")</f>
        <v/>
      </c>
      <c r="BF474" s="39" t="str">
        <f>IF(AND($G474='Povolené hodnoty'!$B$14,$H474=BF$4),SUM($J474,$M474,$P474,$S474),"")</f>
        <v/>
      </c>
      <c r="BG474" s="458" t="str">
        <f>IF(AND($G474='Povolené hodnoty'!$B$14,$H474=BG$4),SUM($J474,$M474,$P474,$S474),"")</f>
        <v/>
      </c>
      <c r="BH474" s="458" t="str">
        <f>IF(AND($G474='Povolené hodnoty'!$B$14,$H474=BH$4),SUM($J474,$M474,$P474,$S474),"")</f>
        <v/>
      </c>
      <c r="BI474" s="458" t="str">
        <f>IF(AND($G474='Povolené hodnoty'!$B$14,$H474=BI$4),SUM($J474,$M474,$P474,$S474),"")</f>
        <v/>
      </c>
      <c r="BJ474" s="458" t="str">
        <f>IF(AND($G474='Povolené hodnoty'!$B$14,$H474=BJ$4),SUM($J474,$M474,$P474,$S474),"")</f>
        <v/>
      </c>
      <c r="BK474" s="40" t="str">
        <f>IF(AND($G474='Povolené hodnoty'!$B$14,$H474=BK$4),SUM($J474,$M474,$P474,$S474),"")</f>
        <v/>
      </c>
      <c r="BL474" s="40" t="str">
        <f>IF(AND($G474='Povolené hodnoty'!$B$14,$H474=BL$4),SUM($J474,$M474,$P474,$S474),"")</f>
        <v/>
      </c>
      <c r="BM474" s="41" t="str">
        <f>IF(AND($G474='Povolené hodnoty'!$B$14,$H474=BM$4),SUM($J474,$M474,$P474,$S474),"")</f>
        <v/>
      </c>
      <c r="BO474" s="18" t="b">
        <f t="shared" si="281"/>
        <v>0</v>
      </c>
      <c r="BP474" s="18" t="b">
        <f t="shared" si="252"/>
        <v>0</v>
      </c>
      <c r="BQ474" s="18" t="b">
        <f>AND(E474&lt;&gt;'Povolené hodnoty'!$B$6,F474&lt;&gt;'Povolené hodnoty'!$D$7,F474&lt;&gt;'Povolené hodnoty'!$D$8,OR(SUM(I474,L474,O474,R474)&lt;&gt;SUM(W474:X474,AA474:AG474),SUM(J474,M474,P474,S474)&lt;&gt;SUM(Y474:Z474,AH474:AK474),COUNT(I474:J474,L474:M474,O474:P474,R474:S474)&lt;&gt;COUNT(W474:AK474)))</f>
        <v>0</v>
      </c>
      <c r="BR474" s="18" t="b">
        <f>OR(AND(E474='Povolené hodnoty'!$B$6,$BR$5),AND(E474='Povolené hodnoty'!$B$6,H474&lt;&gt;'Povolené hodnoty'!$E$26,H474&lt;&gt;'Povolené hodnoty'!$E$35),AND(E474&lt;&gt;'Povolené hodnoty'!$B$6,OR(H474='Povolené hodnoty'!$E$26,H474='Povolené hodnoty'!$E$35)))</f>
        <v>0</v>
      </c>
      <c r="BS474" s="18" t="b">
        <f>OR(AND(G474&lt;&gt;'Povolené hodnoty'!$B$13,OR(H474='Povolené hodnoty'!$E$21,H474='Povolené hodnoty'!$E$22,H474='Povolené hodnoty'!$E$23,H474='Povolené hodnoty'!$E$24,H474='Povolené hodnoty'!$E$26,H474='Povolené hodnoty'!$E$36)),COUNT(I474:J474,L474:M474,O474:P474,R474:S474)&lt;&gt;COUNT(AL474:BM474))</f>
        <v>0</v>
      </c>
      <c r="BT474" s="18" t="b">
        <f t="shared" si="253"/>
        <v>0</v>
      </c>
      <c r="BV474" s="39" t="str">
        <f t="shared" si="254"/>
        <v/>
      </c>
      <c r="BW474" s="458" t="str">
        <f t="shared" si="255"/>
        <v/>
      </c>
      <c r="BX474" s="458" t="str">
        <f t="shared" si="256"/>
        <v/>
      </c>
      <c r="BY474" s="458" t="str">
        <f t="shared" si="257"/>
        <v/>
      </c>
      <c r="BZ474" s="458" t="str">
        <f t="shared" si="258"/>
        <v/>
      </c>
      <c r="CA474" s="40" t="str">
        <f t="shared" si="259"/>
        <v/>
      </c>
      <c r="CB474" s="40" t="str">
        <f t="shared" si="260"/>
        <v/>
      </c>
      <c r="CC474" s="39" t="str">
        <f t="shared" si="261"/>
        <v/>
      </c>
      <c r="CD474" s="458" t="str">
        <f t="shared" si="262"/>
        <v/>
      </c>
      <c r="CE474" s="41" t="str">
        <f t="shared" si="263"/>
        <v/>
      </c>
      <c r="CF474" s="39" t="str">
        <f t="shared" si="264"/>
        <v/>
      </c>
      <c r="CG474" s="458" t="str">
        <f t="shared" si="265"/>
        <v/>
      </c>
      <c r="CH474" s="458" t="str">
        <f t="shared" si="266"/>
        <v/>
      </c>
      <c r="CI474" s="458" t="str">
        <f t="shared" si="267"/>
        <v/>
      </c>
      <c r="CJ474" s="458" t="str">
        <f t="shared" si="268"/>
        <v/>
      </c>
      <c r="CK474" s="40" t="str">
        <f t="shared" si="269"/>
        <v/>
      </c>
      <c r="CL474" s="40" t="str">
        <f t="shared" si="270"/>
        <v/>
      </c>
      <c r="CM474" s="40" t="str">
        <f t="shared" si="271"/>
        <v/>
      </c>
      <c r="CN474" s="39" t="str">
        <f t="shared" si="272"/>
        <v/>
      </c>
      <c r="CO474" s="458" t="str">
        <f t="shared" si="273"/>
        <v/>
      </c>
      <c r="CP474" s="458" t="str">
        <f t="shared" si="274"/>
        <v/>
      </c>
      <c r="CQ474" s="458" t="str">
        <f t="shared" si="275"/>
        <v/>
      </c>
      <c r="CR474" s="458" t="str">
        <f t="shared" si="276"/>
        <v/>
      </c>
      <c r="CS474" s="40" t="str">
        <f t="shared" si="277"/>
        <v/>
      </c>
      <c r="CT474" s="40" t="str">
        <f t="shared" si="278"/>
        <v/>
      </c>
      <c r="CU474" s="41" t="str">
        <f t="shared" si="279"/>
        <v/>
      </c>
    </row>
    <row r="475" spans="1:99" x14ac:dyDescent="0.2">
      <c r="A475" s="77">
        <f t="shared" si="280"/>
        <v>470</v>
      </c>
      <c r="B475" s="81"/>
      <c r="C475" s="82"/>
      <c r="D475" s="71"/>
      <c r="E475" s="72"/>
      <c r="F475" s="73"/>
      <c r="G475" s="443"/>
      <c r="H475" s="443"/>
      <c r="I475" s="74"/>
      <c r="J475" s="75"/>
      <c r="K475" s="41">
        <f t="shared" si="249"/>
        <v>3625</v>
      </c>
      <c r="L475" s="104"/>
      <c r="M475" s="105"/>
      <c r="N475" s="106">
        <f t="shared" si="250"/>
        <v>537.05999999999995</v>
      </c>
      <c r="O475" s="104"/>
      <c r="P475" s="105"/>
      <c r="Q475" s="106">
        <f t="shared" si="282"/>
        <v>10045.83</v>
      </c>
      <c r="R475" s="104"/>
      <c r="S475" s="105"/>
      <c r="T475" s="106">
        <f t="shared" si="283"/>
        <v>0</v>
      </c>
      <c r="U475" s="439"/>
      <c r="V475" s="42">
        <f t="shared" si="251"/>
        <v>470</v>
      </c>
      <c r="W475" s="39" t="str">
        <f>IF(AND(E475='Povolené hodnoty'!$B$4,F475=2),I475+L475+O475+R475,"")</f>
        <v/>
      </c>
      <c r="X475" s="41" t="str">
        <f>IF(AND(E475='Povolené hodnoty'!$B$4,F475=1),I475+L475+O475+R475,"")</f>
        <v/>
      </c>
      <c r="Y475" s="39" t="str">
        <f>IF(AND(E475='Povolené hodnoty'!$B$4,F475=10),J475+M475+P475+S475,"")</f>
        <v/>
      </c>
      <c r="Z475" s="41" t="str">
        <f>IF(AND(E475='Povolené hodnoty'!$B$4,F475=9),J475+M475+P475+S475,"")</f>
        <v/>
      </c>
      <c r="AA475" s="39" t="str">
        <f>IF(AND(E475&lt;&gt;'Povolené hodnoty'!$B$4,F475=2),I475+L475+O475+R475,"")</f>
        <v/>
      </c>
      <c r="AB475" s="40" t="str">
        <f>IF(AND(E475&lt;&gt;'Povolené hodnoty'!$B$4,F475=3),I475+L475+O475+R475,"")</f>
        <v/>
      </c>
      <c r="AC475" s="40" t="str">
        <f>IF(AND(E475&lt;&gt;'Povolené hodnoty'!$B$4,F475=4),I475+L475+O475+R475,"")</f>
        <v/>
      </c>
      <c r="AD475" s="40" t="str">
        <f>IF(AND(E475&lt;&gt;'Povolené hodnoty'!$B$4,F475="5a"),I475-J475+L475-M475+O475-P475+R475-S475,"")</f>
        <v/>
      </c>
      <c r="AE475" s="40" t="str">
        <f>IF(AND(E475&lt;&gt;'Povolené hodnoty'!$B$4,F475="5b"),I475-J475+L475-M475+O475-P475+R475-S475,"")</f>
        <v/>
      </c>
      <c r="AF475" s="40" t="str">
        <f>IF(AND(E475&lt;&gt;'Povolené hodnoty'!$B$4,F475=6),I475+L475+O475+R475,"")</f>
        <v/>
      </c>
      <c r="AG475" s="41" t="str">
        <f>IF(AND(E475&lt;&gt;'Povolené hodnoty'!$B$4,F475=7),I475+L475+O475+R475,"")</f>
        <v/>
      </c>
      <c r="AH475" s="39" t="str">
        <f>IF(AND(E475&lt;&gt;'Povolené hodnoty'!$B$4,F475=10),J475+M475+P475+S475,"")</f>
        <v/>
      </c>
      <c r="AI475" s="40" t="str">
        <f>IF(AND(E475&lt;&gt;'Povolené hodnoty'!$B$4,F475=11),J475+M475+P475+S475,"")</f>
        <v/>
      </c>
      <c r="AJ475" s="40" t="str">
        <f>IF(AND(E475&lt;&gt;'Povolené hodnoty'!$B$4,F475=12),J475+M475+P475+S475,"")</f>
        <v/>
      </c>
      <c r="AK475" s="41" t="str">
        <f>IF(AND(E475&lt;&gt;'Povolené hodnoty'!$B$4,F475=13),J475+M475+P475+S475,"")</f>
        <v/>
      </c>
      <c r="AL475" s="39" t="str">
        <f>IF(AND($G475='Povolené hodnoty'!$B$13,$H475=AL$4),SUM($I475,$L475,$O475,$R475),"")</f>
        <v/>
      </c>
      <c r="AM475" s="458" t="str">
        <f>IF(AND($G475='Povolené hodnoty'!$B$13,$H475=AM$4),SUM($I475,$L475,$O475,$R475),"")</f>
        <v/>
      </c>
      <c r="AN475" s="458" t="str">
        <f>IF(AND($G475='Povolené hodnoty'!$B$13,$H475=AN$4),SUM($I475,$L475,$O475,$R475),"")</f>
        <v/>
      </c>
      <c r="AO475" s="458" t="str">
        <f>IF(AND($G475='Povolené hodnoty'!$B$13,$H475=AO$4),SUM($I475,$L475,$O475,$R475),"")</f>
        <v/>
      </c>
      <c r="AP475" s="458" t="str">
        <f>IF(AND($G475='Povolené hodnoty'!$B$13,$H475=AP$4),SUM($I475,$L475,$O475,$R475),"")</f>
        <v/>
      </c>
      <c r="AQ475" s="40" t="str">
        <f>IF(AND($G475='Povolené hodnoty'!$B$13,OR($H475=AQ$4,$H475='Povolené hodnoty'!$E$36)),SUM($I475,-$J475,$L475,-$M475,$O475,-$P475,$R475,-$S475),"")</f>
        <v/>
      </c>
      <c r="AR475" s="40" t="str">
        <f>IF(AND($G475='Povolené hodnoty'!$B$13,$H475=AR$4),SUM($I475,$L475,$O475,$R475),"")</f>
        <v/>
      </c>
      <c r="AS475" s="41" t="str">
        <f>IF(AND($G475='Povolené hodnoty'!$B$13,$H475=AS$4),SUM($I475,$L475,$O475,$R475),"")</f>
        <v/>
      </c>
      <c r="AT475" s="39" t="str">
        <f>IF(AND($G475='Povolené hodnoty'!$B$14,$H475=AT$4),SUM($I475,$L475,$O475,$R475),"")</f>
        <v/>
      </c>
      <c r="AU475" s="458" t="str">
        <f>IF(AND($G475='Povolené hodnoty'!$B$14,$H475=AU$4),SUM($I475,$L475,$O475,$R475),"")</f>
        <v/>
      </c>
      <c r="AV475" s="41" t="str">
        <f>IF(AND($G475='Povolené hodnoty'!$B$14,$H475=AV$4),SUM($I475,$L475,$O475,$R475),"")</f>
        <v/>
      </c>
      <c r="AW475" s="39" t="str">
        <f>IF(AND($G475='Povolené hodnoty'!$B$13,$H475=AW$4),SUM($J475,$M475,$P475,$S475),"")</f>
        <v/>
      </c>
      <c r="AX475" s="458" t="str">
        <f>IF(AND($G475='Povolené hodnoty'!$B$13,$H475=AX$4),SUM($J475,$M475,$P475,$S475),"")</f>
        <v/>
      </c>
      <c r="AY475" s="458" t="str">
        <f>IF(AND($G475='Povolené hodnoty'!$B$13,$H475=AY$4),SUM($J475,$M475,$P475,$S475),"")</f>
        <v/>
      </c>
      <c r="AZ475" s="458" t="str">
        <f>IF(AND($G475='Povolené hodnoty'!$B$13,$H475=AZ$4),SUM($J475,$M475,$P475,$S475),"")</f>
        <v/>
      </c>
      <c r="BA475" s="458" t="str">
        <f>IF(AND($G475='Povolené hodnoty'!$B$13,$H475=BA$4),SUM($J475,$M475,$P475,$S475),"")</f>
        <v/>
      </c>
      <c r="BB475" s="40" t="str">
        <f>IF(AND($G475='Povolené hodnoty'!$B$13,$H475=BB$4),SUM($J475,$M475,$P475,$S475),"")</f>
        <v/>
      </c>
      <c r="BC475" s="40" t="str">
        <f>IF(AND($G475='Povolené hodnoty'!$B$13,$H475=BC$4),SUM($J475,$M475,$P475,$S475),"")</f>
        <v/>
      </c>
      <c r="BD475" s="40" t="str">
        <f>IF(AND($G475='Povolené hodnoty'!$B$13,$H475=BD$4),SUM($J475,$M475,$P475,$S475),"")</f>
        <v/>
      </c>
      <c r="BE475" s="41" t="str">
        <f>IF(AND($G475='Povolené hodnoty'!$B$13,$H475=BE$4),SUM($J475,$M475,$P475,$S475),"")</f>
        <v/>
      </c>
      <c r="BF475" s="39" t="str">
        <f>IF(AND($G475='Povolené hodnoty'!$B$14,$H475=BF$4),SUM($J475,$M475,$P475,$S475),"")</f>
        <v/>
      </c>
      <c r="BG475" s="458" t="str">
        <f>IF(AND($G475='Povolené hodnoty'!$B$14,$H475=BG$4),SUM($J475,$M475,$P475,$S475),"")</f>
        <v/>
      </c>
      <c r="BH475" s="458" t="str">
        <f>IF(AND($G475='Povolené hodnoty'!$B$14,$H475=BH$4),SUM($J475,$M475,$P475,$S475),"")</f>
        <v/>
      </c>
      <c r="BI475" s="458" t="str">
        <f>IF(AND($G475='Povolené hodnoty'!$B$14,$H475=BI$4),SUM($J475,$M475,$P475,$S475),"")</f>
        <v/>
      </c>
      <c r="BJ475" s="458" t="str">
        <f>IF(AND($G475='Povolené hodnoty'!$B$14,$H475=BJ$4),SUM($J475,$M475,$P475,$S475),"")</f>
        <v/>
      </c>
      <c r="BK475" s="40" t="str">
        <f>IF(AND($G475='Povolené hodnoty'!$B$14,$H475=BK$4),SUM($J475,$M475,$P475,$S475),"")</f>
        <v/>
      </c>
      <c r="BL475" s="40" t="str">
        <f>IF(AND($G475='Povolené hodnoty'!$B$14,$H475=BL$4),SUM($J475,$M475,$P475,$S475),"")</f>
        <v/>
      </c>
      <c r="BM475" s="41" t="str">
        <f>IF(AND($G475='Povolené hodnoty'!$B$14,$H475=BM$4),SUM($J475,$M475,$P475,$S475),"")</f>
        <v/>
      </c>
      <c r="BO475" s="18" t="b">
        <f t="shared" si="281"/>
        <v>0</v>
      </c>
      <c r="BP475" s="18" t="b">
        <f t="shared" si="252"/>
        <v>0</v>
      </c>
      <c r="BQ475" s="18" t="b">
        <f>AND(E475&lt;&gt;'Povolené hodnoty'!$B$6,F475&lt;&gt;'Povolené hodnoty'!$D$7,F475&lt;&gt;'Povolené hodnoty'!$D$8,OR(SUM(I475,L475,O475,R475)&lt;&gt;SUM(W475:X475,AA475:AG475),SUM(J475,M475,P475,S475)&lt;&gt;SUM(Y475:Z475,AH475:AK475),COUNT(I475:J475,L475:M475,O475:P475,R475:S475)&lt;&gt;COUNT(W475:AK475)))</f>
        <v>0</v>
      </c>
      <c r="BR475" s="18" t="b">
        <f>OR(AND(E475='Povolené hodnoty'!$B$6,$BR$5),AND(E475='Povolené hodnoty'!$B$6,H475&lt;&gt;'Povolené hodnoty'!$E$26,H475&lt;&gt;'Povolené hodnoty'!$E$35),AND(E475&lt;&gt;'Povolené hodnoty'!$B$6,OR(H475='Povolené hodnoty'!$E$26,H475='Povolené hodnoty'!$E$35)))</f>
        <v>0</v>
      </c>
      <c r="BS475" s="18" t="b">
        <f>OR(AND(G475&lt;&gt;'Povolené hodnoty'!$B$13,OR(H475='Povolené hodnoty'!$E$21,H475='Povolené hodnoty'!$E$22,H475='Povolené hodnoty'!$E$23,H475='Povolené hodnoty'!$E$24,H475='Povolené hodnoty'!$E$26,H475='Povolené hodnoty'!$E$36)),COUNT(I475:J475,L475:M475,O475:P475,R475:S475)&lt;&gt;COUNT(AL475:BM475))</f>
        <v>0</v>
      </c>
      <c r="BT475" s="18" t="b">
        <f t="shared" si="253"/>
        <v>0</v>
      </c>
      <c r="BV475" s="39" t="str">
        <f t="shared" si="254"/>
        <v/>
      </c>
      <c r="BW475" s="458" t="str">
        <f t="shared" si="255"/>
        <v/>
      </c>
      <c r="BX475" s="458" t="str">
        <f t="shared" si="256"/>
        <v/>
      </c>
      <c r="BY475" s="458" t="str">
        <f t="shared" si="257"/>
        <v/>
      </c>
      <c r="BZ475" s="458" t="str">
        <f t="shared" si="258"/>
        <v/>
      </c>
      <c r="CA475" s="40" t="str">
        <f t="shared" si="259"/>
        <v/>
      </c>
      <c r="CB475" s="40" t="str">
        <f t="shared" si="260"/>
        <v/>
      </c>
      <c r="CC475" s="39" t="str">
        <f t="shared" si="261"/>
        <v/>
      </c>
      <c r="CD475" s="458" t="str">
        <f t="shared" si="262"/>
        <v/>
      </c>
      <c r="CE475" s="41" t="str">
        <f t="shared" si="263"/>
        <v/>
      </c>
      <c r="CF475" s="39" t="str">
        <f t="shared" si="264"/>
        <v/>
      </c>
      <c r="CG475" s="458" t="str">
        <f t="shared" si="265"/>
        <v/>
      </c>
      <c r="CH475" s="458" t="str">
        <f t="shared" si="266"/>
        <v/>
      </c>
      <c r="CI475" s="458" t="str">
        <f t="shared" si="267"/>
        <v/>
      </c>
      <c r="CJ475" s="458" t="str">
        <f t="shared" si="268"/>
        <v/>
      </c>
      <c r="CK475" s="40" t="str">
        <f t="shared" si="269"/>
        <v/>
      </c>
      <c r="CL475" s="40" t="str">
        <f t="shared" si="270"/>
        <v/>
      </c>
      <c r="CM475" s="40" t="str">
        <f t="shared" si="271"/>
        <v/>
      </c>
      <c r="CN475" s="39" t="str">
        <f t="shared" si="272"/>
        <v/>
      </c>
      <c r="CO475" s="458" t="str">
        <f t="shared" si="273"/>
        <v/>
      </c>
      <c r="CP475" s="458" t="str">
        <f t="shared" si="274"/>
        <v/>
      </c>
      <c r="CQ475" s="458" t="str">
        <f t="shared" si="275"/>
        <v/>
      </c>
      <c r="CR475" s="458" t="str">
        <f t="shared" si="276"/>
        <v/>
      </c>
      <c r="CS475" s="40" t="str">
        <f t="shared" si="277"/>
        <v/>
      </c>
      <c r="CT475" s="40" t="str">
        <f t="shared" si="278"/>
        <v/>
      </c>
      <c r="CU475" s="41" t="str">
        <f t="shared" si="279"/>
        <v/>
      </c>
    </row>
    <row r="476" spans="1:99" x14ac:dyDescent="0.2">
      <c r="A476" s="77">
        <f t="shared" si="280"/>
        <v>471</v>
      </c>
      <c r="B476" s="81"/>
      <c r="C476" s="82"/>
      <c r="D476" s="71"/>
      <c r="E476" s="72"/>
      <c r="F476" s="73"/>
      <c r="G476" s="443"/>
      <c r="H476" s="443"/>
      <c r="I476" s="74"/>
      <c r="J476" s="75"/>
      <c r="K476" s="41">
        <f t="shared" si="249"/>
        <v>3625</v>
      </c>
      <c r="L476" s="104"/>
      <c r="M476" s="105"/>
      <c r="N476" s="106">
        <f t="shared" si="250"/>
        <v>537.05999999999995</v>
      </c>
      <c r="O476" s="104"/>
      <c r="P476" s="105"/>
      <c r="Q476" s="106">
        <f t="shared" si="282"/>
        <v>10045.83</v>
      </c>
      <c r="R476" s="104"/>
      <c r="S476" s="105"/>
      <c r="T476" s="106">
        <f t="shared" si="283"/>
        <v>0</v>
      </c>
      <c r="U476" s="439"/>
      <c r="V476" s="42">
        <f t="shared" si="251"/>
        <v>471</v>
      </c>
      <c r="W476" s="39" t="str">
        <f>IF(AND(E476='Povolené hodnoty'!$B$4,F476=2),I476+L476+O476+R476,"")</f>
        <v/>
      </c>
      <c r="X476" s="41" t="str">
        <f>IF(AND(E476='Povolené hodnoty'!$B$4,F476=1),I476+L476+O476+R476,"")</f>
        <v/>
      </c>
      <c r="Y476" s="39" t="str">
        <f>IF(AND(E476='Povolené hodnoty'!$B$4,F476=10),J476+M476+P476+S476,"")</f>
        <v/>
      </c>
      <c r="Z476" s="41" t="str">
        <f>IF(AND(E476='Povolené hodnoty'!$B$4,F476=9),J476+M476+P476+S476,"")</f>
        <v/>
      </c>
      <c r="AA476" s="39" t="str">
        <f>IF(AND(E476&lt;&gt;'Povolené hodnoty'!$B$4,F476=2),I476+L476+O476+R476,"")</f>
        <v/>
      </c>
      <c r="AB476" s="40" t="str">
        <f>IF(AND(E476&lt;&gt;'Povolené hodnoty'!$B$4,F476=3),I476+L476+O476+R476,"")</f>
        <v/>
      </c>
      <c r="AC476" s="40" t="str">
        <f>IF(AND(E476&lt;&gt;'Povolené hodnoty'!$B$4,F476=4),I476+L476+O476+R476,"")</f>
        <v/>
      </c>
      <c r="AD476" s="40" t="str">
        <f>IF(AND(E476&lt;&gt;'Povolené hodnoty'!$B$4,F476="5a"),I476-J476+L476-M476+O476-P476+R476-S476,"")</f>
        <v/>
      </c>
      <c r="AE476" s="40" t="str">
        <f>IF(AND(E476&lt;&gt;'Povolené hodnoty'!$B$4,F476="5b"),I476-J476+L476-M476+O476-P476+R476-S476,"")</f>
        <v/>
      </c>
      <c r="AF476" s="40" t="str">
        <f>IF(AND(E476&lt;&gt;'Povolené hodnoty'!$B$4,F476=6),I476+L476+O476+R476,"")</f>
        <v/>
      </c>
      <c r="AG476" s="41" t="str">
        <f>IF(AND(E476&lt;&gt;'Povolené hodnoty'!$B$4,F476=7),I476+L476+O476+R476,"")</f>
        <v/>
      </c>
      <c r="AH476" s="39" t="str">
        <f>IF(AND(E476&lt;&gt;'Povolené hodnoty'!$B$4,F476=10),J476+M476+P476+S476,"")</f>
        <v/>
      </c>
      <c r="AI476" s="40" t="str">
        <f>IF(AND(E476&lt;&gt;'Povolené hodnoty'!$B$4,F476=11),J476+M476+P476+S476,"")</f>
        <v/>
      </c>
      <c r="AJ476" s="40" t="str">
        <f>IF(AND(E476&lt;&gt;'Povolené hodnoty'!$B$4,F476=12),J476+M476+P476+S476,"")</f>
        <v/>
      </c>
      <c r="AK476" s="41" t="str">
        <f>IF(AND(E476&lt;&gt;'Povolené hodnoty'!$B$4,F476=13),J476+M476+P476+S476,"")</f>
        <v/>
      </c>
      <c r="AL476" s="39" t="str">
        <f>IF(AND($G476='Povolené hodnoty'!$B$13,$H476=AL$4),SUM($I476,$L476,$O476,$R476),"")</f>
        <v/>
      </c>
      <c r="AM476" s="458" t="str">
        <f>IF(AND($G476='Povolené hodnoty'!$B$13,$H476=AM$4),SUM($I476,$L476,$O476,$R476),"")</f>
        <v/>
      </c>
      <c r="AN476" s="458" t="str">
        <f>IF(AND($G476='Povolené hodnoty'!$B$13,$H476=AN$4),SUM($I476,$L476,$O476,$R476),"")</f>
        <v/>
      </c>
      <c r="AO476" s="458" t="str">
        <f>IF(AND($G476='Povolené hodnoty'!$B$13,$H476=AO$4),SUM($I476,$L476,$O476,$R476),"")</f>
        <v/>
      </c>
      <c r="AP476" s="458" t="str">
        <f>IF(AND($G476='Povolené hodnoty'!$B$13,$H476=AP$4),SUM($I476,$L476,$O476,$R476),"")</f>
        <v/>
      </c>
      <c r="AQ476" s="40" t="str">
        <f>IF(AND($G476='Povolené hodnoty'!$B$13,OR($H476=AQ$4,$H476='Povolené hodnoty'!$E$36)),SUM($I476,-$J476,$L476,-$M476,$O476,-$P476,$R476,-$S476),"")</f>
        <v/>
      </c>
      <c r="AR476" s="40" t="str">
        <f>IF(AND($G476='Povolené hodnoty'!$B$13,$H476=AR$4),SUM($I476,$L476,$O476,$R476),"")</f>
        <v/>
      </c>
      <c r="AS476" s="41" t="str">
        <f>IF(AND($G476='Povolené hodnoty'!$B$13,$H476=AS$4),SUM($I476,$L476,$O476,$R476),"")</f>
        <v/>
      </c>
      <c r="AT476" s="39" t="str">
        <f>IF(AND($G476='Povolené hodnoty'!$B$14,$H476=AT$4),SUM($I476,$L476,$O476,$R476),"")</f>
        <v/>
      </c>
      <c r="AU476" s="458" t="str">
        <f>IF(AND($G476='Povolené hodnoty'!$B$14,$H476=AU$4),SUM($I476,$L476,$O476,$R476),"")</f>
        <v/>
      </c>
      <c r="AV476" s="41" t="str">
        <f>IF(AND($G476='Povolené hodnoty'!$B$14,$H476=AV$4),SUM($I476,$L476,$O476,$R476),"")</f>
        <v/>
      </c>
      <c r="AW476" s="39" t="str">
        <f>IF(AND($G476='Povolené hodnoty'!$B$13,$H476=AW$4),SUM($J476,$M476,$P476,$S476),"")</f>
        <v/>
      </c>
      <c r="AX476" s="458" t="str">
        <f>IF(AND($G476='Povolené hodnoty'!$B$13,$H476=AX$4),SUM($J476,$M476,$P476,$S476),"")</f>
        <v/>
      </c>
      <c r="AY476" s="458" t="str">
        <f>IF(AND($G476='Povolené hodnoty'!$B$13,$H476=AY$4),SUM($J476,$M476,$P476,$S476),"")</f>
        <v/>
      </c>
      <c r="AZ476" s="458" t="str">
        <f>IF(AND($G476='Povolené hodnoty'!$B$13,$H476=AZ$4),SUM($J476,$M476,$P476,$S476),"")</f>
        <v/>
      </c>
      <c r="BA476" s="458" t="str">
        <f>IF(AND($G476='Povolené hodnoty'!$B$13,$H476=BA$4),SUM($J476,$M476,$P476,$S476),"")</f>
        <v/>
      </c>
      <c r="BB476" s="40" t="str">
        <f>IF(AND($G476='Povolené hodnoty'!$B$13,$H476=BB$4),SUM($J476,$M476,$P476,$S476),"")</f>
        <v/>
      </c>
      <c r="BC476" s="40" t="str">
        <f>IF(AND($G476='Povolené hodnoty'!$B$13,$H476=BC$4),SUM($J476,$M476,$P476,$S476),"")</f>
        <v/>
      </c>
      <c r="BD476" s="40" t="str">
        <f>IF(AND($G476='Povolené hodnoty'!$B$13,$H476=BD$4),SUM($J476,$M476,$P476,$S476),"")</f>
        <v/>
      </c>
      <c r="BE476" s="41" t="str">
        <f>IF(AND($G476='Povolené hodnoty'!$B$13,$H476=BE$4),SUM($J476,$M476,$P476,$S476),"")</f>
        <v/>
      </c>
      <c r="BF476" s="39" t="str">
        <f>IF(AND($G476='Povolené hodnoty'!$B$14,$H476=BF$4),SUM($J476,$M476,$P476,$S476),"")</f>
        <v/>
      </c>
      <c r="BG476" s="458" t="str">
        <f>IF(AND($G476='Povolené hodnoty'!$B$14,$H476=BG$4),SUM($J476,$M476,$P476,$S476),"")</f>
        <v/>
      </c>
      <c r="BH476" s="458" t="str">
        <f>IF(AND($G476='Povolené hodnoty'!$B$14,$H476=BH$4),SUM($J476,$M476,$P476,$S476),"")</f>
        <v/>
      </c>
      <c r="BI476" s="458" t="str">
        <f>IF(AND($G476='Povolené hodnoty'!$B$14,$H476=BI$4),SUM($J476,$M476,$P476,$S476),"")</f>
        <v/>
      </c>
      <c r="BJ476" s="458" t="str">
        <f>IF(AND($G476='Povolené hodnoty'!$B$14,$H476=BJ$4),SUM($J476,$M476,$P476,$S476),"")</f>
        <v/>
      </c>
      <c r="BK476" s="40" t="str">
        <f>IF(AND($G476='Povolené hodnoty'!$B$14,$H476=BK$4),SUM($J476,$M476,$P476,$S476),"")</f>
        <v/>
      </c>
      <c r="BL476" s="40" t="str">
        <f>IF(AND($G476='Povolené hodnoty'!$B$14,$H476=BL$4),SUM($J476,$M476,$P476,$S476),"")</f>
        <v/>
      </c>
      <c r="BM476" s="41" t="str">
        <f>IF(AND($G476='Povolené hodnoty'!$B$14,$H476=BM$4),SUM($J476,$M476,$P476,$S476),"")</f>
        <v/>
      </c>
      <c r="BO476" s="18" t="b">
        <f t="shared" si="281"/>
        <v>0</v>
      </c>
      <c r="BP476" s="18" t="b">
        <f t="shared" si="252"/>
        <v>0</v>
      </c>
      <c r="BQ476" s="18" t="b">
        <f>AND(E476&lt;&gt;'Povolené hodnoty'!$B$6,F476&lt;&gt;'Povolené hodnoty'!$D$7,F476&lt;&gt;'Povolené hodnoty'!$D$8,OR(SUM(I476,L476,O476,R476)&lt;&gt;SUM(W476:X476,AA476:AG476),SUM(J476,M476,P476,S476)&lt;&gt;SUM(Y476:Z476,AH476:AK476),COUNT(I476:J476,L476:M476,O476:P476,R476:S476)&lt;&gt;COUNT(W476:AK476)))</f>
        <v>0</v>
      </c>
      <c r="BR476" s="18" t="b">
        <f>OR(AND(E476='Povolené hodnoty'!$B$6,$BR$5),AND(E476='Povolené hodnoty'!$B$6,H476&lt;&gt;'Povolené hodnoty'!$E$26,H476&lt;&gt;'Povolené hodnoty'!$E$35),AND(E476&lt;&gt;'Povolené hodnoty'!$B$6,OR(H476='Povolené hodnoty'!$E$26,H476='Povolené hodnoty'!$E$35)))</f>
        <v>0</v>
      </c>
      <c r="BS476" s="18" t="b">
        <f>OR(AND(G476&lt;&gt;'Povolené hodnoty'!$B$13,OR(H476='Povolené hodnoty'!$E$21,H476='Povolené hodnoty'!$E$22,H476='Povolené hodnoty'!$E$23,H476='Povolené hodnoty'!$E$24,H476='Povolené hodnoty'!$E$26,H476='Povolené hodnoty'!$E$36)),COUNT(I476:J476,L476:M476,O476:P476,R476:S476)&lt;&gt;COUNT(AL476:BM476))</f>
        <v>0</v>
      </c>
      <c r="BT476" s="18" t="b">
        <f t="shared" si="253"/>
        <v>0</v>
      </c>
      <c r="BV476" s="39" t="str">
        <f t="shared" si="254"/>
        <v/>
      </c>
      <c r="BW476" s="458" t="str">
        <f t="shared" si="255"/>
        <v/>
      </c>
      <c r="BX476" s="458" t="str">
        <f t="shared" si="256"/>
        <v/>
      </c>
      <c r="BY476" s="458" t="str">
        <f t="shared" si="257"/>
        <v/>
      </c>
      <c r="BZ476" s="458" t="str">
        <f t="shared" si="258"/>
        <v/>
      </c>
      <c r="CA476" s="40" t="str">
        <f t="shared" si="259"/>
        <v/>
      </c>
      <c r="CB476" s="40" t="str">
        <f t="shared" si="260"/>
        <v/>
      </c>
      <c r="CC476" s="39" t="str">
        <f t="shared" si="261"/>
        <v/>
      </c>
      <c r="CD476" s="458" t="str">
        <f t="shared" si="262"/>
        <v/>
      </c>
      <c r="CE476" s="41" t="str">
        <f t="shared" si="263"/>
        <v/>
      </c>
      <c r="CF476" s="39" t="str">
        <f t="shared" si="264"/>
        <v/>
      </c>
      <c r="CG476" s="458" t="str">
        <f t="shared" si="265"/>
        <v/>
      </c>
      <c r="CH476" s="458" t="str">
        <f t="shared" si="266"/>
        <v/>
      </c>
      <c r="CI476" s="458" t="str">
        <f t="shared" si="267"/>
        <v/>
      </c>
      <c r="CJ476" s="458" t="str">
        <f t="shared" si="268"/>
        <v/>
      </c>
      <c r="CK476" s="40" t="str">
        <f t="shared" si="269"/>
        <v/>
      </c>
      <c r="CL476" s="40" t="str">
        <f t="shared" si="270"/>
        <v/>
      </c>
      <c r="CM476" s="40" t="str">
        <f t="shared" si="271"/>
        <v/>
      </c>
      <c r="CN476" s="39" t="str">
        <f t="shared" si="272"/>
        <v/>
      </c>
      <c r="CO476" s="458" t="str">
        <f t="shared" si="273"/>
        <v/>
      </c>
      <c r="CP476" s="458" t="str">
        <f t="shared" si="274"/>
        <v/>
      </c>
      <c r="CQ476" s="458" t="str">
        <f t="shared" si="275"/>
        <v/>
      </c>
      <c r="CR476" s="458" t="str">
        <f t="shared" si="276"/>
        <v/>
      </c>
      <c r="CS476" s="40" t="str">
        <f t="shared" si="277"/>
        <v/>
      </c>
      <c r="CT476" s="40" t="str">
        <f t="shared" si="278"/>
        <v/>
      </c>
      <c r="CU476" s="41" t="str">
        <f t="shared" si="279"/>
        <v/>
      </c>
    </row>
    <row r="477" spans="1:99" x14ac:dyDescent="0.2">
      <c r="A477" s="77">
        <f t="shared" si="280"/>
        <v>472</v>
      </c>
      <c r="B477" s="81"/>
      <c r="C477" s="82"/>
      <c r="D477" s="71"/>
      <c r="E477" s="72"/>
      <c r="F477" s="73"/>
      <c r="G477" s="443"/>
      <c r="H477" s="443"/>
      <c r="I477" s="74"/>
      <c r="J477" s="75"/>
      <c r="K477" s="41">
        <f t="shared" si="249"/>
        <v>3625</v>
      </c>
      <c r="L477" s="104"/>
      <c r="M477" s="105"/>
      <c r="N477" s="106">
        <f t="shared" si="250"/>
        <v>537.05999999999995</v>
      </c>
      <c r="O477" s="104"/>
      <c r="P477" s="105"/>
      <c r="Q477" s="106">
        <f t="shared" si="282"/>
        <v>10045.83</v>
      </c>
      <c r="R477" s="104"/>
      <c r="S477" s="105"/>
      <c r="T477" s="106">
        <f t="shared" si="283"/>
        <v>0</v>
      </c>
      <c r="U477" s="439"/>
      <c r="V477" s="42">
        <f t="shared" si="251"/>
        <v>472</v>
      </c>
      <c r="W477" s="39" t="str">
        <f>IF(AND(E477='Povolené hodnoty'!$B$4,F477=2),I477+L477+O477+R477,"")</f>
        <v/>
      </c>
      <c r="X477" s="41" t="str">
        <f>IF(AND(E477='Povolené hodnoty'!$B$4,F477=1),I477+L477+O477+R477,"")</f>
        <v/>
      </c>
      <c r="Y477" s="39" t="str">
        <f>IF(AND(E477='Povolené hodnoty'!$B$4,F477=10),J477+M477+P477+S477,"")</f>
        <v/>
      </c>
      <c r="Z477" s="41" t="str">
        <f>IF(AND(E477='Povolené hodnoty'!$B$4,F477=9),J477+M477+P477+S477,"")</f>
        <v/>
      </c>
      <c r="AA477" s="39" t="str">
        <f>IF(AND(E477&lt;&gt;'Povolené hodnoty'!$B$4,F477=2),I477+L477+O477+R477,"")</f>
        <v/>
      </c>
      <c r="AB477" s="40" t="str">
        <f>IF(AND(E477&lt;&gt;'Povolené hodnoty'!$B$4,F477=3),I477+L477+O477+R477,"")</f>
        <v/>
      </c>
      <c r="AC477" s="40" t="str">
        <f>IF(AND(E477&lt;&gt;'Povolené hodnoty'!$B$4,F477=4),I477+L477+O477+R477,"")</f>
        <v/>
      </c>
      <c r="AD477" s="40" t="str">
        <f>IF(AND(E477&lt;&gt;'Povolené hodnoty'!$B$4,F477="5a"),I477-J477+L477-M477+O477-P477+R477-S477,"")</f>
        <v/>
      </c>
      <c r="AE477" s="40" t="str">
        <f>IF(AND(E477&lt;&gt;'Povolené hodnoty'!$B$4,F477="5b"),I477-J477+L477-M477+O477-P477+R477-S477,"")</f>
        <v/>
      </c>
      <c r="AF477" s="40" t="str">
        <f>IF(AND(E477&lt;&gt;'Povolené hodnoty'!$B$4,F477=6),I477+L477+O477+R477,"")</f>
        <v/>
      </c>
      <c r="AG477" s="41" t="str">
        <f>IF(AND(E477&lt;&gt;'Povolené hodnoty'!$B$4,F477=7),I477+L477+O477+R477,"")</f>
        <v/>
      </c>
      <c r="AH477" s="39" t="str">
        <f>IF(AND(E477&lt;&gt;'Povolené hodnoty'!$B$4,F477=10),J477+M477+P477+S477,"")</f>
        <v/>
      </c>
      <c r="AI477" s="40" t="str">
        <f>IF(AND(E477&lt;&gt;'Povolené hodnoty'!$B$4,F477=11),J477+M477+P477+S477,"")</f>
        <v/>
      </c>
      <c r="AJ477" s="40" t="str">
        <f>IF(AND(E477&lt;&gt;'Povolené hodnoty'!$B$4,F477=12),J477+M477+P477+S477,"")</f>
        <v/>
      </c>
      <c r="AK477" s="41" t="str">
        <f>IF(AND(E477&lt;&gt;'Povolené hodnoty'!$B$4,F477=13),J477+M477+P477+S477,"")</f>
        <v/>
      </c>
      <c r="AL477" s="39" t="str">
        <f>IF(AND($G477='Povolené hodnoty'!$B$13,$H477=AL$4),SUM($I477,$L477,$O477,$R477),"")</f>
        <v/>
      </c>
      <c r="AM477" s="458" t="str">
        <f>IF(AND($G477='Povolené hodnoty'!$B$13,$H477=AM$4),SUM($I477,$L477,$O477,$R477),"")</f>
        <v/>
      </c>
      <c r="AN477" s="458" t="str">
        <f>IF(AND($G477='Povolené hodnoty'!$B$13,$H477=AN$4),SUM($I477,$L477,$O477,$R477),"")</f>
        <v/>
      </c>
      <c r="AO477" s="458" t="str">
        <f>IF(AND($G477='Povolené hodnoty'!$B$13,$H477=AO$4),SUM($I477,$L477,$O477,$R477),"")</f>
        <v/>
      </c>
      <c r="AP477" s="458" t="str">
        <f>IF(AND($G477='Povolené hodnoty'!$B$13,$H477=AP$4),SUM($I477,$L477,$O477,$R477),"")</f>
        <v/>
      </c>
      <c r="AQ477" s="40" t="str">
        <f>IF(AND($G477='Povolené hodnoty'!$B$13,OR($H477=AQ$4,$H477='Povolené hodnoty'!$E$36)),SUM($I477,-$J477,$L477,-$M477,$O477,-$P477,$R477,-$S477),"")</f>
        <v/>
      </c>
      <c r="AR477" s="40" t="str">
        <f>IF(AND($G477='Povolené hodnoty'!$B$13,$H477=AR$4),SUM($I477,$L477,$O477,$R477),"")</f>
        <v/>
      </c>
      <c r="AS477" s="41" t="str">
        <f>IF(AND($G477='Povolené hodnoty'!$B$13,$H477=AS$4),SUM($I477,$L477,$O477,$R477),"")</f>
        <v/>
      </c>
      <c r="AT477" s="39" t="str">
        <f>IF(AND($G477='Povolené hodnoty'!$B$14,$H477=AT$4),SUM($I477,$L477,$O477,$R477),"")</f>
        <v/>
      </c>
      <c r="AU477" s="458" t="str">
        <f>IF(AND($G477='Povolené hodnoty'!$B$14,$H477=AU$4),SUM($I477,$L477,$O477,$R477),"")</f>
        <v/>
      </c>
      <c r="AV477" s="41" t="str">
        <f>IF(AND($G477='Povolené hodnoty'!$B$14,$H477=AV$4),SUM($I477,$L477,$O477,$R477),"")</f>
        <v/>
      </c>
      <c r="AW477" s="39" t="str">
        <f>IF(AND($G477='Povolené hodnoty'!$B$13,$H477=AW$4),SUM($J477,$M477,$P477,$S477),"")</f>
        <v/>
      </c>
      <c r="AX477" s="458" t="str">
        <f>IF(AND($G477='Povolené hodnoty'!$B$13,$H477=AX$4),SUM($J477,$M477,$P477,$S477),"")</f>
        <v/>
      </c>
      <c r="AY477" s="458" t="str">
        <f>IF(AND($G477='Povolené hodnoty'!$B$13,$H477=AY$4),SUM($J477,$M477,$P477,$S477),"")</f>
        <v/>
      </c>
      <c r="AZ477" s="458" t="str">
        <f>IF(AND($G477='Povolené hodnoty'!$B$13,$H477=AZ$4),SUM($J477,$M477,$P477,$S477),"")</f>
        <v/>
      </c>
      <c r="BA477" s="458" t="str">
        <f>IF(AND($G477='Povolené hodnoty'!$B$13,$H477=BA$4),SUM($J477,$M477,$P477,$S477),"")</f>
        <v/>
      </c>
      <c r="BB477" s="40" t="str">
        <f>IF(AND($G477='Povolené hodnoty'!$B$13,$H477=BB$4),SUM($J477,$M477,$P477,$S477),"")</f>
        <v/>
      </c>
      <c r="BC477" s="40" t="str">
        <f>IF(AND($G477='Povolené hodnoty'!$B$13,$H477=BC$4),SUM($J477,$M477,$P477,$S477),"")</f>
        <v/>
      </c>
      <c r="BD477" s="40" t="str">
        <f>IF(AND($G477='Povolené hodnoty'!$B$13,$H477=BD$4),SUM($J477,$M477,$P477,$S477),"")</f>
        <v/>
      </c>
      <c r="BE477" s="41" t="str">
        <f>IF(AND($G477='Povolené hodnoty'!$B$13,$H477=BE$4),SUM($J477,$M477,$P477,$S477),"")</f>
        <v/>
      </c>
      <c r="BF477" s="39" t="str">
        <f>IF(AND($G477='Povolené hodnoty'!$B$14,$H477=BF$4),SUM($J477,$M477,$P477,$S477),"")</f>
        <v/>
      </c>
      <c r="BG477" s="458" t="str">
        <f>IF(AND($G477='Povolené hodnoty'!$B$14,$H477=BG$4),SUM($J477,$M477,$P477,$S477),"")</f>
        <v/>
      </c>
      <c r="BH477" s="458" t="str">
        <f>IF(AND($G477='Povolené hodnoty'!$B$14,$H477=BH$4),SUM($J477,$M477,$P477,$S477),"")</f>
        <v/>
      </c>
      <c r="BI477" s="458" t="str">
        <f>IF(AND($G477='Povolené hodnoty'!$B$14,$H477=BI$4),SUM($J477,$M477,$P477,$S477),"")</f>
        <v/>
      </c>
      <c r="BJ477" s="458" t="str">
        <f>IF(AND($G477='Povolené hodnoty'!$B$14,$H477=BJ$4),SUM($J477,$M477,$P477,$S477),"")</f>
        <v/>
      </c>
      <c r="BK477" s="40" t="str">
        <f>IF(AND($G477='Povolené hodnoty'!$B$14,$H477=BK$4),SUM($J477,$M477,$P477,$S477),"")</f>
        <v/>
      </c>
      <c r="BL477" s="40" t="str">
        <f>IF(AND($G477='Povolené hodnoty'!$B$14,$H477=BL$4),SUM($J477,$M477,$P477,$S477),"")</f>
        <v/>
      </c>
      <c r="BM477" s="41" t="str">
        <f>IF(AND($G477='Povolené hodnoty'!$B$14,$H477=BM$4),SUM($J477,$M477,$P477,$S477),"")</f>
        <v/>
      </c>
      <c r="BO477" s="18" t="b">
        <f t="shared" si="281"/>
        <v>0</v>
      </c>
      <c r="BP477" s="18" t="b">
        <f t="shared" si="252"/>
        <v>0</v>
      </c>
      <c r="BQ477" s="18" t="b">
        <f>AND(E477&lt;&gt;'Povolené hodnoty'!$B$6,F477&lt;&gt;'Povolené hodnoty'!$D$7,F477&lt;&gt;'Povolené hodnoty'!$D$8,OR(SUM(I477,L477,O477,R477)&lt;&gt;SUM(W477:X477,AA477:AG477),SUM(J477,M477,P477,S477)&lt;&gt;SUM(Y477:Z477,AH477:AK477),COUNT(I477:J477,L477:M477,O477:P477,R477:S477)&lt;&gt;COUNT(W477:AK477)))</f>
        <v>0</v>
      </c>
      <c r="BR477" s="18" t="b">
        <f>OR(AND(E477='Povolené hodnoty'!$B$6,$BR$5),AND(E477='Povolené hodnoty'!$B$6,H477&lt;&gt;'Povolené hodnoty'!$E$26,H477&lt;&gt;'Povolené hodnoty'!$E$35),AND(E477&lt;&gt;'Povolené hodnoty'!$B$6,OR(H477='Povolené hodnoty'!$E$26,H477='Povolené hodnoty'!$E$35)))</f>
        <v>0</v>
      </c>
      <c r="BS477" s="18" t="b">
        <f>OR(AND(G477&lt;&gt;'Povolené hodnoty'!$B$13,OR(H477='Povolené hodnoty'!$E$21,H477='Povolené hodnoty'!$E$22,H477='Povolené hodnoty'!$E$23,H477='Povolené hodnoty'!$E$24,H477='Povolené hodnoty'!$E$26,H477='Povolené hodnoty'!$E$36)),COUNT(I477:J477,L477:M477,O477:P477,R477:S477)&lt;&gt;COUNT(AL477:BM477))</f>
        <v>0</v>
      </c>
      <c r="BT477" s="18" t="b">
        <f t="shared" si="253"/>
        <v>0</v>
      </c>
      <c r="BV477" s="39" t="str">
        <f t="shared" si="254"/>
        <v/>
      </c>
      <c r="BW477" s="458" t="str">
        <f t="shared" si="255"/>
        <v/>
      </c>
      <c r="BX477" s="458" t="str">
        <f t="shared" si="256"/>
        <v/>
      </c>
      <c r="BY477" s="458" t="str">
        <f t="shared" si="257"/>
        <v/>
      </c>
      <c r="BZ477" s="458" t="str">
        <f t="shared" si="258"/>
        <v/>
      </c>
      <c r="CA477" s="40" t="str">
        <f t="shared" si="259"/>
        <v/>
      </c>
      <c r="CB477" s="40" t="str">
        <f t="shared" si="260"/>
        <v/>
      </c>
      <c r="CC477" s="39" t="str">
        <f t="shared" si="261"/>
        <v/>
      </c>
      <c r="CD477" s="458" t="str">
        <f t="shared" si="262"/>
        <v/>
      </c>
      <c r="CE477" s="41" t="str">
        <f t="shared" si="263"/>
        <v/>
      </c>
      <c r="CF477" s="39" t="str">
        <f t="shared" si="264"/>
        <v/>
      </c>
      <c r="CG477" s="458" t="str">
        <f t="shared" si="265"/>
        <v/>
      </c>
      <c r="CH477" s="458" t="str">
        <f t="shared" si="266"/>
        <v/>
      </c>
      <c r="CI477" s="458" t="str">
        <f t="shared" si="267"/>
        <v/>
      </c>
      <c r="CJ477" s="458" t="str">
        <f t="shared" si="268"/>
        <v/>
      </c>
      <c r="CK477" s="40" t="str">
        <f t="shared" si="269"/>
        <v/>
      </c>
      <c r="CL477" s="40" t="str">
        <f t="shared" si="270"/>
        <v/>
      </c>
      <c r="CM477" s="40" t="str">
        <f t="shared" si="271"/>
        <v/>
      </c>
      <c r="CN477" s="39" t="str">
        <f t="shared" si="272"/>
        <v/>
      </c>
      <c r="CO477" s="458" t="str">
        <f t="shared" si="273"/>
        <v/>
      </c>
      <c r="CP477" s="458" t="str">
        <f t="shared" si="274"/>
        <v/>
      </c>
      <c r="CQ477" s="458" t="str">
        <f t="shared" si="275"/>
        <v/>
      </c>
      <c r="CR477" s="458" t="str">
        <f t="shared" si="276"/>
        <v/>
      </c>
      <c r="CS477" s="40" t="str">
        <f t="shared" si="277"/>
        <v/>
      </c>
      <c r="CT477" s="40" t="str">
        <f t="shared" si="278"/>
        <v/>
      </c>
      <c r="CU477" s="41" t="str">
        <f t="shared" si="279"/>
        <v/>
      </c>
    </row>
    <row r="478" spans="1:99" x14ac:dyDescent="0.2">
      <c r="A478" s="77">
        <f t="shared" si="280"/>
        <v>473</v>
      </c>
      <c r="B478" s="81"/>
      <c r="C478" s="82"/>
      <c r="D478" s="71"/>
      <c r="E478" s="72"/>
      <c r="F478" s="73"/>
      <c r="G478" s="443"/>
      <c r="H478" s="443"/>
      <c r="I478" s="74"/>
      <c r="J478" s="75"/>
      <c r="K478" s="41">
        <f t="shared" si="249"/>
        <v>3625</v>
      </c>
      <c r="L478" s="104"/>
      <c r="M478" s="105"/>
      <c r="N478" s="106">
        <f t="shared" si="250"/>
        <v>537.05999999999995</v>
      </c>
      <c r="O478" s="104"/>
      <c r="P478" s="105"/>
      <c r="Q478" s="106">
        <f t="shared" si="282"/>
        <v>10045.83</v>
      </c>
      <c r="R478" s="104"/>
      <c r="S478" s="105"/>
      <c r="T478" s="106">
        <f t="shared" si="283"/>
        <v>0</v>
      </c>
      <c r="U478" s="439"/>
      <c r="V478" s="42">
        <f t="shared" si="251"/>
        <v>473</v>
      </c>
      <c r="W478" s="39" t="str">
        <f>IF(AND(E478='Povolené hodnoty'!$B$4,F478=2),I478+L478+O478+R478,"")</f>
        <v/>
      </c>
      <c r="X478" s="41" t="str">
        <f>IF(AND(E478='Povolené hodnoty'!$B$4,F478=1),I478+L478+O478+R478,"")</f>
        <v/>
      </c>
      <c r="Y478" s="39" t="str">
        <f>IF(AND(E478='Povolené hodnoty'!$B$4,F478=10),J478+M478+P478+S478,"")</f>
        <v/>
      </c>
      <c r="Z478" s="41" t="str">
        <f>IF(AND(E478='Povolené hodnoty'!$B$4,F478=9),J478+M478+P478+S478,"")</f>
        <v/>
      </c>
      <c r="AA478" s="39" t="str">
        <f>IF(AND(E478&lt;&gt;'Povolené hodnoty'!$B$4,F478=2),I478+L478+O478+R478,"")</f>
        <v/>
      </c>
      <c r="AB478" s="40" t="str">
        <f>IF(AND(E478&lt;&gt;'Povolené hodnoty'!$B$4,F478=3),I478+L478+O478+R478,"")</f>
        <v/>
      </c>
      <c r="AC478" s="40" t="str">
        <f>IF(AND(E478&lt;&gt;'Povolené hodnoty'!$B$4,F478=4),I478+L478+O478+R478,"")</f>
        <v/>
      </c>
      <c r="AD478" s="40" t="str">
        <f>IF(AND(E478&lt;&gt;'Povolené hodnoty'!$B$4,F478="5a"),I478-J478+L478-M478+O478-P478+R478-S478,"")</f>
        <v/>
      </c>
      <c r="AE478" s="40" t="str">
        <f>IF(AND(E478&lt;&gt;'Povolené hodnoty'!$B$4,F478="5b"),I478-J478+L478-M478+O478-P478+R478-S478,"")</f>
        <v/>
      </c>
      <c r="AF478" s="40" t="str">
        <f>IF(AND(E478&lt;&gt;'Povolené hodnoty'!$B$4,F478=6),I478+L478+O478+R478,"")</f>
        <v/>
      </c>
      <c r="AG478" s="41" t="str">
        <f>IF(AND(E478&lt;&gt;'Povolené hodnoty'!$B$4,F478=7),I478+L478+O478+R478,"")</f>
        <v/>
      </c>
      <c r="AH478" s="39" t="str">
        <f>IF(AND(E478&lt;&gt;'Povolené hodnoty'!$B$4,F478=10),J478+M478+P478+S478,"")</f>
        <v/>
      </c>
      <c r="AI478" s="40" t="str">
        <f>IF(AND(E478&lt;&gt;'Povolené hodnoty'!$B$4,F478=11),J478+M478+P478+S478,"")</f>
        <v/>
      </c>
      <c r="AJ478" s="40" t="str">
        <f>IF(AND(E478&lt;&gt;'Povolené hodnoty'!$B$4,F478=12),J478+M478+P478+S478,"")</f>
        <v/>
      </c>
      <c r="AK478" s="41" t="str">
        <f>IF(AND(E478&lt;&gt;'Povolené hodnoty'!$B$4,F478=13),J478+M478+P478+S478,"")</f>
        <v/>
      </c>
      <c r="AL478" s="39" t="str">
        <f>IF(AND($G478='Povolené hodnoty'!$B$13,$H478=AL$4),SUM($I478,$L478,$O478,$R478),"")</f>
        <v/>
      </c>
      <c r="AM478" s="458" t="str">
        <f>IF(AND($G478='Povolené hodnoty'!$B$13,$H478=AM$4),SUM($I478,$L478,$O478,$R478),"")</f>
        <v/>
      </c>
      <c r="AN478" s="458" t="str">
        <f>IF(AND($G478='Povolené hodnoty'!$B$13,$H478=AN$4),SUM($I478,$L478,$O478,$R478),"")</f>
        <v/>
      </c>
      <c r="AO478" s="458" t="str">
        <f>IF(AND($G478='Povolené hodnoty'!$B$13,$H478=AO$4),SUM($I478,$L478,$O478,$R478),"")</f>
        <v/>
      </c>
      <c r="AP478" s="458" t="str">
        <f>IF(AND($G478='Povolené hodnoty'!$B$13,$H478=AP$4),SUM($I478,$L478,$O478,$R478),"")</f>
        <v/>
      </c>
      <c r="AQ478" s="40" t="str">
        <f>IF(AND($G478='Povolené hodnoty'!$B$13,OR($H478=AQ$4,$H478='Povolené hodnoty'!$E$36)),SUM($I478,-$J478,$L478,-$M478,$O478,-$P478,$R478,-$S478),"")</f>
        <v/>
      </c>
      <c r="AR478" s="40" t="str">
        <f>IF(AND($G478='Povolené hodnoty'!$B$13,$H478=AR$4),SUM($I478,$L478,$O478,$R478),"")</f>
        <v/>
      </c>
      <c r="AS478" s="41" t="str">
        <f>IF(AND($G478='Povolené hodnoty'!$B$13,$H478=AS$4),SUM($I478,$L478,$O478,$R478),"")</f>
        <v/>
      </c>
      <c r="AT478" s="39" t="str">
        <f>IF(AND($G478='Povolené hodnoty'!$B$14,$H478=AT$4),SUM($I478,$L478,$O478,$R478),"")</f>
        <v/>
      </c>
      <c r="AU478" s="458" t="str">
        <f>IF(AND($G478='Povolené hodnoty'!$B$14,$H478=AU$4),SUM($I478,$L478,$O478,$R478),"")</f>
        <v/>
      </c>
      <c r="AV478" s="41" t="str">
        <f>IF(AND($G478='Povolené hodnoty'!$B$14,$H478=AV$4),SUM($I478,$L478,$O478,$R478),"")</f>
        <v/>
      </c>
      <c r="AW478" s="39" t="str">
        <f>IF(AND($G478='Povolené hodnoty'!$B$13,$H478=AW$4),SUM($J478,$M478,$P478,$S478),"")</f>
        <v/>
      </c>
      <c r="AX478" s="458" t="str">
        <f>IF(AND($G478='Povolené hodnoty'!$B$13,$H478=AX$4),SUM($J478,$M478,$P478,$S478),"")</f>
        <v/>
      </c>
      <c r="AY478" s="458" t="str">
        <f>IF(AND($G478='Povolené hodnoty'!$B$13,$H478=AY$4),SUM($J478,$M478,$P478,$S478),"")</f>
        <v/>
      </c>
      <c r="AZ478" s="458" t="str">
        <f>IF(AND($G478='Povolené hodnoty'!$B$13,$H478=AZ$4),SUM($J478,$M478,$P478,$S478),"")</f>
        <v/>
      </c>
      <c r="BA478" s="458" t="str">
        <f>IF(AND($G478='Povolené hodnoty'!$B$13,$H478=BA$4),SUM($J478,$M478,$P478,$S478),"")</f>
        <v/>
      </c>
      <c r="BB478" s="40" t="str">
        <f>IF(AND($G478='Povolené hodnoty'!$B$13,$H478=BB$4),SUM($J478,$M478,$P478,$S478),"")</f>
        <v/>
      </c>
      <c r="BC478" s="40" t="str">
        <f>IF(AND($G478='Povolené hodnoty'!$B$13,$H478=BC$4),SUM($J478,$M478,$P478,$S478),"")</f>
        <v/>
      </c>
      <c r="BD478" s="40" t="str">
        <f>IF(AND($G478='Povolené hodnoty'!$B$13,$H478=BD$4),SUM($J478,$M478,$P478,$S478),"")</f>
        <v/>
      </c>
      <c r="BE478" s="41" t="str">
        <f>IF(AND($G478='Povolené hodnoty'!$B$13,$H478=BE$4),SUM($J478,$M478,$P478,$S478),"")</f>
        <v/>
      </c>
      <c r="BF478" s="39" t="str">
        <f>IF(AND($G478='Povolené hodnoty'!$B$14,$H478=BF$4),SUM($J478,$M478,$P478,$S478),"")</f>
        <v/>
      </c>
      <c r="BG478" s="458" t="str">
        <f>IF(AND($G478='Povolené hodnoty'!$B$14,$H478=BG$4),SUM($J478,$M478,$P478,$S478),"")</f>
        <v/>
      </c>
      <c r="BH478" s="458" t="str">
        <f>IF(AND($G478='Povolené hodnoty'!$B$14,$H478=BH$4),SUM($J478,$M478,$P478,$S478),"")</f>
        <v/>
      </c>
      <c r="BI478" s="458" t="str">
        <f>IF(AND($G478='Povolené hodnoty'!$B$14,$H478=BI$4),SUM($J478,$M478,$P478,$S478),"")</f>
        <v/>
      </c>
      <c r="BJ478" s="458" t="str">
        <f>IF(AND($G478='Povolené hodnoty'!$B$14,$H478=BJ$4),SUM($J478,$M478,$P478,$S478),"")</f>
        <v/>
      </c>
      <c r="BK478" s="40" t="str">
        <f>IF(AND($G478='Povolené hodnoty'!$B$14,$H478=BK$4),SUM($J478,$M478,$P478,$S478),"")</f>
        <v/>
      </c>
      <c r="BL478" s="40" t="str">
        <f>IF(AND($G478='Povolené hodnoty'!$B$14,$H478=BL$4),SUM($J478,$M478,$P478,$S478),"")</f>
        <v/>
      </c>
      <c r="BM478" s="41" t="str">
        <f>IF(AND($G478='Povolené hodnoty'!$B$14,$H478=BM$4),SUM($J478,$M478,$P478,$S478),"")</f>
        <v/>
      </c>
      <c r="BO478" s="18" t="b">
        <f t="shared" si="281"/>
        <v>0</v>
      </c>
      <c r="BP478" s="18" t="b">
        <f t="shared" si="252"/>
        <v>0</v>
      </c>
      <c r="BQ478" s="18" t="b">
        <f>AND(E478&lt;&gt;'Povolené hodnoty'!$B$6,F478&lt;&gt;'Povolené hodnoty'!$D$7,F478&lt;&gt;'Povolené hodnoty'!$D$8,OR(SUM(I478,L478,O478,R478)&lt;&gt;SUM(W478:X478,AA478:AG478),SUM(J478,M478,P478,S478)&lt;&gt;SUM(Y478:Z478,AH478:AK478),COUNT(I478:J478,L478:M478,O478:P478,R478:S478)&lt;&gt;COUNT(W478:AK478)))</f>
        <v>0</v>
      </c>
      <c r="BR478" s="18" t="b">
        <f>OR(AND(E478='Povolené hodnoty'!$B$6,$BR$5),AND(E478='Povolené hodnoty'!$B$6,H478&lt;&gt;'Povolené hodnoty'!$E$26,H478&lt;&gt;'Povolené hodnoty'!$E$35),AND(E478&lt;&gt;'Povolené hodnoty'!$B$6,OR(H478='Povolené hodnoty'!$E$26,H478='Povolené hodnoty'!$E$35)))</f>
        <v>0</v>
      </c>
      <c r="BS478" s="18" t="b">
        <f>OR(AND(G478&lt;&gt;'Povolené hodnoty'!$B$13,OR(H478='Povolené hodnoty'!$E$21,H478='Povolené hodnoty'!$E$22,H478='Povolené hodnoty'!$E$23,H478='Povolené hodnoty'!$E$24,H478='Povolené hodnoty'!$E$26,H478='Povolené hodnoty'!$E$36)),COUNT(I478:J478,L478:M478,O478:P478,R478:S478)&lt;&gt;COUNT(AL478:BM478))</f>
        <v>0</v>
      </c>
      <c r="BT478" s="18" t="b">
        <f t="shared" si="253"/>
        <v>0</v>
      </c>
      <c r="BV478" s="39" t="str">
        <f t="shared" si="254"/>
        <v/>
      </c>
      <c r="BW478" s="458" t="str">
        <f t="shared" si="255"/>
        <v/>
      </c>
      <c r="BX478" s="458" t="str">
        <f t="shared" si="256"/>
        <v/>
      </c>
      <c r="BY478" s="458" t="str">
        <f t="shared" si="257"/>
        <v/>
      </c>
      <c r="BZ478" s="458" t="str">
        <f t="shared" si="258"/>
        <v/>
      </c>
      <c r="CA478" s="40" t="str">
        <f t="shared" si="259"/>
        <v/>
      </c>
      <c r="CB478" s="40" t="str">
        <f t="shared" si="260"/>
        <v/>
      </c>
      <c r="CC478" s="39" t="str">
        <f t="shared" si="261"/>
        <v/>
      </c>
      <c r="CD478" s="458" t="str">
        <f t="shared" si="262"/>
        <v/>
      </c>
      <c r="CE478" s="41" t="str">
        <f t="shared" si="263"/>
        <v/>
      </c>
      <c r="CF478" s="39" t="str">
        <f t="shared" si="264"/>
        <v/>
      </c>
      <c r="CG478" s="458" t="str">
        <f t="shared" si="265"/>
        <v/>
      </c>
      <c r="CH478" s="458" t="str">
        <f t="shared" si="266"/>
        <v/>
      </c>
      <c r="CI478" s="458" t="str">
        <f t="shared" si="267"/>
        <v/>
      </c>
      <c r="CJ478" s="458" t="str">
        <f t="shared" si="268"/>
        <v/>
      </c>
      <c r="CK478" s="40" t="str">
        <f t="shared" si="269"/>
        <v/>
      </c>
      <c r="CL478" s="40" t="str">
        <f t="shared" si="270"/>
        <v/>
      </c>
      <c r="CM478" s="40" t="str">
        <f t="shared" si="271"/>
        <v/>
      </c>
      <c r="CN478" s="39" t="str">
        <f t="shared" si="272"/>
        <v/>
      </c>
      <c r="CO478" s="458" t="str">
        <f t="shared" si="273"/>
        <v/>
      </c>
      <c r="CP478" s="458" t="str">
        <f t="shared" si="274"/>
        <v/>
      </c>
      <c r="CQ478" s="458" t="str">
        <f t="shared" si="275"/>
        <v/>
      </c>
      <c r="CR478" s="458" t="str">
        <f t="shared" si="276"/>
        <v/>
      </c>
      <c r="CS478" s="40" t="str">
        <f t="shared" si="277"/>
        <v/>
      </c>
      <c r="CT478" s="40" t="str">
        <f t="shared" si="278"/>
        <v/>
      </c>
      <c r="CU478" s="41" t="str">
        <f t="shared" si="279"/>
        <v/>
      </c>
    </row>
    <row r="479" spans="1:99" x14ac:dyDescent="0.2">
      <c r="A479" s="77">
        <f t="shared" si="280"/>
        <v>474</v>
      </c>
      <c r="B479" s="81"/>
      <c r="C479" s="82"/>
      <c r="D479" s="71"/>
      <c r="E479" s="72"/>
      <c r="F479" s="73"/>
      <c r="G479" s="443"/>
      <c r="H479" s="443"/>
      <c r="I479" s="74"/>
      <c r="J479" s="75"/>
      <c r="K479" s="41">
        <f t="shared" si="249"/>
        <v>3625</v>
      </c>
      <c r="L479" s="104"/>
      <c r="M479" s="105"/>
      <c r="N479" s="106">
        <f t="shared" si="250"/>
        <v>537.05999999999995</v>
      </c>
      <c r="O479" s="104"/>
      <c r="P479" s="105"/>
      <c r="Q479" s="106">
        <f t="shared" si="282"/>
        <v>10045.83</v>
      </c>
      <c r="R479" s="104"/>
      <c r="S479" s="105"/>
      <c r="T479" s="106">
        <f t="shared" si="283"/>
        <v>0</v>
      </c>
      <c r="U479" s="439"/>
      <c r="V479" s="42">
        <f t="shared" si="251"/>
        <v>474</v>
      </c>
      <c r="W479" s="39" t="str">
        <f>IF(AND(E479='Povolené hodnoty'!$B$4,F479=2),I479+L479+O479+R479,"")</f>
        <v/>
      </c>
      <c r="X479" s="41" t="str">
        <f>IF(AND(E479='Povolené hodnoty'!$B$4,F479=1),I479+L479+O479+R479,"")</f>
        <v/>
      </c>
      <c r="Y479" s="39" t="str">
        <f>IF(AND(E479='Povolené hodnoty'!$B$4,F479=10),J479+M479+P479+S479,"")</f>
        <v/>
      </c>
      <c r="Z479" s="41" t="str">
        <f>IF(AND(E479='Povolené hodnoty'!$B$4,F479=9),J479+M479+P479+S479,"")</f>
        <v/>
      </c>
      <c r="AA479" s="39" t="str">
        <f>IF(AND(E479&lt;&gt;'Povolené hodnoty'!$B$4,F479=2),I479+L479+O479+R479,"")</f>
        <v/>
      </c>
      <c r="AB479" s="40" t="str">
        <f>IF(AND(E479&lt;&gt;'Povolené hodnoty'!$B$4,F479=3),I479+L479+O479+R479,"")</f>
        <v/>
      </c>
      <c r="AC479" s="40" t="str">
        <f>IF(AND(E479&lt;&gt;'Povolené hodnoty'!$B$4,F479=4),I479+L479+O479+R479,"")</f>
        <v/>
      </c>
      <c r="AD479" s="40" t="str">
        <f>IF(AND(E479&lt;&gt;'Povolené hodnoty'!$B$4,F479="5a"),I479-J479+L479-M479+O479-P479+R479-S479,"")</f>
        <v/>
      </c>
      <c r="AE479" s="40" t="str">
        <f>IF(AND(E479&lt;&gt;'Povolené hodnoty'!$B$4,F479="5b"),I479-J479+L479-M479+O479-P479+R479-S479,"")</f>
        <v/>
      </c>
      <c r="AF479" s="40" t="str">
        <f>IF(AND(E479&lt;&gt;'Povolené hodnoty'!$B$4,F479=6),I479+L479+O479+R479,"")</f>
        <v/>
      </c>
      <c r="AG479" s="41" t="str">
        <f>IF(AND(E479&lt;&gt;'Povolené hodnoty'!$B$4,F479=7),I479+L479+O479+R479,"")</f>
        <v/>
      </c>
      <c r="AH479" s="39" t="str">
        <f>IF(AND(E479&lt;&gt;'Povolené hodnoty'!$B$4,F479=10),J479+M479+P479+S479,"")</f>
        <v/>
      </c>
      <c r="AI479" s="40" t="str">
        <f>IF(AND(E479&lt;&gt;'Povolené hodnoty'!$B$4,F479=11),J479+M479+P479+S479,"")</f>
        <v/>
      </c>
      <c r="AJ479" s="40" t="str">
        <f>IF(AND(E479&lt;&gt;'Povolené hodnoty'!$B$4,F479=12),J479+M479+P479+S479,"")</f>
        <v/>
      </c>
      <c r="AK479" s="41" t="str">
        <f>IF(AND(E479&lt;&gt;'Povolené hodnoty'!$B$4,F479=13),J479+M479+P479+S479,"")</f>
        <v/>
      </c>
      <c r="AL479" s="39" t="str">
        <f>IF(AND($G479='Povolené hodnoty'!$B$13,$H479=AL$4),SUM($I479,$L479,$O479,$R479),"")</f>
        <v/>
      </c>
      <c r="AM479" s="458" t="str">
        <f>IF(AND($G479='Povolené hodnoty'!$B$13,$H479=AM$4),SUM($I479,$L479,$O479,$R479),"")</f>
        <v/>
      </c>
      <c r="AN479" s="458" t="str">
        <f>IF(AND($G479='Povolené hodnoty'!$B$13,$H479=AN$4),SUM($I479,$L479,$O479,$R479),"")</f>
        <v/>
      </c>
      <c r="AO479" s="458" t="str">
        <f>IF(AND($G479='Povolené hodnoty'!$B$13,$H479=AO$4),SUM($I479,$L479,$O479,$R479),"")</f>
        <v/>
      </c>
      <c r="AP479" s="458" t="str">
        <f>IF(AND($G479='Povolené hodnoty'!$B$13,$H479=AP$4),SUM($I479,$L479,$O479,$R479),"")</f>
        <v/>
      </c>
      <c r="AQ479" s="40" t="str">
        <f>IF(AND($G479='Povolené hodnoty'!$B$13,OR($H479=AQ$4,$H479='Povolené hodnoty'!$E$36)),SUM($I479,-$J479,$L479,-$M479,$O479,-$P479,$R479,-$S479),"")</f>
        <v/>
      </c>
      <c r="AR479" s="40" t="str">
        <f>IF(AND($G479='Povolené hodnoty'!$B$13,$H479=AR$4),SUM($I479,$L479,$O479,$R479),"")</f>
        <v/>
      </c>
      <c r="AS479" s="41" t="str">
        <f>IF(AND($G479='Povolené hodnoty'!$B$13,$H479=AS$4),SUM($I479,$L479,$O479,$R479),"")</f>
        <v/>
      </c>
      <c r="AT479" s="39" t="str">
        <f>IF(AND($G479='Povolené hodnoty'!$B$14,$H479=AT$4),SUM($I479,$L479,$O479,$R479),"")</f>
        <v/>
      </c>
      <c r="AU479" s="458" t="str">
        <f>IF(AND($G479='Povolené hodnoty'!$B$14,$H479=AU$4),SUM($I479,$L479,$O479,$R479),"")</f>
        <v/>
      </c>
      <c r="AV479" s="41" t="str">
        <f>IF(AND($G479='Povolené hodnoty'!$B$14,$H479=AV$4),SUM($I479,$L479,$O479,$R479),"")</f>
        <v/>
      </c>
      <c r="AW479" s="39" t="str">
        <f>IF(AND($G479='Povolené hodnoty'!$B$13,$H479=AW$4),SUM($J479,$M479,$P479,$S479),"")</f>
        <v/>
      </c>
      <c r="AX479" s="458" t="str">
        <f>IF(AND($G479='Povolené hodnoty'!$B$13,$H479=AX$4),SUM($J479,$M479,$P479,$S479),"")</f>
        <v/>
      </c>
      <c r="AY479" s="458" t="str">
        <f>IF(AND($G479='Povolené hodnoty'!$B$13,$H479=AY$4),SUM($J479,$M479,$P479,$S479),"")</f>
        <v/>
      </c>
      <c r="AZ479" s="458" t="str">
        <f>IF(AND($G479='Povolené hodnoty'!$B$13,$H479=AZ$4),SUM($J479,$M479,$P479,$S479),"")</f>
        <v/>
      </c>
      <c r="BA479" s="458" t="str">
        <f>IF(AND($G479='Povolené hodnoty'!$B$13,$H479=BA$4),SUM($J479,$M479,$P479,$S479),"")</f>
        <v/>
      </c>
      <c r="BB479" s="40" t="str">
        <f>IF(AND($G479='Povolené hodnoty'!$B$13,$H479=BB$4),SUM($J479,$M479,$P479,$S479),"")</f>
        <v/>
      </c>
      <c r="BC479" s="40" t="str">
        <f>IF(AND($G479='Povolené hodnoty'!$B$13,$H479=BC$4),SUM($J479,$M479,$P479,$S479),"")</f>
        <v/>
      </c>
      <c r="BD479" s="40" t="str">
        <f>IF(AND($G479='Povolené hodnoty'!$B$13,$H479=BD$4),SUM($J479,$M479,$P479,$S479),"")</f>
        <v/>
      </c>
      <c r="BE479" s="41" t="str">
        <f>IF(AND($G479='Povolené hodnoty'!$B$13,$H479=BE$4),SUM($J479,$M479,$P479,$S479),"")</f>
        <v/>
      </c>
      <c r="BF479" s="39" t="str">
        <f>IF(AND($G479='Povolené hodnoty'!$B$14,$H479=BF$4),SUM($J479,$M479,$P479,$S479),"")</f>
        <v/>
      </c>
      <c r="BG479" s="458" t="str">
        <f>IF(AND($G479='Povolené hodnoty'!$B$14,$H479=BG$4),SUM($J479,$M479,$P479,$S479),"")</f>
        <v/>
      </c>
      <c r="BH479" s="458" t="str">
        <f>IF(AND($G479='Povolené hodnoty'!$B$14,$H479=BH$4),SUM($J479,$M479,$P479,$S479),"")</f>
        <v/>
      </c>
      <c r="BI479" s="458" t="str">
        <f>IF(AND($G479='Povolené hodnoty'!$B$14,$H479=BI$4),SUM($J479,$M479,$P479,$S479),"")</f>
        <v/>
      </c>
      <c r="BJ479" s="458" t="str">
        <f>IF(AND($G479='Povolené hodnoty'!$B$14,$H479=BJ$4),SUM($J479,$M479,$P479,$S479),"")</f>
        <v/>
      </c>
      <c r="BK479" s="40" t="str">
        <f>IF(AND($G479='Povolené hodnoty'!$B$14,$H479=BK$4),SUM($J479,$M479,$P479,$S479),"")</f>
        <v/>
      </c>
      <c r="BL479" s="40" t="str">
        <f>IF(AND($G479='Povolené hodnoty'!$B$14,$H479=BL$4),SUM($J479,$M479,$P479,$S479),"")</f>
        <v/>
      </c>
      <c r="BM479" s="41" t="str">
        <f>IF(AND($G479='Povolené hodnoty'!$B$14,$H479=BM$4),SUM($J479,$M479,$P479,$S479),"")</f>
        <v/>
      </c>
      <c r="BO479" s="18" t="b">
        <f t="shared" si="281"/>
        <v>0</v>
      </c>
      <c r="BP479" s="18" t="b">
        <f t="shared" si="252"/>
        <v>0</v>
      </c>
      <c r="BQ479" s="18" t="b">
        <f>AND(E479&lt;&gt;'Povolené hodnoty'!$B$6,F479&lt;&gt;'Povolené hodnoty'!$D$7,F479&lt;&gt;'Povolené hodnoty'!$D$8,OR(SUM(I479,L479,O479,R479)&lt;&gt;SUM(W479:X479,AA479:AG479),SUM(J479,M479,P479,S479)&lt;&gt;SUM(Y479:Z479,AH479:AK479),COUNT(I479:J479,L479:M479,O479:P479,R479:S479)&lt;&gt;COUNT(W479:AK479)))</f>
        <v>0</v>
      </c>
      <c r="BR479" s="18" t="b">
        <f>OR(AND(E479='Povolené hodnoty'!$B$6,$BR$5),AND(E479='Povolené hodnoty'!$B$6,H479&lt;&gt;'Povolené hodnoty'!$E$26,H479&lt;&gt;'Povolené hodnoty'!$E$35),AND(E479&lt;&gt;'Povolené hodnoty'!$B$6,OR(H479='Povolené hodnoty'!$E$26,H479='Povolené hodnoty'!$E$35)))</f>
        <v>0</v>
      </c>
      <c r="BS479" s="18" t="b">
        <f>OR(AND(G479&lt;&gt;'Povolené hodnoty'!$B$13,OR(H479='Povolené hodnoty'!$E$21,H479='Povolené hodnoty'!$E$22,H479='Povolené hodnoty'!$E$23,H479='Povolené hodnoty'!$E$24,H479='Povolené hodnoty'!$E$26,H479='Povolené hodnoty'!$E$36)),COUNT(I479:J479,L479:M479,O479:P479,R479:S479)&lt;&gt;COUNT(AL479:BM479))</f>
        <v>0</v>
      </c>
      <c r="BT479" s="18" t="b">
        <f t="shared" si="253"/>
        <v>0</v>
      </c>
      <c r="BV479" s="39" t="str">
        <f t="shared" si="254"/>
        <v/>
      </c>
      <c r="BW479" s="458" t="str">
        <f t="shared" si="255"/>
        <v/>
      </c>
      <c r="BX479" s="458" t="str">
        <f t="shared" si="256"/>
        <v/>
      </c>
      <c r="BY479" s="458" t="str">
        <f t="shared" si="257"/>
        <v/>
      </c>
      <c r="BZ479" s="458" t="str">
        <f t="shared" si="258"/>
        <v/>
      </c>
      <c r="CA479" s="40" t="str">
        <f t="shared" si="259"/>
        <v/>
      </c>
      <c r="CB479" s="40" t="str">
        <f t="shared" si="260"/>
        <v/>
      </c>
      <c r="CC479" s="39" t="str">
        <f t="shared" si="261"/>
        <v/>
      </c>
      <c r="CD479" s="458" t="str">
        <f t="shared" si="262"/>
        <v/>
      </c>
      <c r="CE479" s="41" t="str">
        <f t="shared" si="263"/>
        <v/>
      </c>
      <c r="CF479" s="39" t="str">
        <f t="shared" si="264"/>
        <v/>
      </c>
      <c r="CG479" s="458" t="str">
        <f t="shared" si="265"/>
        <v/>
      </c>
      <c r="CH479" s="458" t="str">
        <f t="shared" si="266"/>
        <v/>
      </c>
      <c r="CI479" s="458" t="str">
        <f t="shared" si="267"/>
        <v/>
      </c>
      <c r="CJ479" s="458" t="str">
        <f t="shared" si="268"/>
        <v/>
      </c>
      <c r="CK479" s="40" t="str">
        <f t="shared" si="269"/>
        <v/>
      </c>
      <c r="CL479" s="40" t="str">
        <f t="shared" si="270"/>
        <v/>
      </c>
      <c r="CM479" s="40" t="str">
        <f t="shared" si="271"/>
        <v/>
      </c>
      <c r="CN479" s="39" t="str">
        <f t="shared" si="272"/>
        <v/>
      </c>
      <c r="CO479" s="458" t="str">
        <f t="shared" si="273"/>
        <v/>
      </c>
      <c r="CP479" s="458" t="str">
        <f t="shared" si="274"/>
        <v/>
      </c>
      <c r="CQ479" s="458" t="str">
        <f t="shared" si="275"/>
        <v/>
      </c>
      <c r="CR479" s="458" t="str">
        <f t="shared" si="276"/>
        <v/>
      </c>
      <c r="CS479" s="40" t="str">
        <f t="shared" si="277"/>
        <v/>
      </c>
      <c r="CT479" s="40" t="str">
        <f t="shared" si="278"/>
        <v/>
      </c>
      <c r="CU479" s="41" t="str">
        <f t="shared" si="279"/>
        <v/>
      </c>
    </row>
    <row r="480" spans="1:99" x14ac:dyDescent="0.2">
      <c r="A480" s="77">
        <f t="shared" si="280"/>
        <v>475</v>
      </c>
      <c r="B480" s="81"/>
      <c r="C480" s="82"/>
      <c r="D480" s="71"/>
      <c r="E480" s="72"/>
      <c r="F480" s="73"/>
      <c r="G480" s="443"/>
      <c r="H480" s="443"/>
      <c r="I480" s="74"/>
      <c r="J480" s="75"/>
      <c r="K480" s="41">
        <f t="shared" si="249"/>
        <v>3625</v>
      </c>
      <c r="L480" s="104"/>
      <c r="M480" s="105"/>
      <c r="N480" s="106">
        <f t="shared" si="250"/>
        <v>537.05999999999995</v>
      </c>
      <c r="O480" s="104"/>
      <c r="P480" s="105"/>
      <c r="Q480" s="106">
        <f t="shared" si="282"/>
        <v>10045.83</v>
      </c>
      <c r="R480" s="104"/>
      <c r="S480" s="105"/>
      <c r="T480" s="106">
        <f t="shared" si="283"/>
        <v>0</v>
      </c>
      <c r="U480" s="439"/>
      <c r="V480" s="42">
        <f t="shared" si="251"/>
        <v>475</v>
      </c>
      <c r="W480" s="39" t="str">
        <f>IF(AND(E480='Povolené hodnoty'!$B$4,F480=2),I480+L480+O480+R480,"")</f>
        <v/>
      </c>
      <c r="X480" s="41" t="str">
        <f>IF(AND(E480='Povolené hodnoty'!$B$4,F480=1),I480+L480+O480+R480,"")</f>
        <v/>
      </c>
      <c r="Y480" s="39" t="str">
        <f>IF(AND(E480='Povolené hodnoty'!$B$4,F480=10),J480+M480+P480+S480,"")</f>
        <v/>
      </c>
      <c r="Z480" s="41" t="str">
        <f>IF(AND(E480='Povolené hodnoty'!$B$4,F480=9),J480+M480+P480+S480,"")</f>
        <v/>
      </c>
      <c r="AA480" s="39" t="str">
        <f>IF(AND(E480&lt;&gt;'Povolené hodnoty'!$B$4,F480=2),I480+L480+O480+R480,"")</f>
        <v/>
      </c>
      <c r="AB480" s="40" t="str">
        <f>IF(AND(E480&lt;&gt;'Povolené hodnoty'!$B$4,F480=3),I480+L480+O480+R480,"")</f>
        <v/>
      </c>
      <c r="AC480" s="40" t="str">
        <f>IF(AND(E480&lt;&gt;'Povolené hodnoty'!$B$4,F480=4),I480+L480+O480+R480,"")</f>
        <v/>
      </c>
      <c r="AD480" s="40" t="str">
        <f>IF(AND(E480&lt;&gt;'Povolené hodnoty'!$B$4,F480="5a"),I480-J480+L480-M480+O480-P480+R480-S480,"")</f>
        <v/>
      </c>
      <c r="AE480" s="40" t="str">
        <f>IF(AND(E480&lt;&gt;'Povolené hodnoty'!$B$4,F480="5b"),I480-J480+L480-M480+O480-P480+R480-S480,"")</f>
        <v/>
      </c>
      <c r="AF480" s="40" t="str">
        <f>IF(AND(E480&lt;&gt;'Povolené hodnoty'!$B$4,F480=6),I480+L480+O480+R480,"")</f>
        <v/>
      </c>
      <c r="AG480" s="41" t="str">
        <f>IF(AND(E480&lt;&gt;'Povolené hodnoty'!$B$4,F480=7),I480+L480+O480+R480,"")</f>
        <v/>
      </c>
      <c r="AH480" s="39" t="str">
        <f>IF(AND(E480&lt;&gt;'Povolené hodnoty'!$B$4,F480=10),J480+M480+P480+S480,"")</f>
        <v/>
      </c>
      <c r="AI480" s="40" t="str">
        <f>IF(AND(E480&lt;&gt;'Povolené hodnoty'!$B$4,F480=11),J480+M480+P480+S480,"")</f>
        <v/>
      </c>
      <c r="AJ480" s="40" t="str">
        <f>IF(AND(E480&lt;&gt;'Povolené hodnoty'!$B$4,F480=12),J480+M480+P480+S480,"")</f>
        <v/>
      </c>
      <c r="AK480" s="41" t="str">
        <f>IF(AND(E480&lt;&gt;'Povolené hodnoty'!$B$4,F480=13),J480+M480+P480+S480,"")</f>
        <v/>
      </c>
      <c r="AL480" s="39" t="str">
        <f>IF(AND($G480='Povolené hodnoty'!$B$13,$H480=AL$4),SUM($I480,$L480,$O480,$R480),"")</f>
        <v/>
      </c>
      <c r="AM480" s="458" t="str">
        <f>IF(AND($G480='Povolené hodnoty'!$B$13,$H480=AM$4),SUM($I480,$L480,$O480,$R480),"")</f>
        <v/>
      </c>
      <c r="AN480" s="458" t="str">
        <f>IF(AND($G480='Povolené hodnoty'!$B$13,$H480=AN$4),SUM($I480,$L480,$O480,$R480),"")</f>
        <v/>
      </c>
      <c r="AO480" s="458" t="str">
        <f>IF(AND($G480='Povolené hodnoty'!$B$13,$H480=AO$4),SUM($I480,$L480,$O480,$R480),"")</f>
        <v/>
      </c>
      <c r="AP480" s="458" t="str">
        <f>IF(AND($G480='Povolené hodnoty'!$B$13,$H480=AP$4),SUM($I480,$L480,$O480,$R480),"")</f>
        <v/>
      </c>
      <c r="AQ480" s="40" t="str">
        <f>IF(AND($G480='Povolené hodnoty'!$B$13,OR($H480=AQ$4,$H480='Povolené hodnoty'!$E$36)),SUM($I480,-$J480,$L480,-$M480,$O480,-$P480,$R480,-$S480),"")</f>
        <v/>
      </c>
      <c r="AR480" s="40" t="str">
        <f>IF(AND($G480='Povolené hodnoty'!$B$13,$H480=AR$4),SUM($I480,$L480,$O480,$R480),"")</f>
        <v/>
      </c>
      <c r="AS480" s="41" t="str">
        <f>IF(AND($G480='Povolené hodnoty'!$B$13,$H480=AS$4),SUM($I480,$L480,$O480,$R480),"")</f>
        <v/>
      </c>
      <c r="AT480" s="39" t="str">
        <f>IF(AND($G480='Povolené hodnoty'!$B$14,$H480=AT$4),SUM($I480,$L480,$O480,$R480),"")</f>
        <v/>
      </c>
      <c r="AU480" s="458" t="str">
        <f>IF(AND($G480='Povolené hodnoty'!$B$14,$H480=AU$4),SUM($I480,$L480,$O480,$R480),"")</f>
        <v/>
      </c>
      <c r="AV480" s="41" t="str">
        <f>IF(AND($G480='Povolené hodnoty'!$B$14,$H480=AV$4),SUM($I480,$L480,$O480,$R480),"")</f>
        <v/>
      </c>
      <c r="AW480" s="39" t="str">
        <f>IF(AND($G480='Povolené hodnoty'!$B$13,$H480=AW$4),SUM($J480,$M480,$P480,$S480),"")</f>
        <v/>
      </c>
      <c r="AX480" s="458" t="str">
        <f>IF(AND($G480='Povolené hodnoty'!$B$13,$H480=AX$4),SUM($J480,$M480,$P480,$S480),"")</f>
        <v/>
      </c>
      <c r="AY480" s="458" t="str">
        <f>IF(AND($G480='Povolené hodnoty'!$B$13,$H480=AY$4),SUM($J480,$M480,$P480,$S480),"")</f>
        <v/>
      </c>
      <c r="AZ480" s="458" t="str">
        <f>IF(AND($G480='Povolené hodnoty'!$B$13,$H480=AZ$4),SUM($J480,$M480,$P480,$S480),"")</f>
        <v/>
      </c>
      <c r="BA480" s="458" t="str">
        <f>IF(AND($G480='Povolené hodnoty'!$B$13,$H480=BA$4),SUM($J480,$M480,$P480,$S480),"")</f>
        <v/>
      </c>
      <c r="BB480" s="40" t="str">
        <f>IF(AND($G480='Povolené hodnoty'!$B$13,$H480=BB$4),SUM($J480,$M480,$P480,$S480),"")</f>
        <v/>
      </c>
      <c r="BC480" s="40" t="str">
        <f>IF(AND($G480='Povolené hodnoty'!$B$13,$H480=BC$4),SUM($J480,$M480,$P480,$S480),"")</f>
        <v/>
      </c>
      <c r="BD480" s="40" t="str">
        <f>IF(AND($G480='Povolené hodnoty'!$B$13,$H480=BD$4),SUM($J480,$M480,$P480,$S480),"")</f>
        <v/>
      </c>
      <c r="BE480" s="41" t="str">
        <f>IF(AND($G480='Povolené hodnoty'!$B$13,$H480=BE$4),SUM($J480,$M480,$P480,$S480),"")</f>
        <v/>
      </c>
      <c r="BF480" s="39" t="str">
        <f>IF(AND($G480='Povolené hodnoty'!$B$14,$H480=BF$4),SUM($J480,$M480,$P480,$S480),"")</f>
        <v/>
      </c>
      <c r="BG480" s="458" t="str">
        <f>IF(AND($G480='Povolené hodnoty'!$B$14,$H480=BG$4),SUM($J480,$M480,$P480,$S480),"")</f>
        <v/>
      </c>
      <c r="BH480" s="458" t="str">
        <f>IF(AND($G480='Povolené hodnoty'!$B$14,$H480=BH$4),SUM($J480,$M480,$P480,$S480),"")</f>
        <v/>
      </c>
      <c r="BI480" s="458" t="str">
        <f>IF(AND($G480='Povolené hodnoty'!$B$14,$H480=BI$4),SUM($J480,$M480,$P480,$S480),"")</f>
        <v/>
      </c>
      <c r="BJ480" s="458" t="str">
        <f>IF(AND($G480='Povolené hodnoty'!$B$14,$H480=BJ$4),SUM($J480,$M480,$P480,$S480),"")</f>
        <v/>
      </c>
      <c r="BK480" s="40" t="str">
        <f>IF(AND($G480='Povolené hodnoty'!$B$14,$H480=BK$4),SUM($J480,$M480,$P480,$S480),"")</f>
        <v/>
      </c>
      <c r="BL480" s="40" t="str">
        <f>IF(AND($G480='Povolené hodnoty'!$B$14,$H480=BL$4),SUM($J480,$M480,$P480,$S480),"")</f>
        <v/>
      </c>
      <c r="BM480" s="41" t="str">
        <f>IF(AND($G480='Povolené hodnoty'!$B$14,$H480=BM$4),SUM($J480,$M480,$P480,$S480),"")</f>
        <v/>
      </c>
      <c r="BO480" s="18" t="b">
        <f t="shared" si="281"/>
        <v>0</v>
      </c>
      <c r="BP480" s="18" t="b">
        <f t="shared" si="252"/>
        <v>0</v>
      </c>
      <c r="BQ480" s="18" t="b">
        <f>AND(E480&lt;&gt;'Povolené hodnoty'!$B$6,F480&lt;&gt;'Povolené hodnoty'!$D$7,F480&lt;&gt;'Povolené hodnoty'!$D$8,OR(SUM(I480,L480,O480,R480)&lt;&gt;SUM(W480:X480,AA480:AG480),SUM(J480,M480,P480,S480)&lt;&gt;SUM(Y480:Z480,AH480:AK480),COUNT(I480:J480,L480:M480,O480:P480,R480:S480)&lt;&gt;COUNT(W480:AK480)))</f>
        <v>0</v>
      </c>
      <c r="BR480" s="18" t="b">
        <f>OR(AND(E480='Povolené hodnoty'!$B$6,$BR$5),AND(E480='Povolené hodnoty'!$B$6,H480&lt;&gt;'Povolené hodnoty'!$E$26,H480&lt;&gt;'Povolené hodnoty'!$E$35),AND(E480&lt;&gt;'Povolené hodnoty'!$B$6,OR(H480='Povolené hodnoty'!$E$26,H480='Povolené hodnoty'!$E$35)))</f>
        <v>0</v>
      </c>
      <c r="BS480" s="18" t="b">
        <f>OR(AND(G480&lt;&gt;'Povolené hodnoty'!$B$13,OR(H480='Povolené hodnoty'!$E$21,H480='Povolené hodnoty'!$E$22,H480='Povolené hodnoty'!$E$23,H480='Povolené hodnoty'!$E$24,H480='Povolené hodnoty'!$E$26,H480='Povolené hodnoty'!$E$36)),COUNT(I480:J480,L480:M480,O480:P480,R480:S480)&lt;&gt;COUNT(AL480:BM480))</f>
        <v>0</v>
      </c>
      <c r="BT480" s="18" t="b">
        <f t="shared" si="253"/>
        <v>0</v>
      </c>
      <c r="BV480" s="39" t="str">
        <f t="shared" si="254"/>
        <v/>
      </c>
      <c r="BW480" s="458" t="str">
        <f t="shared" si="255"/>
        <v/>
      </c>
      <c r="BX480" s="458" t="str">
        <f t="shared" si="256"/>
        <v/>
      </c>
      <c r="BY480" s="458" t="str">
        <f t="shared" si="257"/>
        <v/>
      </c>
      <c r="BZ480" s="458" t="str">
        <f t="shared" si="258"/>
        <v/>
      </c>
      <c r="CA480" s="40" t="str">
        <f t="shared" si="259"/>
        <v/>
      </c>
      <c r="CB480" s="40" t="str">
        <f t="shared" si="260"/>
        <v/>
      </c>
      <c r="CC480" s="39" t="str">
        <f t="shared" si="261"/>
        <v/>
      </c>
      <c r="CD480" s="458" t="str">
        <f t="shared" si="262"/>
        <v/>
      </c>
      <c r="CE480" s="41" t="str">
        <f t="shared" si="263"/>
        <v/>
      </c>
      <c r="CF480" s="39" t="str">
        <f t="shared" si="264"/>
        <v/>
      </c>
      <c r="CG480" s="458" t="str">
        <f t="shared" si="265"/>
        <v/>
      </c>
      <c r="CH480" s="458" t="str">
        <f t="shared" si="266"/>
        <v/>
      </c>
      <c r="CI480" s="458" t="str">
        <f t="shared" si="267"/>
        <v/>
      </c>
      <c r="CJ480" s="458" t="str">
        <f t="shared" si="268"/>
        <v/>
      </c>
      <c r="CK480" s="40" t="str">
        <f t="shared" si="269"/>
        <v/>
      </c>
      <c r="CL480" s="40" t="str">
        <f t="shared" si="270"/>
        <v/>
      </c>
      <c r="CM480" s="40" t="str">
        <f t="shared" si="271"/>
        <v/>
      </c>
      <c r="CN480" s="39" t="str">
        <f t="shared" si="272"/>
        <v/>
      </c>
      <c r="CO480" s="458" t="str">
        <f t="shared" si="273"/>
        <v/>
      </c>
      <c r="CP480" s="458" t="str">
        <f t="shared" si="274"/>
        <v/>
      </c>
      <c r="CQ480" s="458" t="str">
        <f t="shared" si="275"/>
        <v/>
      </c>
      <c r="CR480" s="458" t="str">
        <f t="shared" si="276"/>
        <v/>
      </c>
      <c r="CS480" s="40" t="str">
        <f t="shared" si="277"/>
        <v/>
      </c>
      <c r="CT480" s="40" t="str">
        <f t="shared" si="278"/>
        <v/>
      </c>
      <c r="CU480" s="41" t="str">
        <f t="shared" si="279"/>
        <v/>
      </c>
    </row>
    <row r="481" spans="1:99" x14ac:dyDescent="0.2">
      <c r="A481" s="77">
        <f t="shared" si="280"/>
        <v>476</v>
      </c>
      <c r="B481" s="81"/>
      <c r="C481" s="82"/>
      <c r="D481" s="71"/>
      <c r="E481" s="72"/>
      <c r="F481" s="73"/>
      <c r="G481" s="443"/>
      <c r="H481" s="443"/>
      <c r="I481" s="74"/>
      <c r="J481" s="75"/>
      <c r="K481" s="41">
        <f t="shared" si="249"/>
        <v>3625</v>
      </c>
      <c r="L481" s="104"/>
      <c r="M481" s="105"/>
      <c r="N481" s="106">
        <f t="shared" si="250"/>
        <v>537.05999999999995</v>
      </c>
      <c r="O481" s="104"/>
      <c r="P481" s="105"/>
      <c r="Q481" s="106">
        <f t="shared" si="282"/>
        <v>10045.83</v>
      </c>
      <c r="R481" s="104"/>
      <c r="S481" s="105"/>
      <c r="T481" s="106">
        <f t="shared" si="283"/>
        <v>0</v>
      </c>
      <c r="U481" s="439"/>
      <c r="V481" s="42">
        <f t="shared" si="251"/>
        <v>476</v>
      </c>
      <c r="W481" s="39" t="str">
        <f>IF(AND(E481='Povolené hodnoty'!$B$4,F481=2),I481+L481+O481+R481,"")</f>
        <v/>
      </c>
      <c r="X481" s="41" t="str">
        <f>IF(AND(E481='Povolené hodnoty'!$B$4,F481=1),I481+L481+O481+R481,"")</f>
        <v/>
      </c>
      <c r="Y481" s="39" t="str">
        <f>IF(AND(E481='Povolené hodnoty'!$B$4,F481=10),J481+M481+P481+S481,"")</f>
        <v/>
      </c>
      <c r="Z481" s="41" t="str">
        <f>IF(AND(E481='Povolené hodnoty'!$B$4,F481=9),J481+M481+P481+S481,"")</f>
        <v/>
      </c>
      <c r="AA481" s="39" t="str">
        <f>IF(AND(E481&lt;&gt;'Povolené hodnoty'!$B$4,F481=2),I481+L481+O481+R481,"")</f>
        <v/>
      </c>
      <c r="AB481" s="40" t="str">
        <f>IF(AND(E481&lt;&gt;'Povolené hodnoty'!$B$4,F481=3),I481+L481+O481+R481,"")</f>
        <v/>
      </c>
      <c r="AC481" s="40" t="str">
        <f>IF(AND(E481&lt;&gt;'Povolené hodnoty'!$B$4,F481=4),I481+L481+O481+R481,"")</f>
        <v/>
      </c>
      <c r="AD481" s="40" t="str">
        <f>IF(AND(E481&lt;&gt;'Povolené hodnoty'!$B$4,F481="5a"),I481-J481+L481-M481+O481-P481+R481-S481,"")</f>
        <v/>
      </c>
      <c r="AE481" s="40" t="str">
        <f>IF(AND(E481&lt;&gt;'Povolené hodnoty'!$B$4,F481="5b"),I481-J481+L481-M481+O481-P481+R481-S481,"")</f>
        <v/>
      </c>
      <c r="AF481" s="40" t="str">
        <f>IF(AND(E481&lt;&gt;'Povolené hodnoty'!$B$4,F481=6),I481+L481+O481+R481,"")</f>
        <v/>
      </c>
      <c r="AG481" s="41" t="str">
        <f>IF(AND(E481&lt;&gt;'Povolené hodnoty'!$B$4,F481=7),I481+L481+O481+R481,"")</f>
        <v/>
      </c>
      <c r="AH481" s="39" t="str">
        <f>IF(AND(E481&lt;&gt;'Povolené hodnoty'!$B$4,F481=10),J481+M481+P481+S481,"")</f>
        <v/>
      </c>
      <c r="AI481" s="40" t="str">
        <f>IF(AND(E481&lt;&gt;'Povolené hodnoty'!$B$4,F481=11),J481+M481+P481+S481,"")</f>
        <v/>
      </c>
      <c r="AJ481" s="40" t="str">
        <f>IF(AND(E481&lt;&gt;'Povolené hodnoty'!$B$4,F481=12),J481+M481+P481+S481,"")</f>
        <v/>
      </c>
      <c r="AK481" s="41" t="str">
        <f>IF(AND(E481&lt;&gt;'Povolené hodnoty'!$B$4,F481=13),J481+M481+P481+S481,"")</f>
        <v/>
      </c>
      <c r="AL481" s="39" t="str">
        <f>IF(AND($G481='Povolené hodnoty'!$B$13,$H481=AL$4),SUM($I481,$L481,$O481,$R481),"")</f>
        <v/>
      </c>
      <c r="AM481" s="458" t="str">
        <f>IF(AND($G481='Povolené hodnoty'!$B$13,$H481=AM$4),SUM($I481,$L481,$O481,$R481),"")</f>
        <v/>
      </c>
      <c r="AN481" s="458" t="str">
        <f>IF(AND($G481='Povolené hodnoty'!$B$13,$H481=AN$4),SUM($I481,$L481,$O481,$R481),"")</f>
        <v/>
      </c>
      <c r="AO481" s="458" t="str">
        <f>IF(AND($G481='Povolené hodnoty'!$B$13,$H481=AO$4),SUM($I481,$L481,$O481,$R481),"")</f>
        <v/>
      </c>
      <c r="AP481" s="458" t="str">
        <f>IF(AND($G481='Povolené hodnoty'!$B$13,$H481=AP$4),SUM($I481,$L481,$O481,$R481),"")</f>
        <v/>
      </c>
      <c r="AQ481" s="40" t="str">
        <f>IF(AND($G481='Povolené hodnoty'!$B$13,OR($H481=AQ$4,$H481='Povolené hodnoty'!$E$36)),SUM($I481,-$J481,$L481,-$M481,$O481,-$P481,$R481,-$S481),"")</f>
        <v/>
      </c>
      <c r="AR481" s="40" t="str">
        <f>IF(AND($G481='Povolené hodnoty'!$B$13,$H481=AR$4),SUM($I481,$L481,$O481,$R481),"")</f>
        <v/>
      </c>
      <c r="AS481" s="41" t="str">
        <f>IF(AND($G481='Povolené hodnoty'!$B$13,$H481=AS$4),SUM($I481,$L481,$O481,$R481),"")</f>
        <v/>
      </c>
      <c r="AT481" s="39" t="str">
        <f>IF(AND($G481='Povolené hodnoty'!$B$14,$H481=AT$4),SUM($I481,$L481,$O481,$R481),"")</f>
        <v/>
      </c>
      <c r="AU481" s="458" t="str">
        <f>IF(AND($G481='Povolené hodnoty'!$B$14,$H481=AU$4),SUM($I481,$L481,$O481,$R481),"")</f>
        <v/>
      </c>
      <c r="AV481" s="41" t="str">
        <f>IF(AND($G481='Povolené hodnoty'!$B$14,$H481=AV$4),SUM($I481,$L481,$O481,$R481),"")</f>
        <v/>
      </c>
      <c r="AW481" s="39" t="str">
        <f>IF(AND($G481='Povolené hodnoty'!$B$13,$H481=AW$4),SUM($J481,$M481,$P481,$S481),"")</f>
        <v/>
      </c>
      <c r="AX481" s="458" t="str">
        <f>IF(AND($G481='Povolené hodnoty'!$B$13,$H481=AX$4),SUM($J481,$M481,$P481,$S481),"")</f>
        <v/>
      </c>
      <c r="AY481" s="458" t="str">
        <f>IF(AND($G481='Povolené hodnoty'!$B$13,$H481=AY$4),SUM($J481,$M481,$P481,$S481),"")</f>
        <v/>
      </c>
      <c r="AZ481" s="458" t="str">
        <f>IF(AND($G481='Povolené hodnoty'!$B$13,$H481=AZ$4),SUM($J481,$M481,$P481,$S481),"")</f>
        <v/>
      </c>
      <c r="BA481" s="458" t="str">
        <f>IF(AND($G481='Povolené hodnoty'!$B$13,$H481=BA$4),SUM($J481,$M481,$P481,$S481),"")</f>
        <v/>
      </c>
      <c r="BB481" s="40" t="str">
        <f>IF(AND($G481='Povolené hodnoty'!$B$13,$H481=BB$4),SUM($J481,$M481,$P481,$S481),"")</f>
        <v/>
      </c>
      <c r="BC481" s="40" t="str">
        <f>IF(AND($G481='Povolené hodnoty'!$B$13,$H481=BC$4),SUM($J481,$M481,$P481,$S481),"")</f>
        <v/>
      </c>
      <c r="BD481" s="40" t="str">
        <f>IF(AND($G481='Povolené hodnoty'!$B$13,$H481=BD$4),SUM($J481,$M481,$P481,$S481),"")</f>
        <v/>
      </c>
      <c r="BE481" s="41" t="str">
        <f>IF(AND($G481='Povolené hodnoty'!$B$13,$H481=BE$4),SUM($J481,$M481,$P481,$S481),"")</f>
        <v/>
      </c>
      <c r="BF481" s="39" t="str">
        <f>IF(AND($G481='Povolené hodnoty'!$B$14,$H481=BF$4),SUM($J481,$M481,$P481,$S481),"")</f>
        <v/>
      </c>
      <c r="BG481" s="458" t="str">
        <f>IF(AND($G481='Povolené hodnoty'!$B$14,$H481=BG$4),SUM($J481,$M481,$P481,$S481),"")</f>
        <v/>
      </c>
      <c r="BH481" s="458" t="str">
        <f>IF(AND($G481='Povolené hodnoty'!$B$14,$H481=BH$4),SUM($J481,$M481,$P481,$S481),"")</f>
        <v/>
      </c>
      <c r="BI481" s="458" t="str">
        <f>IF(AND($G481='Povolené hodnoty'!$B$14,$H481=BI$4),SUM($J481,$M481,$P481,$S481),"")</f>
        <v/>
      </c>
      <c r="BJ481" s="458" t="str">
        <f>IF(AND($G481='Povolené hodnoty'!$B$14,$H481=BJ$4),SUM($J481,$M481,$P481,$S481),"")</f>
        <v/>
      </c>
      <c r="BK481" s="40" t="str">
        <f>IF(AND($G481='Povolené hodnoty'!$B$14,$H481=BK$4),SUM($J481,$M481,$P481,$S481),"")</f>
        <v/>
      </c>
      <c r="BL481" s="40" t="str">
        <f>IF(AND($G481='Povolené hodnoty'!$B$14,$H481=BL$4),SUM($J481,$M481,$P481,$S481),"")</f>
        <v/>
      </c>
      <c r="BM481" s="41" t="str">
        <f>IF(AND($G481='Povolené hodnoty'!$B$14,$H481=BM$4),SUM($J481,$M481,$P481,$S481),"")</f>
        <v/>
      </c>
      <c r="BO481" s="18" t="b">
        <f t="shared" si="281"/>
        <v>0</v>
      </c>
      <c r="BP481" s="18" t="b">
        <f t="shared" si="252"/>
        <v>0</v>
      </c>
      <c r="BQ481" s="18" t="b">
        <f>AND(E481&lt;&gt;'Povolené hodnoty'!$B$6,F481&lt;&gt;'Povolené hodnoty'!$D$7,F481&lt;&gt;'Povolené hodnoty'!$D$8,OR(SUM(I481,L481,O481,R481)&lt;&gt;SUM(W481:X481,AA481:AG481),SUM(J481,M481,P481,S481)&lt;&gt;SUM(Y481:Z481,AH481:AK481),COUNT(I481:J481,L481:M481,O481:P481,R481:S481)&lt;&gt;COUNT(W481:AK481)))</f>
        <v>0</v>
      </c>
      <c r="BR481" s="18" t="b">
        <f>OR(AND(E481='Povolené hodnoty'!$B$6,$BR$5),AND(E481='Povolené hodnoty'!$B$6,H481&lt;&gt;'Povolené hodnoty'!$E$26,H481&lt;&gt;'Povolené hodnoty'!$E$35),AND(E481&lt;&gt;'Povolené hodnoty'!$B$6,OR(H481='Povolené hodnoty'!$E$26,H481='Povolené hodnoty'!$E$35)))</f>
        <v>0</v>
      </c>
      <c r="BS481" s="18" t="b">
        <f>OR(AND(G481&lt;&gt;'Povolené hodnoty'!$B$13,OR(H481='Povolené hodnoty'!$E$21,H481='Povolené hodnoty'!$E$22,H481='Povolené hodnoty'!$E$23,H481='Povolené hodnoty'!$E$24,H481='Povolené hodnoty'!$E$26,H481='Povolené hodnoty'!$E$36)),COUNT(I481:J481,L481:M481,O481:P481,R481:S481)&lt;&gt;COUNT(AL481:BM481))</f>
        <v>0</v>
      </c>
      <c r="BT481" s="18" t="b">
        <f t="shared" si="253"/>
        <v>0</v>
      </c>
      <c r="BV481" s="39" t="str">
        <f t="shared" si="254"/>
        <v/>
      </c>
      <c r="BW481" s="458" t="str">
        <f t="shared" si="255"/>
        <v/>
      </c>
      <c r="BX481" s="458" t="str">
        <f t="shared" si="256"/>
        <v/>
      </c>
      <c r="BY481" s="458" t="str">
        <f t="shared" si="257"/>
        <v/>
      </c>
      <c r="BZ481" s="458" t="str">
        <f t="shared" si="258"/>
        <v/>
      </c>
      <c r="CA481" s="40" t="str">
        <f t="shared" si="259"/>
        <v/>
      </c>
      <c r="CB481" s="40" t="str">
        <f t="shared" si="260"/>
        <v/>
      </c>
      <c r="CC481" s="39" t="str">
        <f t="shared" si="261"/>
        <v/>
      </c>
      <c r="CD481" s="458" t="str">
        <f t="shared" si="262"/>
        <v/>
      </c>
      <c r="CE481" s="41" t="str">
        <f t="shared" si="263"/>
        <v/>
      </c>
      <c r="CF481" s="39" t="str">
        <f t="shared" si="264"/>
        <v/>
      </c>
      <c r="CG481" s="458" t="str">
        <f t="shared" si="265"/>
        <v/>
      </c>
      <c r="CH481" s="458" t="str">
        <f t="shared" si="266"/>
        <v/>
      </c>
      <c r="CI481" s="458" t="str">
        <f t="shared" si="267"/>
        <v/>
      </c>
      <c r="CJ481" s="458" t="str">
        <f t="shared" si="268"/>
        <v/>
      </c>
      <c r="CK481" s="40" t="str">
        <f t="shared" si="269"/>
        <v/>
      </c>
      <c r="CL481" s="40" t="str">
        <f t="shared" si="270"/>
        <v/>
      </c>
      <c r="CM481" s="40" t="str">
        <f t="shared" si="271"/>
        <v/>
      </c>
      <c r="CN481" s="39" t="str">
        <f t="shared" si="272"/>
        <v/>
      </c>
      <c r="CO481" s="458" t="str">
        <f t="shared" si="273"/>
        <v/>
      </c>
      <c r="CP481" s="458" t="str">
        <f t="shared" si="274"/>
        <v/>
      </c>
      <c r="CQ481" s="458" t="str">
        <f t="shared" si="275"/>
        <v/>
      </c>
      <c r="CR481" s="458" t="str">
        <f t="shared" si="276"/>
        <v/>
      </c>
      <c r="CS481" s="40" t="str">
        <f t="shared" si="277"/>
        <v/>
      </c>
      <c r="CT481" s="40" t="str">
        <f t="shared" si="278"/>
        <v/>
      </c>
      <c r="CU481" s="41" t="str">
        <f t="shared" si="279"/>
        <v/>
      </c>
    </row>
    <row r="482" spans="1:99" x14ac:dyDescent="0.2">
      <c r="A482" s="77">
        <f t="shared" si="280"/>
        <v>477</v>
      </c>
      <c r="B482" s="81"/>
      <c r="C482" s="82"/>
      <c r="D482" s="71"/>
      <c r="E482" s="72"/>
      <c r="F482" s="73"/>
      <c r="G482" s="443"/>
      <c r="H482" s="443"/>
      <c r="I482" s="74"/>
      <c r="J482" s="75"/>
      <c r="K482" s="41">
        <f t="shared" si="249"/>
        <v>3625</v>
      </c>
      <c r="L482" s="104"/>
      <c r="M482" s="105"/>
      <c r="N482" s="106">
        <f t="shared" si="250"/>
        <v>537.05999999999995</v>
      </c>
      <c r="O482" s="104"/>
      <c r="P482" s="105"/>
      <c r="Q482" s="106">
        <f t="shared" si="282"/>
        <v>10045.83</v>
      </c>
      <c r="R482" s="104"/>
      <c r="S482" s="105"/>
      <c r="T482" s="106">
        <f t="shared" si="283"/>
        <v>0</v>
      </c>
      <c r="U482" s="439"/>
      <c r="V482" s="42">
        <f t="shared" si="251"/>
        <v>477</v>
      </c>
      <c r="W482" s="39" t="str">
        <f>IF(AND(E482='Povolené hodnoty'!$B$4,F482=2),I482+L482+O482+R482,"")</f>
        <v/>
      </c>
      <c r="X482" s="41" t="str">
        <f>IF(AND(E482='Povolené hodnoty'!$B$4,F482=1),I482+L482+O482+R482,"")</f>
        <v/>
      </c>
      <c r="Y482" s="39" t="str">
        <f>IF(AND(E482='Povolené hodnoty'!$B$4,F482=10),J482+M482+P482+S482,"")</f>
        <v/>
      </c>
      <c r="Z482" s="41" t="str">
        <f>IF(AND(E482='Povolené hodnoty'!$B$4,F482=9),J482+M482+P482+S482,"")</f>
        <v/>
      </c>
      <c r="AA482" s="39" t="str">
        <f>IF(AND(E482&lt;&gt;'Povolené hodnoty'!$B$4,F482=2),I482+L482+O482+R482,"")</f>
        <v/>
      </c>
      <c r="AB482" s="40" t="str">
        <f>IF(AND(E482&lt;&gt;'Povolené hodnoty'!$B$4,F482=3),I482+L482+O482+R482,"")</f>
        <v/>
      </c>
      <c r="AC482" s="40" t="str">
        <f>IF(AND(E482&lt;&gt;'Povolené hodnoty'!$B$4,F482=4),I482+L482+O482+R482,"")</f>
        <v/>
      </c>
      <c r="AD482" s="40" t="str">
        <f>IF(AND(E482&lt;&gt;'Povolené hodnoty'!$B$4,F482="5a"),I482-J482+L482-M482+O482-P482+R482-S482,"")</f>
        <v/>
      </c>
      <c r="AE482" s="40" t="str">
        <f>IF(AND(E482&lt;&gt;'Povolené hodnoty'!$B$4,F482="5b"),I482-J482+L482-M482+O482-P482+R482-S482,"")</f>
        <v/>
      </c>
      <c r="AF482" s="40" t="str">
        <f>IF(AND(E482&lt;&gt;'Povolené hodnoty'!$B$4,F482=6),I482+L482+O482+R482,"")</f>
        <v/>
      </c>
      <c r="AG482" s="41" t="str">
        <f>IF(AND(E482&lt;&gt;'Povolené hodnoty'!$B$4,F482=7),I482+L482+O482+R482,"")</f>
        <v/>
      </c>
      <c r="AH482" s="39" t="str">
        <f>IF(AND(E482&lt;&gt;'Povolené hodnoty'!$B$4,F482=10),J482+M482+P482+S482,"")</f>
        <v/>
      </c>
      <c r="AI482" s="40" t="str">
        <f>IF(AND(E482&lt;&gt;'Povolené hodnoty'!$B$4,F482=11),J482+M482+P482+S482,"")</f>
        <v/>
      </c>
      <c r="AJ482" s="40" t="str">
        <f>IF(AND(E482&lt;&gt;'Povolené hodnoty'!$B$4,F482=12),J482+M482+P482+S482,"")</f>
        <v/>
      </c>
      <c r="AK482" s="41" t="str">
        <f>IF(AND(E482&lt;&gt;'Povolené hodnoty'!$B$4,F482=13),J482+M482+P482+S482,"")</f>
        <v/>
      </c>
      <c r="AL482" s="39" t="str">
        <f>IF(AND($G482='Povolené hodnoty'!$B$13,$H482=AL$4),SUM($I482,$L482,$O482,$R482),"")</f>
        <v/>
      </c>
      <c r="AM482" s="458" t="str">
        <f>IF(AND($G482='Povolené hodnoty'!$B$13,$H482=AM$4),SUM($I482,$L482,$O482,$R482),"")</f>
        <v/>
      </c>
      <c r="AN482" s="458" t="str">
        <f>IF(AND($G482='Povolené hodnoty'!$B$13,$H482=AN$4),SUM($I482,$L482,$O482,$R482),"")</f>
        <v/>
      </c>
      <c r="AO482" s="458" t="str">
        <f>IF(AND($G482='Povolené hodnoty'!$B$13,$H482=AO$4),SUM($I482,$L482,$O482,$R482),"")</f>
        <v/>
      </c>
      <c r="AP482" s="458" t="str">
        <f>IF(AND($G482='Povolené hodnoty'!$B$13,$H482=AP$4),SUM($I482,$L482,$O482,$R482),"")</f>
        <v/>
      </c>
      <c r="AQ482" s="40" t="str">
        <f>IF(AND($G482='Povolené hodnoty'!$B$13,OR($H482=AQ$4,$H482='Povolené hodnoty'!$E$36)),SUM($I482,-$J482,$L482,-$M482,$O482,-$P482,$R482,-$S482),"")</f>
        <v/>
      </c>
      <c r="AR482" s="40" t="str">
        <f>IF(AND($G482='Povolené hodnoty'!$B$13,$H482=AR$4),SUM($I482,$L482,$O482,$R482),"")</f>
        <v/>
      </c>
      <c r="AS482" s="41" t="str">
        <f>IF(AND($G482='Povolené hodnoty'!$B$13,$H482=AS$4),SUM($I482,$L482,$O482,$R482),"")</f>
        <v/>
      </c>
      <c r="AT482" s="39" t="str">
        <f>IF(AND($G482='Povolené hodnoty'!$B$14,$H482=AT$4),SUM($I482,$L482,$O482,$R482),"")</f>
        <v/>
      </c>
      <c r="AU482" s="458" t="str">
        <f>IF(AND($G482='Povolené hodnoty'!$B$14,$H482=AU$4),SUM($I482,$L482,$O482,$R482),"")</f>
        <v/>
      </c>
      <c r="AV482" s="41" t="str">
        <f>IF(AND($G482='Povolené hodnoty'!$B$14,$H482=AV$4),SUM($I482,$L482,$O482,$R482),"")</f>
        <v/>
      </c>
      <c r="AW482" s="39" t="str">
        <f>IF(AND($G482='Povolené hodnoty'!$B$13,$H482=AW$4),SUM($J482,$M482,$P482,$S482),"")</f>
        <v/>
      </c>
      <c r="AX482" s="458" t="str">
        <f>IF(AND($G482='Povolené hodnoty'!$B$13,$H482=AX$4),SUM($J482,$M482,$P482,$S482),"")</f>
        <v/>
      </c>
      <c r="AY482" s="458" t="str">
        <f>IF(AND($G482='Povolené hodnoty'!$B$13,$H482=AY$4),SUM($J482,$M482,$P482,$S482),"")</f>
        <v/>
      </c>
      <c r="AZ482" s="458" t="str">
        <f>IF(AND($G482='Povolené hodnoty'!$B$13,$H482=AZ$4),SUM($J482,$M482,$P482,$S482),"")</f>
        <v/>
      </c>
      <c r="BA482" s="458" t="str">
        <f>IF(AND($G482='Povolené hodnoty'!$B$13,$H482=BA$4),SUM($J482,$M482,$P482,$S482),"")</f>
        <v/>
      </c>
      <c r="BB482" s="40" t="str">
        <f>IF(AND($G482='Povolené hodnoty'!$B$13,$H482=BB$4),SUM($J482,$M482,$P482,$S482),"")</f>
        <v/>
      </c>
      <c r="BC482" s="40" t="str">
        <f>IF(AND($G482='Povolené hodnoty'!$B$13,$H482=BC$4),SUM($J482,$M482,$P482,$S482),"")</f>
        <v/>
      </c>
      <c r="BD482" s="40" t="str">
        <f>IF(AND($G482='Povolené hodnoty'!$B$13,$H482=BD$4),SUM($J482,$M482,$P482,$S482),"")</f>
        <v/>
      </c>
      <c r="BE482" s="41" t="str">
        <f>IF(AND($G482='Povolené hodnoty'!$B$13,$H482=BE$4),SUM($J482,$M482,$P482,$S482),"")</f>
        <v/>
      </c>
      <c r="BF482" s="39" t="str">
        <f>IF(AND($G482='Povolené hodnoty'!$B$14,$H482=BF$4),SUM($J482,$M482,$P482,$S482),"")</f>
        <v/>
      </c>
      <c r="BG482" s="458" t="str">
        <f>IF(AND($G482='Povolené hodnoty'!$B$14,$H482=BG$4),SUM($J482,$M482,$P482,$S482),"")</f>
        <v/>
      </c>
      <c r="BH482" s="458" t="str">
        <f>IF(AND($G482='Povolené hodnoty'!$B$14,$H482=BH$4),SUM($J482,$M482,$P482,$S482),"")</f>
        <v/>
      </c>
      <c r="BI482" s="458" t="str">
        <f>IF(AND($G482='Povolené hodnoty'!$B$14,$H482=BI$4),SUM($J482,$M482,$P482,$S482),"")</f>
        <v/>
      </c>
      <c r="BJ482" s="458" t="str">
        <f>IF(AND($G482='Povolené hodnoty'!$B$14,$H482=BJ$4),SUM($J482,$M482,$P482,$S482),"")</f>
        <v/>
      </c>
      <c r="BK482" s="40" t="str">
        <f>IF(AND($G482='Povolené hodnoty'!$B$14,$H482=BK$4),SUM($J482,$M482,$P482,$S482),"")</f>
        <v/>
      </c>
      <c r="BL482" s="40" t="str">
        <f>IF(AND($G482='Povolené hodnoty'!$B$14,$H482=BL$4),SUM($J482,$M482,$P482,$S482),"")</f>
        <v/>
      </c>
      <c r="BM482" s="41" t="str">
        <f>IF(AND($G482='Povolené hodnoty'!$B$14,$H482=BM$4),SUM($J482,$M482,$P482,$S482),"")</f>
        <v/>
      </c>
      <c r="BO482" s="18" t="b">
        <f t="shared" si="281"/>
        <v>0</v>
      </c>
      <c r="BP482" s="18" t="b">
        <f t="shared" si="252"/>
        <v>0</v>
      </c>
      <c r="BQ482" s="18" t="b">
        <f>AND(E482&lt;&gt;'Povolené hodnoty'!$B$6,F482&lt;&gt;'Povolené hodnoty'!$D$7,F482&lt;&gt;'Povolené hodnoty'!$D$8,OR(SUM(I482,L482,O482,R482)&lt;&gt;SUM(W482:X482,AA482:AG482),SUM(J482,M482,P482,S482)&lt;&gt;SUM(Y482:Z482,AH482:AK482),COUNT(I482:J482,L482:M482,O482:P482,R482:S482)&lt;&gt;COUNT(W482:AK482)))</f>
        <v>0</v>
      </c>
      <c r="BR482" s="18" t="b">
        <f>OR(AND(E482='Povolené hodnoty'!$B$6,$BR$5),AND(E482='Povolené hodnoty'!$B$6,H482&lt;&gt;'Povolené hodnoty'!$E$26,H482&lt;&gt;'Povolené hodnoty'!$E$35),AND(E482&lt;&gt;'Povolené hodnoty'!$B$6,OR(H482='Povolené hodnoty'!$E$26,H482='Povolené hodnoty'!$E$35)))</f>
        <v>0</v>
      </c>
      <c r="BS482" s="18" t="b">
        <f>OR(AND(G482&lt;&gt;'Povolené hodnoty'!$B$13,OR(H482='Povolené hodnoty'!$E$21,H482='Povolené hodnoty'!$E$22,H482='Povolené hodnoty'!$E$23,H482='Povolené hodnoty'!$E$24,H482='Povolené hodnoty'!$E$26,H482='Povolené hodnoty'!$E$36)),COUNT(I482:J482,L482:M482,O482:P482,R482:S482)&lt;&gt;COUNT(AL482:BM482))</f>
        <v>0</v>
      </c>
      <c r="BT482" s="18" t="b">
        <f t="shared" si="253"/>
        <v>0</v>
      </c>
      <c r="BV482" s="39" t="str">
        <f t="shared" si="254"/>
        <v/>
      </c>
      <c r="BW482" s="458" t="str">
        <f t="shared" si="255"/>
        <v/>
      </c>
      <c r="BX482" s="458" t="str">
        <f t="shared" si="256"/>
        <v/>
      </c>
      <c r="BY482" s="458" t="str">
        <f t="shared" si="257"/>
        <v/>
      </c>
      <c r="BZ482" s="458" t="str">
        <f t="shared" si="258"/>
        <v/>
      </c>
      <c r="CA482" s="40" t="str">
        <f t="shared" si="259"/>
        <v/>
      </c>
      <c r="CB482" s="40" t="str">
        <f t="shared" si="260"/>
        <v/>
      </c>
      <c r="CC482" s="39" t="str">
        <f t="shared" si="261"/>
        <v/>
      </c>
      <c r="CD482" s="458" t="str">
        <f t="shared" si="262"/>
        <v/>
      </c>
      <c r="CE482" s="41" t="str">
        <f t="shared" si="263"/>
        <v/>
      </c>
      <c r="CF482" s="39" t="str">
        <f t="shared" si="264"/>
        <v/>
      </c>
      <c r="CG482" s="458" t="str">
        <f t="shared" si="265"/>
        <v/>
      </c>
      <c r="CH482" s="458" t="str">
        <f t="shared" si="266"/>
        <v/>
      </c>
      <c r="CI482" s="458" t="str">
        <f t="shared" si="267"/>
        <v/>
      </c>
      <c r="CJ482" s="458" t="str">
        <f t="shared" si="268"/>
        <v/>
      </c>
      <c r="CK482" s="40" t="str">
        <f t="shared" si="269"/>
        <v/>
      </c>
      <c r="CL482" s="40" t="str">
        <f t="shared" si="270"/>
        <v/>
      </c>
      <c r="CM482" s="40" t="str">
        <f t="shared" si="271"/>
        <v/>
      </c>
      <c r="CN482" s="39" t="str">
        <f t="shared" si="272"/>
        <v/>
      </c>
      <c r="CO482" s="458" t="str">
        <f t="shared" si="273"/>
        <v/>
      </c>
      <c r="CP482" s="458" t="str">
        <f t="shared" si="274"/>
        <v/>
      </c>
      <c r="CQ482" s="458" t="str">
        <f t="shared" si="275"/>
        <v/>
      </c>
      <c r="CR482" s="458" t="str">
        <f t="shared" si="276"/>
        <v/>
      </c>
      <c r="CS482" s="40" t="str">
        <f t="shared" si="277"/>
        <v/>
      </c>
      <c r="CT482" s="40" t="str">
        <f t="shared" si="278"/>
        <v/>
      </c>
      <c r="CU482" s="41" t="str">
        <f t="shared" si="279"/>
        <v/>
      </c>
    </row>
    <row r="483" spans="1:99" x14ac:dyDescent="0.2">
      <c r="A483" s="77">
        <f t="shared" si="280"/>
        <v>478</v>
      </c>
      <c r="B483" s="81"/>
      <c r="C483" s="82"/>
      <c r="D483" s="71"/>
      <c r="E483" s="72"/>
      <c r="F483" s="73"/>
      <c r="G483" s="443"/>
      <c r="H483" s="443"/>
      <c r="I483" s="74"/>
      <c r="J483" s="75"/>
      <c r="K483" s="41">
        <f t="shared" si="249"/>
        <v>3625</v>
      </c>
      <c r="L483" s="104"/>
      <c r="M483" s="105"/>
      <c r="N483" s="106">
        <f t="shared" si="250"/>
        <v>537.05999999999995</v>
      </c>
      <c r="O483" s="104"/>
      <c r="P483" s="105"/>
      <c r="Q483" s="106">
        <f t="shared" si="282"/>
        <v>10045.83</v>
      </c>
      <c r="R483" s="104"/>
      <c r="S483" s="105"/>
      <c r="T483" s="106">
        <f t="shared" si="283"/>
        <v>0</v>
      </c>
      <c r="U483" s="439"/>
      <c r="V483" s="42">
        <f t="shared" si="251"/>
        <v>478</v>
      </c>
      <c r="W483" s="39" t="str">
        <f>IF(AND(E483='Povolené hodnoty'!$B$4,F483=2),I483+L483+O483+R483,"")</f>
        <v/>
      </c>
      <c r="X483" s="41" t="str">
        <f>IF(AND(E483='Povolené hodnoty'!$B$4,F483=1),I483+L483+O483+R483,"")</f>
        <v/>
      </c>
      <c r="Y483" s="39" t="str">
        <f>IF(AND(E483='Povolené hodnoty'!$B$4,F483=10),J483+M483+P483+S483,"")</f>
        <v/>
      </c>
      <c r="Z483" s="41" t="str">
        <f>IF(AND(E483='Povolené hodnoty'!$B$4,F483=9),J483+M483+P483+S483,"")</f>
        <v/>
      </c>
      <c r="AA483" s="39" t="str">
        <f>IF(AND(E483&lt;&gt;'Povolené hodnoty'!$B$4,F483=2),I483+L483+O483+R483,"")</f>
        <v/>
      </c>
      <c r="AB483" s="40" t="str">
        <f>IF(AND(E483&lt;&gt;'Povolené hodnoty'!$B$4,F483=3),I483+L483+O483+R483,"")</f>
        <v/>
      </c>
      <c r="AC483" s="40" t="str">
        <f>IF(AND(E483&lt;&gt;'Povolené hodnoty'!$B$4,F483=4),I483+L483+O483+R483,"")</f>
        <v/>
      </c>
      <c r="AD483" s="40" t="str">
        <f>IF(AND(E483&lt;&gt;'Povolené hodnoty'!$B$4,F483="5a"),I483-J483+L483-M483+O483-P483+R483-S483,"")</f>
        <v/>
      </c>
      <c r="AE483" s="40" t="str">
        <f>IF(AND(E483&lt;&gt;'Povolené hodnoty'!$B$4,F483="5b"),I483-J483+L483-M483+O483-P483+R483-S483,"")</f>
        <v/>
      </c>
      <c r="AF483" s="40" t="str">
        <f>IF(AND(E483&lt;&gt;'Povolené hodnoty'!$B$4,F483=6),I483+L483+O483+R483,"")</f>
        <v/>
      </c>
      <c r="AG483" s="41" t="str">
        <f>IF(AND(E483&lt;&gt;'Povolené hodnoty'!$B$4,F483=7),I483+L483+O483+R483,"")</f>
        <v/>
      </c>
      <c r="AH483" s="39" t="str">
        <f>IF(AND(E483&lt;&gt;'Povolené hodnoty'!$B$4,F483=10),J483+M483+P483+S483,"")</f>
        <v/>
      </c>
      <c r="AI483" s="40" t="str">
        <f>IF(AND(E483&lt;&gt;'Povolené hodnoty'!$B$4,F483=11),J483+M483+P483+S483,"")</f>
        <v/>
      </c>
      <c r="AJ483" s="40" t="str">
        <f>IF(AND(E483&lt;&gt;'Povolené hodnoty'!$B$4,F483=12),J483+M483+P483+S483,"")</f>
        <v/>
      </c>
      <c r="AK483" s="41" t="str">
        <f>IF(AND(E483&lt;&gt;'Povolené hodnoty'!$B$4,F483=13),J483+M483+P483+S483,"")</f>
        <v/>
      </c>
      <c r="AL483" s="39" t="str">
        <f>IF(AND($G483='Povolené hodnoty'!$B$13,$H483=AL$4),SUM($I483,$L483,$O483,$R483),"")</f>
        <v/>
      </c>
      <c r="AM483" s="458" t="str">
        <f>IF(AND($G483='Povolené hodnoty'!$B$13,$H483=AM$4),SUM($I483,$L483,$O483,$R483),"")</f>
        <v/>
      </c>
      <c r="AN483" s="458" t="str">
        <f>IF(AND($G483='Povolené hodnoty'!$B$13,$H483=AN$4),SUM($I483,$L483,$O483,$R483),"")</f>
        <v/>
      </c>
      <c r="AO483" s="458" t="str">
        <f>IF(AND($G483='Povolené hodnoty'!$B$13,$H483=AO$4),SUM($I483,$L483,$O483,$R483),"")</f>
        <v/>
      </c>
      <c r="AP483" s="458" t="str">
        <f>IF(AND($G483='Povolené hodnoty'!$B$13,$H483=AP$4),SUM($I483,$L483,$O483,$R483),"")</f>
        <v/>
      </c>
      <c r="AQ483" s="40" t="str">
        <f>IF(AND($G483='Povolené hodnoty'!$B$13,OR($H483=AQ$4,$H483='Povolené hodnoty'!$E$36)),SUM($I483,-$J483,$L483,-$M483,$O483,-$P483,$R483,-$S483),"")</f>
        <v/>
      </c>
      <c r="AR483" s="40" t="str">
        <f>IF(AND($G483='Povolené hodnoty'!$B$13,$H483=AR$4),SUM($I483,$L483,$O483,$R483),"")</f>
        <v/>
      </c>
      <c r="AS483" s="41" t="str">
        <f>IF(AND($G483='Povolené hodnoty'!$B$13,$H483=AS$4),SUM($I483,$L483,$O483,$R483),"")</f>
        <v/>
      </c>
      <c r="AT483" s="39" t="str">
        <f>IF(AND($G483='Povolené hodnoty'!$B$14,$H483=AT$4),SUM($I483,$L483,$O483,$R483),"")</f>
        <v/>
      </c>
      <c r="AU483" s="458" t="str">
        <f>IF(AND($G483='Povolené hodnoty'!$B$14,$H483=AU$4),SUM($I483,$L483,$O483,$R483),"")</f>
        <v/>
      </c>
      <c r="AV483" s="41" t="str">
        <f>IF(AND($G483='Povolené hodnoty'!$B$14,$H483=AV$4),SUM($I483,$L483,$O483,$R483),"")</f>
        <v/>
      </c>
      <c r="AW483" s="39" t="str">
        <f>IF(AND($G483='Povolené hodnoty'!$B$13,$H483=AW$4),SUM($J483,$M483,$P483,$S483),"")</f>
        <v/>
      </c>
      <c r="AX483" s="458" t="str">
        <f>IF(AND($G483='Povolené hodnoty'!$B$13,$H483=AX$4),SUM($J483,$M483,$P483,$S483),"")</f>
        <v/>
      </c>
      <c r="AY483" s="458" t="str">
        <f>IF(AND($G483='Povolené hodnoty'!$B$13,$H483=AY$4),SUM($J483,$M483,$P483,$S483),"")</f>
        <v/>
      </c>
      <c r="AZ483" s="458" t="str">
        <f>IF(AND($G483='Povolené hodnoty'!$B$13,$H483=AZ$4),SUM($J483,$M483,$P483,$S483),"")</f>
        <v/>
      </c>
      <c r="BA483" s="458" t="str">
        <f>IF(AND($G483='Povolené hodnoty'!$B$13,$H483=BA$4),SUM($J483,$M483,$P483,$S483),"")</f>
        <v/>
      </c>
      <c r="BB483" s="40" t="str">
        <f>IF(AND($G483='Povolené hodnoty'!$B$13,$H483=BB$4),SUM($J483,$M483,$P483,$S483),"")</f>
        <v/>
      </c>
      <c r="BC483" s="40" t="str">
        <f>IF(AND($G483='Povolené hodnoty'!$B$13,$H483=BC$4),SUM($J483,$M483,$P483,$S483),"")</f>
        <v/>
      </c>
      <c r="BD483" s="40" t="str">
        <f>IF(AND($G483='Povolené hodnoty'!$B$13,$H483=BD$4),SUM($J483,$M483,$P483,$S483),"")</f>
        <v/>
      </c>
      <c r="BE483" s="41" t="str">
        <f>IF(AND($G483='Povolené hodnoty'!$B$13,$H483=BE$4),SUM($J483,$M483,$P483,$S483),"")</f>
        <v/>
      </c>
      <c r="BF483" s="39" t="str">
        <f>IF(AND($G483='Povolené hodnoty'!$B$14,$H483=BF$4),SUM($J483,$M483,$P483,$S483),"")</f>
        <v/>
      </c>
      <c r="BG483" s="458" t="str">
        <f>IF(AND($G483='Povolené hodnoty'!$B$14,$H483=BG$4),SUM($J483,$M483,$P483,$S483),"")</f>
        <v/>
      </c>
      <c r="BH483" s="458" t="str">
        <f>IF(AND($G483='Povolené hodnoty'!$B$14,$H483=BH$4),SUM($J483,$M483,$P483,$S483),"")</f>
        <v/>
      </c>
      <c r="BI483" s="458" t="str">
        <f>IF(AND($G483='Povolené hodnoty'!$B$14,$H483=BI$4),SUM($J483,$M483,$P483,$S483),"")</f>
        <v/>
      </c>
      <c r="BJ483" s="458" t="str">
        <f>IF(AND($G483='Povolené hodnoty'!$B$14,$H483=BJ$4),SUM($J483,$M483,$P483,$S483),"")</f>
        <v/>
      </c>
      <c r="BK483" s="40" t="str">
        <f>IF(AND($G483='Povolené hodnoty'!$B$14,$H483=BK$4),SUM($J483,$M483,$P483,$S483),"")</f>
        <v/>
      </c>
      <c r="BL483" s="40" t="str">
        <f>IF(AND($G483='Povolené hodnoty'!$B$14,$H483=BL$4),SUM($J483,$M483,$P483,$S483),"")</f>
        <v/>
      </c>
      <c r="BM483" s="41" t="str">
        <f>IF(AND($G483='Povolené hodnoty'!$B$14,$H483=BM$4),SUM($J483,$M483,$P483,$S483),"")</f>
        <v/>
      </c>
      <c r="BO483" s="18" t="b">
        <f t="shared" si="281"/>
        <v>0</v>
      </c>
      <c r="BP483" s="18" t="b">
        <f t="shared" si="252"/>
        <v>0</v>
      </c>
      <c r="BQ483" s="18" t="b">
        <f>AND(E483&lt;&gt;'Povolené hodnoty'!$B$6,F483&lt;&gt;'Povolené hodnoty'!$D$7,F483&lt;&gt;'Povolené hodnoty'!$D$8,OR(SUM(I483,L483,O483,R483)&lt;&gt;SUM(W483:X483,AA483:AG483),SUM(J483,M483,P483,S483)&lt;&gt;SUM(Y483:Z483,AH483:AK483),COUNT(I483:J483,L483:M483,O483:P483,R483:S483)&lt;&gt;COUNT(W483:AK483)))</f>
        <v>0</v>
      </c>
      <c r="BR483" s="18" t="b">
        <f>OR(AND(E483='Povolené hodnoty'!$B$6,$BR$5),AND(E483='Povolené hodnoty'!$B$6,H483&lt;&gt;'Povolené hodnoty'!$E$26,H483&lt;&gt;'Povolené hodnoty'!$E$35),AND(E483&lt;&gt;'Povolené hodnoty'!$B$6,OR(H483='Povolené hodnoty'!$E$26,H483='Povolené hodnoty'!$E$35)))</f>
        <v>0</v>
      </c>
      <c r="BS483" s="18" t="b">
        <f>OR(AND(G483&lt;&gt;'Povolené hodnoty'!$B$13,OR(H483='Povolené hodnoty'!$E$21,H483='Povolené hodnoty'!$E$22,H483='Povolené hodnoty'!$E$23,H483='Povolené hodnoty'!$E$24,H483='Povolené hodnoty'!$E$26,H483='Povolené hodnoty'!$E$36)),COUNT(I483:J483,L483:M483,O483:P483,R483:S483)&lt;&gt;COUNT(AL483:BM483))</f>
        <v>0</v>
      </c>
      <c r="BT483" s="18" t="b">
        <f t="shared" si="253"/>
        <v>0</v>
      </c>
      <c r="BV483" s="39" t="str">
        <f t="shared" si="254"/>
        <v/>
      </c>
      <c r="BW483" s="458" t="str">
        <f t="shared" si="255"/>
        <v/>
      </c>
      <c r="BX483" s="458" t="str">
        <f t="shared" si="256"/>
        <v/>
      </c>
      <c r="BY483" s="458" t="str">
        <f t="shared" si="257"/>
        <v/>
      </c>
      <c r="BZ483" s="458" t="str">
        <f t="shared" si="258"/>
        <v/>
      </c>
      <c r="CA483" s="40" t="str">
        <f t="shared" si="259"/>
        <v/>
      </c>
      <c r="CB483" s="40" t="str">
        <f t="shared" si="260"/>
        <v/>
      </c>
      <c r="CC483" s="39" t="str">
        <f t="shared" si="261"/>
        <v/>
      </c>
      <c r="CD483" s="458" t="str">
        <f t="shared" si="262"/>
        <v/>
      </c>
      <c r="CE483" s="41" t="str">
        <f t="shared" si="263"/>
        <v/>
      </c>
      <c r="CF483" s="39" t="str">
        <f t="shared" si="264"/>
        <v/>
      </c>
      <c r="CG483" s="458" t="str">
        <f t="shared" si="265"/>
        <v/>
      </c>
      <c r="CH483" s="458" t="str">
        <f t="shared" si="266"/>
        <v/>
      </c>
      <c r="CI483" s="458" t="str">
        <f t="shared" si="267"/>
        <v/>
      </c>
      <c r="CJ483" s="458" t="str">
        <f t="shared" si="268"/>
        <v/>
      </c>
      <c r="CK483" s="40" t="str">
        <f t="shared" si="269"/>
        <v/>
      </c>
      <c r="CL483" s="40" t="str">
        <f t="shared" si="270"/>
        <v/>
      </c>
      <c r="CM483" s="40" t="str">
        <f t="shared" si="271"/>
        <v/>
      </c>
      <c r="CN483" s="39" t="str">
        <f t="shared" si="272"/>
        <v/>
      </c>
      <c r="CO483" s="458" t="str">
        <f t="shared" si="273"/>
        <v/>
      </c>
      <c r="CP483" s="458" t="str">
        <f t="shared" si="274"/>
        <v/>
      </c>
      <c r="CQ483" s="458" t="str">
        <f t="shared" si="275"/>
        <v/>
      </c>
      <c r="CR483" s="458" t="str">
        <f t="shared" si="276"/>
        <v/>
      </c>
      <c r="CS483" s="40" t="str">
        <f t="shared" si="277"/>
        <v/>
      </c>
      <c r="CT483" s="40" t="str">
        <f t="shared" si="278"/>
        <v/>
      </c>
      <c r="CU483" s="41" t="str">
        <f t="shared" si="279"/>
        <v/>
      </c>
    </row>
    <row r="484" spans="1:99" x14ac:dyDescent="0.2">
      <c r="A484" s="77">
        <f t="shared" si="280"/>
        <v>479</v>
      </c>
      <c r="B484" s="81"/>
      <c r="C484" s="82"/>
      <c r="D484" s="71"/>
      <c r="E484" s="72"/>
      <c r="F484" s="73"/>
      <c r="G484" s="443"/>
      <c r="H484" s="443"/>
      <c r="I484" s="74"/>
      <c r="J484" s="75"/>
      <c r="K484" s="41">
        <f t="shared" si="249"/>
        <v>3625</v>
      </c>
      <c r="L484" s="104"/>
      <c r="M484" s="105"/>
      <c r="N484" s="106">
        <f t="shared" si="250"/>
        <v>537.05999999999995</v>
      </c>
      <c r="O484" s="104"/>
      <c r="P484" s="105"/>
      <c r="Q484" s="106">
        <f t="shared" si="282"/>
        <v>10045.83</v>
      </c>
      <c r="R484" s="104"/>
      <c r="S484" s="105"/>
      <c r="T484" s="106">
        <f t="shared" si="283"/>
        <v>0</v>
      </c>
      <c r="U484" s="439"/>
      <c r="V484" s="42">
        <f t="shared" si="251"/>
        <v>479</v>
      </c>
      <c r="W484" s="39" t="str">
        <f>IF(AND(E484='Povolené hodnoty'!$B$4,F484=2),I484+L484+O484+R484,"")</f>
        <v/>
      </c>
      <c r="X484" s="41" t="str">
        <f>IF(AND(E484='Povolené hodnoty'!$B$4,F484=1),I484+L484+O484+R484,"")</f>
        <v/>
      </c>
      <c r="Y484" s="39" t="str">
        <f>IF(AND(E484='Povolené hodnoty'!$B$4,F484=10),J484+M484+P484+S484,"")</f>
        <v/>
      </c>
      <c r="Z484" s="41" t="str">
        <f>IF(AND(E484='Povolené hodnoty'!$B$4,F484=9),J484+M484+P484+S484,"")</f>
        <v/>
      </c>
      <c r="AA484" s="39" t="str">
        <f>IF(AND(E484&lt;&gt;'Povolené hodnoty'!$B$4,F484=2),I484+L484+O484+R484,"")</f>
        <v/>
      </c>
      <c r="AB484" s="40" t="str">
        <f>IF(AND(E484&lt;&gt;'Povolené hodnoty'!$B$4,F484=3),I484+L484+O484+R484,"")</f>
        <v/>
      </c>
      <c r="AC484" s="40" t="str">
        <f>IF(AND(E484&lt;&gt;'Povolené hodnoty'!$B$4,F484=4),I484+L484+O484+R484,"")</f>
        <v/>
      </c>
      <c r="AD484" s="40" t="str">
        <f>IF(AND(E484&lt;&gt;'Povolené hodnoty'!$B$4,F484="5a"),I484-J484+L484-M484+O484-P484+R484-S484,"")</f>
        <v/>
      </c>
      <c r="AE484" s="40" t="str">
        <f>IF(AND(E484&lt;&gt;'Povolené hodnoty'!$B$4,F484="5b"),I484-J484+L484-M484+O484-P484+R484-S484,"")</f>
        <v/>
      </c>
      <c r="AF484" s="40" t="str">
        <f>IF(AND(E484&lt;&gt;'Povolené hodnoty'!$B$4,F484=6),I484+L484+O484+R484,"")</f>
        <v/>
      </c>
      <c r="AG484" s="41" t="str">
        <f>IF(AND(E484&lt;&gt;'Povolené hodnoty'!$B$4,F484=7),I484+L484+O484+R484,"")</f>
        <v/>
      </c>
      <c r="AH484" s="39" t="str">
        <f>IF(AND(E484&lt;&gt;'Povolené hodnoty'!$B$4,F484=10),J484+M484+P484+S484,"")</f>
        <v/>
      </c>
      <c r="AI484" s="40" t="str">
        <f>IF(AND(E484&lt;&gt;'Povolené hodnoty'!$B$4,F484=11),J484+M484+P484+S484,"")</f>
        <v/>
      </c>
      <c r="AJ484" s="40" t="str">
        <f>IF(AND(E484&lt;&gt;'Povolené hodnoty'!$B$4,F484=12),J484+M484+P484+S484,"")</f>
        <v/>
      </c>
      <c r="AK484" s="41" t="str">
        <f>IF(AND(E484&lt;&gt;'Povolené hodnoty'!$B$4,F484=13),J484+M484+P484+S484,"")</f>
        <v/>
      </c>
      <c r="AL484" s="39" t="str">
        <f>IF(AND($G484='Povolené hodnoty'!$B$13,$H484=AL$4),SUM($I484,$L484,$O484,$R484),"")</f>
        <v/>
      </c>
      <c r="AM484" s="458" t="str">
        <f>IF(AND($G484='Povolené hodnoty'!$B$13,$H484=AM$4),SUM($I484,$L484,$O484,$R484),"")</f>
        <v/>
      </c>
      <c r="AN484" s="458" t="str">
        <f>IF(AND($G484='Povolené hodnoty'!$B$13,$H484=AN$4),SUM($I484,$L484,$O484,$R484),"")</f>
        <v/>
      </c>
      <c r="AO484" s="458" t="str">
        <f>IF(AND($G484='Povolené hodnoty'!$B$13,$H484=AO$4),SUM($I484,$L484,$O484,$R484),"")</f>
        <v/>
      </c>
      <c r="AP484" s="458" t="str">
        <f>IF(AND($G484='Povolené hodnoty'!$B$13,$H484=AP$4),SUM($I484,$L484,$O484,$R484),"")</f>
        <v/>
      </c>
      <c r="AQ484" s="40" t="str">
        <f>IF(AND($G484='Povolené hodnoty'!$B$13,OR($H484=AQ$4,$H484='Povolené hodnoty'!$E$36)),SUM($I484,-$J484,$L484,-$M484,$O484,-$P484,$R484,-$S484),"")</f>
        <v/>
      </c>
      <c r="AR484" s="40" t="str">
        <f>IF(AND($G484='Povolené hodnoty'!$B$13,$H484=AR$4),SUM($I484,$L484,$O484,$R484),"")</f>
        <v/>
      </c>
      <c r="AS484" s="41" t="str">
        <f>IF(AND($G484='Povolené hodnoty'!$B$13,$H484=AS$4),SUM($I484,$L484,$O484,$R484),"")</f>
        <v/>
      </c>
      <c r="AT484" s="39" t="str">
        <f>IF(AND($G484='Povolené hodnoty'!$B$14,$H484=AT$4),SUM($I484,$L484,$O484,$R484),"")</f>
        <v/>
      </c>
      <c r="AU484" s="458" t="str">
        <f>IF(AND($G484='Povolené hodnoty'!$B$14,$H484=AU$4),SUM($I484,$L484,$O484,$R484),"")</f>
        <v/>
      </c>
      <c r="AV484" s="41" t="str">
        <f>IF(AND($G484='Povolené hodnoty'!$B$14,$H484=AV$4),SUM($I484,$L484,$O484,$R484),"")</f>
        <v/>
      </c>
      <c r="AW484" s="39" t="str">
        <f>IF(AND($G484='Povolené hodnoty'!$B$13,$H484=AW$4),SUM($J484,$M484,$P484,$S484),"")</f>
        <v/>
      </c>
      <c r="AX484" s="458" t="str">
        <f>IF(AND($G484='Povolené hodnoty'!$B$13,$H484=AX$4),SUM($J484,$M484,$P484,$S484),"")</f>
        <v/>
      </c>
      <c r="AY484" s="458" t="str">
        <f>IF(AND($G484='Povolené hodnoty'!$B$13,$H484=AY$4),SUM($J484,$M484,$P484,$S484),"")</f>
        <v/>
      </c>
      <c r="AZ484" s="458" t="str">
        <f>IF(AND($G484='Povolené hodnoty'!$B$13,$H484=AZ$4),SUM($J484,$M484,$P484,$S484),"")</f>
        <v/>
      </c>
      <c r="BA484" s="458" t="str">
        <f>IF(AND($G484='Povolené hodnoty'!$B$13,$H484=BA$4),SUM($J484,$M484,$P484,$S484),"")</f>
        <v/>
      </c>
      <c r="BB484" s="40" t="str">
        <f>IF(AND($G484='Povolené hodnoty'!$B$13,$H484=BB$4),SUM($J484,$M484,$P484,$S484),"")</f>
        <v/>
      </c>
      <c r="BC484" s="40" t="str">
        <f>IF(AND($G484='Povolené hodnoty'!$B$13,$H484=BC$4),SUM($J484,$M484,$P484,$S484),"")</f>
        <v/>
      </c>
      <c r="BD484" s="40" t="str">
        <f>IF(AND($G484='Povolené hodnoty'!$B$13,$H484=BD$4),SUM($J484,$M484,$P484,$S484),"")</f>
        <v/>
      </c>
      <c r="BE484" s="41" t="str">
        <f>IF(AND($G484='Povolené hodnoty'!$B$13,$H484=BE$4),SUM($J484,$M484,$P484,$S484),"")</f>
        <v/>
      </c>
      <c r="BF484" s="39" t="str">
        <f>IF(AND($G484='Povolené hodnoty'!$B$14,$H484=BF$4),SUM($J484,$M484,$P484,$S484),"")</f>
        <v/>
      </c>
      <c r="BG484" s="458" t="str">
        <f>IF(AND($G484='Povolené hodnoty'!$B$14,$H484=BG$4),SUM($J484,$M484,$P484,$S484),"")</f>
        <v/>
      </c>
      <c r="BH484" s="458" t="str">
        <f>IF(AND($G484='Povolené hodnoty'!$B$14,$H484=BH$4),SUM($J484,$M484,$P484,$S484),"")</f>
        <v/>
      </c>
      <c r="BI484" s="458" t="str">
        <f>IF(AND($G484='Povolené hodnoty'!$B$14,$H484=BI$4),SUM($J484,$M484,$P484,$S484),"")</f>
        <v/>
      </c>
      <c r="BJ484" s="458" t="str">
        <f>IF(AND($G484='Povolené hodnoty'!$B$14,$H484=BJ$4),SUM($J484,$M484,$P484,$S484),"")</f>
        <v/>
      </c>
      <c r="BK484" s="40" t="str">
        <f>IF(AND($G484='Povolené hodnoty'!$B$14,$H484=BK$4),SUM($J484,$M484,$P484,$S484),"")</f>
        <v/>
      </c>
      <c r="BL484" s="40" t="str">
        <f>IF(AND($G484='Povolené hodnoty'!$B$14,$H484=BL$4),SUM($J484,$M484,$P484,$S484),"")</f>
        <v/>
      </c>
      <c r="BM484" s="41" t="str">
        <f>IF(AND($G484='Povolené hodnoty'!$B$14,$H484=BM$4),SUM($J484,$M484,$P484,$S484),"")</f>
        <v/>
      </c>
      <c r="BO484" s="18" t="b">
        <f t="shared" si="281"/>
        <v>0</v>
      </c>
      <c r="BP484" s="18" t="b">
        <f t="shared" si="252"/>
        <v>0</v>
      </c>
      <c r="BQ484" s="18" t="b">
        <f>AND(E484&lt;&gt;'Povolené hodnoty'!$B$6,F484&lt;&gt;'Povolené hodnoty'!$D$7,F484&lt;&gt;'Povolené hodnoty'!$D$8,OR(SUM(I484,L484,O484,R484)&lt;&gt;SUM(W484:X484,AA484:AG484),SUM(J484,M484,P484,S484)&lt;&gt;SUM(Y484:Z484,AH484:AK484),COUNT(I484:J484,L484:M484,O484:P484,R484:S484)&lt;&gt;COUNT(W484:AK484)))</f>
        <v>0</v>
      </c>
      <c r="BR484" s="18" t="b">
        <f>OR(AND(E484='Povolené hodnoty'!$B$6,$BR$5),AND(E484='Povolené hodnoty'!$B$6,H484&lt;&gt;'Povolené hodnoty'!$E$26,H484&lt;&gt;'Povolené hodnoty'!$E$35),AND(E484&lt;&gt;'Povolené hodnoty'!$B$6,OR(H484='Povolené hodnoty'!$E$26,H484='Povolené hodnoty'!$E$35)))</f>
        <v>0</v>
      </c>
      <c r="BS484" s="18" t="b">
        <f>OR(AND(G484&lt;&gt;'Povolené hodnoty'!$B$13,OR(H484='Povolené hodnoty'!$E$21,H484='Povolené hodnoty'!$E$22,H484='Povolené hodnoty'!$E$23,H484='Povolené hodnoty'!$E$24,H484='Povolené hodnoty'!$E$26,H484='Povolené hodnoty'!$E$36)),COUNT(I484:J484,L484:M484,O484:P484,R484:S484)&lt;&gt;COUNT(AL484:BM484))</f>
        <v>0</v>
      </c>
      <c r="BT484" s="18" t="b">
        <f t="shared" si="253"/>
        <v>0</v>
      </c>
      <c r="BV484" s="39" t="str">
        <f t="shared" si="254"/>
        <v/>
      </c>
      <c r="BW484" s="458" t="str">
        <f t="shared" si="255"/>
        <v/>
      </c>
      <c r="BX484" s="458" t="str">
        <f t="shared" si="256"/>
        <v/>
      </c>
      <c r="BY484" s="458" t="str">
        <f t="shared" si="257"/>
        <v/>
      </c>
      <c r="BZ484" s="458" t="str">
        <f t="shared" si="258"/>
        <v/>
      </c>
      <c r="CA484" s="40" t="str">
        <f t="shared" si="259"/>
        <v/>
      </c>
      <c r="CB484" s="40" t="str">
        <f t="shared" si="260"/>
        <v/>
      </c>
      <c r="CC484" s="39" t="str">
        <f t="shared" si="261"/>
        <v/>
      </c>
      <c r="CD484" s="458" t="str">
        <f t="shared" si="262"/>
        <v/>
      </c>
      <c r="CE484" s="41" t="str">
        <f t="shared" si="263"/>
        <v/>
      </c>
      <c r="CF484" s="39" t="str">
        <f t="shared" si="264"/>
        <v/>
      </c>
      <c r="CG484" s="458" t="str">
        <f t="shared" si="265"/>
        <v/>
      </c>
      <c r="CH484" s="458" t="str">
        <f t="shared" si="266"/>
        <v/>
      </c>
      <c r="CI484" s="458" t="str">
        <f t="shared" si="267"/>
        <v/>
      </c>
      <c r="CJ484" s="458" t="str">
        <f t="shared" si="268"/>
        <v/>
      </c>
      <c r="CK484" s="40" t="str">
        <f t="shared" si="269"/>
        <v/>
      </c>
      <c r="CL484" s="40" t="str">
        <f t="shared" si="270"/>
        <v/>
      </c>
      <c r="CM484" s="40" t="str">
        <f t="shared" si="271"/>
        <v/>
      </c>
      <c r="CN484" s="39" t="str">
        <f t="shared" si="272"/>
        <v/>
      </c>
      <c r="CO484" s="458" t="str">
        <f t="shared" si="273"/>
        <v/>
      </c>
      <c r="CP484" s="458" t="str">
        <f t="shared" si="274"/>
        <v/>
      </c>
      <c r="CQ484" s="458" t="str">
        <f t="shared" si="275"/>
        <v/>
      </c>
      <c r="CR484" s="458" t="str">
        <f t="shared" si="276"/>
        <v/>
      </c>
      <c r="CS484" s="40" t="str">
        <f t="shared" si="277"/>
        <v/>
      </c>
      <c r="CT484" s="40" t="str">
        <f t="shared" si="278"/>
        <v/>
      </c>
      <c r="CU484" s="41" t="str">
        <f t="shared" si="279"/>
        <v/>
      </c>
    </row>
    <row r="485" spans="1:99" x14ac:dyDescent="0.2">
      <c r="A485" s="77">
        <f t="shared" si="280"/>
        <v>480</v>
      </c>
      <c r="B485" s="81"/>
      <c r="C485" s="82"/>
      <c r="D485" s="71"/>
      <c r="E485" s="72"/>
      <c r="F485" s="73"/>
      <c r="G485" s="443"/>
      <c r="H485" s="443"/>
      <c r="I485" s="74"/>
      <c r="J485" s="75"/>
      <c r="K485" s="41">
        <f t="shared" si="249"/>
        <v>3625</v>
      </c>
      <c r="L485" s="104"/>
      <c r="M485" s="105"/>
      <c r="N485" s="106">
        <f t="shared" si="250"/>
        <v>537.05999999999995</v>
      </c>
      <c r="O485" s="104"/>
      <c r="P485" s="105"/>
      <c r="Q485" s="106">
        <f t="shared" si="282"/>
        <v>10045.83</v>
      </c>
      <c r="R485" s="104"/>
      <c r="S485" s="105"/>
      <c r="T485" s="106">
        <f t="shared" si="283"/>
        <v>0</v>
      </c>
      <c r="U485" s="439"/>
      <c r="V485" s="42">
        <f t="shared" si="251"/>
        <v>480</v>
      </c>
      <c r="W485" s="39" t="str">
        <f>IF(AND(E485='Povolené hodnoty'!$B$4,F485=2),I485+L485+O485+R485,"")</f>
        <v/>
      </c>
      <c r="X485" s="41" t="str">
        <f>IF(AND(E485='Povolené hodnoty'!$B$4,F485=1),I485+L485+O485+R485,"")</f>
        <v/>
      </c>
      <c r="Y485" s="39" t="str">
        <f>IF(AND(E485='Povolené hodnoty'!$B$4,F485=10),J485+M485+P485+S485,"")</f>
        <v/>
      </c>
      <c r="Z485" s="41" t="str">
        <f>IF(AND(E485='Povolené hodnoty'!$B$4,F485=9),J485+M485+P485+S485,"")</f>
        <v/>
      </c>
      <c r="AA485" s="39" t="str">
        <f>IF(AND(E485&lt;&gt;'Povolené hodnoty'!$B$4,F485=2),I485+L485+O485+R485,"")</f>
        <v/>
      </c>
      <c r="AB485" s="40" t="str">
        <f>IF(AND(E485&lt;&gt;'Povolené hodnoty'!$B$4,F485=3),I485+L485+O485+R485,"")</f>
        <v/>
      </c>
      <c r="AC485" s="40" t="str">
        <f>IF(AND(E485&lt;&gt;'Povolené hodnoty'!$B$4,F485=4),I485+L485+O485+R485,"")</f>
        <v/>
      </c>
      <c r="AD485" s="40" t="str">
        <f>IF(AND(E485&lt;&gt;'Povolené hodnoty'!$B$4,F485="5a"),I485-J485+L485-M485+O485-P485+R485-S485,"")</f>
        <v/>
      </c>
      <c r="AE485" s="40" t="str">
        <f>IF(AND(E485&lt;&gt;'Povolené hodnoty'!$B$4,F485="5b"),I485-J485+L485-M485+O485-P485+R485-S485,"")</f>
        <v/>
      </c>
      <c r="AF485" s="40" t="str">
        <f>IF(AND(E485&lt;&gt;'Povolené hodnoty'!$B$4,F485=6),I485+L485+O485+R485,"")</f>
        <v/>
      </c>
      <c r="AG485" s="41" t="str">
        <f>IF(AND(E485&lt;&gt;'Povolené hodnoty'!$B$4,F485=7),I485+L485+O485+R485,"")</f>
        <v/>
      </c>
      <c r="AH485" s="39" t="str">
        <f>IF(AND(E485&lt;&gt;'Povolené hodnoty'!$B$4,F485=10),J485+M485+P485+S485,"")</f>
        <v/>
      </c>
      <c r="AI485" s="40" t="str">
        <f>IF(AND(E485&lt;&gt;'Povolené hodnoty'!$B$4,F485=11),J485+M485+P485+S485,"")</f>
        <v/>
      </c>
      <c r="AJ485" s="40" t="str">
        <f>IF(AND(E485&lt;&gt;'Povolené hodnoty'!$B$4,F485=12),J485+M485+P485+S485,"")</f>
        <v/>
      </c>
      <c r="AK485" s="41" t="str">
        <f>IF(AND(E485&lt;&gt;'Povolené hodnoty'!$B$4,F485=13),J485+M485+P485+S485,"")</f>
        <v/>
      </c>
      <c r="AL485" s="39" t="str">
        <f>IF(AND($G485='Povolené hodnoty'!$B$13,$H485=AL$4),SUM($I485,$L485,$O485,$R485),"")</f>
        <v/>
      </c>
      <c r="AM485" s="458" t="str">
        <f>IF(AND($G485='Povolené hodnoty'!$B$13,$H485=AM$4),SUM($I485,$L485,$O485,$R485),"")</f>
        <v/>
      </c>
      <c r="AN485" s="458" t="str">
        <f>IF(AND($G485='Povolené hodnoty'!$B$13,$H485=AN$4),SUM($I485,$L485,$O485,$R485),"")</f>
        <v/>
      </c>
      <c r="AO485" s="458" t="str">
        <f>IF(AND($G485='Povolené hodnoty'!$B$13,$H485=AO$4),SUM($I485,$L485,$O485,$R485),"")</f>
        <v/>
      </c>
      <c r="AP485" s="458" t="str">
        <f>IF(AND($G485='Povolené hodnoty'!$B$13,$H485=AP$4),SUM($I485,$L485,$O485,$R485),"")</f>
        <v/>
      </c>
      <c r="AQ485" s="40" t="str">
        <f>IF(AND($G485='Povolené hodnoty'!$B$13,OR($H485=AQ$4,$H485='Povolené hodnoty'!$E$36)),SUM($I485,-$J485,$L485,-$M485,$O485,-$P485,$R485,-$S485),"")</f>
        <v/>
      </c>
      <c r="AR485" s="40" t="str">
        <f>IF(AND($G485='Povolené hodnoty'!$B$13,$H485=AR$4),SUM($I485,$L485,$O485,$R485),"")</f>
        <v/>
      </c>
      <c r="AS485" s="41" t="str">
        <f>IF(AND($G485='Povolené hodnoty'!$B$13,$H485=AS$4),SUM($I485,$L485,$O485,$R485),"")</f>
        <v/>
      </c>
      <c r="AT485" s="39" t="str">
        <f>IF(AND($G485='Povolené hodnoty'!$B$14,$H485=AT$4),SUM($I485,$L485,$O485,$R485),"")</f>
        <v/>
      </c>
      <c r="AU485" s="458" t="str">
        <f>IF(AND($G485='Povolené hodnoty'!$B$14,$H485=AU$4),SUM($I485,$L485,$O485,$R485),"")</f>
        <v/>
      </c>
      <c r="AV485" s="41" t="str">
        <f>IF(AND($G485='Povolené hodnoty'!$B$14,$H485=AV$4),SUM($I485,$L485,$O485,$R485),"")</f>
        <v/>
      </c>
      <c r="AW485" s="39" t="str">
        <f>IF(AND($G485='Povolené hodnoty'!$B$13,$H485=AW$4),SUM($J485,$M485,$P485,$S485),"")</f>
        <v/>
      </c>
      <c r="AX485" s="458" t="str">
        <f>IF(AND($G485='Povolené hodnoty'!$B$13,$H485=AX$4),SUM($J485,$M485,$P485,$S485),"")</f>
        <v/>
      </c>
      <c r="AY485" s="458" t="str">
        <f>IF(AND($G485='Povolené hodnoty'!$B$13,$H485=AY$4),SUM($J485,$M485,$P485,$S485),"")</f>
        <v/>
      </c>
      <c r="AZ485" s="458" t="str">
        <f>IF(AND($G485='Povolené hodnoty'!$B$13,$H485=AZ$4),SUM($J485,$M485,$P485,$S485),"")</f>
        <v/>
      </c>
      <c r="BA485" s="458" t="str">
        <f>IF(AND($G485='Povolené hodnoty'!$B$13,$H485=BA$4),SUM($J485,$M485,$P485,$S485),"")</f>
        <v/>
      </c>
      <c r="BB485" s="40" t="str">
        <f>IF(AND($G485='Povolené hodnoty'!$B$13,$H485=BB$4),SUM($J485,$M485,$P485,$S485),"")</f>
        <v/>
      </c>
      <c r="BC485" s="40" t="str">
        <f>IF(AND($G485='Povolené hodnoty'!$B$13,$H485=BC$4),SUM($J485,$M485,$P485,$S485),"")</f>
        <v/>
      </c>
      <c r="BD485" s="40" t="str">
        <f>IF(AND($G485='Povolené hodnoty'!$B$13,$H485=BD$4),SUM($J485,$M485,$P485,$S485),"")</f>
        <v/>
      </c>
      <c r="BE485" s="41" t="str">
        <f>IF(AND($G485='Povolené hodnoty'!$B$13,$H485=BE$4),SUM($J485,$M485,$P485,$S485),"")</f>
        <v/>
      </c>
      <c r="BF485" s="39" t="str">
        <f>IF(AND($G485='Povolené hodnoty'!$B$14,$H485=BF$4),SUM($J485,$M485,$P485,$S485),"")</f>
        <v/>
      </c>
      <c r="BG485" s="458" t="str">
        <f>IF(AND($G485='Povolené hodnoty'!$B$14,$H485=BG$4),SUM($J485,$M485,$P485,$S485),"")</f>
        <v/>
      </c>
      <c r="BH485" s="458" t="str">
        <f>IF(AND($G485='Povolené hodnoty'!$B$14,$H485=BH$4),SUM($J485,$M485,$P485,$S485),"")</f>
        <v/>
      </c>
      <c r="BI485" s="458" t="str">
        <f>IF(AND($G485='Povolené hodnoty'!$B$14,$H485=BI$4),SUM($J485,$M485,$P485,$S485),"")</f>
        <v/>
      </c>
      <c r="BJ485" s="458" t="str">
        <f>IF(AND($G485='Povolené hodnoty'!$B$14,$H485=BJ$4),SUM($J485,$M485,$P485,$S485),"")</f>
        <v/>
      </c>
      <c r="BK485" s="40" t="str">
        <f>IF(AND($G485='Povolené hodnoty'!$B$14,$H485=BK$4),SUM($J485,$M485,$P485,$S485),"")</f>
        <v/>
      </c>
      <c r="BL485" s="40" t="str">
        <f>IF(AND($G485='Povolené hodnoty'!$B$14,$H485=BL$4),SUM($J485,$M485,$P485,$S485),"")</f>
        <v/>
      </c>
      <c r="BM485" s="41" t="str">
        <f>IF(AND($G485='Povolené hodnoty'!$B$14,$H485=BM$4),SUM($J485,$M485,$P485,$S485),"")</f>
        <v/>
      </c>
      <c r="BO485" s="18" t="b">
        <f t="shared" si="281"/>
        <v>0</v>
      </c>
      <c r="BP485" s="18" t="b">
        <f t="shared" si="252"/>
        <v>0</v>
      </c>
      <c r="BQ485" s="18" t="b">
        <f>AND(E485&lt;&gt;'Povolené hodnoty'!$B$6,F485&lt;&gt;'Povolené hodnoty'!$D$7,F485&lt;&gt;'Povolené hodnoty'!$D$8,OR(SUM(I485,L485,O485,R485)&lt;&gt;SUM(W485:X485,AA485:AG485),SUM(J485,M485,P485,S485)&lt;&gt;SUM(Y485:Z485,AH485:AK485),COUNT(I485:J485,L485:M485,O485:P485,R485:S485)&lt;&gt;COUNT(W485:AK485)))</f>
        <v>0</v>
      </c>
      <c r="BR485" s="18" t="b">
        <f>OR(AND(E485='Povolené hodnoty'!$B$6,$BR$5),AND(E485='Povolené hodnoty'!$B$6,H485&lt;&gt;'Povolené hodnoty'!$E$26,H485&lt;&gt;'Povolené hodnoty'!$E$35),AND(E485&lt;&gt;'Povolené hodnoty'!$B$6,OR(H485='Povolené hodnoty'!$E$26,H485='Povolené hodnoty'!$E$35)))</f>
        <v>0</v>
      </c>
      <c r="BS485" s="18" t="b">
        <f>OR(AND(G485&lt;&gt;'Povolené hodnoty'!$B$13,OR(H485='Povolené hodnoty'!$E$21,H485='Povolené hodnoty'!$E$22,H485='Povolené hodnoty'!$E$23,H485='Povolené hodnoty'!$E$24,H485='Povolené hodnoty'!$E$26,H485='Povolené hodnoty'!$E$36)),COUNT(I485:J485,L485:M485,O485:P485,R485:S485)&lt;&gt;COUNT(AL485:BM485))</f>
        <v>0</v>
      </c>
      <c r="BT485" s="18" t="b">
        <f t="shared" si="253"/>
        <v>0</v>
      </c>
      <c r="BV485" s="39" t="str">
        <f t="shared" si="254"/>
        <v/>
      </c>
      <c r="BW485" s="458" t="str">
        <f t="shared" si="255"/>
        <v/>
      </c>
      <c r="BX485" s="458" t="str">
        <f t="shared" si="256"/>
        <v/>
      </c>
      <c r="BY485" s="458" t="str">
        <f t="shared" si="257"/>
        <v/>
      </c>
      <c r="BZ485" s="458" t="str">
        <f t="shared" si="258"/>
        <v/>
      </c>
      <c r="CA485" s="40" t="str">
        <f t="shared" si="259"/>
        <v/>
      </c>
      <c r="CB485" s="40" t="str">
        <f t="shared" si="260"/>
        <v/>
      </c>
      <c r="CC485" s="39" t="str">
        <f t="shared" si="261"/>
        <v/>
      </c>
      <c r="CD485" s="458" t="str">
        <f t="shared" si="262"/>
        <v/>
      </c>
      <c r="CE485" s="41" t="str">
        <f t="shared" si="263"/>
        <v/>
      </c>
      <c r="CF485" s="39" t="str">
        <f t="shared" si="264"/>
        <v/>
      </c>
      <c r="CG485" s="458" t="str">
        <f t="shared" si="265"/>
        <v/>
      </c>
      <c r="CH485" s="458" t="str">
        <f t="shared" si="266"/>
        <v/>
      </c>
      <c r="CI485" s="458" t="str">
        <f t="shared" si="267"/>
        <v/>
      </c>
      <c r="CJ485" s="458" t="str">
        <f t="shared" si="268"/>
        <v/>
      </c>
      <c r="CK485" s="40" t="str">
        <f t="shared" si="269"/>
        <v/>
      </c>
      <c r="CL485" s="40" t="str">
        <f t="shared" si="270"/>
        <v/>
      </c>
      <c r="CM485" s="40" t="str">
        <f t="shared" si="271"/>
        <v/>
      </c>
      <c r="CN485" s="39" t="str">
        <f t="shared" si="272"/>
        <v/>
      </c>
      <c r="CO485" s="458" t="str">
        <f t="shared" si="273"/>
        <v/>
      </c>
      <c r="CP485" s="458" t="str">
        <f t="shared" si="274"/>
        <v/>
      </c>
      <c r="CQ485" s="458" t="str">
        <f t="shared" si="275"/>
        <v/>
      </c>
      <c r="CR485" s="458" t="str">
        <f t="shared" si="276"/>
        <v/>
      </c>
      <c r="CS485" s="40" t="str">
        <f t="shared" si="277"/>
        <v/>
      </c>
      <c r="CT485" s="40" t="str">
        <f t="shared" si="278"/>
        <v/>
      </c>
      <c r="CU485" s="41" t="str">
        <f t="shared" si="279"/>
        <v/>
      </c>
    </row>
    <row r="486" spans="1:99" x14ac:dyDescent="0.2">
      <c r="A486" s="77">
        <f t="shared" si="280"/>
        <v>481</v>
      </c>
      <c r="B486" s="81"/>
      <c r="C486" s="82"/>
      <c r="D486" s="71"/>
      <c r="E486" s="72"/>
      <c r="F486" s="73"/>
      <c r="G486" s="443"/>
      <c r="H486" s="443"/>
      <c r="I486" s="74"/>
      <c r="J486" s="75"/>
      <c r="K486" s="41">
        <f t="shared" si="249"/>
        <v>3625</v>
      </c>
      <c r="L486" s="104"/>
      <c r="M486" s="105"/>
      <c r="N486" s="106">
        <f t="shared" si="250"/>
        <v>537.05999999999995</v>
      </c>
      <c r="O486" s="104"/>
      <c r="P486" s="105"/>
      <c r="Q486" s="106">
        <f t="shared" si="282"/>
        <v>10045.83</v>
      </c>
      <c r="R486" s="104"/>
      <c r="S486" s="105"/>
      <c r="T486" s="106">
        <f t="shared" si="283"/>
        <v>0</v>
      </c>
      <c r="U486" s="439"/>
      <c r="V486" s="42">
        <f t="shared" si="251"/>
        <v>481</v>
      </c>
      <c r="W486" s="39" t="str">
        <f>IF(AND(E486='Povolené hodnoty'!$B$4,F486=2),I486+L486+O486+R486,"")</f>
        <v/>
      </c>
      <c r="X486" s="41" t="str">
        <f>IF(AND(E486='Povolené hodnoty'!$B$4,F486=1),I486+L486+O486+R486,"")</f>
        <v/>
      </c>
      <c r="Y486" s="39" t="str">
        <f>IF(AND(E486='Povolené hodnoty'!$B$4,F486=10),J486+M486+P486+S486,"")</f>
        <v/>
      </c>
      <c r="Z486" s="41" t="str">
        <f>IF(AND(E486='Povolené hodnoty'!$B$4,F486=9),J486+M486+P486+S486,"")</f>
        <v/>
      </c>
      <c r="AA486" s="39" t="str">
        <f>IF(AND(E486&lt;&gt;'Povolené hodnoty'!$B$4,F486=2),I486+L486+O486+R486,"")</f>
        <v/>
      </c>
      <c r="AB486" s="40" t="str">
        <f>IF(AND(E486&lt;&gt;'Povolené hodnoty'!$B$4,F486=3),I486+L486+O486+R486,"")</f>
        <v/>
      </c>
      <c r="AC486" s="40" t="str">
        <f>IF(AND(E486&lt;&gt;'Povolené hodnoty'!$B$4,F486=4),I486+L486+O486+R486,"")</f>
        <v/>
      </c>
      <c r="AD486" s="40" t="str">
        <f>IF(AND(E486&lt;&gt;'Povolené hodnoty'!$B$4,F486="5a"),I486-J486+L486-M486+O486-P486+R486-S486,"")</f>
        <v/>
      </c>
      <c r="AE486" s="40" t="str">
        <f>IF(AND(E486&lt;&gt;'Povolené hodnoty'!$B$4,F486="5b"),I486-J486+L486-M486+O486-P486+R486-S486,"")</f>
        <v/>
      </c>
      <c r="AF486" s="40" t="str">
        <f>IF(AND(E486&lt;&gt;'Povolené hodnoty'!$B$4,F486=6),I486+L486+O486+R486,"")</f>
        <v/>
      </c>
      <c r="AG486" s="41" t="str">
        <f>IF(AND(E486&lt;&gt;'Povolené hodnoty'!$B$4,F486=7),I486+L486+O486+R486,"")</f>
        <v/>
      </c>
      <c r="AH486" s="39" t="str">
        <f>IF(AND(E486&lt;&gt;'Povolené hodnoty'!$B$4,F486=10),J486+M486+P486+S486,"")</f>
        <v/>
      </c>
      <c r="AI486" s="40" t="str">
        <f>IF(AND(E486&lt;&gt;'Povolené hodnoty'!$B$4,F486=11),J486+M486+P486+S486,"")</f>
        <v/>
      </c>
      <c r="AJ486" s="40" t="str">
        <f>IF(AND(E486&lt;&gt;'Povolené hodnoty'!$B$4,F486=12),J486+M486+P486+S486,"")</f>
        <v/>
      </c>
      <c r="AK486" s="41" t="str">
        <f>IF(AND(E486&lt;&gt;'Povolené hodnoty'!$B$4,F486=13),J486+M486+P486+S486,"")</f>
        <v/>
      </c>
      <c r="AL486" s="39" t="str">
        <f>IF(AND($G486='Povolené hodnoty'!$B$13,$H486=AL$4),SUM($I486,$L486,$O486,$R486),"")</f>
        <v/>
      </c>
      <c r="AM486" s="458" t="str">
        <f>IF(AND($G486='Povolené hodnoty'!$B$13,$H486=AM$4),SUM($I486,$L486,$O486,$R486),"")</f>
        <v/>
      </c>
      <c r="AN486" s="458" t="str">
        <f>IF(AND($G486='Povolené hodnoty'!$B$13,$H486=AN$4),SUM($I486,$L486,$O486,$R486),"")</f>
        <v/>
      </c>
      <c r="AO486" s="458" t="str">
        <f>IF(AND($G486='Povolené hodnoty'!$B$13,$H486=AO$4),SUM($I486,$L486,$O486,$R486),"")</f>
        <v/>
      </c>
      <c r="AP486" s="458" t="str">
        <f>IF(AND($G486='Povolené hodnoty'!$B$13,$H486=AP$4),SUM($I486,$L486,$O486,$R486),"")</f>
        <v/>
      </c>
      <c r="AQ486" s="40" t="str">
        <f>IF(AND($G486='Povolené hodnoty'!$B$13,OR($H486=AQ$4,$H486='Povolené hodnoty'!$E$36)),SUM($I486,-$J486,$L486,-$M486,$O486,-$P486,$R486,-$S486),"")</f>
        <v/>
      </c>
      <c r="AR486" s="40" t="str">
        <f>IF(AND($G486='Povolené hodnoty'!$B$13,$H486=AR$4),SUM($I486,$L486,$O486,$R486),"")</f>
        <v/>
      </c>
      <c r="AS486" s="41" t="str">
        <f>IF(AND($G486='Povolené hodnoty'!$B$13,$H486=AS$4),SUM($I486,$L486,$O486,$R486),"")</f>
        <v/>
      </c>
      <c r="AT486" s="39" t="str">
        <f>IF(AND($G486='Povolené hodnoty'!$B$14,$H486=AT$4),SUM($I486,$L486,$O486,$R486),"")</f>
        <v/>
      </c>
      <c r="AU486" s="458" t="str">
        <f>IF(AND($G486='Povolené hodnoty'!$B$14,$H486=AU$4),SUM($I486,$L486,$O486,$R486),"")</f>
        <v/>
      </c>
      <c r="AV486" s="41" t="str">
        <f>IF(AND($G486='Povolené hodnoty'!$B$14,$H486=AV$4),SUM($I486,$L486,$O486,$R486),"")</f>
        <v/>
      </c>
      <c r="AW486" s="39" t="str">
        <f>IF(AND($G486='Povolené hodnoty'!$B$13,$H486=AW$4),SUM($J486,$M486,$P486,$S486),"")</f>
        <v/>
      </c>
      <c r="AX486" s="458" t="str">
        <f>IF(AND($G486='Povolené hodnoty'!$B$13,$H486=AX$4),SUM($J486,$M486,$P486,$S486),"")</f>
        <v/>
      </c>
      <c r="AY486" s="458" t="str">
        <f>IF(AND($G486='Povolené hodnoty'!$B$13,$H486=AY$4),SUM($J486,$M486,$P486,$S486),"")</f>
        <v/>
      </c>
      <c r="AZ486" s="458" t="str">
        <f>IF(AND($G486='Povolené hodnoty'!$B$13,$H486=AZ$4),SUM($J486,$M486,$P486,$S486),"")</f>
        <v/>
      </c>
      <c r="BA486" s="458" t="str">
        <f>IF(AND($G486='Povolené hodnoty'!$B$13,$H486=BA$4),SUM($J486,$M486,$P486,$S486),"")</f>
        <v/>
      </c>
      <c r="BB486" s="40" t="str">
        <f>IF(AND($G486='Povolené hodnoty'!$B$13,$H486=BB$4),SUM($J486,$M486,$P486,$S486),"")</f>
        <v/>
      </c>
      <c r="BC486" s="40" t="str">
        <f>IF(AND($G486='Povolené hodnoty'!$B$13,$H486=BC$4),SUM($J486,$M486,$P486,$S486),"")</f>
        <v/>
      </c>
      <c r="BD486" s="40" t="str">
        <f>IF(AND($G486='Povolené hodnoty'!$B$13,$H486=BD$4),SUM($J486,$M486,$P486,$S486),"")</f>
        <v/>
      </c>
      <c r="BE486" s="41" t="str">
        <f>IF(AND($G486='Povolené hodnoty'!$B$13,$H486=BE$4),SUM($J486,$M486,$P486,$S486),"")</f>
        <v/>
      </c>
      <c r="BF486" s="39" t="str">
        <f>IF(AND($G486='Povolené hodnoty'!$B$14,$H486=BF$4),SUM($J486,$M486,$P486,$S486),"")</f>
        <v/>
      </c>
      <c r="BG486" s="458" t="str">
        <f>IF(AND($G486='Povolené hodnoty'!$B$14,$H486=BG$4),SUM($J486,$M486,$P486,$S486),"")</f>
        <v/>
      </c>
      <c r="BH486" s="458" t="str">
        <f>IF(AND($G486='Povolené hodnoty'!$B$14,$H486=BH$4),SUM($J486,$M486,$P486,$S486),"")</f>
        <v/>
      </c>
      <c r="BI486" s="458" t="str">
        <f>IF(AND($G486='Povolené hodnoty'!$B$14,$H486=BI$4),SUM($J486,$M486,$P486,$S486),"")</f>
        <v/>
      </c>
      <c r="BJ486" s="458" t="str">
        <f>IF(AND($G486='Povolené hodnoty'!$B$14,$H486=BJ$4),SUM($J486,$M486,$P486,$S486),"")</f>
        <v/>
      </c>
      <c r="BK486" s="40" t="str">
        <f>IF(AND($G486='Povolené hodnoty'!$B$14,$H486=BK$4),SUM($J486,$M486,$P486,$S486),"")</f>
        <v/>
      </c>
      <c r="BL486" s="40" t="str">
        <f>IF(AND($G486='Povolené hodnoty'!$B$14,$H486=BL$4),SUM($J486,$M486,$P486,$S486),"")</f>
        <v/>
      </c>
      <c r="BM486" s="41" t="str">
        <f>IF(AND($G486='Povolené hodnoty'!$B$14,$H486=BM$4),SUM($J486,$M486,$P486,$S486),"")</f>
        <v/>
      </c>
      <c r="BO486" s="18" t="b">
        <f t="shared" si="281"/>
        <v>0</v>
      </c>
      <c r="BP486" s="18" t="b">
        <f t="shared" si="252"/>
        <v>0</v>
      </c>
      <c r="BQ486" s="18" t="b">
        <f>AND(E486&lt;&gt;'Povolené hodnoty'!$B$6,F486&lt;&gt;'Povolené hodnoty'!$D$7,F486&lt;&gt;'Povolené hodnoty'!$D$8,OR(SUM(I486,L486,O486,R486)&lt;&gt;SUM(W486:X486,AA486:AG486),SUM(J486,M486,P486,S486)&lt;&gt;SUM(Y486:Z486,AH486:AK486),COUNT(I486:J486,L486:M486,O486:P486,R486:S486)&lt;&gt;COUNT(W486:AK486)))</f>
        <v>0</v>
      </c>
      <c r="BR486" s="18" t="b">
        <f>OR(AND(E486='Povolené hodnoty'!$B$6,$BR$5),AND(E486='Povolené hodnoty'!$B$6,H486&lt;&gt;'Povolené hodnoty'!$E$26,H486&lt;&gt;'Povolené hodnoty'!$E$35),AND(E486&lt;&gt;'Povolené hodnoty'!$B$6,OR(H486='Povolené hodnoty'!$E$26,H486='Povolené hodnoty'!$E$35)))</f>
        <v>0</v>
      </c>
      <c r="BS486" s="18" t="b">
        <f>OR(AND(G486&lt;&gt;'Povolené hodnoty'!$B$13,OR(H486='Povolené hodnoty'!$E$21,H486='Povolené hodnoty'!$E$22,H486='Povolené hodnoty'!$E$23,H486='Povolené hodnoty'!$E$24,H486='Povolené hodnoty'!$E$26,H486='Povolené hodnoty'!$E$36)),COUNT(I486:J486,L486:M486,O486:P486,R486:S486)&lt;&gt;COUNT(AL486:BM486))</f>
        <v>0</v>
      </c>
      <c r="BT486" s="18" t="b">
        <f t="shared" si="253"/>
        <v>0</v>
      </c>
      <c r="BV486" s="39" t="str">
        <f t="shared" si="254"/>
        <v/>
      </c>
      <c r="BW486" s="458" t="str">
        <f t="shared" si="255"/>
        <v/>
      </c>
      <c r="BX486" s="458" t="str">
        <f t="shared" si="256"/>
        <v/>
      </c>
      <c r="BY486" s="458" t="str">
        <f t="shared" si="257"/>
        <v/>
      </c>
      <c r="BZ486" s="458" t="str">
        <f t="shared" si="258"/>
        <v/>
      </c>
      <c r="CA486" s="40" t="str">
        <f t="shared" si="259"/>
        <v/>
      </c>
      <c r="CB486" s="40" t="str">
        <f t="shared" si="260"/>
        <v/>
      </c>
      <c r="CC486" s="39" t="str">
        <f t="shared" si="261"/>
        <v/>
      </c>
      <c r="CD486" s="458" t="str">
        <f t="shared" si="262"/>
        <v/>
      </c>
      <c r="CE486" s="41" t="str">
        <f t="shared" si="263"/>
        <v/>
      </c>
      <c r="CF486" s="39" t="str">
        <f t="shared" si="264"/>
        <v/>
      </c>
      <c r="CG486" s="458" t="str">
        <f t="shared" si="265"/>
        <v/>
      </c>
      <c r="CH486" s="458" t="str">
        <f t="shared" si="266"/>
        <v/>
      </c>
      <c r="CI486" s="458" t="str">
        <f t="shared" si="267"/>
        <v/>
      </c>
      <c r="CJ486" s="458" t="str">
        <f t="shared" si="268"/>
        <v/>
      </c>
      <c r="CK486" s="40" t="str">
        <f t="shared" si="269"/>
        <v/>
      </c>
      <c r="CL486" s="40" t="str">
        <f t="shared" si="270"/>
        <v/>
      </c>
      <c r="CM486" s="40" t="str">
        <f t="shared" si="271"/>
        <v/>
      </c>
      <c r="CN486" s="39" t="str">
        <f t="shared" si="272"/>
        <v/>
      </c>
      <c r="CO486" s="458" t="str">
        <f t="shared" si="273"/>
        <v/>
      </c>
      <c r="CP486" s="458" t="str">
        <f t="shared" si="274"/>
        <v/>
      </c>
      <c r="CQ486" s="458" t="str">
        <f t="shared" si="275"/>
        <v/>
      </c>
      <c r="CR486" s="458" t="str">
        <f t="shared" si="276"/>
        <v/>
      </c>
      <c r="CS486" s="40" t="str">
        <f t="shared" si="277"/>
        <v/>
      </c>
      <c r="CT486" s="40" t="str">
        <f t="shared" si="278"/>
        <v/>
      </c>
      <c r="CU486" s="41" t="str">
        <f t="shared" si="279"/>
        <v/>
      </c>
    </row>
    <row r="487" spans="1:99" x14ac:dyDescent="0.2">
      <c r="A487" s="77">
        <f t="shared" si="280"/>
        <v>482</v>
      </c>
      <c r="B487" s="81"/>
      <c r="C487" s="82"/>
      <c r="D487" s="71"/>
      <c r="E487" s="72"/>
      <c r="F487" s="73"/>
      <c r="G487" s="443"/>
      <c r="H487" s="443"/>
      <c r="I487" s="74"/>
      <c r="J487" s="75"/>
      <c r="K487" s="41">
        <f t="shared" si="249"/>
        <v>3625</v>
      </c>
      <c r="L487" s="104"/>
      <c r="M487" s="105"/>
      <c r="N487" s="106">
        <f t="shared" si="250"/>
        <v>537.05999999999995</v>
      </c>
      <c r="O487" s="104"/>
      <c r="P487" s="105"/>
      <c r="Q487" s="106">
        <f t="shared" si="282"/>
        <v>10045.83</v>
      </c>
      <c r="R487" s="104"/>
      <c r="S487" s="105"/>
      <c r="T487" s="106">
        <f t="shared" si="283"/>
        <v>0</v>
      </c>
      <c r="U487" s="439"/>
      <c r="V487" s="42">
        <f t="shared" si="251"/>
        <v>482</v>
      </c>
      <c r="W487" s="39" t="str">
        <f>IF(AND(E487='Povolené hodnoty'!$B$4,F487=2),I487+L487+O487+R487,"")</f>
        <v/>
      </c>
      <c r="X487" s="41" t="str">
        <f>IF(AND(E487='Povolené hodnoty'!$B$4,F487=1),I487+L487+O487+R487,"")</f>
        <v/>
      </c>
      <c r="Y487" s="39" t="str">
        <f>IF(AND(E487='Povolené hodnoty'!$B$4,F487=10),J487+M487+P487+S487,"")</f>
        <v/>
      </c>
      <c r="Z487" s="41" t="str">
        <f>IF(AND(E487='Povolené hodnoty'!$B$4,F487=9),J487+M487+P487+S487,"")</f>
        <v/>
      </c>
      <c r="AA487" s="39" t="str">
        <f>IF(AND(E487&lt;&gt;'Povolené hodnoty'!$B$4,F487=2),I487+L487+O487+R487,"")</f>
        <v/>
      </c>
      <c r="AB487" s="40" t="str">
        <f>IF(AND(E487&lt;&gt;'Povolené hodnoty'!$B$4,F487=3),I487+L487+O487+R487,"")</f>
        <v/>
      </c>
      <c r="AC487" s="40" t="str">
        <f>IF(AND(E487&lt;&gt;'Povolené hodnoty'!$B$4,F487=4),I487+L487+O487+R487,"")</f>
        <v/>
      </c>
      <c r="AD487" s="40" t="str">
        <f>IF(AND(E487&lt;&gt;'Povolené hodnoty'!$B$4,F487="5a"),I487-J487+L487-M487+O487-P487+R487-S487,"")</f>
        <v/>
      </c>
      <c r="AE487" s="40" t="str">
        <f>IF(AND(E487&lt;&gt;'Povolené hodnoty'!$B$4,F487="5b"),I487-J487+L487-M487+O487-P487+R487-S487,"")</f>
        <v/>
      </c>
      <c r="AF487" s="40" t="str">
        <f>IF(AND(E487&lt;&gt;'Povolené hodnoty'!$B$4,F487=6),I487+L487+O487+R487,"")</f>
        <v/>
      </c>
      <c r="AG487" s="41" t="str">
        <f>IF(AND(E487&lt;&gt;'Povolené hodnoty'!$B$4,F487=7),I487+L487+O487+R487,"")</f>
        <v/>
      </c>
      <c r="AH487" s="39" t="str">
        <f>IF(AND(E487&lt;&gt;'Povolené hodnoty'!$B$4,F487=10),J487+M487+P487+S487,"")</f>
        <v/>
      </c>
      <c r="AI487" s="40" t="str">
        <f>IF(AND(E487&lt;&gt;'Povolené hodnoty'!$B$4,F487=11),J487+M487+P487+S487,"")</f>
        <v/>
      </c>
      <c r="AJ487" s="40" t="str">
        <f>IF(AND(E487&lt;&gt;'Povolené hodnoty'!$B$4,F487=12),J487+M487+P487+S487,"")</f>
        <v/>
      </c>
      <c r="AK487" s="41" t="str">
        <f>IF(AND(E487&lt;&gt;'Povolené hodnoty'!$B$4,F487=13),J487+M487+P487+S487,"")</f>
        <v/>
      </c>
      <c r="AL487" s="39" t="str">
        <f>IF(AND($G487='Povolené hodnoty'!$B$13,$H487=AL$4),SUM($I487,$L487,$O487,$R487),"")</f>
        <v/>
      </c>
      <c r="AM487" s="458" t="str">
        <f>IF(AND($G487='Povolené hodnoty'!$B$13,$H487=AM$4),SUM($I487,$L487,$O487,$R487),"")</f>
        <v/>
      </c>
      <c r="AN487" s="458" t="str">
        <f>IF(AND($G487='Povolené hodnoty'!$B$13,$H487=AN$4),SUM($I487,$L487,$O487,$R487),"")</f>
        <v/>
      </c>
      <c r="AO487" s="458" t="str">
        <f>IF(AND($G487='Povolené hodnoty'!$B$13,$H487=AO$4),SUM($I487,$L487,$O487,$R487),"")</f>
        <v/>
      </c>
      <c r="AP487" s="458" t="str">
        <f>IF(AND($G487='Povolené hodnoty'!$B$13,$H487=AP$4),SUM($I487,$L487,$O487,$R487),"")</f>
        <v/>
      </c>
      <c r="AQ487" s="40" t="str">
        <f>IF(AND($G487='Povolené hodnoty'!$B$13,OR($H487=AQ$4,$H487='Povolené hodnoty'!$E$36)),SUM($I487,-$J487,$L487,-$M487,$O487,-$P487,$R487,-$S487),"")</f>
        <v/>
      </c>
      <c r="AR487" s="40" t="str">
        <f>IF(AND($G487='Povolené hodnoty'!$B$13,$H487=AR$4),SUM($I487,$L487,$O487,$R487),"")</f>
        <v/>
      </c>
      <c r="AS487" s="41" t="str">
        <f>IF(AND($G487='Povolené hodnoty'!$B$13,$H487=AS$4),SUM($I487,$L487,$O487,$R487),"")</f>
        <v/>
      </c>
      <c r="AT487" s="39" t="str">
        <f>IF(AND($G487='Povolené hodnoty'!$B$14,$H487=AT$4),SUM($I487,$L487,$O487,$R487),"")</f>
        <v/>
      </c>
      <c r="AU487" s="458" t="str">
        <f>IF(AND($G487='Povolené hodnoty'!$B$14,$H487=AU$4),SUM($I487,$L487,$O487,$R487),"")</f>
        <v/>
      </c>
      <c r="AV487" s="41" t="str">
        <f>IF(AND($G487='Povolené hodnoty'!$B$14,$H487=AV$4),SUM($I487,$L487,$O487,$R487),"")</f>
        <v/>
      </c>
      <c r="AW487" s="39" t="str">
        <f>IF(AND($G487='Povolené hodnoty'!$B$13,$H487=AW$4),SUM($J487,$M487,$P487,$S487),"")</f>
        <v/>
      </c>
      <c r="AX487" s="458" t="str">
        <f>IF(AND($G487='Povolené hodnoty'!$B$13,$H487=AX$4),SUM($J487,$M487,$P487,$S487),"")</f>
        <v/>
      </c>
      <c r="AY487" s="458" t="str">
        <f>IF(AND($G487='Povolené hodnoty'!$B$13,$H487=AY$4),SUM($J487,$M487,$P487,$S487),"")</f>
        <v/>
      </c>
      <c r="AZ487" s="458" t="str">
        <f>IF(AND($G487='Povolené hodnoty'!$B$13,$H487=AZ$4),SUM($J487,$M487,$P487,$S487),"")</f>
        <v/>
      </c>
      <c r="BA487" s="458" t="str">
        <f>IF(AND($G487='Povolené hodnoty'!$B$13,$H487=BA$4),SUM($J487,$M487,$P487,$S487),"")</f>
        <v/>
      </c>
      <c r="BB487" s="40" t="str">
        <f>IF(AND($G487='Povolené hodnoty'!$B$13,$H487=BB$4),SUM($J487,$M487,$P487,$S487),"")</f>
        <v/>
      </c>
      <c r="BC487" s="40" t="str">
        <f>IF(AND($G487='Povolené hodnoty'!$B$13,$H487=BC$4),SUM($J487,$M487,$P487,$S487),"")</f>
        <v/>
      </c>
      <c r="BD487" s="40" t="str">
        <f>IF(AND($G487='Povolené hodnoty'!$B$13,$H487=BD$4),SUM($J487,$M487,$P487,$S487),"")</f>
        <v/>
      </c>
      <c r="BE487" s="41" t="str">
        <f>IF(AND($G487='Povolené hodnoty'!$B$13,$H487=BE$4),SUM($J487,$M487,$P487,$S487),"")</f>
        <v/>
      </c>
      <c r="BF487" s="39" t="str">
        <f>IF(AND($G487='Povolené hodnoty'!$B$14,$H487=BF$4),SUM($J487,$M487,$P487,$S487),"")</f>
        <v/>
      </c>
      <c r="BG487" s="458" t="str">
        <f>IF(AND($G487='Povolené hodnoty'!$B$14,$H487=BG$4),SUM($J487,$M487,$P487,$S487),"")</f>
        <v/>
      </c>
      <c r="BH487" s="458" t="str">
        <f>IF(AND($G487='Povolené hodnoty'!$B$14,$H487=BH$4),SUM($J487,$M487,$P487,$S487),"")</f>
        <v/>
      </c>
      <c r="BI487" s="458" t="str">
        <f>IF(AND($G487='Povolené hodnoty'!$B$14,$H487=BI$4),SUM($J487,$M487,$P487,$S487),"")</f>
        <v/>
      </c>
      <c r="BJ487" s="458" t="str">
        <f>IF(AND($G487='Povolené hodnoty'!$B$14,$H487=BJ$4),SUM($J487,$M487,$P487,$S487),"")</f>
        <v/>
      </c>
      <c r="BK487" s="40" t="str">
        <f>IF(AND($G487='Povolené hodnoty'!$B$14,$H487=BK$4),SUM($J487,$M487,$P487,$S487),"")</f>
        <v/>
      </c>
      <c r="BL487" s="40" t="str">
        <f>IF(AND($G487='Povolené hodnoty'!$B$14,$H487=BL$4),SUM($J487,$M487,$P487,$S487),"")</f>
        <v/>
      </c>
      <c r="BM487" s="41" t="str">
        <f>IF(AND($G487='Povolené hodnoty'!$B$14,$H487=BM$4),SUM($J487,$M487,$P487,$S487),"")</f>
        <v/>
      </c>
      <c r="BO487" s="18" t="b">
        <f t="shared" si="281"/>
        <v>0</v>
      </c>
      <c r="BP487" s="18" t="b">
        <f t="shared" si="252"/>
        <v>0</v>
      </c>
      <c r="BQ487" s="18" t="b">
        <f>AND(E487&lt;&gt;'Povolené hodnoty'!$B$6,F487&lt;&gt;'Povolené hodnoty'!$D$7,F487&lt;&gt;'Povolené hodnoty'!$D$8,OR(SUM(I487,L487,O487,R487)&lt;&gt;SUM(W487:X487,AA487:AG487),SUM(J487,M487,P487,S487)&lt;&gt;SUM(Y487:Z487,AH487:AK487),COUNT(I487:J487,L487:M487,O487:P487,R487:S487)&lt;&gt;COUNT(W487:AK487)))</f>
        <v>0</v>
      </c>
      <c r="BR487" s="18" t="b">
        <f>OR(AND(E487='Povolené hodnoty'!$B$6,$BR$5),AND(E487='Povolené hodnoty'!$B$6,H487&lt;&gt;'Povolené hodnoty'!$E$26,H487&lt;&gt;'Povolené hodnoty'!$E$35),AND(E487&lt;&gt;'Povolené hodnoty'!$B$6,OR(H487='Povolené hodnoty'!$E$26,H487='Povolené hodnoty'!$E$35)))</f>
        <v>0</v>
      </c>
      <c r="BS487" s="18" t="b">
        <f>OR(AND(G487&lt;&gt;'Povolené hodnoty'!$B$13,OR(H487='Povolené hodnoty'!$E$21,H487='Povolené hodnoty'!$E$22,H487='Povolené hodnoty'!$E$23,H487='Povolené hodnoty'!$E$24,H487='Povolené hodnoty'!$E$26,H487='Povolené hodnoty'!$E$36)),COUNT(I487:J487,L487:M487,O487:P487,R487:S487)&lt;&gt;COUNT(AL487:BM487))</f>
        <v>0</v>
      </c>
      <c r="BT487" s="18" t="b">
        <f t="shared" si="253"/>
        <v>0</v>
      </c>
      <c r="BV487" s="39" t="str">
        <f t="shared" si="254"/>
        <v/>
      </c>
      <c r="BW487" s="458" t="str">
        <f t="shared" si="255"/>
        <v/>
      </c>
      <c r="BX487" s="458" t="str">
        <f t="shared" si="256"/>
        <v/>
      </c>
      <c r="BY487" s="458" t="str">
        <f t="shared" si="257"/>
        <v/>
      </c>
      <c r="BZ487" s="458" t="str">
        <f t="shared" si="258"/>
        <v/>
      </c>
      <c r="CA487" s="40" t="str">
        <f t="shared" si="259"/>
        <v/>
      </c>
      <c r="CB487" s="40" t="str">
        <f t="shared" si="260"/>
        <v/>
      </c>
      <c r="CC487" s="39" t="str">
        <f t="shared" si="261"/>
        <v/>
      </c>
      <c r="CD487" s="458" t="str">
        <f t="shared" si="262"/>
        <v/>
      </c>
      <c r="CE487" s="41" t="str">
        <f t="shared" si="263"/>
        <v/>
      </c>
      <c r="CF487" s="39" t="str">
        <f t="shared" si="264"/>
        <v/>
      </c>
      <c r="CG487" s="458" t="str">
        <f t="shared" si="265"/>
        <v/>
      </c>
      <c r="CH487" s="458" t="str">
        <f t="shared" si="266"/>
        <v/>
      </c>
      <c r="CI487" s="458" t="str">
        <f t="shared" si="267"/>
        <v/>
      </c>
      <c r="CJ487" s="458" t="str">
        <f t="shared" si="268"/>
        <v/>
      </c>
      <c r="CK487" s="40" t="str">
        <f t="shared" si="269"/>
        <v/>
      </c>
      <c r="CL487" s="40" t="str">
        <f t="shared" si="270"/>
        <v/>
      </c>
      <c r="CM487" s="40" t="str">
        <f t="shared" si="271"/>
        <v/>
      </c>
      <c r="CN487" s="39" t="str">
        <f t="shared" si="272"/>
        <v/>
      </c>
      <c r="CO487" s="458" t="str">
        <f t="shared" si="273"/>
        <v/>
      </c>
      <c r="CP487" s="458" t="str">
        <f t="shared" si="274"/>
        <v/>
      </c>
      <c r="CQ487" s="458" t="str">
        <f t="shared" si="275"/>
        <v/>
      </c>
      <c r="CR487" s="458" t="str">
        <f t="shared" si="276"/>
        <v/>
      </c>
      <c r="CS487" s="40" t="str">
        <f t="shared" si="277"/>
        <v/>
      </c>
      <c r="CT487" s="40" t="str">
        <f t="shared" si="278"/>
        <v/>
      </c>
      <c r="CU487" s="41" t="str">
        <f t="shared" si="279"/>
        <v/>
      </c>
    </row>
    <row r="488" spans="1:99" x14ac:dyDescent="0.2">
      <c r="A488" s="77">
        <f t="shared" si="280"/>
        <v>483</v>
      </c>
      <c r="B488" s="81"/>
      <c r="C488" s="82"/>
      <c r="D488" s="71"/>
      <c r="E488" s="72"/>
      <c r="F488" s="73"/>
      <c r="G488" s="443"/>
      <c r="H488" s="443"/>
      <c r="I488" s="74"/>
      <c r="J488" s="75"/>
      <c r="K488" s="41">
        <f t="shared" si="249"/>
        <v>3625</v>
      </c>
      <c r="L488" s="104"/>
      <c r="M488" s="105"/>
      <c r="N488" s="106">
        <f t="shared" si="250"/>
        <v>537.05999999999995</v>
      </c>
      <c r="O488" s="104"/>
      <c r="P488" s="105"/>
      <c r="Q488" s="106">
        <f t="shared" si="282"/>
        <v>10045.83</v>
      </c>
      <c r="R488" s="104"/>
      <c r="S488" s="105"/>
      <c r="T488" s="106">
        <f t="shared" si="283"/>
        <v>0</v>
      </c>
      <c r="U488" s="439"/>
      <c r="V488" s="42">
        <f t="shared" si="251"/>
        <v>483</v>
      </c>
      <c r="W488" s="39" t="str">
        <f>IF(AND(E488='Povolené hodnoty'!$B$4,F488=2),I488+L488+O488+R488,"")</f>
        <v/>
      </c>
      <c r="X488" s="41" t="str">
        <f>IF(AND(E488='Povolené hodnoty'!$B$4,F488=1),I488+L488+O488+R488,"")</f>
        <v/>
      </c>
      <c r="Y488" s="39" t="str">
        <f>IF(AND(E488='Povolené hodnoty'!$B$4,F488=10),J488+M488+P488+S488,"")</f>
        <v/>
      </c>
      <c r="Z488" s="41" t="str">
        <f>IF(AND(E488='Povolené hodnoty'!$B$4,F488=9),J488+M488+P488+S488,"")</f>
        <v/>
      </c>
      <c r="AA488" s="39" t="str">
        <f>IF(AND(E488&lt;&gt;'Povolené hodnoty'!$B$4,F488=2),I488+L488+O488+R488,"")</f>
        <v/>
      </c>
      <c r="AB488" s="40" t="str">
        <f>IF(AND(E488&lt;&gt;'Povolené hodnoty'!$B$4,F488=3),I488+L488+O488+R488,"")</f>
        <v/>
      </c>
      <c r="AC488" s="40" t="str">
        <f>IF(AND(E488&lt;&gt;'Povolené hodnoty'!$B$4,F488=4),I488+L488+O488+R488,"")</f>
        <v/>
      </c>
      <c r="AD488" s="40" t="str">
        <f>IF(AND(E488&lt;&gt;'Povolené hodnoty'!$B$4,F488="5a"),I488-J488+L488-M488+O488-P488+R488-S488,"")</f>
        <v/>
      </c>
      <c r="AE488" s="40" t="str">
        <f>IF(AND(E488&lt;&gt;'Povolené hodnoty'!$B$4,F488="5b"),I488-J488+L488-M488+O488-P488+R488-S488,"")</f>
        <v/>
      </c>
      <c r="AF488" s="40" t="str">
        <f>IF(AND(E488&lt;&gt;'Povolené hodnoty'!$B$4,F488=6),I488+L488+O488+R488,"")</f>
        <v/>
      </c>
      <c r="AG488" s="41" t="str">
        <f>IF(AND(E488&lt;&gt;'Povolené hodnoty'!$B$4,F488=7),I488+L488+O488+R488,"")</f>
        <v/>
      </c>
      <c r="AH488" s="39" t="str">
        <f>IF(AND(E488&lt;&gt;'Povolené hodnoty'!$B$4,F488=10),J488+M488+P488+S488,"")</f>
        <v/>
      </c>
      <c r="AI488" s="40" t="str">
        <f>IF(AND(E488&lt;&gt;'Povolené hodnoty'!$B$4,F488=11),J488+M488+P488+S488,"")</f>
        <v/>
      </c>
      <c r="AJ488" s="40" t="str">
        <f>IF(AND(E488&lt;&gt;'Povolené hodnoty'!$B$4,F488=12),J488+M488+P488+S488,"")</f>
        <v/>
      </c>
      <c r="AK488" s="41" t="str">
        <f>IF(AND(E488&lt;&gt;'Povolené hodnoty'!$B$4,F488=13),J488+M488+P488+S488,"")</f>
        <v/>
      </c>
      <c r="AL488" s="39" t="str">
        <f>IF(AND($G488='Povolené hodnoty'!$B$13,$H488=AL$4),SUM($I488,$L488,$O488,$R488),"")</f>
        <v/>
      </c>
      <c r="AM488" s="458" t="str">
        <f>IF(AND($G488='Povolené hodnoty'!$B$13,$H488=AM$4),SUM($I488,$L488,$O488,$R488),"")</f>
        <v/>
      </c>
      <c r="AN488" s="458" t="str">
        <f>IF(AND($G488='Povolené hodnoty'!$B$13,$H488=AN$4),SUM($I488,$L488,$O488,$R488),"")</f>
        <v/>
      </c>
      <c r="AO488" s="458" t="str">
        <f>IF(AND($G488='Povolené hodnoty'!$B$13,$H488=AO$4),SUM($I488,$L488,$O488,$R488),"")</f>
        <v/>
      </c>
      <c r="AP488" s="458" t="str">
        <f>IF(AND($G488='Povolené hodnoty'!$B$13,$H488=AP$4),SUM($I488,$L488,$O488,$R488),"")</f>
        <v/>
      </c>
      <c r="AQ488" s="40" t="str">
        <f>IF(AND($G488='Povolené hodnoty'!$B$13,OR($H488=AQ$4,$H488='Povolené hodnoty'!$E$36)),SUM($I488,-$J488,$L488,-$M488,$O488,-$P488,$R488,-$S488),"")</f>
        <v/>
      </c>
      <c r="AR488" s="40" t="str">
        <f>IF(AND($G488='Povolené hodnoty'!$B$13,$H488=AR$4),SUM($I488,$L488,$O488,$R488),"")</f>
        <v/>
      </c>
      <c r="AS488" s="41" t="str">
        <f>IF(AND($G488='Povolené hodnoty'!$B$13,$H488=AS$4),SUM($I488,$L488,$O488,$R488),"")</f>
        <v/>
      </c>
      <c r="AT488" s="39" t="str">
        <f>IF(AND($G488='Povolené hodnoty'!$B$14,$H488=AT$4),SUM($I488,$L488,$O488,$R488),"")</f>
        <v/>
      </c>
      <c r="AU488" s="458" t="str">
        <f>IF(AND($G488='Povolené hodnoty'!$B$14,$H488=AU$4),SUM($I488,$L488,$O488,$R488),"")</f>
        <v/>
      </c>
      <c r="AV488" s="41" t="str">
        <f>IF(AND($G488='Povolené hodnoty'!$B$14,$H488=AV$4),SUM($I488,$L488,$O488,$R488),"")</f>
        <v/>
      </c>
      <c r="AW488" s="39" t="str">
        <f>IF(AND($G488='Povolené hodnoty'!$B$13,$H488=AW$4),SUM($J488,$M488,$P488,$S488),"")</f>
        <v/>
      </c>
      <c r="AX488" s="458" t="str">
        <f>IF(AND($G488='Povolené hodnoty'!$B$13,$H488=AX$4),SUM($J488,$M488,$P488,$S488),"")</f>
        <v/>
      </c>
      <c r="AY488" s="458" t="str">
        <f>IF(AND($G488='Povolené hodnoty'!$B$13,$H488=AY$4),SUM($J488,$M488,$P488,$S488),"")</f>
        <v/>
      </c>
      <c r="AZ488" s="458" t="str">
        <f>IF(AND($G488='Povolené hodnoty'!$B$13,$H488=AZ$4),SUM($J488,$M488,$P488,$S488),"")</f>
        <v/>
      </c>
      <c r="BA488" s="458" t="str">
        <f>IF(AND($G488='Povolené hodnoty'!$B$13,$H488=BA$4),SUM($J488,$M488,$P488,$S488),"")</f>
        <v/>
      </c>
      <c r="BB488" s="40" t="str">
        <f>IF(AND($G488='Povolené hodnoty'!$B$13,$H488=BB$4),SUM($J488,$M488,$P488,$S488),"")</f>
        <v/>
      </c>
      <c r="BC488" s="40" t="str">
        <f>IF(AND($G488='Povolené hodnoty'!$B$13,$H488=BC$4),SUM($J488,$M488,$P488,$S488),"")</f>
        <v/>
      </c>
      <c r="BD488" s="40" t="str">
        <f>IF(AND($G488='Povolené hodnoty'!$B$13,$H488=BD$4),SUM($J488,$M488,$P488,$S488),"")</f>
        <v/>
      </c>
      <c r="BE488" s="41" t="str">
        <f>IF(AND($G488='Povolené hodnoty'!$B$13,$H488=BE$4),SUM($J488,$M488,$P488,$S488),"")</f>
        <v/>
      </c>
      <c r="BF488" s="39" t="str">
        <f>IF(AND($G488='Povolené hodnoty'!$B$14,$H488=BF$4),SUM($J488,$M488,$P488,$S488),"")</f>
        <v/>
      </c>
      <c r="BG488" s="458" t="str">
        <f>IF(AND($G488='Povolené hodnoty'!$B$14,$H488=BG$4),SUM($J488,$M488,$P488,$S488),"")</f>
        <v/>
      </c>
      <c r="BH488" s="458" t="str">
        <f>IF(AND($G488='Povolené hodnoty'!$B$14,$H488=BH$4),SUM($J488,$M488,$P488,$S488),"")</f>
        <v/>
      </c>
      <c r="BI488" s="458" t="str">
        <f>IF(AND($G488='Povolené hodnoty'!$B$14,$H488=BI$4),SUM($J488,$M488,$P488,$S488),"")</f>
        <v/>
      </c>
      <c r="BJ488" s="458" t="str">
        <f>IF(AND($G488='Povolené hodnoty'!$B$14,$H488=BJ$4),SUM($J488,$M488,$P488,$S488),"")</f>
        <v/>
      </c>
      <c r="BK488" s="40" t="str">
        <f>IF(AND($G488='Povolené hodnoty'!$B$14,$H488=BK$4),SUM($J488,$M488,$P488,$S488),"")</f>
        <v/>
      </c>
      <c r="BL488" s="40" t="str">
        <f>IF(AND($G488='Povolené hodnoty'!$B$14,$H488=BL$4),SUM($J488,$M488,$P488,$S488),"")</f>
        <v/>
      </c>
      <c r="BM488" s="41" t="str">
        <f>IF(AND($G488='Povolené hodnoty'!$B$14,$H488=BM$4),SUM($J488,$M488,$P488,$S488),"")</f>
        <v/>
      </c>
      <c r="BO488" s="18" t="b">
        <f t="shared" si="281"/>
        <v>0</v>
      </c>
      <c r="BP488" s="18" t="b">
        <f t="shared" si="252"/>
        <v>0</v>
      </c>
      <c r="BQ488" s="18" t="b">
        <f>AND(E488&lt;&gt;'Povolené hodnoty'!$B$6,F488&lt;&gt;'Povolené hodnoty'!$D$7,F488&lt;&gt;'Povolené hodnoty'!$D$8,OR(SUM(I488,L488,O488,R488)&lt;&gt;SUM(W488:X488,AA488:AG488),SUM(J488,M488,P488,S488)&lt;&gt;SUM(Y488:Z488,AH488:AK488),COUNT(I488:J488,L488:M488,O488:P488,R488:S488)&lt;&gt;COUNT(W488:AK488)))</f>
        <v>0</v>
      </c>
      <c r="BR488" s="18" t="b">
        <f>OR(AND(E488='Povolené hodnoty'!$B$6,$BR$5),AND(E488='Povolené hodnoty'!$B$6,H488&lt;&gt;'Povolené hodnoty'!$E$26,H488&lt;&gt;'Povolené hodnoty'!$E$35),AND(E488&lt;&gt;'Povolené hodnoty'!$B$6,OR(H488='Povolené hodnoty'!$E$26,H488='Povolené hodnoty'!$E$35)))</f>
        <v>0</v>
      </c>
      <c r="BS488" s="18" t="b">
        <f>OR(AND(G488&lt;&gt;'Povolené hodnoty'!$B$13,OR(H488='Povolené hodnoty'!$E$21,H488='Povolené hodnoty'!$E$22,H488='Povolené hodnoty'!$E$23,H488='Povolené hodnoty'!$E$24,H488='Povolené hodnoty'!$E$26,H488='Povolené hodnoty'!$E$36)),COUNT(I488:J488,L488:M488,O488:P488,R488:S488)&lt;&gt;COUNT(AL488:BM488))</f>
        <v>0</v>
      </c>
      <c r="BT488" s="18" t="b">
        <f t="shared" si="253"/>
        <v>0</v>
      </c>
      <c r="BV488" s="39" t="str">
        <f t="shared" si="254"/>
        <v/>
      </c>
      <c r="BW488" s="458" t="str">
        <f t="shared" si="255"/>
        <v/>
      </c>
      <c r="BX488" s="458" t="str">
        <f t="shared" si="256"/>
        <v/>
      </c>
      <c r="BY488" s="458" t="str">
        <f t="shared" si="257"/>
        <v/>
      </c>
      <c r="BZ488" s="458" t="str">
        <f t="shared" si="258"/>
        <v/>
      </c>
      <c r="CA488" s="40" t="str">
        <f t="shared" si="259"/>
        <v/>
      </c>
      <c r="CB488" s="40" t="str">
        <f t="shared" si="260"/>
        <v/>
      </c>
      <c r="CC488" s="39" t="str">
        <f t="shared" si="261"/>
        <v/>
      </c>
      <c r="CD488" s="458" t="str">
        <f t="shared" si="262"/>
        <v/>
      </c>
      <c r="CE488" s="41" t="str">
        <f t="shared" si="263"/>
        <v/>
      </c>
      <c r="CF488" s="39" t="str">
        <f t="shared" si="264"/>
        <v/>
      </c>
      <c r="CG488" s="458" t="str">
        <f t="shared" si="265"/>
        <v/>
      </c>
      <c r="CH488" s="458" t="str">
        <f t="shared" si="266"/>
        <v/>
      </c>
      <c r="CI488" s="458" t="str">
        <f t="shared" si="267"/>
        <v/>
      </c>
      <c r="CJ488" s="458" t="str">
        <f t="shared" si="268"/>
        <v/>
      </c>
      <c r="CK488" s="40" t="str">
        <f t="shared" si="269"/>
        <v/>
      </c>
      <c r="CL488" s="40" t="str">
        <f t="shared" si="270"/>
        <v/>
      </c>
      <c r="CM488" s="40" t="str">
        <f t="shared" si="271"/>
        <v/>
      </c>
      <c r="CN488" s="39" t="str">
        <f t="shared" si="272"/>
        <v/>
      </c>
      <c r="CO488" s="458" t="str">
        <f t="shared" si="273"/>
        <v/>
      </c>
      <c r="CP488" s="458" t="str">
        <f t="shared" si="274"/>
        <v/>
      </c>
      <c r="CQ488" s="458" t="str">
        <f t="shared" si="275"/>
        <v/>
      </c>
      <c r="CR488" s="458" t="str">
        <f t="shared" si="276"/>
        <v/>
      </c>
      <c r="CS488" s="40" t="str">
        <f t="shared" si="277"/>
        <v/>
      </c>
      <c r="CT488" s="40" t="str">
        <f t="shared" si="278"/>
        <v/>
      </c>
      <c r="CU488" s="41" t="str">
        <f t="shared" si="279"/>
        <v/>
      </c>
    </row>
    <row r="489" spans="1:99" x14ac:dyDescent="0.2">
      <c r="A489" s="77">
        <f t="shared" si="280"/>
        <v>484</v>
      </c>
      <c r="B489" s="81"/>
      <c r="C489" s="82"/>
      <c r="D489" s="71"/>
      <c r="E489" s="72"/>
      <c r="F489" s="73"/>
      <c r="G489" s="443"/>
      <c r="H489" s="443"/>
      <c r="I489" s="74"/>
      <c r="J489" s="75"/>
      <c r="K489" s="41">
        <f t="shared" si="249"/>
        <v>3625</v>
      </c>
      <c r="L489" s="104"/>
      <c r="M489" s="105"/>
      <c r="N489" s="106">
        <f t="shared" si="250"/>
        <v>537.05999999999995</v>
      </c>
      <c r="O489" s="104"/>
      <c r="P489" s="105"/>
      <c r="Q489" s="106">
        <f t="shared" si="282"/>
        <v>10045.83</v>
      </c>
      <c r="R489" s="104"/>
      <c r="S489" s="105"/>
      <c r="T489" s="106">
        <f t="shared" si="283"/>
        <v>0</v>
      </c>
      <c r="U489" s="439"/>
      <c r="V489" s="42">
        <f t="shared" si="251"/>
        <v>484</v>
      </c>
      <c r="W489" s="39" t="str">
        <f>IF(AND(E489='Povolené hodnoty'!$B$4,F489=2),I489+L489+O489+R489,"")</f>
        <v/>
      </c>
      <c r="X489" s="41" t="str">
        <f>IF(AND(E489='Povolené hodnoty'!$B$4,F489=1),I489+L489+O489+R489,"")</f>
        <v/>
      </c>
      <c r="Y489" s="39" t="str">
        <f>IF(AND(E489='Povolené hodnoty'!$B$4,F489=10),J489+M489+P489+S489,"")</f>
        <v/>
      </c>
      <c r="Z489" s="41" t="str">
        <f>IF(AND(E489='Povolené hodnoty'!$B$4,F489=9),J489+M489+P489+S489,"")</f>
        <v/>
      </c>
      <c r="AA489" s="39" t="str">
        <f>IF(AND(E489&lt;&gt;'Povolené hodnoty'!$B$4,F489=2),I489+L489+O489+R489,"")</f>
        <v/>
      </c>
      <c r="AB489" s="40" t="str">
        <f>IF(AND(E489&lt;&gt;'Povolené hodnoty'!$B$4,F489=3),I489+L489+O489+R489,"")</f>
        <v/>
      </c>
      <c r="AC489" s="40" t="str">
        <f>IF(AND(E489&lt;&gt;'Povolené hodnoty'!$B$4,F489=4),I489+L489+O489+R489,"")</f>
        <v/>
      </c>
      <c r="AD489" s="40" t="str">
        <f>IF(AND(E489&lt;&gt;'Povolené hodnoty'!$B$4,F489="5a"),I489-J489+L489-M489+O489-P489+R489-S489,"")</f>
        <v/>
      </c>
      <c r="AE489" s="40" t="str">
        <f>IF(AND(E489&lt;&gt;'Povolené hodnoty'!$B$4,F489="5b"),I489-J489+L489-M489+O489-P489+R489-S489,"")</f>
        <v/>
      </c>
      <c r="AF489" s="40" t="str">
        <f>IF(AND(E489&lt;&gt;'Povolené hodnoty'!$B$4,F489=6),I489+L489+O489+R489,"")</f>
        <v/>
      </c>
      <c r="AG489" s="41" t="str">
        <f>IF(AND(E489&lt;&gt;'Povolené hodnoty'!$B$4,F489=7),I489+L489+O489+R489,"")</f>
        <v/>
      </c>
      <c r="AH489" s="39" t="str">
        <f>IF(AND(E489&lt;&gt;'Povolené hodnoty'!$B$4,F489=10),J489+M489+P489+S489,"")</f>
        <v/>
      </c>
      <c r="AI489" s="40" t="str">
        <f>IF(AND(E489&lt;&gt;'Povolené hodnoty'!$B$4,F489=11),J489+M489+P489+S489,"")</f>
        <v/>
      </c>
      <c r="AJ489" s="40" t="str">
        <f>IF(AND(E489&lt;&gt;'Povolené hodnoty'!$B$4,F489=12),J489+M489+P489+S489,"")</f>
        <v/>
      </c>
      <c r="AK489" s="41" t="str">
        <f>IF(AND(E489&lt;&gt;'Povolené hodnoty'!$B$4,F489=13),J489+M489+P489+S489,"")</f>
        <v/>
      </c>
      <c r="AL489" s="39" t="str">
        <f>IF(AND($G489='Povolené hodnoty'!$B$13,$H489=AL$4),SUM($I489,$L489,$O489,$R489),"")</f>
        <v/>
      </c>
      <c r="AM489" s="458" t="str">
        <f>IF(AND($G489='Povolené hodnoty'!$B$13,$H489=AM$4),SUM($I489,$L489,$O489,$R489),"")</f>
        <v/>
      </c>
      <c r="AN489" s="458" t="str">
        <f>IF(AND($G489='Povolené hodnoty'!$B$13,$H489=AN$4),SUM($I489,$L489,$O489,$R489),"")</f>
        <v/>
      </c>
      <c r="AO489" s="458" t="str">
        <f>IF(AND($G489='Povolené hodnoty'!$B$13,$H489=AO$4),SUM($I489,$L489,$O489,$R489),"")</f>
        <v/>
      </c>
      <c r="AP489" s="458" t="str">
        <f>IF(AND($G489='Povolené hodnoty'!$B$13,$H489=AP$4),SUM($I489,$L489,$O489,$R489),"")</f>
        <v/>
      </c>
      <c r="AQ489" s="40" t="str">
        <f>IF(AND($G489='Povolené hodnoty'!$B$13,OR($H489=AQ$4,$H489='Povolené hodnoty'!$E$36)),SUM($I489,-$J489,$L489,-$M489,$O489,-$P489,$R489,-$S489),"")</f>
        <v/>
      </c>
      <c r="AR489" s="40" t="str">
        <f>IF(AND($G489='Povolené hodnoty'!$B$13,$H489=AR$4),SUM($I489,$L489,$O489,$R489),"")</f>
        <v/>
      </c>
      <c r="AS489" s="41" t="str">
        <f>IF(AND($G489='Povolené hodnoty'!$B$13,$H489=AS$4),SUM($I489,$L489,$O489,$R489),"")</f>
        <v/>
      </c>
      <c r="AT489" s="39" t="str">
        <f>IF(AND($G489='Povolené hodnoty'!$B$14,$H489=AT$4),SUM($I489,$L489,$O489,$R489),"")</f>
        <v/>
      </c>
      <c r="AU489" s="458" t="str">
        <f>IF(AND($G489='Povolené hodnoty'!$B$14,$H489=AU$4),SUM($I489,$L489,$O489,$R489),"")</f>
        <v/>
      </c>
      <c r="AV489" s="41" t="str">
        <f>IF(AND($G489='Povolené hodnoty'!$B$14,$H489=AV$4),SUM($I489,$L489,$O489,$R489),"")</f>
        <v/>
      </c>
      <c r="AW489" s="39" t="str">
        <f>IF(AND($G489='Povolené hodnoty'!$B$13,$H489=AW$4),SUM($J489,$M489,$P489,$S489),"")</f>
        <v/>
      </c>
      <c r="AX489" s="458" t="str">
        <f>IF(AND($G489='Povolené hodnoty'!$B$13,$H489=AX$4),SUM($J489,$M489,$P489,$S489),"")</f>
        <v/>
      </c>
      <c r="AY489" s="458" t="str">
        <f>IF(AND($G489='Povolené hodnoty'!$B$13,$H489=AY$4),SUM($J489,$M489,$P489,$S489),"")</f>
        <v/>
      </c>
      <c r="AZ489" s="458" t="str">
        <f>IF(AND($G489='Povolené hodnoty'!$B$13,$H489=AZ$4),SUM($J489,$M489,$P489,$S489),"")</f>
        <v/>
      </c>
      <c r="BA489" s="458" t="str">
        <f>IF(AND($G489='Povolené hodnoty'!$B$13,$H489=BA$4),SUM($J489,$M489,$P489,$S489),"")</f>
        <v/>
      </c>
      <c r="BB489" s="40" t="str">
        <f>IF(AND($G489='Povolené hodnoty'!$B$13,$H489=BB$4),SUM($J489,$M489,$P489,$S489),"")</f>
        <v/>
      </c>
      <c r="BC489" s="40" t="str">
        <f>IF(AND($G489='Povolené hodnoty'!$B$13,$H489=BC$4),SUM($J489,$M489,$P489,$S489),"")</f>
        <v/>
      </c>
      <c r="BD489" s="40" t="str">
        <f>IF(AND($G489='Povolené hodnoty'!$B$13,$H489=BD$4),SUM($J489,$M489,$P489,$S489),"")</f>
        <v/>
      </c>
      <c r="BE489" s="41" t="str">
        <f>IF(AND($G489='Povolené hodnoty'!$B$13,$H489=BE$4),SUM($J489,$M489,$P489,$S489),"")</f>
        <v/>
      </c>
      <c r="BF489" s="39" t="str">
        <f>IF(AND($G489='Povolené hodnoty'!$B$14,$H489=BF$4),SUM($J489,$M489,$P489,$S489),"")</f>
        <v/>
      </c>
      <c r="BG489" s="458" t="str">
        <f>IF(AND($G489='Povolené hodnoty'!$B$14,$H489=BG$4),SUM($J489,$M489,$P489,$S489),"")</f>
        <v/>
      </c>
      <c r="BH489" s="458" t="str">
        <f>IF(AND($G489='Povolené hodnoty'!$B$14,$H489=BH$4),SUM($J489,$M489,$P489,$S489),"")</f>
        <v/>
      </c>
      <c r="BI489" s="458" t="str">
        <f>IF(AND($G489='Povolené hodnoty'!$B$14,$H489=BI$4),SUM($J489,$M489,$P489,$S489),"")</f>
        <v/>
      </c>
      <c r="BJ489" s="458" t="str">
        <f>IF(AND($G489='Povolené hodnoty'!$B$14,$H489=BJ$4),SUM($J489,$M489,$P489,$S489),"")</f>
        <v/>
      </c>
      <c r="BK489" s="40" t="str">
        <f>IF(AND($G489='Povolené hodnoty'!$B$14,$H489=BK$4),SUM($J489,$M489,$P489,$S489),"")</f>
        <v/>
      </c>
      <c r="BL489" s="40" t="str">
        <f>IF(AND($G489='Povolené hodnoty'!$B$14,$H489=BL$4),SUM($J489,$M489,$P489,$S489),"")</f>
        <v/>
      </c>
      <c r="BM489" s="41" t="str">
        <f>IF(AND($G489='Povolené hodnoty'!$B$14,$H489=BM$4),SUM($J489,$M489,$P489,$S489),"")</f>
        <v/>
      </c>
      <c r="BO489" s="18" t="b">
        <f t="shared" si="281"/>
        <v>0</v>
      </c>
      <c r="BP489" s="18" t="b">
        <f t="shared" si="252"/>
        <v>0</v>
      </c>
      <c r="BQ489" s="18" t="b">
        <f>AND(E489&lt;&gt;'Povolené hodnoty'!$B$6,F489&lt;&gt;'Povolené hodnoty'!$D$7,F489&lt;&gt;'Povolené hodnoty'!$D$8,OR(SUM(I489,L489,O489,R489)&lt;&gt;SUM(W489:X489,AA489:AG489),SUM(J489,M489,P489,S489)&lt;&gt;SUM(Y489:Z489,AH489:AK489),COUNT(I489:J489,L489:M489,O489:P489,R489:S489)&lt;&gt;COUNT(W489:AK489)))</f>
        <v>0</v>
      </c>
      <c r="BR489" s="18" t="b">
        <f>OR(AND(E489='Povolené hodnoty'!$B$6,$BR$5),AND(E489='Povolené hodnoty'!$B$6,H489&lt;&gt;'Povolené hodnoty'!$E$26,H489&lt;&gt;'Povolené hodnoty'!$E$35),AND(E489&lt;&gt;'Povolené hodnoty'!$B$6,OR(H489='Povolené hodnoty'!$E$26,H489='Povolené hodnoty'!$E$35)))</f>
        <v>0</v>
      </c>
      <c r="BS489" s="18" t="b">
        <f>OR(AND(G489&lt;&gt;'Povolené hodnoty'!$B$13,OR(H489='Povolené hodnoty'!$E$21,H489='Povolené hodnoty'!$E$22,H489='Povolené hodnoty'!$E$23,H489='Povolené hodnoty'!$E$24,H489='Povolené hodnoty'!$E$26,H489='Povolené hodnoty'!$E$36)),COUNT(I489:J489,L489:M489,O489:P489,R489:S489)&lt;&gt;COUNT(AL489:BM489))</f>
        <v>0</v>
      </c>
      <c r="BT489" s="18" t="b">
        <f t="shared" si="253"/>
        <v>0</v>
      </c>
      <c r="BV489" s="39" t="str">
        <f t="shared" si="254"/>
        <v/>
      </c>
      <c r="BW489" s="458" t="str">
        <f t="shared" si="255"/>
        <v/>
      </c>
      <c r="BX489" s="458" t="str">
        <f t="shared" si="256"/>
        <v/>
      </c>
      <c r="BY489" s="458" t="str">
        <f t="shared" si="257"/>
        <v/>
      </c>
      <c r="BZ489" s="458" t="str">
        <f t="shared" si="258"/>
        <v/>
      </c>
      <c r="CA489" s="40" t="str">
        <f t="shared" si="259"/>
        <v/>
      </c>
      <c r="CB489" s="40" t="str">
        <f t="shared" si="260"/>
        <v/>
      </c>
      <c r="CC489" s="39" t="str">
        <f t="shared" si="261"/>
        <v/>
      </c>
      <c r="CD489" s="458" t="str">
        <f t="shared" si="262"/>
        <v/>
      </c>
      <c r="CE489" s="41" t="str">
        <f t="shared" si="263"/>
        <v/>
      </c>
      <c r="CF489" s="39" t="str">
        <f t="shared" si="264"/>
        <v/>
      </c>
      <c r="CG489" s="458" t="str">
        <f t="shared" si="265"/>
        <v/>
      </c>
      <c r="CH489" s="458" t="str">
        <f t="shared" si="266"/>
        <v/>
      </c>
      <c r="CI489" s="458" t="str">
        <f t="shared" si="267"/>
        <v/>
      </c>
      <c r="CJ489" s="458" t="str">
        <f t="shared" si="268"/>
        <v/>
      </c>
      <c r="CK489" s="40" t="str">
        <f t="shared" si="269"/>
        <v/>
      </c>
      <c r="CL489" s="40" t="str">
        <f t="shared" si="270"/>
        <v/>
      </c>
      <c r="CM489" s="40" t="str">
        <f t="shared" si="271"/>
        <v/>
      </c>
      <c r="CN489" s="39" t="str">
        <f t="shared" si="272"/>
        <v/>
      </c>
      <c r="CO489" s="458" t="str">
        <f t="shared" si="273"/>
        <v/>
      </c>
      <c r="CP489" s="458" t="str">
        <f t="shared" si="274"/>
        <v/>
      </c>
      <c r="CQ489" s="458" t="str">
        <f t="shared" si="275"/>
        <v/>
      </c>
      <c r="CR489" s="458" t="str">
        <f t="shared" si="276"/>
        <v/>
      </c>
      <c r="CS489" s="40" t="str">
        <f t="shared" si="277"/>
        <v/>
      </c>
      <c r="CT489" s="40" t="str">
        <f t="shared" si="278"/>
        <v/>
      </c>
      <c r="CU489" s="41" t="str">
        <f t="shared" si="279"/>
        <v/>
      </c>
    </row>
    <row r="490" spans="1:99" x14ac:dyDescent="0.2">
      <c r="A490" s="77">
        <f t="shared" si="280"/>
        <v>485</v>
      </c>
      <c r="B490" s="81"/>
      <c r="C490" s="82"/>
      <c r="D490" s="71"/>
      <c r="E490" s="72"/>
      <c r="F490" s="73"/>
      <c r="G490" s="443"/>
      <c r="H490" s="443"/>
      <c r="I490" s="74"/>
      <c r="J490" s="75"/>
      <c r="K490" s="41">
        <f t="shared" si="249"/>
        <v>3625</v>
      </c>
      <c r="L490" s="104"/>
      <c r="M490" s="105"/>
      <c r="N490" s="106">
        <f t="shared" si="250"/>
        <v>537.05999999999995</v>
      </c>
      <c r="O490" s="104"/>
      <c r="P490" s="105"/>
      <c r="Q490" s="106">
        <f t="shared" si="282"/>
        <v>10045.83</v>
      </c>
      <c r="R490" s="104"/>
      <c r="S490" s="105"/>
      <c r="T490" s="106">
        <f t="shared" si="283"/>
        <v>0</v>
      </c>
      <c r="U490" s="439"/>
      <c r="V490" s="42">
        <f t="shared" si="251"/>
        <v>485</v>
      </c>
      <c r="W490" s="39" t="str">
        <f>IF(AND(E490='Povolené hodnoty'!$B$4,F490=2),I490+L490+O490+R490,"")</f>
        <v/>
      </c>
      <c r="X490" s="41" t="str">
        <f>IF(AND(E490='Povolené hodnoty'!$B$4,F490=1),I490+L490+O490+R490,"")</f>
        <v/>
      </c>
      <c r="Y490" s="39" t="str">
        <f>IF(AND(E490='Povolené hodnoty'!$B$4,F490=10),J490+M490+P490+S490,"")</f>
        <v/>
      </c>
      <c r="Z490" s="41" t="str">
        <f>IF(AND(E490='Povolené hodnoty'!$B$4,F490=9),J490+M490+P490+S490,"")</f>
        <v/>
      </c>
      <c r="AA490" s="39" t="str">
        <f>IF(AND(E490&lt;&gt;'Povolené hodnoty'!$B$4,F490=2),I490+L490+O490+R490,"")</f>
        <v/>
      </c>
      <c r="AB490" s="40" t="str">
        <f>IF(AND(E490&lt;&gt;'Povolené hodnoty'!$B$4,F490=3),I490+L490+O490+R490,"")</f>
        <v/>
      </c>
      <c r="AC490" s="40" t="str">
        <f>IF(AND(E490&lt;&gt;'Povolené hodnoty'!$B$4,F490=4),I490+L490+O490+R490,"")</f>
        <v/>
      </c>
      <c r="AD490" s="40" t="str">
        <f>IF(AND(E490&lt;&gt;'Povolené hodnoty'!$B$4,F490="5a"),I490-J490+L490-M490+O490-P490+R490-S490,"")</f>
        <v/>
      </c>
      <c r="AE490" s="40" t="str">
        <f>IF(AND(E490&lt;&gt;'Povolené hodnoty'!$B$4,F490="5b"),I490-J490+L490-M490+O490-P490+R490-S490,"")</f>
        <v/>
      </c>
      <c r="AF490" s="40" t="str">
        <f>IF(AND(E490&lt;&gt;'Povolené hodnoty'!$B$4,F490=6),I490+L490+O490+R490,"")</f>
        <v/>
      </c>
      <c r="AG490" s="41" t="str">
        <f>IF(AND(E490&lt;&gt;'Povolené hodnoty'!$B$4,F490=7),I490+L490+O490+R490,"")</f>
        <v/>
      </c>
      <c r="AH490" s="39" t="str">
        <f>IF(AND(E490&lt;&gt;'Povolené hodnoty'!$B$4,F490=10),J490+M490+P490+S490,"")</f>
        <v/>
      </c>
      <c r="AI490" s="40" t="str">
        <f>IF(AND(E490&lt;&gt;'Povolené hodnoty'!$B$4,F490=11),J490+M490+P490+S490,"")</f>
        <v/>
      </c>
      <c r="AJ490" s="40" t="str">
        <f>IF(AND(E490&lt;&gt;'Povolené hodnoty'!$B$4,F490=12),J490+M490+P490+S490,"")</f>
        <v/>
      </c>
      <c r="AK490" s="41" t="str">
        <f>IF(AND(E490&lt;&gt;'Povolené hodnoty'!$B$4,F490=13),J490+M490+P490+S490,"")</f>
        <v/>
      </c>
      <c r="AL490" s="39" t="str">
        <f>IF(AND($G490='Povolené hodnoty'!$B$13,$H490=AL$4),SUM($I490,$L490,$O490,$R490),"")</f>
        <v/>
      </c>
      <c r="AM490" s="458" t="str">
        <f>IF(AND($G490='Povolené hodnoty'!$B$13,$H490=AM$4),SUM($I490,$L490,$O490,$R490),"")</f>
        <v/>
      </c>
      <c r="AN490" s="458" t="str">
        <f>IF(AND($G490='Povolené hodnoty'!$B$13,$H490=AN$4),SUM($I490,$L490,$O490,$R490),"")</f>
        <v/>
      </c>
      <c r="AO490" s="458" t="str">
        <f>IF(AND($G490='Povolené hodnoty'!$B$13,$H490=AO$4),SUM($I490,$L490,$O490,$R490),"")</f>
        <v/>
      </c>
      <c r="AP490" s="458" t="str">
        <f>IF(AND($G490='Povolené hodnoty'!$B$13,$H490=AP$4),SUM($I490,$L490,$O490,$R490),"")</f>
        <v/>
      </c>
      <c r="AQ490" s="40" t="str">
        <f>IF(AND($G490='Povolené hodnoty'!$B$13,OR($H490=AQ$4,$H490='Povolené hodnoty'!$E$36)),SUM($I490,-$J490,$L490,-$M490,$O490,-$P490,$R490,-$S490),"")</f>
        <v/>
      </c>
      <c r="AR490" s="40" t="str">
        <f>IF(AND($G490='Povolené hodnoty'!$B$13,$H490=AR$4),SUM($I490,$L490,$O490,$R490),"")</f>
        <v/>
      </c>
      <c r="AS490" s="41" t="str">
        <f>IF(AND($G490='Povolené hodnoty'!$B$13,$H490=AS$4),SUM($I490,$L490,$O490,$R490),"")</f>
        <v/>
      </c>
      <c r="AT490" s="39" t="str">
        <f>IF(AND($G490='Povolené hodnoty'!$B$14,$H490=AT$4),SUM($I490,$L490,$O490,$R490),"")</f>
        <v/>
      </c>
      <c r="AU490" s="458" t="str">
        <f>IF(AND($G490='Povolené hodnoty'!$B$14,$H490=AU$4),SUM($I490,$L490,$O490,$R490),"")</f>
        <v/>
      </c>
      <c r="AV490" s="41" t="str">
        <f>IF(AND($G490='Povolené hodnoty'!$B$14,$H490=AV$4),SUM($I490,$L490,$O490,$R490),"")</f>
        <v/>
      </c>
      <c r="AW490" s="39" t="str">
        <f>IF(AND($G490='Povolené hodnoty'!$B$13,$H490=AW$4),SUM($J490,$M490,$P490,$S490),"")</f>
        <v/>
      </c>
      <c r="AX490" s="458" t="str">
        <f>IF(AND($G490='Povolené hodnoty'!$B$13,$H490=AX$4),SUM($J490,$M490,$P490,$S490),"")</f>
        <v/>
      </c>
      <c r="AY490" s="458" t="str">
        <f>IF(AND($G490='Povolené hodnoty'!$B$13,$H490=AY$4),SUM($J490,$M490,$P490,$S490),"")</f>
        <v/>
      </c>
      <c r="AZ490" s="458" t="str">
        <f>IF(AND($G490='Povolené hodnoty'!$B$13,$H490=AZ$4),SUM($J490,$M490,$P490,$S490),"")</f>
        <v/>
      </c>
      <c r="BA490" s="458" t="str">
        <f>IF(AND($G490='Povolené hodnoty'!$B$13,$H490=BA$4),SUM($J490,$M490,$P490,$S490),"")</f>
        <v/>
      </c>
      <c r="BB490" s="40" t="str">
        <f>IF(AND($G490='Povolené hodnoty'!$B$13,$H490=BB$4),SUM($J490,$M490,$P490,$S490),"")</f>
        <v/>
      </c>
      <c r="BC490" s="40" t="str">
        <f>IF(AND($G490='Povolené hodnoty'!$B$13,$H490=BC$4),SUM($J490,$M490,$P490,$S490),"")</f>
        <v/>
      </c>
      <c r="BD490" s="40" t="str">
        <f>IF(AND($G490='Povolené hodnoty'!$B$13,$H490=BD$4),SUM($J490,$M490,$P490,$S490),"")</f>
        <v/>
      </c>
      <c r="BE490" s="41" t="str">
        <f>IF(AND($G490='Povolené hodnoty'!$B$13,$H490=BE$4),SUM($J490,$M490,$P490,$S490),"")</f>
        <v/>
      </c>
      <c r="BF490" s="39" t="str">
        <f>IF(AND($G490='Povolené hodnoty'!$B$14,$H490=BF$4),SUM($J490,$M490,$P490,$S490),"")</f>
        <v/>
      </c>
      <c r="BG490" s="458" t="str">
        <f>IF(AND($G490='Povolené hodnoty'!$B$14,$H490=BG$4),SUM($J490,$M490,$P490,$S490),"")</f>
        <v/>
      </c>
      <c r="BH490" s="458" t="str">
        <f>IF(AND($G490='Povolené hodnoty'!$B$14,$H490=BH$4),SUM($J490,$M490,$P490,$S490),"")</f>
        <v/>
      </c>
      <c r="BI490" s="458" t="str">
        <f>IF(AND($G490='Povolené hodnoty'!$B$14,$H490=BI$4),SUM($J490,$M490,$P490,$S490),"")</f>
        <v/>
      </c>
      <c r="BJ490" s="458" t="str">
        <f>IF(AND($G490='Povolené hodnoty'!$B$14,$H490=BJ$4),SUM($J490,$M490,$P490,$S490),"")</f>
        <v/>
      </c>
      <c r="BK490" s="40" t="str">
        <f>IF(AND($G490='Povolené hodnoty'!$B$14,$H490=BK$4),SUM($J490,$M490,$P490,$S490),"")</f>
        <v/>
      </c>
      <c r="BL490" s="40" t="str">
        <f>IF(AND($G490='Povolené hodnoty'!$B$14,$H490=BL$4),SUM($J490,$M490,$P490,$S490),"")</f>
        <v/>
      </c>
      <c r="BM490" s="41" t="str">
        <f>IF(AND($G490='Povolené hodnoty'!$B$14,$H490=BM$4),SUM($J490,$M490,$P490,$S490),"")</f>
        <v/>
      </c>
      <c r="BO490" s="18" t="b">
        <f t="shared" si="281"/>
        <v>0</v>
      </c>
      <c r="BP490" s="18" t="b">
        <f t="shared" si="252"/>
        <v>0</v>
      </c>
      <c r="BQ490" s="18" t="b">
        <f>AND(E490&lt;&gt;'Povolené hodnoty'!$B$6,F490&lt;&gt;'Povolené hodnoty'!$D$7,F490&lt;&gt;'Povolené hodnoty'!$D$8,OR(SUM(I490,L490,O490,R490)&lt;&gt;SUM(W490:X490,AA490:AG490),SUM(J490,M490,P490,S490)&lt;&gt;SUM(Y490:Z490,AH490:AK490),COUNT(I490:J490,L490:M490,O490:P490,R490:S490)&lt;&gt;COUNT(W490:AK490)))</f>
        <v>0</v>
      </c>
      <c r="BR490" s="18" t="b">
        <f>OR(AND(E490='Povolené hodnoty'!$B$6,$BR$5),AND(E490='Povolené hodnoty'!$B$6,H490&lt;&gt;'Povolené hodnoty'!$E$26,H490&lt;&gt;'Povolené hodnoty'!$E$35),AND(E490&lt;&gt;'Povolené hodnoty'!$B$6,OR(H490='Povolené hodnoty'!$E$26,H490='Povolené hodnoty'!$E$35)))</f>
        <v>0</v>
      </c>
      <c r="BS490" s="18" t="b">
        <f>OR(AND(G490&lt;&gt;'Povolené hodnoty'!$B$13,OR(H490='Povolené hodnoty'!$E$21,H490='Povolené hodnoty'!$E$22,H490='Povolené hodnoty'!$E$23,H490='Povolené hodnoty'!$E$24,H490='Povolené hodnoty'!$E$26,H490='Povolené hodnoty'!$E$36)),COUNT(I490:J490,L490:M490,O490:P490,R490:S490)&lt;&gt;COUNT(AL490:BM490))</f>
        <v>0</v>
      </c>
      <c r="BT490" s="18" t="b">
        <f t="shared" si="253"/>
        <v>0</v>
      </c>
      <c r="BV490" s="39" t="str">
        <f t="shared" si="254"/>
        <v/>
      </c>
      <c r="BW490" s="458" t="str">
        <f t="shared" si="255"/>
        <v/>
      </c>
      <c r="BX490" s="458" t="str">
        <f t="shared" si="256"/>
        <v/>
      </c>
      <c r="BY490" s="458" t="str">
        <f t="shared" si="257"/>
        <v/>
      </c>
      <c r="BZ490" s="458" t="str">
        <f t="shared" si="258"/>
        <v/>
      </c>
      <c r="CA490" s="40" t="str">
        <f t="shared" si="259"/>
        <v/>
      </c>
      <c r="CB490" s="40" t="str">
        <f t="shared" si="260"/>
        <v/>
      </c>
      <c r="CC490" s="39" t="str">
        <f t="shared" si="261"/>
        <v/>
      </c>
      <c r="CD490" s="458" t="str">
        <f t="shared" si="262"/>
        <v/>
      </c>
      <c r="CE490" s="41" t="str">
        <f t="shared" si="263"/>
        <v/>
      </c>
      <c r="CF490" s="39" t="str">
        <f t="shared" si="264"/>
        <v/>
      </c>
      <c r="CG490" s="458" t="str">
        <f t="shared" si="265"/>
        <v/>
      </c>
      <c r="CH490" s="458" t="str">
        <f t="shared" si="266"/>
        <v/>
      </c>
      <c r="CI490" s="458" t="str">
        <f t="shared" si="267"/>
        <v/>
      </c>
      <c r="CJ490" s="458" t="str">
        <f t="shared" si="268"/>
        <v/>
      </c>
      <c r="CK490" s="40" t="str">
        <f t="shared" si="269"/>
        <v/>
      </c>
      <c r="CL490" s="40" t="str">
        <f t="shared" si="270"/>
        <v/>
      </c>
      <c r="CM490" s="40" t="str">
        <f t="shared" si="271"/>
        <v/>
      </c>
      <c r="CN490" s="39" t="str">
        <f t="shared" si="272"/>
        <v/>
      </c>
      <c r="CO490" s="458" t="str">
        <f t="shared" si="273"/>
        <v/>
      </c>
      <c r="CP490" s="458" t="str">
        <f t="shared" si="274"/>
        <v/>
      </c>
      <c r="CQ490" s="458" t="str">
        <f t="shared" si="275"/>
        <v/>
      </c>
      <c r="CR490" s="458" t="str">
        <f t="shared" si="276"/>
        <v/>
      </c>
      <c r="CS490" s="40" t="str">
        <f t="shared" si="277"/>
        <v/>
      </c>
      <c r="CT490" s="40" t="str">
        <f t="shared" si="278"/>
        <v/>
      </c>
      <c r="CU490" s="41" t="str">
        <f t="shared" si="279"/>
        <v/>
      </c>
    </row>
    <row r="491" spans="1:99" x14ac:dyDescent="0.2">
      <c r="A491" s="77">
        <f t="shared" si="280"/>
        <v>486</v>
      </c>
      <c r="B491" s="81"/>
      <c r="C491" s="82"/>
      <c r="D491" s="71"/>
      <c r="E491" s="72"/>
      <c r="F491" s="73"/>
      <c r="G491" s="443"/>
      <c r="H491" s="443"/>
      <c r="I491" s="74"/>
      <c r="J491" s="75"/>
      <c r="K491" s="41">
        <f t="shared" si="249"/>
        <v>3625</v>
      </c>
      <c r="L491" s="104"/>
      <c r="M491" s="105"/>
      <c r="N491" s="106">
        <f t="shared" si="250"/>
        <v>537.05999999999995</v>
      </c>
      <c r="O491" s="104"/>
      <c r="P491" s="105"/>
      <c r="Q491" s="106">
        <f t="shared" si="282"/>
        <v>10045.83</v>
      </c>
      <c r="R491" s="104"/>
      <c r="S491" s="105"/>
      <c r="T491" s="106">
        <f t="shared" si="283"/>
        <v>0</v>
      </c>
      <c r="U491" s="439"/>
      <c r="V491" s="42">
        <f t="shared" si="251"/>
        <v>486</v>
      </c>
      <c r="W491" s="39" t="str">
        <f>IF(AND(E491='Povolené hodnoty'!$B$4,F491=2),I491+L491+O491+R491,"")</f>
        <v/>
      </c>
      <c r="X491" s="41" t="str">
        <f>IF(AND(E491='Povolené hodnoty'!$B$4,F491=1),I491+L491+O491+R491,"")</f>
        <v/>
      </c>
      <c r="Y491" s="39" t="str">
        <f>IF(AND(E491='Povolené hodnoty'!$B$4,F491=10),J491+M491+P491+S491,"")</f>
        <v/>
      </c>
      <c r="Z491" s="41" t="str">
        <f>IF(AND(E491='Povolené hodnoty'!$B$4,F491=9),J491+M491+P491+S491,"")</f>
        <v/>
      </c>
      <c r="AA491" s="39" t="str">
        <f>IF(AND(E491&lt;&gt;'Povolené hodnoty'!$B$4,F491=2),I491+L491+O491+R491,"")</f>
        <v/>
      </c>
      <c r="AB491" s="40" t="str">
        <f>IF(AND(E491&lt;&gt;'Povolené hodnoty'!$B$4,F491=3),I491+L491+O491+R491,"")</f>
        <v/>
      </c>
      <c r="AC491" s="40" t="str">
        <f>IF(AND(E491&lt;&gt;'Povolené hodnoty'!$B$4,F491=4),I491+L491+O491+R491,"")</f>
        <v/>
      </c>
      <c r="AD491" s="40" t="str">
        <f>IF(AND(E491&lt;&gt;'Povolené hodnoty'!$B$4,F491="5a"),I491-J491+L491-M491+O491-P491+R491-S491,"")</f>
        <v/>
      </c>
      <c r="AE491" s="40" t="str">
        <f>IF(AND(E491&lt;&gt;'Povolené hodnoty'!$B$4,F491="5b"),I491-J491+L491-M491+O491-P491+R491-S491,"")</f>
        <v/>
      </c>
      <c r="AF491" s="40" t="str">
        <f>IF(AND(E491&lt;&gt;'Povolené hodnoty'!$B$4,F491=6),I491+L491+O491+R491,"")</f>
        <v/>
      </c>
      <c r="AG491" s="41" t="str">
        <f>IF(AND(E491&lt;&gt;'Povolené hodnoty'!$B$4,F491=7),I491+L491+O491+R491,"")</f>
        <v/>
      </c>
      <c r="AH491" s="39" t="str">
        <f>IF(AND(E491&lt;&gt;'Povolené hodnoty'!$B$4,F491=10),J491+M491+P491+S491,"")</f>
        <v/>
      </c>
      <c r="AI491" s="40" t="str">
        <f>IF(AND(E491&lt;&gt;'Povolené hodnoty'!$B$4,F491=11),J491+M491+P491+S491,"")</f>
        <v/>
      </c>
      <c r="AJ491" s="40" t="str">
        <f>IF(AND(E491&lt;&gt;'Povolené hodnoty'!$B$4,F491=12),J491+M491+P491+S491,"")</f>
        <v/>
      </c>
      <c r="AK491" s="41" t="str">
        <f>IF(AND(E491&lt;&gt;'Povolené hodnoty'!$B$4,F491=13),J491+M491+P491+S491,"")</f>
        <v/>
      </c>
      <c r="AL491" s="39" t="str">
        <f>IF(AND($G491='Povolené hodnoty'!$B$13,$H491=AL$4),SUM($I491,$L491,$O491,$R491),"")</f>
        <v/>
      </c>
      <c r="AM491" s="458" t="str">
        <f>IF(AND($G491='Povolené hodnoty'!$B$13,$H491=AM$4),SUM($I491,$L491,$O491,$R491),"")</f>
        <v/>
      </c>
      <c r="AN491" s="458" t="str">
        <f>IF(AND($G491='Povolené hodnoty'!$B$13,$H491=AN$4),SUM($I491,$L491,$O491,$R491),"")</f>
        <v/>
      </c>
      <c r="AO491" s="458" t="str">
        <f>IF(AND($G491='Povolené hodnoty'!$B$13,$H491=AO$4),SUM($I491,$L491,$O491,$R491),"")</f>
        <v/>
      </c>
      <c r="AP491" s="458" t="str">
        <f>IF(AND($G491='Povolené hodnoty'!$B$13,$H491=AP$4),SUM($I491,$L491,$O491,$R491),"")</f>
        <v/>
      </c>
      <c r="AQ491" s="40" t="str">
        <f>IF(AND($G491='Povolené hodnoty'!$B$13,OR($H491=AQ$4,$H491='Povolené hodnoty'!$E$36)),SUM($I491,-$J491,$L491,-$M491,$O491,-$P491,$R491,-$S491),"")</f>
        <v/>
      </c>
      <c r="AR491" s="40" t="str">
        <f>IF(AND($G491='Povolené hodnoty'!$B$13,$H491=AR$4),SUM($I491,$L491,$O491,$R491),"")</f>
        <v/>
      </c>
      <c r="AS491" s="41" t="str">
        <f>IF(AND($G491='Povolené hodnoty'!$B$13,$H491=AS$4),SUM($I491,$L491,$O491,$R491),"")</f>
        <v/>
      </c>
      <c r="AT491" s="39" t="str">
        <f>IF(AND($G491='Povolené hodnoty'!$B$14,$H491=AT$4),SUM($I491,$L491,$O491,$R491),"")</f>
        <v/>
      </c>
      <c r="AU491" s="458" t="str">
        <f>IF(AND($G491='Povolené hodnoty'!$B$14,$H491=AU$4),SUM($I491,$L491,$O491,$R491),"")</f>
        <v/>
      </c>
      <c r="AV491" s="41" t="str">
        <f>IF(AND($G491='Povolené hodnoty'!$B$14,$H491=AV$4),SUM($I491,$L491,$O491,$R491),"")</f>
        <v/>
      </c>
      <c r="AW491" s="39" t="str">
        <f>IF(AND($G491='Povolené hodnoty'!$B$13,$H491=AW$4),SUM($J491,$M491,$P491,$S491),"")</f>
        <v/>
      </c>
      <c r="AX491" s="458" t="str">
        <f>IF(AND($G491='Povolené hodnoty'!$B$13,$H491=AX$4),SUM($J491,$M491,$P491,$S491),"")</f>
        <v/>
      </c>
      <c r="AY491" s="458" t="str">
        <f>IF(AND($G491='Povolené hodnoty'!$B$13,$H491=AY$4),SUM($J491,$M491,$P491,$S491),"")</f>
        <v/>
      </c>
      <c r="AZ491" s="458" t="str">
        <f>IF(AND($G491='Povolené hodnoty'!$B$13,$H491=AZ$4),SUM($J491,$M491,$P491,$S491),"")</f>
        <v/>
      </c>
      <c r="BA491" s="458" t="str">
        <f>IF(AND($G491='Povolené hodnoty'!$B$13,$H491=BA$4),SUM($J491,$M491,$P491,$S491),"")</f>
        <v/>
      </c>
      <c r="BB491" s="40" t="str">
        <f>IF(AND($G491='Povolené hodnoty'!$B$13,$H491=BB$4),SUM($J491,$M491,$P491,$S491),"")</f>
        <v/>
      </c>
      <c r="BC491" s="40" t="str">
        <f>IF(AND($G491='Povolené hodnoty'!$B$13,$H491=BC$4),SUM($J491,$M491,$P491,$S491),"")</f>
        <v/>
      </c>
      <c r="BD491" s="40" t="str">
        <f>IF(AND($G491='Povolené hodnoty'!$B$13,$H491=BD$4),SUM($J491,$M491,$P491,$S491),"")</f>
        <v/>
      </c>
      <c r="BE491" s="41" t="str">
        <f>IF(AND($G491='Povolené hodnoty'!$B$13,$H491=BE$4),SUM($J491,$M491,$P491,$S491),"")</f>
        <v/>
      </c>
      <c r="BF491" s="39" t="str">
        <f>IF(AND($G491='Povolené hodnoty'!$B$14,$H491=BF$4),SUM($J491,$M491,$P491,$S491),"")</f>
        <v/>
      </c>
      <c r="BG491" s="458" t="str">
        <f>IF(AND($G491='Povolené hodnoty'!$B$14,$H491=BG$4),SUM($J491,$M491,$P491,$S491),"")</f>
        <v/>
      </c>
      <c r="BH491" s="458" t="str">
        <f>IF(AND($G491='Povolené hodnoty'!$B$14,$H491=BH$4),SUM($J491,$M491,$P491,$S491),"")</f>
        <v/>
      </c>
      <c r="BI491" s="458" t="str">
        <f>IF(AND($G491='Povolené hodnoty'!$B$14,$H491=BI$4),SUM($J491,$M491,$P491,$S491),"")</f>
        <v/>
      </c>
      <c r="BJ491" s="458" t="str">
        <f>IF(AND($G491='Povolené hodnoty'!$B$14,$H491=BJ$4),SUM($J491,$M491,$P491,$S491),"")</f>
        <v/>
      </c>
      <c r="BK491" s="40" t="str">
        <f>IF(AND($G491='Povolené hodnoty'!$B$14,$H491=BK$4),SUM($J491,$M491,$P491,$S491),"")</f>
        <v/>
      </c>
      <c r="BL491" s="40" t="str">
        <f>IF(AND($G491='Povolené hodnoty'!$B$14,$H491=BL$4),SUM($J491,$M491,$P491,$S491),"")</f>
        <v/>
      </c>
      <c r="BM491" s="41" t="str">
        <f>IF(AND($G491='Povolené hodnoty'!$B$14,$H491=BM$4),SUM($J491,$M491,$P491,$S491),"")</f>
        <v/>
      </c>
      <c r="BO491" s="18" t="b">
        <f t="shared" si="281"/>
        <v>0</v>
      </c>
      <c r="BP491" s="18" t="b">
        <f t="shared" si="252"/>
        <v>0</v>
      </c>
      <c r="BQ491" s="18" t="b">
        <f>AND(E491&lt;&gt;'Povolené hodnoty'!$B$6,F491&lt;&gt;'Povolené hodnoty'!$D$7,F491&lt;&gt;'Povolené hodnoty'!$D$8,OR(SUM(I491,L491,O491,R491)&lt;&gt;SUM(W491:X491,AA491:AG491),SUM(J491,M491,P491,S491)&lt;&gt;SUM(Y491:Z491,AH491:AK491),COUNT(I491:J491,L491:M491,O491:P491,R491:S491)&lt;&gt;COUNT(W491:AK491)))</f>
        <v>0</v>
      </c>
      <c r="BR491" s="18" t="b">
        <f>OR(AND(E491='Povolené hodnoty'!$B$6,$BR$5),AND(E491='Povolené hodnoty'!$B$6,H491&lt;&gt;'Povolené hodnoty'!$E$26,H491&lt;&gt;'Povolené hodnoty'!$E$35),AND(E491&lt;&gt;'Povolené hodnoty'!$B$6,OR(H491='Povolené hodnoty'!$E$26,H491='Povolené hodnoty'!$E$35)))</f>
        <v>0</v>
      </c>
      <c r="BS491" s="18" t="b">
        <f>OR(AND(G491&lt;&gt;'Povolené hodnoty'!$B$13,OR(H491='Povolené hodnoty'!$E$21,H491='Povolené hodnoty'!$E$22,H491='Povolené hodnoty'!$E$23,H491='Povolené hodnoty'!$E$24,H491='Povolené hodnoty'!$E$26,H491='Povolené hodnoty'!$E$36)),COUNT(I491:J491,L491:M491,O491:P491,R491:S491)&lt;&gt;COUNT(AL491:BM491))</f>
        <v>0</v>
      </c>
      <c r="BT491" s="18" t="b">
        <f t="shared" si="253"/>
        <v>0</v>
      </c>
      <c r="BV491" s="39" t="str">
        <f t="shared" si="254"/>
        <v/>
      </c>
      <c r="BW491" s="458" t="str">
        <f t="shared" si="255"/>
        <v/>
      </c>
      <c r="BX491" s="458" t="str">
        <f t="shared" si="256"/>
        <v/>
      </c>
      <c r="BY491" s="458" t="str">
        <f t="shared" si="257"/>
        <v/>
      </c>
      <c r="BZ491" s="458" t="str">
        <f t="shared" si="258"/>
        <v/>
      </c>
      <c r="CA491" s="40" t="str">
        <f t="shared" si="259"/>
        <v/>
      </c>
      <c r="CB491" s="40" t="str">
        <f t="shared" si="260"/>
        <v/>
      </c>
      <c r="CC491" s="39" t="str">
        <f t="shared" si="261"/>
        <v/>
      </c>
      <c r="CD491" s="458" t="str">
        <f t="shared" si="262"/>
        <v/>
      </c>
      <c r="CE491" s="41" t="str">
        <f t="shared" si="263"/>
        <v/>
      </c>
      <c r="CF491" s="39" t="str">
        <f t="shared" si="264"/>
        <v/>
      </c>
      <c r="CG491" s="458" t="str">
        <f t="shared" si="265"/>
        <v/>
      </c>
      <c r="CH491" s="458" t="str">
        <f t="shared" si="266"/>
        <v/>
      </c>
      <c r="CI491" s="458" t="str">
        <f t="shared" si="267"/>
        <v/>
      </c>
      <c r="CJ491" s="458" t="str">
        <f t="shared" si="268"/>
        <v/>
      </c>
      <c r="CK491" s="40" t="str">
        <f t="shared" si="269"/>
        <v/>
      </c>
      <c r="CL491" s="40" t="str">
        <f t="shared" si="270"/>
        <v/>
      </c>
      <c r="CM491" s="40" t="str">
        <f t="shared" si="271"/>
        <v/>
      </c>
      <c r="CN491" s="39" t="str">
        <f t="shared" si="272"/>
        <v/>
      </c>
      <c r="CO491" s="458" t="str">
        <f t="shared" si="273"/>
        <v/>
      </c>
      <c r="CP491" s="458" t="str">
        <f t="shared" si="274"/>
        <v/>
      </c>
      <c r="CQ491" s="458" t="str">
        <f t="shared" si="275"/>
        <v/>
      </c>
      <c r="CR491" s="458" t="str">
        <f t="shared" si="276"/>
        <v/>
      </c>
      <c r="CS491" s="40" t="str">
        <f t="shared" si="277"/>
        <v/>
      </c>
      <c r="CT491" s="40" t="str">
        <f t="shared" si="278"/>
        <v/>
      </c>
      <c r="CU491" s="41" t="str">
        <f t="shared" si="279"/>
        <v/>
      </c>
    </row>
    <row r="492" spans="1:99" x14ac:dyDescent="0.2">
      <c r="A492" s="77">
        <f t="shared" si="280"/>
        <v>487</v>
      </c>
      <c r="B492" s="81"/>
      <c r="C492" s="82"/>
      <c r="D492" s="71"/>
      <c r="E492" s="72"/>
      <c r="F492" s="73"/>
      <c r="G492" s="443"/>
      <c r="H492" s="443"/>
      <c r="I492" s="74"/>
      <c r="J492" s="75"/>
      <c r="K492" s="41">
        <f t="shared" si="249"/>
        <v>3625</v>
      </c>
      <c r="L492" s="104"/>
      <c r="M492" s="105"/>
      <c r="N492" s="106">
        <f t="shared" si="250"/>
        <v>537.05999999999995</v>
      </c>
      <c r="O492" s="104"/>
      <c r="P492" s="105"/>
      <c r="Q492" s="106">
        <f t="shared" si="282"/>
        <v>10045.83</v>
      </c>
      <c r="R492" s="104"/>
      <c r="S492" s="105"/>
      <c r="T492" s="106">
        <f t="shared" si="283"/>
        <v>0</v>
      </c>
      <c r="U492" s="439"/>
      <c r="V492" s="42">
        <f t="shared" si="251"/>
        <v>487</v>
      </c>
      <c r="W492" s="39" t="str">
        <f>IF(AND(E492='Povolené hodnoty'!$B$4,F492=2),I492+L492+O492+R492,"")</f>
        <v/>
      </c>
      <c r="X492" s="41" t="str">
        <f>IF(AND(E492='Povolené hodnoty'!$B$4,F492=1),I492+L492+O492+R492,"")</f>
        <v/>
      </c>
      <c r="Y492" s="39" t="str">
        <f>IF(AND(E492='Povolené hodnoty'!$B$4,F492=10),J492+M492+P492+S492,"")</f>
        <v/>
      </c>
      <c r="Z492" s="41" t="str">
        <f>IF(AND(E492='Povolené hodnoty'!$B$4,F492=9),J492+M492+P492+S492,"")</f>
        <v/>
      </c>
      <c r="AA492" s="39" t="str">
        <f>IF(AND(E492&lt;&gt;'Povolené hodnoty'!$B$4,F492=2),I492+L492+O492+R492,"")</f>
        <v/>
      </c>
      <c r="AB492" s="40" t="str">
        <f>IF(AND(E492&lt;&gt;'Povolené hodnoty'!$B$4,F492=3),I492+L492+O492+R492,"")</f>
        <v/>
      </c>
      <c r="AC492" s="40" t="str">
        <f>IF(AND(E492&lt;&gt;'Povolené hodnoty'!$B$4,F492=4),I492+L492+O492+R492,"")</f>
        <v/>
      </c>
      <c r="AD492" s="40" t="str">
        <f>IF(AND(E492&lt;&gt;'Povolené hodnoty'!$B$4,F492="5a"),I492-J492+L492-M492+O492-P492+R492-S492,"")</f>
        <v/>
      </c>
      <c r="AE492" s="40" t="str">
        <f>IF(AND(E492&lt;&gt;'Povolené hodnoty'!$B$4,F492="5b"),I492-J492+L492-M492+O492-P492+R492-S492,"")</f>
        <v/>
      </c>
      <c r="AF492" s="40" t="str">
        <f>IF(AND(E492&lt;&gt;'Povolené hodnoty'!$B$4,F492=6),I492+L492+O492+R492,"")</f>
        <v/>
      </c>
      <c r="AG492" s="41" t="str">
        <f>IF(AND(E492&lt;&gt;'Povolené hodnoty'!$B$4,F492=7),I492+L492+O492+R492,"")</f>
        <v/>
      </c>
      <c r="AH492" s="39" t="str">
        <f>IF(AND(E492&lt;&gt;'Povolené hodnoty'!$B$4,F492=10),J492+M492+P492+S492,"")</f>
        <v/>
      </c>
      <c r="AI492" s="40" t="str">
        <f>IF(AND(E492&lt;&gt;'Povolené hodnoty'!$B$4,F492=11),J492+M492+P492+S492,"")</f>
        <v/>
      </c>
      <c r="AJ492" s="40" t="str">
        <f>IF(AND(E492&lt;&gt;'Povolené hodnoty'!$B$4,F492=12),J492+M492+P492+S492,"")</f>
        <v/>
      </c>
      <c r="AK492" s="41" t="str">
        <f>IF(AND(E492&lt;&gt;'Povolené hodnoty'!$B$4,F492=13),J492+M492+P492+S492,"")</f>
        <v/>
      </c>
      <c r="AL492" s="39" t="str">
        <f>IF(AND($G492='Povolené hodnoty'!$B$13,$H492=AL$4),SUM($I492,$L492,$O492,$R492),"")</f>
        <v/>
      </c>
      <c r="AM492" s="458" t="str">
        <f>IF(AND($G492='Povolené hodnoty'!$B$13,$H492=AM$4),SUM($I492,$L492,$O492,$R492),"")</f>
        <v/>
      </c>
      <c r="AN492" s="458" t="str">
        <f>IF(AND($G492='Povolené hodnoty'!$B$13,$H492=AN$4),SUM($I492,$L492,$O492,$R492),"")</f>
        <v/>
      </c>
      <c r="AO492" s="458" t="str">
        <f>IF(AND($G492='Povolené hodnoty'!$B$13,$H492=AO$4),SUM($I492,$L492,$O492,$R492),"")</f>
        <v/>
      </c>
      <c r="AP492" s="458" t="str">
        <f>IF(AND($G492='Povolené hodnoty'!$B$13,$H492=AP$4),SUM($I492,$L492,$O492,$R492),"")</f>
        <v/>
      </c>
      <c r="AQ492" s="40" t="str">
        <f>IF(AND($G492='Povolené hodnoty'!$B$13,OR($H492=AQ$4,$H492='Povolené hodnoty'!$E$36)),SUM($I492,-$J492,$L492,-$M492,$O492,-$P492,$R492,-$S492),"")</f>
        <v/>
      </c>
      <c r="AR492" s="40" t="str">
        <f>IF(AND($G492='Povolené hodnoty'!$B$13,$H492=AR$4),SUM($I492,$L492,$O492,$R492),"")</f>
        <v/>
      </c>
      <c r="AS492" s="41" t="str">
        <f>IF(AND($G492='Povolené hodnoty'!$B$13,$H492=AS$4),SUM($I492,$L492,$O492,$R492),"")</f>
        <v/>
      </c>
      <c r="AT492" s="39" t="str">
        <f>IF(AND($G492='Povolené hodnoty'!$B$14,$H492=AT$4),SUM($I492,$L492,$O492,$R492),"")</f>
        <v/>
      </c>
      <c r="AU492" s="458" t="str">
        <f>IF(AND($G492='Povolené hodnoty'!$B$14,$H492=AU$4),SUM($I492,$L492,$O492,$R492),"")</f>
        <v/>
      </c>
      <c r="AV492" s="41" t="str">
        <f>IF(AND($G492='Povolené hodnoty'!$B$14,$H492=AV$4),SUM($I492,$L492,$O492,$R492),"")</f>
        <v/>
      </c>
      <c r="AW492" s="39" t="str">
        <f>IF(AND($G492='Povolené hodnoty'!$B$13,$H492=AW$4),SUM($J492,$M492,$P492,$S492),"")</f>
        <v/>
      </c>
      <c r="AX492" s="458" t="str">
        <f>IF(AND($G492='Povolené hodnoty'!$B$13,$H492=AX$4),SUM($J492,$M492,$P492,$S492),"")</f>
        <v/>
      </c>
      <c r="AY492" s="458" t="str">
        <f>IF(AND($G492='Povolené hodnoty'!$B$13,$H492=AY$4),SUM($J492,$M492,$P492,$S492),"")</f>
        <v/>
      </c>
      <c r="AZ492" s="458" t="str">
        <f>IF(AND($G492='Povolené hodnoty'!$B$13,$H492=AZ$4),SUM($J492,$M492,$P492,$S492),"")</f>
        <v/>
      </c>
      <c r="BA492" s="458" t="str">
        <f>IF(AND($G492='Povolené hodnoty'!$B$13,$H492=BA$4),SUM($J492,$M492,$P492,$S492),"")</f>
        <v/>
      </c>
      <c r="BB492" s="40" t="str">
        <f>IF(AND($G492='Povolené hodnoty'!$B$13,$H492=BB$4),SUM($J492,$M492,$P492,$S492),"")</f>
        <v/>
      </c>
      <c r="BC492" s="40" t="str">
        <f>IF(AND($G492='Povolené hodnoty'!$B$13,$H492=BC$4),SUM($J492,$M492,$P492,$S492),"")</f>
        <v/>
      </c>
      <c r="BD492" s="40" t="str">
        <f>IF(AND($G492='Povolené hodnoty'!$B$13,$H492=BD$4),SUM($J492,$M492,$P492,$S492),"")</f>
        <v/>
      </c>
      <c r="BE492" s="41" t="str">
        <f>IF(AND($G492='Povolené hodnoty'!$B$13,$H492=BE$4),SUM($J492,$M492,$P492,$S492),"")</f>
        <v/>
      </c>
      <c r="BF492" s="39" t="str">
        <f>IF(AND($G492='Povolené hodnoty'!$B$14,$H492=BF$4),SUM($J492,$M492,$P492,$S492),"")</f>
        <v/>
      </c>
      <c r="BG492" s="458" t="str">
        <f>IF(AND($G492='Povolené hodnoty'!$B$14,$H492=BG$4),SUM($J492,$M492,$P492,$S492),"")</f>
        <v/>
      </c>
      <c r="BH492" s="458" t="str">
        <f>IF(AND($G492='Povolené hodnoty'!$B$14,$H492=BH$4),SUM($J492,$M492,$P492,$S492),"")</f>
        <v/>
      </c>
      <c r="BI492" s="458" t="str">
        <f>IF(AND($G492='Povolené hodnoty'!$B$14,$H492=BI$4),SUM($J492,$M492,$P492,$S492),"")</f>
        <v/>
      </c>
      <c r="BJ492" s="458" t="str">
        <f>IF(AND($G492='Povolené hodnoty'!$B$14,$H492=BJ$4),SUM($J492,$M492,$P492,$S492),"")</f>
        <v/>
      </c>
      <c r="BK492" s="40" t="str">
        <f>IF(AND($G492='Povolené hodnoty'!$B$14,$H492=BK$4),SUM($J492,$M492,$P492,$S492),"")</f>
        <v/>
      </c>
      <c r="BL492" s="40" t="str">
        <f>IF(AND($G492='Povolené hodnoty'!$B$14,$H492=BL$4),SUM($J492,$M492,$P492,$S492),"")</f>
        <v/>
      </c>
      <c r="BM492" s="41" t="str">
        <f>IF(AND($G492='Povolené hodnoty'!$B$14,$H492=BM$4),SUM($J492,$M492,$P492,$S492),"")</f>
        <v/>
      </c>
      <c r="BO492" s="18" t="b">
        <f t="shared" si="281"/>
        <v>0</v>
      </c>
      <c r="BP492" s="18" t="b">
        <f t="shared" si="252"/>
        <v>0</v>
      </c>
      <c r="BQ492" s="18" t="b">
        <f>AND(E492&lt;&gt;'Povolené hodnoty'!$B$6,F492&lt;&gt;'Povolené hodnoty'!$D$7,F492&lt;&gt;'Povolené hodnoty'!$D$8,OR(SUM(I492,L492,O492,R492)&lt;&gt;SUM(W492:X492,AA492:AG492),SUM(J492,M492,P492,S492)&lt;&gt;SUM(Y492:Z492,AH492:AK492),COUNT(I492:J492,L492:M492,O492:P492,R492:S492)&lt;&gt;COUNT(W492:AK492)))</f>
        <v>0</v>
      </c>
      <c r="BR492" s="18" t="b">
        <f>OR(AND(E492='Povolené hodnoty'!$B$6,$BR$5),AND(E492='Povolené hodnoty'!$B$6,H492&lt;&gt;'Povolené hodnoty'!$E$26,H492&lt;&gt;'Povolené hodnoty'!$E$35),AND(E492&lt;&gt;'Povolené hodnoty'!$B$6,OR(H492='Povolené hodnoty'!$E$26,H492='Povolené hodnoty'!$E$35)))</f>
        <v>0</v>
      </c>
      <c r="BS492" s="18" t="b">
        <f>OR(AND(G492&lt;&gt;'Povolené hodnoty'!$B$13,OR(H492='Povolené hodnoty'!$E$21,H492='Povolené hodnoty'!$E$22,H492='Povolené hodnoty'!$E$23,H492='Povolené hodnoty'!$E$24,H492='Povolené hodnoty'!$E$26,H492='Povolené hodnoty'!$E$36)),COUNT(I492:J492,L492:M492,O492:P492,R492:S492)&lt;&gt;COUNT(AL492:BM492))</f>
        <v>0</v>
      </c>
      <c r="BT492" s="18" t="b">
        <f t="shared" si="253"/>
        <v>0</v>
      </c>
      <c r="BV492" s="39" t="str">
        <f t="shared" si="254"/>
        <v/>
      </c>
      <c r="BW492" s="458" t="str">
        <f t="shared" si="255"/>
        <v/>
      </c>
      <c r="BX492" s="458" t="str">
        <f t="shared" si="256"/>
        <v/>
      </c>
      <c r="BY492" s="458" t="str">
        <f t="shared" si="257"/>
        <v/>
      </c>
      <c r="BZ492" s="458" t="str">
        <f t="shared" si="258"/>
        <v/>
      </c>
      <c r="CA492" s="40" t="str">
        <f t="shared" si="259"/>
        <v/>
      </c>
      <c r="CB492" s="40" t="str">
        <f t="shared" si="260"/>
        <v/>
      </c>
      <c r="CC492" s="39" t="str">
        <f t="shared" si="261"/>
        <v/>
      </c>
      <c r="CD492" s="458" t="str">
        <f t="shared" si="262"/>
        <v/>
      </c>
      <c r="CE492" s="41" t="str">
        <f t="shared" si="263"/>
        <v/>
      </c>
      <c r="CF492" s="39" t="str">
        <f t="shared" si="264"/>
        <v/>
      </c>
      <c r="CG492" s="458" t="str">
        <f t="shared" si="265"/>
        <v/>
      </c>
      <c r="CH492" s="458" t="str">
        <f t="shared" si="266"/>
        <v/>
      </c>
      <c r="CI492" s="458" t="str">
        <f t="shared" si="267"/>
        <v/>
      </c>
      <c r="CJ492" s="458" t="str">
        <f t="shared" si="268"/>
        <v/>
      </c>
      <c r="CK492" s="40" t="str">
        <f t="shared" si="269"/>
        <v/>
      </c>
      <c r="CL492" s="40" t="str">
        <f t="shared" si="270"/>
        <v/>
      </c>
      <c r="CM492" s="40" t="str">
        <f t="shared" si="271"/>
        <v/>
      </c>
      <c r="CN492" s="39" t="str">
        <f t="shared" si="272"/>
        <v/>
      </c>
      <c r="CO492" s="458" t="str">
        <f t="shared" si="273"/>
        <v/>
      </c>
      <c r="CP492" s="458" t="str">
        <f t="shared" si="274"/>
        <v/>
      </c>
      <c r="CQ492" s="458" t="str">
        <f t="shared" si="275"/>
        <v/>
      </c>
      <c r="CR492" s="458" t="str">
        <f t="shared" si="276"/>
        <v/>
      </c>
      <c r="CS492" s="40" t="str">
        <f t="shared" si="277"/>
        <v/>
      </c>
      <c r="CT492" s="40" t="str">
        <f t="shared" si="278"/>
        <v/>
      </c>
      <c r="CU492" s="41" t="str">
        <f t="shared" si="279"/>
        <v/>
      </c>
    </row>
    <row r="493" spans="1:99" x14ac:dyDescent="0.2">
      <c r="A493" s="77">
        <f t="shared" si="280"/>
        <v>488</v>
      </c>
      <c r="B493" s="81"/>
      <c r="C493" s="82"/>
      <c r="D493" s="71"/>
      <c r="E493" s="72"/>
      <c r="F493" s="73"/>
      <c r="G493" s="443"/>
      <c r="H493" s="443"/>
      <c r="I493" s="74"/>
      <c r="J493" s="75"/>
      <c r="K493" s="41">
        <f t="shared" ref="K493:K556" si="284">K492+I493-J493</f>
        <v>3625</v>
      </c>
      <c r="L493" s="104"/>
      <c r="M493" s="105"/>
      <c r="N493" s="106">
        <f t="shared" ref="N493:N556" si="285">N492+L493-M493</f>
        <v>537.05999999999995</v>
      </c>
      <c r="O493" s="104"/>
      <c r="P493" s="105"/>
      <c r="Q493" s="106">
        <f t="shared" si="282"/>
        <v>10045.83</v>
      </c>
      <c r="R493" s="104"/>
      <c r="S493" s="105"/>
      <c r="T493" s="106">
        <f t="shared" si="283"/>
        <v>0</v>
      </c>
      <c r="U493" s="439"/>
      <c r="V493" s="42">
        <f t="shared" si="251"/>
        <v>488</v>
      </c>
      <c r="W493" s="39" t="str">
        <f>IF(AND(E493='Povolené hodnoty'!$B$4,F493=2),I493+L493+O493+R493,"")</f>
        <v/>
      </c>
      <c r="X493" s="41" t="str">
        <f>IF(AND(E493='Povolené hodnoty'!$B$4,F493=1),I493+L493+O493+R493,"")</f>
        <v/>
      </c>
      <c r="Y493" s="39" t="str">
        <f>IF(AND(E493='Povolené hodnoty'!$B$4,F493=10),J493+M493+P493+S493,"")</f>
        <v/>
      </c>
      <c r="Z493" s="41" t="str">
        <f>IF(AND(E493='Povolené hodnoty'!$B$4,F493=9),J493+M493+P493+S493,"")</f>
        <v/>
      </c>
      <c r="AA493" s="39" t="str">
        <f>IF(AND(E493&lt;&gt;'Povolené hodnoty'!$B$4,F493=2),I493+L493+O493+R493,"")</f>
        <v/>
      </c>
      <c r="AB493" s="40" t="str">
        <f>IF(AND(E493&lt;&gt;'Povolené hodnoty'!$B$4,F493=3),I493+L493+O493+R493,"")</f>
        <v/>
      </c>
      <c r="AC493" s="40" t="str">
        <f>IF(AND(E493&lt;&gt;'Povolené hodnoty'!$B$4,F493=4),I493+L493+O493+R493,"")</f>
        <v/>
      </c>
      <c r="AD493" s="40" t="str">
        <f>IF(AND(E493&lt;&gt;'Povolené hodnoty'!$B$4,F493="5a"),I493-J493+L493-M493+O493-P493+R493-S493,"")</f>
        <v/>
      </c>
      <c r="AE493" s="40" t="str">
        <f>IF(AND(E493&lt;&gt;'Povolené hodnoty'!$B$4,F493="5b"),I493-J493+L493-M493+O493-P493+R493-S493,"")</f>
        <v/>
      </c>
      <c r="AF493" s="40" t="str">
        <f>IF(AND(E493&lt;&gt;'Povolené hodnoty'!$B$4,F493=6),I493+L493+O493+R493,"")</f>
        <v/>
      </c>
      <c r="AG493" s="41" t="str">
        <f>IF(AND(E493&lt;&gt;'Povolené hodnoty'!$B$4,F493=7),I493+L493+O493+R493,"")</f>
        <v/>
      </c>
      <c r="AH493" s="39" t="str">
        <f>IF(AND(E493&lt;&gt;'Povolené hodnoty'!$B$4,F493=10),J493+M493+P493+S493,"")</f>
        <v/>
      </c>
      <c r="AI493" s="40" t="str">
        <f>IF(AND(E493&lt;&gt;'Povolené hodnoty'!$B$4,F493=11),J493+M493+P493+S493,"")</f>
        <v/>
      </c>
      <c r="AJ493" s="40" t="str">
        <f>IF(AND(E493&lt;&gt;'Povolené hodnoty'!$B$4,F493=12),J493+M493+P493+S493,"")</f>
        <v/>
      </c>
      <c r="AK493" s="41" t="str">
        <f>IF(AND(E493&lt;&gt;'Povolené hodnoty'!$B$4,F493=13),J493+M493+P493+S493,"")</f>
        <v/>
      </c>
      <c r="AL493" s="39" t="str">
        <f>IF(AND($G493='Povolené hodnoty'!$B$13,$H493=AL$4),SUM($I493,$L493,$O493,$R493),"")</f>
        <v/>
      </c>
      <c r="AM493" s="458" t="str">
        <f>IF(AND($G493='Povolené hodnoty'!$B$13,$H493=AM$4),SUM($I493,$L493,$O493,$R493),"")</f>
        <v/>
      </c>
      <c r="AN493" s="458" t="str">
        <f>IF(AND($G493='Povolené hodnoty'!$B$13,$H493=AN$4),SUM($I493,$L493,$O493,$R493),"")</f>
        <v/>
      </c>
      <c r="AO493" s="458" t="str">
        <f>IF(AND($G493='Povolené hodnoty'!$B$13,$H493=AO$4),SUM($I493,$L493,$O493,$R493),"")</f>
        <v/>
      </c>
      <c r="AP493" s="458" t="str">
        <f>IF(AND($G493='Povolené hodnoty'!$B$13,$H493=AP$4),SUM($I493,$L493,$O493,$R493),"")</f>
        <v/>
      </c>
      <c r="AQ493" s="40" t="str">
        <f>IF(AND($G493='Povolené hodnoty'!$B$13,OR($H493=AQ$4,$H493='Povolené hodnoty'!$E$36)),SUM($I493,-$J493,$L493,-$M493,$O493,-$P493,$R493,-$S493),"")</f>
        <v/>
      </c>
      <c r="AR493" s="40" t="str">
        <f>IF(AND($G493='Povolené hodnoty'!$B$13,$H493=AR$4),SUM($I493,$L493,$O493,$R493),"")</f>
        <v/>
      </c>
      <c r="AS493" s="41" t="str">
        <f>IF(AND($G493='Povolené hodnoty'!$B$13,$H493=AS$4),SUM($I493,$L493,$O493,$R493),"")</f>
        <v/>
      </c>
      <c r="AT493" s="39" t="str">
        <f>IF(AND($G493='Povolené hodnoty'!$B$14,$H493=AT$4),SUM($I493,$L493,$O493,$R493),"")</f>
        <v/>
      </c>
      <c r="AU493" s="458" t="str">
        <f>IF(AND($G493='Povolené hodnoty'!$B$14,$H493=AU$4),SUM($I493,$L493,$O493,$R493),"")</f>
        <v/>
      </c>
      <c r="AV493" s="41" t="str">
        <f>IF(AND($G493='Povolené hodnoty'!$B$14,$H493=AV$4),SUM($I493,$L493,$O493,$R493),"")</f>
        <v/>
      </c>
      <c r="AW493" s="39" t="str">
        <f>IF(AND($G493='Povolené hodnoty'!$B$13,$H493=AW$4),SUM($J493,$M493,$P493,$S493),"")</f>
        <v/>
      </c>
      <c r="AX493" s="458" t="str">
        <f>IF(AND($G493='Povolené hodnoty'!$B$13,$H493=AX$4),SUM($J493,$M493,$P493,$S493),"")</f>
        <v/>
      </c>
      <c r="AY493" s="458" t="str">
        <f>IF(AND($G493='Povolené hodnoty'!$B$13,$H493=AY$4),SUM($J493,$M493,$P493,$S493),"")</f>
        <v/>
      </c>
      <c r="AZ493" s="458" t="str">
        <f>IF(AND($G493='Povolené hodnoty'!$B$13,$H493=AZ$4),SUM($J493,$M493,$P493,$S493),"")</f>
        <v/>
      </c>
      <c r="BA493" s="458" t="str">
        <f>IF(AND($G493='Povolené hodnoty'!$B$13,$H493=BA$4),SUM($J493,$M493,$P493,$S493),"")</f>
        <v/>
      </c>
      <c r="BB493" s="40" t="str">
        <f>IF(AND($G493='Povolené hodnoty'!$B$13,$H493=BB$4),SUM($J493,$M493,$P493,$S493),"")</f>
        <v/>
      </c>
      <c r="BC493" s="40" t="str">
        <f>IF(AND($G493='Povolené hodnoty'!$B$13,$H493=BC$4),SUM($J493,$M493,$P493,$S493),"")</f>
        <v/>
      </c>
      <c r="BD493" s="40" t="str">
        <f>IF(AND($G493='Povolené hodnoty'!$B$13,$H493=BD$4),SUM($J493,$M493,$P493,$S493),"")</f>
        <v/>
      </c>
      <c r="BE493" s="41" t="str">
        <f>IF(AND($G493='Povolené hodnoty'!$B$13,$H493=BE$4),SUM($J493,$M493,$P493,$S493),"")</f>
        <v/>
      </c>
      <c r="BF493" s="39" t="str">
        <f>IF(AND($G493='Povolené hodnoty'!$B$14,$H493=BF$4),SUM($J493,$M493,$P493,$S493),"")</f>
        <v/>
      </c>
      <c r="BG493" s="458" t="str">
        <f>IF(AND($G493='Povolené hodnoty'!$B$14,$H493=BG$4),SUM($J493,$M493,$P493,$S493),"")</f>
        <v/>
      </c>
      <c r="BH493" s="458" t="str">
        <f>IF(AND($G493='Povolené hodnoty'!$B$14,$H493=BH$4),SUM($J493,$M493,$P493,$S493),"")</f>
        <v/>
      </c>
      <c r="BI493" s="458" t="str">
        <f>IF(AND($G493='Povolené hodnoty'!$B$14,$H493=BI$4),SUM($J493,$M493,$P493,$S493),"")</f>
        <v/>
      </c>
      <c r="BJ493" s="458" t="str">
        <f>IF(AND($G493='Povolené hodnoty'!$B$14,$H493=BJ$4),SUM($J493,$M493,$P493,$S493),"")</f>
        <v/>
      </c>
      <c r="BK493" s="40" t="str">
        <f>IF(AND($G493='Povolené hodnoty'!$B$14,$H493=BK$4),SUM($J493,$M493,$P493,$S493),"")</f>
        <v/>
      </c>
      <c r="BL493" s="40" t="str">
        <f>IF(AND($G493='Povolené hodnoty'!$B$14,$H493=BL$4),SUM($J493,$M493,$P493,$S493),"")</f>
        <v/>
      </c>
      <c r="BM493" s="41" t="str">
        <f>IF(AND($G493='Povolené hodnoty'!$B$14,$H493=BM$4),SUM($J493,$M493,$P493,$S493),"")</f>
        <v/>
      </c>
      <c r="BO493" s="18" t="b">
        <f t="shared" si="281"/>
        <v>0</v>
      </c>
      <c r="BP493" s="18" t="b">
        <f t="shared" si="252"/>
        <v>0</v>
      </c>
      <c r="BQ493" s="18" t="b">
        <f>AND(E493&lt;&gt;'Povolené hodnoty'!$B$6,F493&lt;&gt;'Povolené hodnoty'!$D$7,F493&lt;&gt;'Povolené hodnoty'!$D$8,OR(SUM(I493,L493,O493,R493)&lt;&gt;SUM(W493:X493,AA493:AG493),SUM(J493,M493,P493,S493)&lt;&gt;SUM(Y493:Z493,AH493:AK493),COUNT(I493:J493,L493:M493,O493:P493,R493:S493)&lt;&gt;COUNT(W493:AK493)))</f>
        <v>0</v>
      </c>
      <c r="BR493" s="18" t="b">
        <f>OR(AND(E493='Povolené hodnoty'!$B$6,$BR$5),AND(E493='Povolené hodnoty'!$B$6,H493&lt;&gt;'Povolené hodnoty'!$E$26,H493&lt;&gt;'Povolené hodnoty'!$E$35),AND(E493&lt;&gt;'Povolené hodnoty'!$B$6,OR(H493='Povolené hodnoty'!$E$26,H493='Povolené hodnoty'!$E$35)))</f>
        <v>0</v>
      </c>
      <c r="BS493" s="18" t="b">
        <f>OR(AND(G493&lt;&gt;'Povolené hodnoty'!$B$13,OR(H493='Povolené hodnoty'!$E$21,H493='Povolené hodnoty'!$E$22,H493='Povolené hodnoty'!$E$23,H493='Povolené hodnoty'!$E$24,H493='Povolené hodnoty'!$E$26,H493='Povolené hodnoty'!$E$36)),COUNT(I493:J493,L493:M493,O493:P493,R493:S493)&lt;&gt;COUNT(AL493:BM493))</f>
        <v>0</v>
      </c>
      <c r="BT493" s="18" t="b">
        <f t="shared" si="253"/>
        <v>0</v>
      </c>
      <c r="BV493" s="39" t="str">
        <f t="shared" si="254"/>
        <v/>
      </c>
      <c r="BW493" s="458" t="str">
        <f t="shared" si="255"/>
        <v/>
      </c>
      <c r="BX493" s="458" t="str">
        <f t="shared" si="256"/>
        <v/>
      </c>
      <c r="BY493" s="458" t="str">
        <f t="shared" si="257"/>
        <v/>
      </c>
      <c r="BZ493" s="458" t="str">
        <f t="shared" si="258"/>
        <v/>
      </c>
      <c r="CA493" s="40" t="str">
        <f t="shared" si="259"/>
        <v/>
      </c>
      <c r="CB493" s="40" t="str">
        <f t="shared" si="260"/>
        <v/>
      </c>
      <c r="CC493" s="39" t="str">
        <f t="shared" si="261"/>
        <v/>
      </c>
      <c r="CD493" s="458" t="str">
        <f t="shared" si="262"/>
        <v/>
      </c>
      <c r="CE493" s="41" t="str">
        <f t="shared" si="263"/>
        <v/>
      </c>
      <c r="CF493" s="39" t="str">
        <f t="shared" si="264"/>
        <v/>
      </c>
      <c r="CG493" s="458" t="str">
        <f t="shared" si="265"/>
        <v/>
      </c>
      <c r="CH493" s="458" t="str">
        <f t="shared" si="266"/>
        <v/>
      </c>
      <c r="CI493" s="458" t="str">
        <f t="shared" si="267"/>
        <v/>
      </c>
      <c r="CJ493" s="458" t="str">
        <f t="shared" si="268"/>
        <v/>
      </c>
      <c r="CK493" s="40" t="str">
        <f t="shared" si="269"/>
        <v/>
      </c>
      <c r="CL493" s="40" t="str">
        <f t="shared" si="270"/>
        <v/>
      </c>
      <c r="CM493" s="40" t="str">
        <f t="shared" si="271"/>
        <v/>
      </c>
      <c r="CN493" s="39" t="str">
        <f t="shared" si="272"/>
        <v/>
      </c>
      <c r="CO493" s="458" t="str">
        <f t="shared" si="273"/>
        <v/>
      </c>
      <c r="CP493" s="458" t="str">
        <f t="shared" si="274"/>
        <v/>
      </c>
      <c r="CQ493" s="458" t="str">
        <f t="shared" si="275"/>
        <v/>
      </c>
      <c r="CR493" s="458" t="str">
        <f t="shared" si="276"/>
        <v/>
      </c>
      <c r="CS493" s="40" t="str">
        <f t="shared" si="277"/>
        <v/>
      </c>
      <c r="CT493" s="40" t="str">
        <f t="shared" si="278"/>
        <v/>
      </c>
      <c r="CU493" s="41" t="str">
        <f t="shared" si="279"/>
        <v/>
      </c>
    </row>
    <row r="494" spans="1:99" x14ac:dyDescent="0.2">
      <c r="A494" s="77">
        <f t="shared" si="280"/>
        <v>489</v>
      </c>
      <c r="B494" s="81"/>
      <c r="C494" s="82"/>
      <c r="D494" s="71"/>
      <c r="E494" s="72"/>
      <c r="F494" s="73"/>
      <c r="G494" s="443"/>
      <c r="H494" s="443"/>
      <c r="I494" s="74"/>
      <c r="J494" s="75"/>
      <c r="K494" s="41">
        <f t="shared" si="284"/>
        <v>3625</v>
      </c>
      <c r="L494" s="104"/>
      <c r="M494" s="105"/>
      <c r="N494" s="106">
        <f t="shared" si="285"/>
        <v>537.05999999999995</v>
      </c>
      <c r="O494" s="104"/>
      <c r="P494" s="105"/>
      <c r="Q494" s="106">
        <f t="shared" si="282"/>
        <v>10045.83</v>
      </c>
      <c r="R494" s="104"/>
      <c r="S494" s="105"/>
      <c r="T494" s="106">
        <f t="shared" si="283"/>
        <v>0</v>
      </c>
      <c r="U494" s="439"/>
      <c r="V494" s="42">
        <f t="shared" si="251"/>
        <v>489</v>
      </c>
      <c r="W494" s="39" t="str">
        <f>IF(AND(E494='Povolené hodnoty'!$B$4,F494=2),I494+L494+O494+R494,"")</f>
        <v/>
      </c>
      <c r="X494" s="41" t="str">
        <f>IF(AND(E494='Povolené hodnoty'!$B$4,F494=1),I494+L494+O494+R494,"")</f>
        <v/>
      </c>
      <c r="Y494" s="39" t="str">
        <f>IF(AND(E494='Povolené hodnoty'!$B$4,F494=10),J494+M494+P494+S494,"")</f>
        <v/>
      </c>
      <c r="Z494" s="41" t="str">
        <f>IF(AND(E494='Povolené hodnoty'!$B$4,F494=9),J494+M494+P494+S494,"")</f>
        <v/>
      </c>
      <c r="AA494" s="39" t="str">
        <f>IF(AND(E494&lt;&gt;'Povolené hodnoty'!$B$4,F494=2),I494+L494+O494+R494,"")</f>
        <v/>
      </c>
      <c r="AB494" s="40" t="str">
        <f>IF(AND(E494&lt;&gt;'Povolené hodnoty'!$B$4,F494=3),I494+L494+O494+R494,"")</f>
        <v/>
      </c>
      <c r="AC494" s="40" t="str">
        <f>IF(AND(E494&lt;&gt;'Povolené hodnoty'!$B$4,F494=4),I494+L494+O494+R494,"")</f>
        <v/>
      </c>
      <c r="AD494" s="40" t="str">
        <f>IF(AND(E494&lt;&gt;'Povolené hodnoty'!$B$4,F494="5a"),I494-J494+L494-M494+O494-P494+R494-S494,"")</f>
        <v/>
      </c>
      <c r="AE494" s="40" t="str">
        <f>IF(AND(E494&lt;&gt;'Povolené hodnoty'!$B$4,F494="5b"),I494-J494+L494-M494+O494-P494+R494-S494,"")</f>
        <v/>
      </c>
      <c r="AF494" s="40" t="str">
        <f>IF(AND(E494&lt;&gt;'Povolené hodnoty'!$B$4,F494=6),I494+L494+O494+R494,"")</f>
        <v/>
      </c>
      <c r="AG494" s="41" t="str">
        <f>IF(AND(E494&lt;&gt;'Povolené hodnoty'!$B$4,F494=7),I494+L494+O494+R494,"")</f>
        <v/>
      </c>
      <c r="AH494" s="39" t="str">
        <f>IF(AND(E494&lt;&gt;'Povolené hodnoty'!$B$4,F494=10),J494+M494+P494+S494,"")</f>
        <v/>
      </c>
      <c r="AI494" s="40" t="str">
        <f>IF(AND(E494&lt;&gt;'Povolené hodnoty'!$B$4,F494=11),J494+M494+P494+S494,"")</f>
        <v/>
      </c>
      <c r="AJ494" s="40" t="str">
        <f>IF(AND(E494&lt;&gt;'Povolené hodnoty'!$B$4,F494=12),J494+M494+P494+S494,"")</f>
        <v/>
      </c>
      <c r="AK494" s="41" t="str">
        <f>IF(AND(E494&lt;&gt;'Povolené hodnoty'!$B$4,F494=13),J494+M494+P494+S494,"")</f>
        <v/>
      </c>
      <c r="AL494" s="39" t="str">
        <f>IF(AND($G494='Povolené hodnoty'!$B$13,$H494=AL$4),SUM($I494,$L494,$O494,$R494),"")</f>
        <v/>
      </c>
      <c r="AM494" s="458" t="str">
        <f>IF(AND($G494='Povolené hodnoty'!$B$13,$H494=AM$4),SUM($I494,$L494,$O494,$R494),"")</f>
        <v/>
      </c>
      <c r="AN494" s="458" t="str">
        <f>IF(AND($G494='Povolené hodnoty'!$B$13,$H494=AN$4),SUM($I494,$L494,$O494,$R494),"")</f>
        <v/>
      </c>
      <c r="AO494" s="458" t="str">
        <f>IF(AND($G494='Povolené hodnoty'!$B$13,$H494=AO$4),SUM($I494,$L494,$O494,$R494),"")</f>
        <v/>
      </c>
      <c r="AP494" s="458" t="str">
        <f>IF(AND($G494='Povolené hodnoty'!$B$13,$H494=AP$4),SUM($I494,$L494,$O494,$R494),"")</f>
        <v/>
      </c>
      <c r="AQ494" s="40" t="str">
        <f>IF(AND($G494='Povolené hodnoty'!$B$13,OR($H494=AQ$4,$H494='Povolené hodnoty'!$E$36)),SUM($I494,-$J494,$L494,-$M494,$O494,-$P494,$R494,-$S494),"")</f>
        <v/>
      </c>
      <c r="AR494" s="40" t="str">
        <f>IF(AND($G494='Povolené hodnoty'!$B$13,$H494=AR$4),SUM($I494,$L494,$O494,$R494),"")</f>
        <v/>
      </c>
      <c r="AS494" s="41" t="str">
        <f>IF(AND($G494='Povolené hodnoty'!$B$13,$H494=AS$4),SUM($I494,$L494,$O494,$R494),"")</f>
        <v/>
      </c>
      <c r="AT494" s="39" t="str">
        <f>IF(AND($G494='Povolené hodnoty'!$B$14,$H494=AT$4),SUM($I494,$L494,$O494,$R494),"")</f>
        <v/>
      </c>
      <c r="AU494" s="458" t="str">
        <f>IF(AND($G494='Povolené hodnoty'!$B$14,$H494=AU$4),SUM($I494,$L494,$O494,$R494),"")</f>
        <v/>
      </c>
      <c r="AV494" s="41" t="str">
        <f>IF(AND($G494='Povolené hodnoty'!$B$14,$H494=AV$4),SUM($I494,$L494,$O494,$R494),"")</f>
        <v/>
      </c>
      <c r="AW494" s="39" t="str">
        <f>IF(AND($G494='Povolené hodnoty'!$B$13,$H494=AW$4),SUM($J494,$M494,$P494,$S494),"")</f>
        <v/>
      </c>
      <c r="AX494" s="458" t="str">
        <f>IF(AND($G494='Povolené hodnoty'!$B$13,$H494=AX$4),SUM($J494,$M494,$P494,$S494),"")</f>
        <v/>
      </c>
      <c r="AY494" s="458" t="str">
        <f>IF(AND($G494='Povolené hodnoty'!$B$13,$H494=AY$4),SUM($J494,$M494,$P494,$S494),"")</f>
        <v/>
      </c>
      <c r="AZ494" s="458" t="str">
        <f>IF(AND($G494='Povolené hodnoty'!$B$13,$H494=AZ$4),SUM($J494,$M494,$P494,$S494),"")</f>
        <v/>
      </c>
      <c r="BA494" s="458" t="str">
        <f>IF(AND($G494='Povolené hodnoty'!$B$13,$H494=BA$4),SUM($J494,$M494,$P494,$S494),"")</f>
        <v/>
      </c>
      <c r="BB494" s="40" t="str">
        <f>IF(AND($G494='Povolené hodnoty'!$B$13,$H494=BB$4),SUM($J494,$M494,$P494,$S494),"")</f>
        <v/>
      </c>
      <c r="BC494" s="40" t="str">
        <f>IF(AND($G494='Povolené hodnoty'!$B$13,$H494=BC$4),SUM($J494,$M494,$P494,$S494),"")</f>
        <v/>
      </c>
      <c r="BD494" s="40" t="str">
        <f>IF(AND($G494='Povolené hodnoty'!$B$13,$H494=BD$4),SUM($J494,$M494,$P494,$S494),"")</f>
        <v/>
      </c>
      <c r="BE494" s="41" t="str">
        <f>IF(AND($G494='Povolené hodnoty'!$B$13,$H494=BE$4),SUM($J494,$M494,$P494,$S494),"")</f>
        <v/>
      </c>
      <c r="BF494" s="39" t="str">
        <f>IF(AND($G494='Povolené hodnoty'!$B$14,$H494=BF$4),SUM($J494,$M494,$P494,$S494),"")</f>
        <v/>
      </c>
      <c r="BG494" s="458" t="str">
        <f>IF(AND($G494='Povolené hodnoty'!$B$14,$H494=BG$4),SUM($J494,$M494,$P494,$S494),"")</f>
        <v/>
      </c>
      <c r="BH494" s="458" t="str">
        <f>IF(AND($G494='Povolené hodnoty'!$B$14,$H494=BH$4),SUM($J494,$M494,$P494,$S494),"")</f>
        <v/>
      </c>
      <c r="BI494" s="458" t="str">
        <f>IF(AND($G494='Povolené hodnoty'!$B$14,$H494=BI$4),SUM($J494,$M494,$P494,$S494),"")</f>
        <v/>
      </c>
      <c r="BJ494" s="458" t="str">
        <f>IF(AND($G494='Povolené hodnoty'!$B$14,$H494=BJ$4),SUM($J494,$M494,$P494,$S494),"")</f>
        <v/>
      </c>
      <c r="BK494" s="40" t="str">
        <f>IF(AND($G494='Povolené hodnoty'!$B$14,$H494=BK$4),SUM($J494,$M494,$P494,$S494),"")</f>
        <v/>
      </c>
      <c r="BL494" s="40" t="str">
        <f>IF(AND($G494='Povolené hodnoty'!$B$14,$H494=BL$4),SUM($J494,$M494,$P494,$S494),"")</f>
        <v/>
      </c>
      <c r="BM494" s="41" t="str">
        <f>IF(AND($G494='Povolené hodnoty'!$B$14,$H494=BM$4),SUM($J494,$M494,$P494,$S494),"")</f>
        <v/>
      </c>
      <c r="BO494" s="18" t="b">
        <f t="shared" si="281"/>
        <v>0</v>
      </c>
      <c r="BP494" s="18" t="b">
        <f t="shared" si="252"/>
        <v>0</v>
      </c>
      <c r="BQ494" s="18" t="b">
        <f>AND(E494&lt;&gt;'Povolené hodnoty'!$B$6,F494&lt;&gt;'Povolené hodnoty'!$D$7,F494&lt;&gt;'Povolené hodnoty'!$D$8,OR(SUM(I494,L494,O494,R494)&lt;&gt;SUM(W494:X494,AA494:AG494),SUM(J494,M494,P494,S494)&lt;&gt;SUM(Y494:Z494,AH494:AK494),COUNT(I494:J494,L494:M494,O494:P494,R494:S494)&lt;&gt;COUNT(W494:AK494)))</f>
        <v>0</v>
      </c>
      <c r="BR494" s="18" t="b">
        <f>OR(AND(E494='Povolené hodnoty'!$B$6,$BR$5),AND(E494='Povolené hodnoty'!$B$6,H494&lt;&gt;'Povolené hodnoty'!$E$26,H494&lt;&gt;'Povolené hodnoty'!$E$35),AND(E494&lt;&gt;'Povolené hodnoty'!$B$6,OR(H494='Povolené hodnoty'!$E$26,H494='Povolené hodnoty'!$E$35)))</f>
        <v>0</v>
      </c>
      <c r="BS494" s="18" t="b">
        <f>OR(AND(G494&lt;&gt;'Povolené hodnoty'!$B$13,OR(H494='Povolené hodnoty'!$E$21,H494='Povolené hodnoty'!$E$22,H494='Povolené hodnoty'!$E$23,H494='Povolené hodnoty'!$E$24,H494='Povolené hodnoty'!$E$26,H494='Povolené hodnoty'!$E$36)),COUNT(I494:J494,L494:M494,O494:P494,R494:S494)&lt;&gt;COUNT(AL494:BM494))</f>
        <v>0</v>
      </c>
      <c r="BT494" s="18" t="b">
        <f t="shared" si="253"/>
        <v>0</v>
      </c>
      <c r="BV494" s="39" t="str">
        <f t="shared" si="254"/>
        <v/>
      </c>
      <c r="BW494" s="458" t="str">
        <f t="shared" si="255"/>
        <v/>
      </c>
      <c r="BX494" s="458" t="str">
        <f t="shared" si="256"/>
        <v/>
      </c>
      <c r="BY494" s="458" t="str">
        <f t="shared" si="257"/>
        <v/>
      </c>
      <c r="BZ494" s="458" t="str">
        <f t="shared" si="258"/>
        <v/>
      </c>
      <c r="CA494" s="40" t="str">
        <f t="shared" si="259"/>
        <v/>
      </c>
      <c r="CB494" s="40" t="str">
        <f t="shared" si="260"/>
        <v/>
      </c>
      <c r="CC494" s="39" t="str">
        <f t="shared" si="261"/>
        <v/>
      </c>
      <c r="CD494" s="458" t="str">
        <f t="shared" si="262"/>
        <v/>
      </c>
      <c r="CE494" s="41" t="str">
        <f t="shared" si="263"/>
        <v/>
      </c>
      <c r="CF494" s="39" t="str">
        <f t="shared" si="264"/>
        <v/>
      </c>
      <c r="CG494" s="458" t="str">
        <f t="shared" si="265"/>
        <v/>
      </c>
      <c r="CH494" s="458" t="str">
        <f t="shared" si="266"/>
        <v/>
      </c>
      <c r="CI494" s="458" t="str">
        <f t="shared" si="267"/>
        <v/>
      </c>
      <c r="CJ494" s="458" t="str">
        <f t="shared" si="268"/>
        <v/>
      </c>
      <c r="CK494" s="40" t="str">
        <f t="shared" si="269"/>
        <v/>
      </c>
      <c r="CL494" s="40" t="str">
        <f t="shared" si="270"/>
        <v/>
      </c>
      <c r="CM494" s="40" t="str">
        <f t="shared" si="271"/>
        <v/>
      </c>
      <c r="CN494" s="39" t="str">
        <f t="shared" si="272"/>
        <v/>
      </c>
      <c r="CO494" s="458" t="str">
        <f t="shared" si="273"/>
        <v/>
      </c>
      <c r="CP494" s="458" t="str">
        <f t="shared" si="274"/>
        <v/>
      </c>
      <c r="CQ494" s="458" t="str">
        <f t="shared" si="275"/>
        <v/>
      </c>
      <c r="CR494" s="458" t="str">
        <f t="shared" si="276"/>
        <v/>
      </c>
      <c r="CS494" s="40" t="str">
        <f t="shared" si="277"/>
        <v/>
      </c>
      <c r="CT494" s="40" t="str">
        <f t="shared" si="278"/>
        <v/>
      </c>
      <c r="CU494" s="41" t="str">
        <f t="shared" si="279"/>
        <v/>
      </c>
    </row>
    <row r="495" spans="1:99" x14ac:dyDescent="0.2">
      <c r="A495" s="77">
        <f t="shared" si="280"/>
        <v>490</v>
      </c>
      <c r="B495" s="81"/>
      <c r="C495" s="82"/>
      <c r="D495" s="71"/>
      <c r="E495" s="72"/>
      <c r="F495" s="73"/>
      <c r="G495" s="443"/>
      <c r="H495" s="443"/>
      <c r="I495" s="74"/>
      <c r="J495" s="75"/>
      <c r="K495" s="41">
        <f t="shared" si="284"/>
        <v>3625</v>
      </c>
      <c r="L495" s="104"/>
      <c r="M495" s="105"/>
      <c r="N495" s="106">
        <f t="shared" si="285"/>
        <v>537.05999999999995</v>
      </c>
      <c r="O495" s="104"/>
      <c r="P495" s="105"/>
      <c r="Q495" s="106">
        <f t="shared" si="282"/>
        <v>10045.83</v>
      </c>
      <c r="R495" s="104"/>
      <c r="S495" s="105"/>
      <c r="T495" s="106">
        <f t="shared" si="283"/>
        <v>0</v>
      </c>
      <c r="U495" s="439"/>
      <c r="V495" s="42">
        <f t="shared" si="251"/>
        <v>490</v>
      </c>
      <c r="W495" s="39" t="str">
        <f>IF(AND(E495='Povolené hodnoty'!$B$4,F495=2),I495+L495+O495+R495,"")</f>
        <v/>
      </c>
      <c r="X495" s="41" t="str">
        <f>IF(AND(E495='Povolené hodnoty'!$B$4,F495=1),I495+L495+O495+R495,"")</f>
        <v/>
      </c>
      <c r="Y495" s="39" t="str">
        <f>IF(AND(E495='Povolené hodnoty'!$B$4,F495=10),J495+M495+P495+S495,"")</f>
        <v/>
      </c>
      <c r="Z495" s="41" t="str">
        <f>IF(AND(E495='Povolené hodnoty'!$B$4,F495=9),J495+M495+P495+S495,"")</f>
        <v/>
      </c>
      <c r="AA495" s="39" t="str">
        <f>IF(AND(E495&lt;&gt;'Povolené hodnoty'!$B$4,F495=2),I495+L495+O495+R495,"")</f>
        <v/>
      </c>
      <c r="AB495" s="40" t="str">
        <f>IF(AND(E495&lt;&gt;'Povolené hodnoty'!$B$4,F495=3),I495+L495+O495+R495,"")</f>
        <v/>
      </c>
      <c r="AC495" s="40" t="str">
        <f>IF(AND(E495&lt;&gt;'Povolené hodnoty'!$B$4,F495=4),I495+L495+O495+R495,"")</f>
        <v/>
      </c>
      <c r="AD495" s="40" t="str">
        <f>IF(AND(E495&lt;&gt;'Povolené hodnoty'!$B$4,F495="5a"),I495-J495+L495-M495+O495-P495+R495-S495,"")</f>
        <v/>
      </c>
      <c r="AE495" s="40" t="str">
        <f>IF(AND(E495&lt;&gt;'Povolené hodnoty'!$B$4,F495="5b"),I495-J495+L495-M495+O495-P495+R495-S495,"")</f>
        <v/>
      </c>
      <c r="AF495" s="40" t="str">
        <f>IF(AND(E495&lt;&gt;'Povolené hodnoty'!$B$4,F495=6),I495+L495+O495+R495,"")</f>
        <v/>
      </c>
      <c r="AG495" s="41" t="str">
        <f>IF(AND(E495&lt;&gt;'Povolené hodnoty'!$B$4,F495=7),I495+L495+O495+R495,"")</f>
        <v/>
      </c>
      <c r="AH495" s="39" t="str">
        <f>IF(AND(E495&lt;&gt;'Povolené hodnoty'!$B$4,F495=10),J495+M495+P495+S495,"")</f>
        <v/>
      </c>
      <c r="AI495" s="40" t="str">
        <f>IF(AND(E495&lt;&gt;'Povolené hodnoty'!$B$4,F495=11),J495+M495+P495+S495,"")</f>
        <v/>
      </c>
      <c r="AJ495" s="40" t="str">
        <f>IF(AND(E495&lt;&gt;'Povolené hodnoty'!$B$4,F495=12),J495+M495+P495+S495,"")</f>
        <v/>
      </c>
      <c r="AK495" s="41" t="str">
        <f>IF(AND(E495&lt;&gt;'Povolené hodnoty'!$B$4,F495=13),J495+M495+P495+S495,"")</f>
        <v/>
      </c>
      <c r="AL495" s="39" t="str">
        <f>IF(AND($G495='Povolené hodnoty'!$B$13,$H495=AL$4),SUM($I495,$L495,$O495,$R495),"")</f>
        <v/>
      </c>
      <c r="AM495" s="458" t="str">
        <f>IF(AND($G495='Povolené hodnoty'!$B$13,$H495=AM$4),SUM($I495,$L495,$O495,$R495),"")</f>
        <v/>
      </c>
      <c r="AN495" s="458" t="str">
        <f>IF(AND($G495='Povolené hodnoty'!$B$13,$H495=AN$4),SUM($I495,$L495,$O495,$R495),"")</f>
        <v/>
      </c>
      <c r="AO495" s="458" t="str">
        <f>IF(AND($G495='Povolené hodnoty'!$B$13,$H495=AO$4),SUM($I495,$L495,$O495,$R495),"")</f>
        <v/>
      </c>
      <c r="AP495" s="458" t="str">
        <f>IF(AND($G495='Povolené hodnoty'!$B$13,$H495=AP$4),SUM($I495,$L495,$O495,$R495),"")</f>
        <v/>
      </c>
      <c r="AQ495" s="40" t="str">
        <f>IF(AND($G495='Povolené hodnoty'!$B$13,OR($H495=AQ$4,$H495='Povolené hodnoty'!$E$36)),SUM($I495,-$J495,$L495,-$M495,$O495,-$P495,$R495,-$S495),"")</f>
        <v/>
      </c>
      <c r="AR495" s="40" t="str">
        <f>IF(AND($G495='Povolené hodnoty'!$B$13,$H495=AR$4),SUM($I495,$L495,$O495,$R495),"")</f>
        <v/>
      </c>
      <c r="AS495" s="41" t="str">
        <f>IF(AND($G495='Povolené hodnoty'!$B$13,$H495=AS$4),SUM($I495,$L495,$O495,$R495),"")</f>
        <v/>
      </c>
      <c r="AT495" s="39" t="str">
        <f>IF(AND($G495='Povolené hodnoty'!$B$14,$H495=AT$4),SUM($I495,$L495,$O495,$R495),"")</f>
        <v/>
      </c>
      <c r="AU495" s="458" t="str">
        <f>IF(AND($G495='Povolené hodnoty'!$B$14,$H495=AU$4),SUM($I495,$L495,$O495,$R495),"")</f>
        <v/>
      </c>
      <c r="AV495" s="41" t="str">
        <f>IF(AND($G495='Povolené hodnoty'!$B$14,$H495=AV$4),SUM($I495,$L495,$O495,$R495),"")</f>
        <v/>
      </c>
      <c r="AW495" s="39" t="str">
        <f>IF(AND($G495='Povolené hodnoty'!$B$13,$H495=AW$4),SUM($J495,$M495,$P495,$S495),"")</f>
        <v/>
      </c>
      <c r="AX495" s="458" t="str">
        <f>IF(AND($G495='Povolené hodnoty'!$B$13,$H495=AX$4),SUM($J495,$M495,$P495,$S495),"")</f>
        <v/>
      </c>
      <c r="AY495" s="458" t="str">
        <f>IF(AND($G495='Povolené hodnoty'!$B$13,$H495=AY$4),SUM($J495,$M495,$P495,$S495),"")</f>
        <v/>
      </c>
      <c r="AZ495" s="458" t="str">
        <f>IF(AND($G495='Povolené hodnoty'!$B$13,$H495=AZ$4),SUM($J495,$M495,$P495,$S495),"")</f>
        <v/>
      </c>
      <c r="BA495" s="458" t="str">
        <f>IF(AND($G495='Povolené hodnoty'!$B$13,$H495=BA$4),SUM($J495,$M495,$P495,$S495),"")</f>
        <v/>
      </c>
      <c r="BB495" s="40" t="str">
        <f>IF(AND($G495='Povolené hodnoty'!$B$13,$H495=BB$4),SUM($J495,$M495,$P495,$S495),"")</f>
        <v/>
      </c>
      <c r="BC495" s="40" t="str">
        <f>IF(AND($G495='Povolené hodnoty'!$B$13,$H495=BC$4),SUM($J495,$M495,$P495,$S495),"")</f>
        <v/>
      </c>
      <c r="BD495" s="40" t="str">
        <f>IF(AND($G495='Povolené hodnoty'!$B$13,$H495=BD$4),SUM($J495,$M495,$P495,$S495),"")</f>
        <v/>
      </c>
      <c r="BE495" s="41" t="str">
        <f>IF(AND($G495='Povolené hodnoty'!$B$13,$H495=BE$4),SUM($J495,$M495,$P495,$S495),"")</f>
        <v/>
      </c>
      <c r="BF495" s="39" t="str">
        <f>IF(AND($G495='Povolené hodnoty'!$B$14,$H495=BF$4),SUM($J495,$M495,$P495,$S495),"")</f>
        <v/>
      </c>
      <c r="BG495" s="458" t="str">
        <f>IF(AND($G495='Povolené hodnoty'!$B$14,$H495=BG$4),SUM($J495,$M495,$P495,$S495),"")</f>
        <v/>
      </c>
      <c r="BH495" s="458" t="str">
        <f>IF(AND($G495='Povolené hodnoty'!$B$14,$H495=BH$4),SUM($J495,$M495,$P495,$S495),"")</f>
        <v/>
      </c>
      <c r="BI495" s="458" t="str">
        <f>IF(AND($G495='Povolené hodnoty'!$B$14,$H495=BI$4),SUM($J495,$M495,$P495,$S495),"")</f>
        <v/>
      </c>
      <c r="BJ495" s="458" t="str">
        <f>IF(AND($G495='Povolené hodnoty'!$B$14,$H495=BJ$4),SUM($J495,$M495,$P495,$S495),"")</f>
        <v/>
      </c>
      <c r="BK495" s="40" t="str">
        <f>IF(AND($G495='Povolené hodnoty'!$B$14,$H495=BK$4),SUM($J495,$M495,$P495,$S495),"")</f>
        <v/>
      </c>
      <c r="BL495" s="40" t="str">
        <f>IF(AND($G495='Povolené hodnoty'!$B$14,$H495=BL$4),SUM($J495,$M495,$P495,$S495),"")</f>
        <v/>
      </c>
      <c r="BM495" s="41" t="str">
        <f>IF(AND($G495='Povolené hodnoty'!$B$14,$H495=BM$4),SUM($J495,$M495,$P495,$S495),"")</f>
        <v/>
      </c>
      <c r="BO495" s="18" t="b">
        <f t="shared" si="281"/>
        <v>0</v>
      </c>
      <c r="BP495" s="18" t="b">
        <f t="shared" si="252"/>
        <v>0</v>
      </c>
      <c r="BQ495" s="18" t="b">
        <f>AND(E495&lt;&gt;'Povolené hodnoty'!$B$6,F495&lt;&gt;'Povolené hodnoty'!$D$7,F495&lt;&gt;'Povolené hodnoty'!$D$8,OR(SUM(I495,L495,O495,R495)&lt;&gt;SUM(W495:X495,AA495:AG495),SUM(J495,M495,P495,S495)&lt;&gt;SUM(Y495:Z495,AH495:AK495),COUNT(I495:J495,L495:M495,O495:P495,R495:S495)&lt;&gt;COUNT(W495:AK495)))</f>
        <v>0</v>
      </c>
      <c r="BR495" s="18" t="b">
        <f>OR(AND(E495='Povolené hodnoty'!$B$6,$BR$5),AND(E495='Povolené hodnoty'!$B$6,H495&lt;&gt;'Povolené hodnoty'!$E$26,H495&lt;&gt;'Povolené hodnoty'!$E$35),AND(E495&lt;&gt;'Povolené hodnoty'!$B$6,OR(H495='Povolené hodnoty'!$E$26,H495='Povolené hodnoty'!$E$35)))</f>
        <v>0</v>
      </c>
      <c r="BS495" s="18" t="b">
        <f>OR(AND(G495&lt;&gt;'Povolené hodnoty'!$B$13,OR(H495='Povolené hodnoty'!$E$21,H495='Povolené hodnoty'!$E$22,H495='Povolené hodnoty'!$E$23,H495='Povolené hodnoty'!$E$24,H495='Povolené hodnoty'!$E$26,H495='Povolené hodnoty'!$E$36)),COUNT(I495:J495,L495:M495,O495:P495,R495:S495)&lt;&gt;COUNT(AL495:BM495))</f>
        <v>0</v>
      </c>
      <c r="BT495" s="18" t="b">
        <f t="shared" si="253"/>
        <v>0</v>
      </c>
      <c r="BV495" s="39" t="str">
        <f t="shared" si="254"/>
        <v/>
      </c>
      <c r="BW495" s="458" t="str">
        <f t="shared" si="255"/>
        <v/>
      </c>
      <c r="BX495" s="458" t="str">
        <f t="shared" si="256"/>
        <v/>
      </c>
      <c r="BY495" s="458" t="str">
        <f t="shared" si="257"/>
        <v/>
      </c>
      <c r="BZ495" s="458" t="str">
        <f t="shared" si="258"/>
        <v/>
      </c>
      <c r="CA495" s="40" t="str">
        <f t="shared" si="259"/>
        <v/>
      </c>
      <c r="CB495" s="40" t="str">
        <f t="shared" si="260"/>
        <v/>
      </c>
      <c r="CC495" s="39" t="str">
        <f t="shared" si="261"/>
        <v/>
      </c>
      <c r="CD495" s="458" t="str">
        <f t="shared" si="262"/>
        <v/>
      </c>
      <c r="CE495" s="41" t="str">
        <f t="shared" si="263"/>
        <v/>
      </c>
      <c r="CF495" s="39" t="str">
        <f t="shared" si="264"/>
        <v/>
      </c>
      <c r="CG495" s="458" t="str">
        <f t="shared" si="265"/>
        <v/>
      </c>
      <c r="CH495" s="458" t="str">
        <f t="shared" si="266"/>
        <v/>
      </c>
      <c r="CI495" s="458" t="str">
        <f t="shared" si="267"/>
        <v/>
      </c>
      <c r="CJ495" s="458" t="str">
        <f t="shared" si="268"/>
        <v/>
      </c>
      <c r="CK495" s="40" t="str">
        <f t="shared" si="269"/>
        <v/>
      </c>
      <c r="CL495" s="40" t="str">
        <f t="shared" si="270"/>
        <v/>
      </c>
      <c r="CM495" s="40" t="str">
        <f t="shared" si="271"/>
        <v/>
      </c>
      <c r="CN495" s="39" t="str">
        <f t="shared" si="272"/>
        <v/>
      </c>
      <c r="CO495" s="458" t="str">
        <f t="shared" si="273"/>
        <v/>
      </c>
      <c r="CP495" s="458" t="str">
        <f t="shared" si="274"/>
        <v/>
      </c>
      <c r="CQ495" s="458" t="str">
        <f t="shared" si="275"/>
        <v/>
      </c>
      <c r="CR495" s="458" t="str">
        <f t="shared" si="276"/>
        <v/>
      </c>
      <c r="CS495" s="40" t="str">
        <f t="shared" si="277"/>
        <v/>
      </c>
      <c r="CT495" s="40" t="str">
        <f t="shared" si="278"/>
        <v/>
      </c>
      <c r="CU495" s="41" t="str">
        <f t="shared" si="279"/>
        <v/>
      </c>
    </row>
    <row r="496" spans="1:99" x14ac:dyDescent="0.2">
      <c r="A496" s="77">
        <f t="shared" si="280"/>
        <v>491</v>
      </c>
      <c r="B496" s="81"/>
      <c r="C496" s="82"/>
      <c r="D496" s="71"/>
      <c r="E496" s="72"/>
      <c r="F496" s="73"/>
      <c r="G496" s="443"/>
      <c r="H496" s="443"/>
      <c r="I496" s="74"/>
      <c r="J496" s="75"/>
      <c r="K496" s="41">
        <f t="shared" si="284"/>
        <v>3625</v>
      </c>
      <c r="L496" s="104"/>
      <c r="M496" s="105"/>
      <c r="N496" s="106">
        <f t="shared" si="285"/>
        <v>537.05999999999995</v>
      </c>
      <c r="O496" s="104"/>
      <c r="P496" s="105"/>
      <c r="Q496" s="106">
        <f t="shared" si="282"/>
        <v>10045.83</v>
      </c>
      <c r="R496" s="104"/>
      <c r="S496" s="105"/>
      <c r="T496" s="106">
        <f t="shared" si="283"/>
        <v>0</v>
      </c>
      <c r="U496" s="439"/>
      <c r="V496" s="42">
        <f t="shared" si="251"/>
        <v>491</v>
      </c>
      <c r="W496" s="39" t="str">
        <f>IF(AND(E496='Povolené hodnoty'!$B$4,F496=2),I496+L496+O496+R496,"")</f>
        <v/>
      </c>
      <c r="X496" s="41" t="str">
        <f>IF(AND(E496='Povolené hodnoty'!$B$4,F496=1),I496+L496+O496+R496,"")</f>
        <v/>
      </c>
      <c r="Y496" s="39" t="str">
        <f>IF(AND(E496='Povolené hodnoty'!$B$4,F496=10),J496+M496+P496+S496,"")</f>
        <v/>
      </c>
      <c r="Z496" s="41" t="str">
        <f>IF(AND(E496='Povolené hodnoty'!$B$4,F496=9),J496+M496+P496+S496,"")</f>
        <v/>
      </c>
      <c r="AA496" s="39" t="str">
        <f>IF(AND(E496&lt;&gt;'Povolené hodnoty'!$B$4,F496=2),I496+L496+O496+R496,"")</f>
        <v/>
      </c>
      <c r="AB496" s="40" t="str">
        <f>IF(AND(E496&lt;&gt;'Povolené hodnoty'!$B$4,F496=3),I496+L496+O496+R496,"")</f>
        <v/>
      </c>
      <c r="AC496" s="40" t="str">
        <f>IF(AND(E496&lt;&gt;'Povolené hodnoty'!$B$4,F496=4),I496+L496+O496+R496,"")</f>
        <v/>
      </c>
      <c r="AD496" s="40" t="str">
        <f>IF(AND(E496&lt;&gt;'Povolené hodnoty'!$B$4,F496="5a"),I496-J496+L496-M496+O496-P496+R496-S496,"")</f>
        <v/>
      </c>
      <c r="AE496" s="40" t="str">
        <f>IF(AND(E496&lt;&gt;'Povolené hodnoty'!$B$4,F496="5b"),I496-J496+L496-M496+O496-P496+R496-S496,"")</f>
        <v/>
      </c>
      <c r="AF496" s="40" t="str">
        <f>IF(AND(E496&lt;&gt;'Povolené hodnoty'!$B$4,F496=6),I496+L496+O496+R496,"")</f>
        <v/>
      </c>
      <c r="AG496" s="41" t="str">
        <f>IF(AND(E496&lt;&gt;'Povolené hodnoty'!$B$4,F496=7),I496+L496+O496+R496,"")</f>
        <v/>
      </c>
      <c r="AH496" s="39" t="str">
        <f>IF(AND(E496&lt;&gt;'Povolené hodnoty'!$B$4,F496=10),J496+M496+P496+S496,"")</f>
        <v/>
      </c>
      <c r="AI496" s="40" t="str">
        <f>IF(AND(E496&lt;&gt;'Povolené hodnoty'!$B$4,F496=11),J496+M496+P496+S496,"")</f>
        <v/>
      </c>
      <c r="AJ496" s="40" t="str">
        <f>IF(AND(E496&lt;&gt;'Povolené hodnoty'!$B$4,F496=12),J496+M496+P496+S496,"")</f>
        <v/>
      </c>
      <c r="AK496" s="41" t="str">
        <f>IF(AND(E496&lt;&gt;'Povolené hodnoty'!$B$4,F496=13),J496+M496+P496+S496,"")</f>
        <v/>
      </c>
      <c r="AL496" s="39" t="str">
        <f>IF(AND($G496='Povolené hodnoty'!$B$13,$H496=AL$4),SUM($I496,$L496,$O496,$R496),"")</f>
        <v/>
      </c>
      <c r="AM496" s="458" t="str">
        <f>IF(AND($G496='Povolené hodnoty'!$B$13,$H496=AM$4),SUM($I496,$L496,$O496,$R496),"")</f>
        <v/>
      </c>
      <c r="AN496" s="458" t="str">
        <f>IF(AND($G496='Povolené hodnoty'!$B$13,$H496=AN$4),SUM($I496,$L496,$O496,$R496),"")</f>
        <v/>
      </c>
      <c r="AO496" s="458" t="str">
        <f>IF(AND($G496='Povolené hodnoty'!$B$13,$H496=AO$4),SUM($I496,$L496,$O496,$R496),"")</f>
        <v/>
      </c>
      <c r="AP496" s="458" t="str">
        <f>IF(AND($G496='Povolené hodnoty'!$B$13,$H496=AP$4),SUM($I496,$L496,$O496,$R496),"")</f>
        <v/>
      </c>
      <c r="AQ496" s="40" t="str">
        <f>IF(AND($G496='Povolené hodnoty'!$B$13,OR($H496=AQ$4,$H496='Povolené hodnoty'!$E$36)),SUM($I496,-$J496,$L496,-$M496,$O496,-$P496,$R496,-$S496),"")</f>
        <v/>
      </c>
      <c r="AR496" s="40" t="str">
        <f>IF(AND($G496='Povolené hodnoty'!$B$13,$H496=AR$4),SUM($I496,$L496,$O496,$R496),"")</f>
        <v/>
      </c>
      <c r="AS496" s="41" t="str">
        <f>IF(AND($G496='Povolené hodnoty'!$B$13,$H496=AS$4),SUM($I496,$L496,$O496,$R496),"")</f>
        <v/>
      </c>
      <c r="AT496" s="39" t="str">
        <f>IF(AND($G496='Povolené hodnoty'!$B$14,$H496=AT$4),SUM($I496,$L496,$O496,$R496),"")</f>
        <v/>
      </c>
      <c r="AU496" s="458" t="str">
        <f>IF(AND($G496='Povolené hodnoty'!$B$14,$H496=AU$4),SUM($I496,$L496,$O496,$R496),"")</f>
        <v/>
      </c>
      <c r="AV496" s="41" t="str">
        <f>IF(AND($G496='Povolené hodnoty'!$B$14,$H496=AV$4),SUM($I496,$L496,$O496,$R496),"")</f>
        <v/>
      </c>
      <c r="AW496" s="39" t="str">
        <f>IF(AND($G496='Povolené hodnoty'!$B$13,$H496=AW$4),SUM($J496,$M496,$P496,$S496),"")</f>
        <v/>
      </c>
      <c r="AX496" s="458" t="str">
        <f>IF(AND($G496='Povolené hodnoty'!$B$13,$H496=AX$4),SUM($J496,$M496,$P496,$S496),"")</f>
        <v/>
      </c>
      <c r="AY496" s="458" t="str">
        <f>IF(AND($G496='Povolené hodnoty'!$B$13,$H496=AY$4),SUM($J496,$M496,$P496,$S496),"")</f>
        <v/>
      </c>
      <c r="AZ496" s="458" t="str">
        <f>IF(AND($G496='Povolené hodnoty'!$B$13,$H496=AZ$4),SUM($J496,$M496,$P496,$S496),"")</f>
        <v/>
      </c>
      <c r="BA496" s="458" t="str">
        <f>IF(AND($G496='Povolené hodnoty'!$B$13,$H496=BA$4),SUM($J496,$M496,$P496,$S496),"")</f>
        <v/>
      </c>
      <c r="BB496" s="40" t="str">
        <f>IF(AND($G496='Povolené hodnoty'!$B$13,$H496=BB$4),SUM($J496,$M496,$P496,$S496),"")</f>
        <v/>
      </c>
      <c r="BC496" s="40" t="str">
        <f>IF(AND($G496='Povolené hodnoty'!$B$13,$H496=BC$4),SUM($J496,$M496,$P496,$S496),"")</f>
        <v/>
      </c>
      <c r="BD496" s="40" t="str">
        <f>IF(AND($G496='Povolené hodnoty'!$B$13,$H496=BD$4),SUM($J496,$M496,$P496,$S496),"")</f>
        <v/>
      </c>
      <c r="BE496" s="41" t="str">
        <f>IF(AND($G496='Povolené hodnoty'!$B$13,$H496=BE$4),SUM($J496,$M496,$P496,$S496),"")</f>
        <v/>
      </c>
      <c r="BF496" s="39" t="str">
        <f>IF(AND($G496='Povolené hodnoty'!$B$14,$H496=BF$4),SUM($J496,$M496,$P496,$S496),"")</f>
        <v/>
      </c>
      <c r="BG496" s="458" t="str">
        <f>IF(AND($G496='Povolené hodnoty'!$B$14,$H496=BG$4),SUM($J496,$M496,$P496,$S496),"")</f>
        <v/>
      </c>
      <c r="BH496" s="458" t="str">
        <f>IF(AND($G496='Povolené hodnoty'!$B$14,$H496=BH$4),SUM($J496,$M496,$P496,$S496),"")</f>
        <v/>
      </c>
      <c r="BI496" s="458" t="str">
        <f>IF(AND($G496='Povolené hodnoty'!$B$14,$H496=BI$4),SUM($J496,$M496,$P496,$S496),"")</f>
        <v/>
      </c>
      <c r="BJ496" s="458" t="str">
        <f>IF(AND($G496='Povolené hodnoty'!$B$14,$H496=BJ$4),SUM($J496,$M496,$P496,$S496),"")</f>
        <v/>
      </c>
      <c r="BK496" s="40" t="str">
        <f>IF(AND($G496='Povolené hodnoty'!$B$14,$H496=BK$4),SUM($J496,$M496,$P496,$S496),"")</f>
        <v/>
      </c>
      <c r="BL496" s="40" t="str">
        <f>IF(AND($G496='Povolené hodnoty'!$B$14,$H496=BL$4),SUM($J496,$M496,$P496,$S496),"")</f>
        <v/>
      </c>
      <c r="BM496" s="41" t="str">
        <f>IF(AND($G496='Povolené hodnoty'!$B$14,$H496=BM$4),SUM($J496,$M496,$P496,$S496),"")</f>
        <v/>
      </c>
      <c r="BO496" s="18" t="b">
        <f t="shared" si="281"/>
        <v>0</v>
      </c>
      <c r="BP496" s="18" t="b">
        <f t="shared" si="252"/>
        <v>0</v>
      </c>
      <c r="BQ496" s="18" t="b">
        <f>AND(E496&lt;&gt;'Povolené hodnoty'!$B$6,F496&lt;&gt;'Povolené hodnoty'!$D$7,F496&lt;&gt;'Povolené hodnoty'!$D$8,OR(SUM(I496,L496,O496,R496)&lt;&gt;SUM(W496:X496,AA496:AG496),SUM(J496,M496,P496,S496)&lt;&gt;SUM(Y496:Z496,AH496:AK496),COUNT(I496:J496,L496:M496,O496:P496,R496:S496)&lt;&gt;COUNT(W496:AK496)))</f>
        <v>0</v>
      </c>
      <c r="BR496" s="18" t="b">
        <f>OR(AND(E496='Povolené hodnoty'!$B$6,$BR$5),AND(E496='Povolené hodnoty'!$B$6,H496&lt;&gt;'Povolené hodnoty'!$E$26,H496&lt;&gt;'Povolené hodnoty'!$E$35),AND(E496&lt;&gt;'Povolené hodnoty'!$B$6,OR(H496='Povolené hodnoty'!$E$26,H496='Povolené hodnoty'!$E$35)))</f>
        <v>0</v>
      </c>
      <c r="BS496" s="18" t="b">
        <f>OR(AND(G496&lt;&gt;'Povolené hodnoty'!$B$13,OR(H496='Povolené hodnoty'!$E$21,H496='Povolené hodnoty'!$E$22,H496='Povolené hodnoty'!$E$23,H496='Povolené hodnoty'!$E$24,H496='Povolené hodnoty'!$E$26,H496='Povolené hodnoty'!$E$36)),COUNT(I496:J496,L496:M496,O496:P496,R496:S496)&lt;&gt;COUNT(AL496:BM496))</f>
        <v>0</v>
      </c>
      <c r="BT496" s="18" t="b">
        <f t="shared" si="253"/>
        <v>0</v>
      </c>
      <c r="BV496" s="39" t="str">
        <f t="shared" si="254"/>
        <v/>
      </c>
      <c r="BW496" s="458" t="str">
        <f t="shared" si="255"/>
        <v/>
      </c>
      <c r="BX496" s="458" t="str">
        <f t="shared" si="256"/>
        <v/>
      </c>
      <c r="BY496" s="458" t="str">
        <f t="shared" si="257"/>
        <v/>
      </c>
      <c r="BZ496" s="458" t="str">
        <f t="shared" si="258"/>
        <v/>
      </c>
      <c r="CA496" s="40" t="str">
        <f t="shared" si="259"/>
        <v/>
      </c>
      <c r="CB496" s="40" t="str">
        <f t="shared" si="260"/>
        <v/>
      </c>
      <c r="CC496" s="39" t="str">
        <f t="shared" si="261"/>
        <v/>
      </c>
      <c r="CD496" s="458" t="str">
        <f t="shared" si="262"/>
        <v/>
      </c>
      <c r="CE496" s="41" t="str">
        <f t="shared" si="263"/>
        <v/>
      </c>
      <c r="CF496" s="39" t="str">
        <f t="shared" si="264"/>
        <v/>
      </c>
      <c r="CG496" s="458" t="str">
        <f t="shared" si="265"/>
        <v/>
      </c>
      <c r="CH496" s="458" t="str">
        <f t="shared" si="266"/>
        <v/>
      </c>
      <c r="CI496" s="458" t="str">
        <f t="shared" si="267"/>
        <v/>
      </c>
      <c r="CJ496" s="458" t="str">
        <f t="shared" si="268"/>
        <v/>
      </c>
      <c r="CK496" s="40" t="str">
        <f t="shared" si="269"/>
        <v/>
      </c>
      <c r="CL496" s="40" t="str">
        <f t="shared" si="270"/>
        <v/>
      </c>
      <c r="CM496" s="40" t="str">
        <f t="shared" si="271"/>
        <v/>
      </c>
      <c r="CN496" s="39" t="str">
        <f t="shared" si="272"/>
        <v/>
      </c>
      <c r="CO496" s="458" t="str">
        <f t="shared" si="273"/>
        <v/>
      </c>
      <c r="CP496" s="458" t="str">
        <f t="shared" si="274"/>
        <v/>
      </c>
      <c r="CQ496" s="458" t="str">
        <f t="shared" si="275"/>
        <v/>
      </c>
      <c r="CR496" s="458" t="str">
        <f t="shared" si="276"/>
        <v/>
      </c>
      <c r="CS496" s="40" t="str">
        <f t="shared" si="277"/>
        <v/>
      </c>
      <c r="CT496" s="40" t="str">
        <f t="shared" si="278"/>
        <v/>
      </c>
      <c r="CU496" s="41" t="str">
        <f t="shared" si="279"/>
        <v/>
      </c>
    </row>
    <row r="497" spans="1:99" x14ac:dyDescent="0.2">
      <c r="A497" s="77">
        <f t="shared" si="280"/>
        <v>492</v>
      </c>
      <c r="B497" s="81"/>
      <c r="C497" s="82"/>
      <c r="D497" s="71"/>
      <c r="E497" s="72"/>
      <c r="F497" s="73"/>
      <c r="G497" s="443"/>
      <c r="H497" s="443"/>
      <c r="I497" s="74"/>
      <c r="J497" s="75"/>
      <c r="K497" s="41">
        <f t="shared" si="284"/>
        <v>3625</v>
      </c>
      <c r="L497" s="104"/>
      <c r="M497" s="105"/>
      <c r="N497" s="106">
        <f t="shared" si="285"/>
        <v>537.05999999999995</v>
      </c>
      <c r="O497" s="104"/>
      <c r="P497" s="105"/>
      <c r="Q497" s="106">
        <f t="shared" si="282"/>
        <v>10045.83</v>
      </c>
      <c r="R497" s="104"/>
      <c r="S497" s="105"/>
      <c r="T497" s="106">
        <f t="shared" si="283"/>
        <v>0</v>
      </c>
      <c r="U497" s="439"/>
      <c r="V497" s="42">
        <f t="shared" si="251"/>
        <v>492</v>
      </c>
      <c r="W497" s="39" t="str">
        <f>IF(AND(E497='Povolené hodnoty'!$B$4,F497=2),I497+L497+O497+R497,"")</f>
        <v/>
      </c>
      <c r="X497" s="41" t="str">
        <f>IF(AND(E497='Povolené hodnoty'!$B$4,F497=1),I497+L497+O497+R497,"")</f>
        <v/>
      </c>
      <c r="Y497" s="39" t="str">
        <f>IF(AND(E497='Povolené hodnoty'!$B$4,F497=10),J497+M497+P497+S497,"")</f>
        <v/>
      </c>
      <c r="Z497" s="41" t="str">
        <f>IF(AND(E497='Povolené hodnoty'!$B$4,F497=9),J497+M497+P497+S497,"")</f>
        <v/>
      </c>
      <c r="AA497" s="39" t="str">
        <f>IF(AND(E497&lt;&gt;'Povolené hodnoty'!$B$4,F497=2),I497+L497+O497+R497,"")</f>
        <v/>
      </c>
      <c r="AB497" s="40" t="str">
        <f>IF(AND(E497&lt;&gt;'Povolené hodnoty'!$B$4,F497=3),I497+L497+O497+R497,"")</f>
        <v/>
      </c>
      <c r="AC497" s="40" t="str">
        <f>IF(AND(E497&lt;&gt;'Povolené hodnoty'!$B$4,F497=4),I497+L497+O497+R497,"")</f>
        <v/>
      </c>
      <c r="AD497" s="40" t="str">
        <f>IF(AND(E497&lt;&gt;'Povolené hodnoty'!$B$4,F497="5a"),I497-J497+L497-M497+O497-P497+R497-S497,"")</f>
        <v/>
      </c>
      <c r="AE497" s="40" t="str">
        <f>IF(AND(E497&lt;&gt;'Povolené hodnoty'!$B$4,F497="5b"),I497-J497+L497-M497+O497-P497+R497-S497,"")</f>
        <v/>
      </c>
      <c r="AF497" s="40" t="str">
        <f>IF(AND(E497&lt;&gt;'Povolené hodnoty'!$B$4,F497=6),I497+L497+O497+R497,"")</f>
        <v/>
      </c>
      <c r="AG497" s="41" t="str">
        <f>IF(AND(E497&lt;&gt;'Povolené hodnoty'!$B$4,F497=7),I497+L497+O497+R497,"")</f>
        <v/>
      </c>
      <c r="AH497" s="39" t="str">
        <f>IF(AND(E497&lt;&gt;'Povolené hodnoty'!$B$4,F497=10),J497+M497+P497+S497,"")</f>
        <v/>
      </c>
      <c r="AI497" s="40" t="str">
        <f>IF(AND(E497&lt;&gt;'Povolené hodnoty'!$B$4,F497=11),J497+M497+P497+S497,"")</f>
        <v/>
      </c>
      <c r="AJ497" s="40" t="str">
        <f>IF(AND(E497&lt;&gt;'Povolené hodnoty'!$B$4,F497=12),J497+M497+P497+S497,"")</f>
        <v/>
      </c>
      <c r="AK497" s="41" t="str">
        <f>IF(AND(E497&lt;&gt;'Povolené hodnoty'!$B$4,F497=13),J497+M497+P497+S497,"")</f>
        <v/>
      </c>
      <c r="AL497" s="39" t="str">
        <f>IF(AND($G497='Povolené hodnoty'!$B$13,$H497=AL$4),SUM($I497,$L497,$O497,$R497),"")</f>
        <v/>
      </c>
      <c r="AM497" s="458" t="str">
        <f>IF(AND($G497='Povolené hodnoty'!$B$13,$H497=AM$4),SUM($I497,$L497,$O497,$R497),"")</f>
        <v/>
      </c>
      <c r="AN497" s="458" t="str">
        <f>IF(AND($G497='Povolené hodnoty'!$B$13,$H497=AN$4),SUM($I497,$L497,$O497,$R497),"")</f>
        <v/>
      </c>
      <c r="AO497" s="458" t="str">
        <f>IF(AND($G497='Povolené hodnoty'!$B$13,$H497=AO$4),SUM($I497,$L497,$O497,$R497),"")</f>
        <v/>
      </c>
      <c r="AP497" s="458" t="str">
        <f>IF(AND($G497='Povolené hodnoty'!$B$13,$H497=AP$4),SUM($I497,$L497,$O497,$R497),"")</f>
        <v/>
      </c>
      <c r="AQ497" s="40" t="str">
        <f>IF(AND($G497='Povolené hodnoty'!$B$13,OR($H497=AQ$4,$H497='Povolené hodnoty'!$E$36)),SUM($I497,-$J497,$L497,-$M497,$O497,-$P497,$R497,-$S497),"")</f>
        <v/>
      </c>
      <c r="AR497" s="40" t="str">
        <f>IF(AND($G497='Povolené hodnoty'!$B$13,$H497=AR$4),SUM($I497,$L497,$O497,$R497),"")</f>
        <v/>
      </c>
      <c r="AS497" s="41" t="str">
        <f>IF(AND($G497='Povolené hodnoty'!$B$13,$H497=AS$4),SUM($I497,$L497,$O497,$R497),"")</f>
        <v/>
      </c>
      <c r="AT497" s="39" t="str">
        <f>IF(AND($G497='Povolené hodnoty'!$B$14,$H497=AT$4),SUM($I497,$L497,$O497,$R497),"")</f>
        <v/>
      </c>
      <c r="AU497" s="458" t="str">
        <f>IF(AND($G497='Povolené hodnoty'!$B$14,$H497=AU$4),SUM($I497,$L497,$O497,$R497),"")</f>
        <v/>
      </c>
      <c r="AV497" s="41" t="str">
        <f>IF(AND($G497='Povolené hodnoty'!$B$14,$H497=AV$4),SUM($I497,$L497,$O497,$R497),"")</f>
        <v/>
      </c>
      <c r="AW497" s="39" t="str">
        <f>IF(AND($G497='Povolené hodnoty'!$B$13,$H497=AW$4),SUM($J497,$M497,$P497,$S497),"")</f>
        <v/>
      </c>
      <c r="AX497" s="458" t="str">
        <f>IF(AND($G497='Povolené hodnoty'!$B$13,$H497=AX$4),SUM($J497,$M497,$P497,$S497),"")</f>
        <v/>
      </c>
      <c r="AY497" s="458" t="str">
        <f>IF(AND($G497='Povolené hodnoty'!$B$13,$H497=AY$4),SUM($J497,$M497,$P497,$S497),"")</f>
        <v/>
      </c>
      <c r="AZ497" s="458" t="str">
        <f>IF(AND($G497='Povolené hodnoty'!$B$13,$H497=AZ$4),SUM($J497,$M497,$P497,$S497),"")</f>
        <v/>
      </c>
      <c r="BA497" s="458" t="str">
        <f>IF(AND($G497='Povolené hodnoty'!$B$13,$H497=BA$4),SUM($J497,$M497,$P497,$S497),"")</f>
        <v/>
      </c>
      <c r="BB497" s="40" t="str">
        <f>IF(AND($G497='Povolené hodnoty'!$B$13,$H497=BB$4),SUM($J497,$M497,$P497,$S497),"")</f>
        <v/>
      </c>
      <c r="BC497" s="40" t="str">
        <f>IF(AND($G497='Povolené hodnoty'!$B$13,$H497=BC$4),SUM($J497,$M497,$P497,$S497),"")</f>
        <v/>
      </c>
      <c r="BD497" s="40" t="str">
        <f>IF(AND($G497='Povolené hodnoty'!$B$13,$H497=BD$4),SUM($J497,$M497,$P497,$S497),"")</f>
        <v/>
      </c>
      <c r="BE497" s="41" t="str">
        <f>IF(AND($G497='Povolené hodnoty'!$B$13,$H497=BE$4),SUM($J497,$M497,$P497,$S497),"")</f>
        <v/>
      </c>
      <c r="BF497" s="39" t="str">
        <f>IF(AND($G497='Povolené hodnoty'!$B$14,$H497=BF$4),SUM($J497,$M497,$P497,$S497),"")</f>
        <v/>
      </c>
      <c r="BG497" s="458" t="str">
        <f>IF(AND($G497='Povolené hodnoty'!$B$14,$H497=BG$4),SUM($J497,$M497,$P497,$S497),"")</f>
        <v/>
      </c>
      <c r="BH497" s="458" t="str">
        <f>IF(AND($G497='Povolené hodnoty'!$B$14,$H497=BH$4),SUM($J497,$M497,$P497,$S497),"")</f>
        <v/>
      </c>
      <c r="BI497" s="458" t="str">
        <f>IF(AND($G497='Povolené hodnoty'!$B$14,$H497=BI$4),SUM($J497,$M497,$P497,$S497),"")</f>
        <v/>
      </c>
      <c r="BJ497" s="458" t="str">
        <f>IF(AND($G497='Povolené hodnoty'!$B$14,$H497=BJ$4),SUM($J497,$M497,$P497,$S497),"")</f>
        <v/>
      </c>
      <c r="BK497" s="40" t="str">
        <f>IF(AND($G497='Povolené hodnoty'!$B$14,$H497=BK$4),SUM($J497,$M497,$P497,$S497),"")</f>
        <v/>
      </c>
      <c r="BL497" s="40" t="str">
        <f>IF(AND($G497='Povolené hodnoty'!$B$14,$H497=BL$4),SUM($J497,$M497,$P497,$S497),"")</f>
        <v/>
      </c>
      <c r="BM497" s="41" t="str">
        <f>IF(AND($G497='Povolené hodnoty'!$B$14,$H497=BM$4),SUM($J497,$M497,$P497,$S497),"")</f>
        <v/>
      </c>
      <c r="BO497" s="18" t="b">
        <f t="shared" si="281"/>
        <v>0</v>
      </c>
      <c r="BP497" s="18" t="b">
        <f t="shared" si="252"/>
        <v>0</v>
      </c>
      <c r="BQ497" s="18" t="b">
        <f>AND(E497&lt;&gt;'Povolené hodnoty'!$B$6,F497&lt;&gt;'Povolené hodnoty'!$D$7,F497&lt;&gt;'Povolené hodnoty'!$D$8,OR(SUM(I497,L497,O497,R497)&lt;&gt;SUM(W497:X497,AA497:AG497),SUM(J497,M497,P497,S497)&lt;&gt;SUM(Y497:Z497,AH497:AK497),COUNT(I497:J497,L497:M497,O497:P497,R497:S497)&lt;&gt;COUNT(W497:AK497)))</f>
        <v>0</v>
      </c>
      <c r="BR497" s="18" t="b">
        <f>OR(AND(E497='Povolené hodnoty'!$B$6,$BR$5),AND(E497='Povolené hodnoty'!$B$6,H497&lt;&gt;'Povolené hodnoty'!$E$26,H497&lt;&gt;'Povolené hodnoty'!$E$35),AND(E497&lt;&gt;'Povolené hodnoty'!$B$6,OR(H497='Povolené hodnoty'!$E$26,H497='Povolené hodnoty'!$E$35)))</f>
        <v>0</v>
      </c>
      <c r="BS497" s="18" t="b">
        <f>OR(AND(G497&lt;&gt;'Povolené hodnoty'!$B$13,OR(H497='Povolené hodnoty'!$E$21,H497='Povolené hodnoty'!$E$22,H497='Povolené hodnoty'!$E$23,H497='Povolené hodnoty'!$E$24,H497='Povolené hodnoty'!$E$26,H497='Povolené hodnoty'!$E$36)),COUNT(I497:J497,L497:M497,O497:P497,R497:S497)&lt;&gt;COUNT(AL497:BM497))</f>
        <v>0</v>
      </c>
      <c r="BT497" s="18" t="b">
        <f t="shared" si="253"/>
        <v>0</v>
      </c>
      <c r="BV497" s="39" t="str">
        <f t="shared" si="254"/>
        <v/>
      </c>
      <c r="BW497" s="458" t="str">
        <f t="shared" si="255"/>
        <v/>
      </c>
      <c r="BX497" s="458" t="str">
        <f t="shared" si="256"/>
        <v/>
      </c>
      <c r="BY497" s="458" t="str">
        <f t="shared" si="257"/>
        <v/>
      </c>
      <c r="BZ497" s="458" t="str">
        <f t="shared" si="258"/>
        <v/>
      </c>
      <c r="CA497" s="40" t="str">
        <f t="shared" si="259"/>
        <v/>
      </c>
      <c r="CB497" s="40" t="str">
        <f t="shared" si="260"/>
        <v/>
      </c>
      <c r="CC497" s="39" t="str">
        <f t="shared" si="261"/>
        <v/>
      </c>
      <c r="CD497" s="458" t="str">
        <f t="shared" si="262"/>
        <v/>
      </c>
      <c r="CE497" s="41" t="str">
        <f t="shared" si="263"/>
        <v/>
      </c>
      <c r="CF497" s="39" t="str">
        <f t="shared" si="264"/>
        <v/>
      </c>
      <c r="CG497" s="458" t="str">
        <f t="shared" si="265"/>
        <v/>
      </c>
      <c r="CH497" s="458" t="str">
        <f t="shared" si="266"/>
        <v/>
      </c>
      <c r="CI497" s="458" t="str">
        <f t="shared" si="267"/>
        <v/>
      </c>
      <c r="CJ497" s="458" t="str">
        <f t="shared" si="268"/>
        <v/>
      </c>
      <c r="CK497" s="40" t="str">
        <f t="shared" si="269"/>
        <v/>
      </c>
      <c r="CL497" s="40" t="str">
        <f t="shared" si="270"/>
        <v/>
      </c>
      <c r="CM497" s="40" t="str">
        <f t="shared" si="271"/>
        <v/>
      </c>
      <c r="CN497" s="39" t="str">
        <f t="shared" si="272"/>
        <v/>
      </c>
      <c r="CO497" s="458" t="str">
        <f t="shared" si="273"/>
        <v/>
      </c>
      <c r="CP497" s="458" t="str">
        <f t="shared" si="274"/>
        <v/>
      </c>
      <c r="CQ497" s="458" t="str">
        <f t="shared" si="275"/>
        <v/>
      </c>
      <c r="CR497" s="458" t="str">
        <f t="shared" si="276"/>
        <v/>
      </c>
      <c r="CS497" s="40" t="str">
        <f t="shared" si="277"/>
        <v/>
      </c>
      <c r="CT497" s="40" t="str">
        <f t="shared" si="278"/>
        <v/>
      </c>
      <c r="CU497" s="41" t="str">
        <f t="shared" si="279"/>
        <v/>
      </c>
    </row>
    <row r="498" spans="1:99" x14ac:dyDescent="0.2">
      <c r="A498" s="77">
        <f t="shared" si="280"/>
        <v>493</v>
      </c>
      <c r="B498" s="81"/>
      <c r="C498" s="82"/>
      <c r="D498" s="71"/>
      <c r="E498" s="72"/>
      <c r="F498" s="73"/>
      <c r="G498" s="443"/>
      <c r="H498" s="443"/>
      <c r="I498" s="74"/>
      <c r="J498" s="75"/>
      <c r="K498" s="41">
        <f t="shared" si="284"/>
        <v>3625</v>
      </c>
      <c r="L498" s="104"/>
      <c r="M498" s="105"/>
      <c r="N498" s="106">
        <f t="shared" si="285"/>
        <v>537.05999999999995</v>
      </c>
      <c r="O498" s="104"/>
      <c r="P498" s="105"/>
      <c r="Q498" s="106">
        <f t="shared" si="282"/>
        <v>10045.83</v>
      </c>
      <c r="R498" s="104"/>
      <c r="S498" s="105"/>
      <c r="T498" s="106">
        <f t="shared" si="283"/>
        <v>0</v>
      </c>
      <c r="U498" s="439"/>
      <c r="V498" s="42">
        <f t="shared" si="251"/>
        <v>493</v>
      </c>
      <c r="W498" s="39" t="str">
        <f>IF(AND(E498='Povolené hodnoty'!$B$4,F498=2),I498+L498+O498+R498,"")</f>
        <v/>
      </c>
      <c r="X498" s="41" t="str">
        <f>IF(AND(E498='Povolené hodnoty'!$B$4,F498=1),I498+L498+O498+R498,"")</f>
        <v/>
      </c>
      <c r="Y498" s="39" t="str">
        <f>IF(AND(E498='Povolené hodnoty'!$B$4,F498=10),J498+M498+P498+S498,"")</f>
        <v/>
      </c>
      <c r="Z498" s="41" t="str">
        <f>IF(AND(E498='Povolené hodnoty'!$B$4,F498=9),J498+M498+P498+S498,"")</f>
        <v/>
      </c>
      <c r="AA498" s="39" t="str">
        <f>IF(AND(E498&lt;&gt;'Povolené hodnoty'!$B$4,F498=2),I498+L498+O498+R498,"")</f>
        <v/>
      </c>
      <c r="AB498" s="40" t="str">
        <f>IF(AND(E498&lt;&gt;'Povolené hodnoty'!$B$4,F498=3),I498+L498+O498+R498,"")</f>
        <v/>
      </c>
      <c r="AC498" s="40" t="str">
        <f>IF(AND(E498&lt;&gt;'Povolené hodnoty'!$B$4,F498=4),I498+L498+O498+R498,"")</f>
        <v/>
      </c>
      <c r="AD498" s="40" t="str">
        <f>IF(AND(E498&lt;&gt;'Povolené hodnoty'!$B$4,F498="5a"),I498-J498+L498-M498+O498-P498+R498-S498,"")</f>
        <v/>
      </c>
      <c r="AE498" s="40" t="str">
        <f>IF(AND(E498&lt;&gt;'Povolené hodnoty'!$B$4,F498="5b"),I498-J498+L498-M498+O498-P498+R498-S498,"")</f>
        <v/>
      </c>
      <c r="AF498" s="40" t="str">
        <f>IF(AND(E498&lt;&gt;'Povolené hodnoty'!$B$4,F498=6),I498+L498+O498+R498,"")</f>
        <v/>
      </c>
      <c r="AG498" s="41" t="str">
        <f>IF(AND(E498&lt;&gt;'Povolené hodnoty'!$B$4,F498=7),I498+L498+O498+R498,"")</f>
        <v/>
      </c>
      <c r="AH498" s="39" t="str">
        <f>IF(AND(E498&lt;&gt;'Povolené hodnoty'!$B$4,F498=10),J498+M498+P498+S498,"")</f>
        <v/>
      </c>
      <c r="AI498" s="40" t="str">
        <f>IF(AND(E498&lt;&gt;'Povolené hodnoty'!$B$4,F498=11),J498+M498+P498+S498,"")</f>
        <v/>
      </c>
      <c r="AJ498" s="40" t="str">
        <f>IF(AND(E498&lt;&gt;'Povolené hodnoty'!$B$4,F498=12),J498+M498+P498+S498,"")</f>
        <v/>
      </c>
      <c r="AK498" s="41" t="str">
        <f>IF(AND(E498&lt;&gt;'Povolené hodnoty'!$B$4,F498=13),J498+M498+P498+S498,"")</f>
        <v/>
      </c>
      <c r="AL498" s="39" t="str">
        <f>IF(AND($G498='Povolené hodnoty'!$B$13,$H498=AL$4),SUM($I498,$L498,$O498,$R498),"")</f>
        <v/>
      </c>
      <c r="AM498" s="458" t="str">
        <f>IF(AND($G498='Povolené hodnoty'!$B$13,$H498=AM$4),SUM($I498,$L498,$O498,$R498),"")</f>
        <v/>
      </c>
      <c r="AN498" s="458" t="str">
        <f>IF(AND($G498='Povolené hodnoty'!$B$13,$H498=AN$4),SUM($I498,$L498,$O498,$R498),"")</f>
        <v/>
      </c>
      <c r="AO498" s="458" t="str">
        <f>IF(AND($G498='Povolené hodnoty'!$B$13,$H498=AO$4),SUM($I498,$L498,$O498,$R498),"")</f>
        <v/>
      </c>
      <c r="AP498" s="458" t="str">
        <f>IF(AND($G498='Povolené hodnoty'!$B$13,$H498=AP$4),SUM($I498,$L498,$O498,$R498),"")</f>
        <v/>
      </c>
      <c r="AQ498" s="40" t="str">
        <f>IF(AND($G498='Povolené hodnoty'!$B$13,OR($H498=AQ$4,$H498='Povolené hodnoty'!$E$36)),SUM($I498,-$J498,$L498,-$M498,$O498,-$P498,$R498,-$S498),"")</f>
        <v/>
      </c>
      <c r="AR498" s="40" t="str">
        <f>IF(AND($G498='Povolené hodnoty'!$B$13,$H498=AR$4),SUM($I498,$L498,$O498,$R498),"")</f>
        <v/>
      </c>
      <c r="AS498" s="41" t="str">
        <f>IF(AND($G498='Povolené hodnoty'!$B$13,$H498=AS$4),SUM($I498,$L498,$O498,$R498),"")</f>
        <v/>
      </c>
      <c r="AT498" s="39" t="str">
        <f>IF(AND($G498='Povolené hodnoty'!$B$14,$H498=AT$4),SUM($I498,$L498,$O498,$R498),"")</f>
        <v/>
      </c>
      <c r="AU498" s="458" t="str">
        <f>IF(AND($G498='Povolené hodnoty'!$B$14,$H498=AU$4),SUM($I498,$L498,$O498,$R498),"")</f>
        <v/>
      </c>
      <c r="AV498" s="41" t="str">
        <f>IF(AND($G498='Povolené hodnoty'!$B$14,$H498=AV$4),SUM($I498,$L498,$O498,$R498),"")</f>
        <v/>
      </c>
      <c r="AW498" s="39" t="str">
        <f>IF(AND($G498='Povolené hodnoty'!$B$13,$H498=AW$4),SUM($J498,$M498,$P498,$S498),"")</f>
        <v/>
      </c>
      <c r="AX498" s="458" t="str">
        <f>IF(AND($G498='Povolené hodnoty'!$B$13,$H498=AX$4),SUM($J498,$M498,$P498,$S498),"")</f>
        <v/>
      </c>
      <c r="AY498" s="458" t="str">
        <f>IF(AND($G498='Povolené hodnoty'!$B$13,$H498=AY$4),SUM($J498,$M498,$P498,$S498),"")</f>
        <v/>
      </c>
      <c r="AZ498" s="458" t="str">
        <f>IF(AND($G498='Povolené hodnoty'!$B$13,$H498=AZ$4),SUM($J498,$M498,$P498,$S498),"")</f>
        <v/>
      </c>
      <c r="BA498" s="458" t="str">
        <f>IF(AND($G498='Povolené hodnoty'!$B$13,$H498=BA$4),SUM($J498,$M498,$P498,$S498),"")</f>
        <v/>
      </c>
      <c r="BB498" s="40" t="str">
        <f>IF(AND($G498='Povolené hodnoty'!$B$13,$H498=BB$4),SUM($J498,$M498,$P498,$S498),"")</f>
        <v/>
      </c>
      <c r="BC498" s="40" t="str">
        <f>IF(AND($G498='Povolené hodnoty'!$B$13,$H498=BC$4),SUM($J498,$M498,$P498,$S498),"")</f>
        <v/>
      </c>
      <c r="BD498" s="40" t="str">
        <f>IF(AND($G498='Povolené hodnoty'!$B$13,$H498=BD$4),SUM($J498,$M498,$P498,$S498),"")</f>
        <v/>
      </c>
      <c r="BE498" s="41" t="str">
        <f>IF(AND($G498='Povolené hodnoty'!$B$13,$H498=BE$4),SUM($J498,$M498,$P498,$S498),"")</f>
        <v/>
      </c>
      <c r="BF498" s="39" t="str">
        <f>IF(AND($G498='Povolené hodnoty'!$B$14,$H498=BF$4),SUM($J498,$M498,$P498,$S498),"")</f>
        <v/>
      </c>
      <c r="BG498" s="458" t="str">
        <f>IF(AND($G498='Povolené hodnoty'!$B$14,$H498=BG$4),SUM($J498,$M498,$P498,$S498),"")</f>
        <v/>
      </c>
      <c r="BH498" s="458" t="str">
        <f>IF(AND($G498='Povolené hodnoty'!$B$14,$H498=BH$4),SUM($J498,$M498,$P498,$S498),"")</f>
        <v/>
      </c>
      <c r="BI498" s="458" t="str">
        <f>IF(AND($G498='Povolené hodnoty'!$B$14,$H498=BI$4),SUM($J498,$M498,$P498,$S498),"")</f>
        <v/>
      </c>
      <c r="BJ498" s="458" t="str">
        <f>IF(AND($G498='Povolené hodnoty'!$B$14,$H498=BJ$4),SUM($J498,$M498,$P498,$S498),"")</f>
        <v/>
      </c>
      <c r="BK498" s="40" t="str">
        <f>IF(AND($G498='Povolené hodnoty'!$B$14,$H498=BK$4),SUM($J498,$M498,$P498,$S498),"")</f>
        <v/>
      </c>
      <c r="BL498" s="40" t="str">
        <f>IF(AND($G498='Povolené hodnoty'!$B$14,$H498=BL$4),SUM($J498,$M498,$P498,$S498),"")</f>
        <v/>
      </c>
      <c r="BM498" s="41" t="str">
        <f>IF(AND($G498='Povolené hodnoty'!$B$14,$H498=BM$4),SUM($J498,$M498,$P498,$S498),"")</f>
        <v/>
      </c>
      <c r="BO498" s="18" t="b">
        <f t="shared" si="281"/>
        <v>0</v>
      </c>
      <c r="BP498" s="18" t="b">
        <f t="shared" si="252"/>
        <v>0</v>
      </c>
      <c r="BQ498" s="18" t="b">
        <f>AND(E498&lt;&gt;'Povolené hodnoty'!$B$6,F498&lt;&gt;'Povolené hodnoty'!$D$7,F498&lt;&gt;'Povolené hodnoty'!$D$8,OR(SUM(I498,L498,O498,R498)&lt;&gt;SUM(W498:X498,AA498:AG498),SUM(J498,M498,P498,S498)&lt;&gt;SUM(Y498:Z498,AH498:AK498),COUNT(I498:J498,L498:M498,O498:P498,R498:S498)&lt;&gt;COUNT(W498:AK498)))</f>
        <v>0</v>
      </c>
      <c r="BR498" s="18" t="b">
        <f>OR(AND(E498='Povolené hodnoty'!$B$6,$BR$5),AND(E498='Povolené hodnoty'!$B$6,H498&lt;&gt;'Povolené hodnoty'!$E$26,H498&lt;&gt;'Povolené hodnoty'!$E$35),AND(E498&lt;&gt;'Povolené hodnoty'!$B$6,OR(H498='Povolené hodnoty'!$E$26,H498='Povolené hodnoty'!$E$35)))</f>
        <v>0</v>
      </c>
      <c r="BS498" s="18" t="b">
        <f>OR(AND(G498&lt;&gt;'Povolené hodnoty'!$B$13,OR(H498='Povolené hodnoty'!$E$21,H498='Povolené hodnoty'!$E$22,H498='Povolené hodnoty'!$E$23,H498='Povolené hodnoty'!$E$24,H498='Povolené hodnoty'!$E$26,H498='Povolené hodnoty'!$E$36)),COUNT(I498:J498,L498:M498,O498:P498,R498:S498)&lt;&gt;COUNT(AL498:BM498))</f>
        <v>0</v>
      </c>
      <c r="BT498" s="18" t="b">
        <f t="shared" si="253"/>
        <v>0</v>
      </c>
      <c r="BV498" s="39" t="str">
        <f t="shared" si="254"/>
        <v/>
      </c>
      <c r="BW498" s="458" t="str">
        <f t="shared" si="255"/>
        <v/>
      </c>
      <c r="BX498" s="458" t="str">
        <f t="shared" si="256"/>
        <v/>
      </c>
      <c r="BY498" s="458" t="str">
        <f t="shared" si="257"/>
        <v/>
      </c>
      <c r="BZ498" s="458" t="str">
        <f t="shared" si="258"/>
        <v/>
      </c>
      <c r="CA498" s="40" t="str">
        <f t="shared" si="259"/>
        <v/>
      </c>
      <c r="CB498" s="40" t="str">
        <f t="shared" si="260"/>
        <v/>
      </c>
      <c r="CC498" s="39" t="str">
        <f t="shared" si="261"/>
        <v/>
      </c>
      <c r="CD498" s="458" t="str">
        <f t="shared" si="262"/>
        <v/>
      </c>
      <c r="CE498" s="41" t="str">
        <f t="shared" si="263"/>
        <v/>
      </c>
      <c r="CF498" s="39" t="str">
        <f t="shared" si="264"/>
        <v/>
      </c>
      <c r="CG498" s="458" t="str">
        <f t="shared" si="265"/>
        <v/>
      </c>
      <c r="CH498" s="458" t="str">
        <f t="shared" si="266"/>
        <v/>
      </c>
      <c r="CI498" s="458" t="str">
        <f t="shared" si="267"/>
        <v/>
      </c>
      <c r="CJ498" s="458" t="str">
        <f t="shared" si="268"/>
        <v/>
      </c>
      <c r="CK498" s="40" t="str">
        <f t="shared" si="269"/>
        <v/>
      </c>
      <c r="CL498" s="40" t="str">
        <f t="shared" si="270"/>
        <v/>
      </c>
      <c r="CM498" s="40" t="str">
        <f t="shared" si="271"/>
        <v/>
      </c>
      <c r="CN498" s="39" t="str">
        <f t="shared" si="272"/>
        <v/>
      </c>
      <c r="CO498" s="458" t="str">
        <f t="shared" si="273"/>
        <v/>
      </c>
      <c r="CP498" s="458" t="str">
        <f t="shared" si="274"/>
        <v/>
      </c>
      <c r="CQ498" s="458" t="str">
        <f t="shared" si="275"/>
        <v/>
      </c>
      <c r="CR498" s="458" t="str">
        <f t="shared" si="276"/>
        <v/>
      </c>
      <c r="CS498" s="40" t="str">
        <f t="shared" si="277"/>
        <v/>
      </c>
      <c r="CT498" s="40" t="str">
        <f t="shared" si="278"/>
        <v/>
      </c>
      <c r="CU498" s="41" t="str">
        <f t="shared" si="279"/>
        <v/>
      </c>
    </row>
    <row r="499" spans="1:99" x14ac:dyDescent="0.2">
      <c r="A499" s="77">
        <f t="shared" si="280"/>
        <v>494</v>
      </c>
      <c r="B499" s="81"/>
      <c r="C499" s="82"/>
      <c r="D499" s="71"/>
      <c r="E499" s="72"/>
      <c r="F499" s="73"/>
      <c r="G499" s="443"/>
      <c r="H499" s="443"/>
      <c r="I499" s="74"/>
      <c r="J499" s="75"/>
      <c r="K499" s="41">
        <f t="shared" si="284"/>
        <v>3625</v>
      </c>
      <c r="L499" s="104"/>
      <c r="M499" s="105"/>
      <c r="N499" s="106">
        <f t="shared" si="285"/>
        <v>537.05999999999995</v>
      </c>
      <c r="O499" s="104"/>
      <c r="P499" s="105"/>
      <c r="Q499" s="106">
        <f t="shared" si="282"/>
        <v>10045.83</v>
      </c>
      <c r="R499" s="104"/>
      <c r="S499" s="105"/>
      <c r="T499" s="106">
        <f t="shared" si="283"/>
        <v>0</v>
      </c>
      <c r="U499" s="439"/>
      <c r="V499" s="42">
        <f t="shared" si="251"/>
        <v>494</v>
      </c>
      <c r="W499" s="39" t="str">
        <f>IF(AND(E499='Povolené hodnoty'!$B$4,F499=2),I499+L499+O499+R499,"")</f>
        <v/>
      </c>
      <c r="X499" s="41" t="str">
        <f>IF(AND(E499='Povolené hodnoty'!$B$4,F499=1),I499+L499+O499+R499,"")</f>
        <v/>
      </c>
      <c r="Y499" s="39" t="str">
        <f>IF(AND(E499='Povolené hodnoty'!$B$4,F499=10),J499+M499+P499+S499,"")</f>
        <v/>
      </c>
      <c r="Z499" s="41" t="str">
        <f>IF(AND(E499='Povolené hodnoty'!$B$4,F499=9),J499+M499+P499+S499,"")</f>
        <v/>
      </c>
      <c r="AA499" s="39" t="str">
        <f>IF(AND(E499&lt;&gt;'Povolené hodnoty'!$B$4,F499=2),I499+L499+O499+R499,"")</f>
        <v/>
      </c>
      <c r="AB499" s="40" t="str">
        <f>IF(AND(E499&lt;&gt;'Povolené hodnoty'!$B$4,F499=3),I499+L499+O499+R499,"")</f>
        <v/>
      </c>
      <c r="AC499" s="40" t="str">
        <f>IF(AND(E499&lt;&gt;'Povolené hodnoty'!$B$4,F499=4),I499+L499+O499+R499,"")</f>
        <v/>
      </c>
      <c r="AD499" s="40" t="str">
        <f>IF(AND(E499&lt;&gt;'Povolené hodnoty'!$B$4,F499="5a"),I499-J499+L499-M499+O499-P499+R499-S499,"")</f>
        <v/>
      </c>
      <c r="AE499" s="40" t="str">
        <f>IF(AND(E499&lt;&gt;'Povolené hodnoty'!$B$4,F499="5b"),I499-J499+L499-M499+O499-P499+R499-S499,"")</f>
        <v/>
      </c>
      <c r="AF499" s="40" t="str">
        <f>IF(AND(E499&lt;&gt;'Povolené hodnoty'!$B$4,F499=6),I499+L499+O499+R499,"")</f>
        <v/>
      </c>
      <c r="AG499" s="41" t="str">
        <f>IF(AND(E499&lt;&gt;'Povolené hodnoty'!$B$4,F499=7),I499+L499+O499+R499,"")</f>
        <v/>
      </c>
      <c r="AH499" s="39" t="str">
        <f>IF(AND(E499&lt;&gt;'Povolené hodnoty'!$B$4,F499=10),J499+M499+P499+S499,"")</f>
        <v/>
      </c>
      <c r="AI499" s="40" t="str">
        <f>IF(AND(E499&lt;&gt;'Povolené hodnoty'!$B$4,F499=11),J499+M499+P499+S499,"")</f>
        <v/>
      </c>
      <c r="AJ499" s="40" t="str">
        <f>IF(AND(E499&lt;&gt;'Povolené hodnoty'!$B$4,F499=12),J499+M499+P499+S499,"")</f>
        <v/>
      </c>
      <c r="AK499" s="41" t="str">
        <f>IF(AND(E499&lt;&gt;'Povolené hodnoty'!$B$4,F499=13),J499+M499+P499+S499,"")</f>
        <v/>
      </c>
      <c r="AL499" s="39" t="str">
        <f>IF(AND($G499='Povolené hodnoty'!$B$13,$H499=AL$4),SUM($I499,$L499,$O499,$R499),"")</f>
        <v/>
      </c>
      <c r="AM499" s="458" t="str">
        <f>IF(AND($G499='Povolené hodnoty'!$B$13,$H499=AM$4),SUM($I499,$L499,$O499,$R499),"")</f>
        <v/>
      </c>
      <c r="AN499" s="458" t="str">
        <f>IF(AND($G499='Povolené hodnoty'!$B$13,$H499=AN$4),SUM($I499,$L499,$O499,$R499),"")</f>
        <v/>
      </c>
      <c r="AO499" s="458" t="str">
        <f>IF(AND($G499='Povolené hodnoty'!$B$13,$H499=AO$4),SUM($I499,$L499,$O499,$R499),"")</f>
        <v/>
      </c>
      <c r="AP499" s="458" t="str">
        <f>IF(AND($G499='Povolené hodnoty'!$B$13,$H499=AP$4),SUM($I499,$L499,$O499,$R499),"")</f>
        <v/>
      </c>
      <c r="AQ499" s="40" t="str">
        <f>IF(AND($G499='Povolené hodnoty'!$B$13,OR($H499=AQ$4,$H499='Povolené hodnoty'!$E$36)),SUM($I499,-$J499,$L499,-$M499,$O499,-$P499,$R499,-$S499),"")</f>
        <v/>
      </c>
      <c r="AR499" s="40" t="str">
        <f>IF(AND($G499='Povolené hodnoty'!$B$13,$H499=AR$4),SUM($I499,$L499,$O499,$R499),"")</f>
        <v/>
      </c>
      <c r="AS499" s="41" t="str">
        <f>IF(AND($G499='Povolené hodnoty'!$B$13,$H499=AS$4),SUM($I499,$L499,$O499,$R499),"")</f>
        <v/>
      </c>
      <c r="AT499" s="39" t="str">
        <f>IF(AND($G499='Povolené hodnoty'!$B$14,$H499=AT$4),SUM($I499,$L499,$O499,$R499),"")</f>
        <v/>
      </c>
      <c r="AU499" s="458" t="str">
        <f>IF(AND($G499='Povolené hodnoty'!$B$14,$H499=AU$4),SUM($I499,$L499,$O499,$R499),"")</f>
        <v/>
      </c>
      <c r="AV499" s="41" t="str">
        <f>IF(AND($G499='Povolené hodnoty'!$B$14,$H499=AV$4),SUM($I499,$L499,$O499,$R499),"")</f>
        <v/>
      </c>
      <c r="AW499" s="39" t="str">
        <f>IF(AND($G499='Povolené hodnoty'!$B$13,$H499=AW$4),SUM($J499,$M499,$P499,$S499),"")</f>
        <v/>
      </c>
      <c r="AX499" s="458" t="str">
        <f>IF(AND($G499='Povolené hodnoty'!$B$13,$H499=AX$4),SUM($J499,$M499,$P499,$S499),"")</f>
        <v/>
      </c>
      <c r="AY499" s="458" t="str">
        <f>IF(AND($G499='Povolené hodnoty'!$B$13,$H499=AY$4),SUM($J499,$M499,$P499,$S499),"")</f>
        <v/>
      </c>
      <c r="AZ499" s="458" t="str">
        <f>IF(AND($G499='Povolené hodnoty'!$B$13,$H499=AZ$4),SUM($J499,$M499,$P499,$S499),"")</f>
        <v/>
      </c>
      <c r="BA499" s="458" t="str">
        <f>IF(AND($G499='Povolené hodnoty'!$B$13,$H499=BA$4),SUM($J499,$M499,$P499,$S499),"")</f>
        <v/>
      </c>
      <c r="BB499" s="40" t="str">
        <f>IF(AND($G499='Povolené hodnoty'!$B$13,$H499=BB$4),SUM($J499,$M499,$P499,$S499),"")</f>
        <v/>
      </c>
      <c r="BC499" s="40" t="str">
        <f>IF(AND($G499='Povolené hodnoty'!$B$13,$H499=BC$4),SUM($J499,$M499,$P499,$S499),"")</f>
        <v/>
      </c>
      <c r="BD499" s="40" t="str">
        <f>IF(AND($G499='Povolené hodnoty'!$B$13,$H499=BD$4),SUM($J499,$M499,$P499,$S499),"")</f>
        <v/>
      </c>
      <c r="BE499" s="41" t="str">
        <f>IF(AND($G499='Povolené hodnoty'!$B$13,$H499=BE$4),SUM($J499,$M499,$P499,$S499),"")</f>
        <v/>
      </c>
      <c r="BF499" s="39" t="str">
        <f>IF(AND($G499='Povolené hodnoty'!$B$14,$H499=BF$4),SUM($J499,$M499,$P499,$S499),"")</f>
        <v/>
      </c>
      <c r="BG499" s="458" t="str">
        <f>IF(AND($G499='Povolené hodnoty'!$B$14,$H499=BG$4),SUM($J499,$M499,$P499,$S499),"")</f>
        <v/>
      </c>
      <c r="BH499" s="458" t="str">
        <f>IF(AND($G499='Povolené hodnoty'!$B$14,$H499=BH$4),SUM($J499,$M499,$P499,$S499),"")</f>
        <v/>
      </c>
      <c r="BI499" s="458" t="str">
        <f>IF(AND($G499='Povolené hodnoty'!$B$14,$H499=BI$4),SUM($J499,$M499,$P499,$S499),"")</f>
        <v/>
      </c>
      <c r="BJ499" s="458" t="str">
        <f>IF(AND($G499='Povolené hodnoty'!$B$14,$H499=BJ$4),SUM($J499,$M499,$P499,$S499),"")</f>
        <v/>
      </c>
      <c r="BK499" s="40" t="str">
        <f>IF(AND($G499='Povolené hodnoty'!$B$14,$H499=BK$4),SUM($J499,$M499,$P499,$S499),"")</f>
        <v/>
      </c>
      <c r="BL499" s="40" t="str">
        <f>IF(AND($G499='Povolené hodnoty'!$B$14,$H499=BL$4),SUM($J499,$M499,$P499,$S499),"")</f>
        <v/>
      </c>
      <c r="BM499" s="41" t="str">
        <f>IF(AND($G499='Povolené hodnoty'!$B$14,$H499=BM$4),SUM($J499,$M499,$P499,$S499),"")</f>
        <v/>
      </c>
      <c r="BO499" s="18" t="b">
        <f t="shared" si="281"/>
        <v>0</v>
      </c>
      <c r="BP499" s="18" t="b">
        <f t="shared" si="252"/>
        <v>0</v>
      </c>
      <c r="BQ499" s="18" t="b">
        <f>AND(E499&lt;&gt;'Povolené hodnoty'!$B$6,F499&lt;&gt;'Povolené hodnoty'!$D$7,F499&lt;&gt;'Povolené hodnoty'!$D$8,OR(SUM(I499,L499,O499,R499)&lt;&gt;SUM(W499:X499,AA499:AG499),SUM(J499,M499,P499,S499)&lt;&gt;SUM(Y499:Z499,AH499:AK499),COUNT(I499:J499,L499:M499,O499:P499,R499:S499)&lt;&gt;COUNT(W499:AK499)))</f>
        <v>0</v>
      </c>
      <c r="BR499" s="18" t="b">
        <f>OR(AND(E499='Povolené hodnoty'!$B$6,$BR$5),AND(E499='Povolené hodnoty'!$B$6,H499&lt;&gt;'Povolené hodnoty'!$E$26,H499&lt;&gt;'Povolené hodnoty'!$E$35),AND(E499&lt;&gt;'Povolené hodnoty'!$B$6,OR(H499='Povolené hodnoty'!$E$26,H499='Povolené hodnoty'!$E$35)))</f>
        <v>0</v>
      </c>
      <c r="BS499" s="18" t="b">
        <f>OR(AND(G499&lt;&gt;'Povolené hodnoty'!$B$13,OR(H499='Povolené hodnoty'!$E$21,H499='Povolené hodnoty'!$E$22,H499='Povolené hodnoty'!$E$23,H499='Povolené hodnoty'!$E$24,H499='Povolené hodnoty'!$E$26,H499='Povolené hodnoty'!$E$36)),COUNT(I499:J499,L499:M499,O499:P499,R499:S499)&lt;&gt;COUNT(AL499:BM499))</f>
        <v>0</v>
      </c>
      <c r="BT499" s="18" t="b">
        <f t="shared" si="253"/>
        <v>0</v>
      </c>
      <c r="BV499" s="39" t="str">
        <f t="shared" si="254"/>
        <v/>
      </c>
      <c r="BW499" s="458" t="str">
        <f t="shared" si="255"/>
        <v/>
      </c>
      <c r="BX499" s="458" t="str">
        <f t="shared" si="256"/>
        <v/>
      </c>
      <c r="BY499" s="458" t="str">
        <f t="shared" si="257"/>
        <v/>
      </c>
      <c r="BZ499" s="458" t="str">
        <f t="shared" si="258"/>
        <v/>
      </c>
      <c r="CA499" s="40" t="str">
        <f t="shared" si="259"/>
        <v/>
      </c>
      <c r="CB499" s="40" t="str">
        <f t="shared" si="260"/>
        <v/>
      </c>
      <c r="CC499" s="39" t="str">
        <f t="shared" si="261"/>
        <v/>
      </c>
      <c r="CD499" s="458" t="str">
        <f t="shared" si="262"/>
        <v/>
      </c>
      <c r="CE499" s="41" t="str">
        <f t="shared" si="263"/>
        <v/>
      </c>
      <c r="CF499" s="39" t="str">
        <f t="shared" si="264"/>
        <v/>
      </c>
      <c r="CG499" s="458" t="str">
        <f t="shared" si="265"/>
        <v/>
      </c>
      <c r="CH499" s="458" t="str">
        <f t="shared" si="266"/>
        <v/>
      </c>
      <c r="CI499" s="458" t="str">
        <f t="shared" si="267"/>
        <v/>
      </c>
      <c r="CJ499" s="458" t="str">
        <f t="shared" si="268"/>
        <v/>
      </c>
      <c r="CK499" s="40" t="str">
        <f t="shared" si="269"/>
        <v/>
      </c>
      <c r="CL499" s="40" t="str">
        <f t="shared" si="270"/>
        <v/>
      </c>
      <c r="CM499" s="40" t="str">
        <f t="shared" si="271"/>
        <v/>
      </c>
      <c r="CN499" s="39" t="str">
        <f t="shared" si="272"/>
        <v/>
      </c>
      <c r="CO499" s="458" t="str">
        <f t="shared" si="273"/>
        <v/>
      </c>
      <c r="CP499" s="458" t="str">
        <f t="shared" si="274"/>
        <v/>
      </c>
      <c r="CQ499" s="458" t="str">
        <f t="shared" si="275"/>
        <v/>
      </c>
      <c r="CR499" s="458" t="str">
        <f t="shared" si="276"/>
        <v/>
      </c>
      <c r="CS499" s="40" t="str">
        <f t="shared" si="277"/>
        <v/>
      </c>
      <c r="CT499" s="40" t="str">
        <f t="shared" si="278"/>
        <v/>
      </c>
      <c r="CU499" s="41" t="str">
        <f t="shared" si="279"/>
        <v/>
      </c>
    </row>
    <row r="500" spans="1:99" x14ac:dyDescent="0.2">
      <c r="A500" s="77">
        <f t="shared" si="280"/>
        <v>495</v>
      </c>
      <c r="B500" s="81"/>
      <c r="C500" s="82"/>
      <c r="D500" s="71"/>
      <c r="E500" s="72"/>
      <c r="F500" s="73"/>
      <c r="G500" s="443"/>
      <c r="H500" s="443"/>
      <c r="I500" s="74"/>
      <c r="J500" s="75"/>
      <c r="K500" s="41">
        <f t="shared" si="284"/>
        <v>3625</v>
      </c>
      <c r="L500" s="104"/>
      <c r="M500" s="105"/>
      <c r="N500" s="106">
        <f t="shared" si="285"/>
        <v>537.05999999999995</v>
      </c>
      <c r="O500" s="104"/>
      <c r="P500" s="105"/>
      <c r="Q500" s="106">
        <f t="shared" si="282"/>
        <v>10045.83</v>
      </c>
      <c r="R500" s="104"/>
      <c r="S500" s="105"/>
      <c r="T500" s="106">
        <f t="shared" si="283"/>
        <v>0</v>
      </c>
      <c r="U500" s="439"/>
      <c r="V500" s="42">
        <f t="shared" si="251"/>
        <v>495</v>
      </c>
      <c r="W500" s="39" t="str">
        <f>IF(AND(E500='Povolené hodnoty'!$B$4,F500=2),I500+L500+O500+R500,"")</f>
        <v/>
      </c>
      <c r="X500" s="41" t="str">
        <f>IF(AND(E500='Povolené hodnoty'!$B$4,F500=1),I500+L500+O500+R500,"")</f>
        <v/>
      </c>
      <c r="Y500" s="39" t="str">
        <f>IF(AND(E500='Povolené hodnoty'!$B$4,F500=10),J500+M500+P500+S500,"")</f>
        <v/>
      </c>
      <c r="Z500" s="41" t="str">
        <f>IF(AND(E500='Povolené hodnoty'!$B$4,F500=9),J500+M500+P500+S500,"")</f>
        <v/>
      </c>
      <c r="AA500" s="39" t="str">
        <f>IF(AND(E500&lt;&gt;'Povolené hodnoty'!$B$4,F500=2),I500+L500+O500+R500,"")</f>
        <v/>
      </c>
      <c r="AB500" s="40" t="str">
        <f>IF(AND(E500&lt;&gt;'Povolené hodnoty'!$B$4,F500=3),I500+L500+O500+R500,"")</f>
        <v/>
      </c>
      <c r="AC500" s="40" t="str">
        <f>IF(AND(E500&lt;&gt;'Povolené hodnoty'!$B$4,F500=4),I500+L500+O500+R500,"")</f>
        <v/>
      </c>
      <c r="AD500" s="40" t="str">
        <f>IF(AND(E500&lt;&gt;'Povolené hodnoty'!$B$4,F500="5a"),I500-J500+L500-M500+O500-P500+R500-S500,"")</f>
        <v/>
      </c>
      <c r="AE500" s="40" t="str">
        <f>IF(AND(E500&lt;&gt;'Povolené hodnoty'!$B$4,F500="5b"),I500-J500+L500-M500+O500-P500+R500-S500,"")</f>
        <v/>
      </c>
      <c r="AF500" s="40" t="str">
        <f>IF(AND(E500&lt;&gt;'Povolené hodnoty'!$B$4,F500=6),I500+L500+O500+R500,"")</f>
        <v/>
      </c>
      <c r="AG500" s="41" t="str">
        <f>IF(AND(E500&lt;&gt;'Povolené hodnoty'!$B$4,F500=7),I500+L500+O500+R500,"")</f>
        <v/>
      </c>
      <c r="AH500" s="39" t="str">
        <f>IF(AND(E500&lt;&gt;'Povolené hodnoty'!$B$4,F500=10),J500+M500+P500+S500,"")</f>
        <v/>
      </c>
      <c r="AI500" s="40" t="str">
        <f>IF(AND(E500&lt;&gt;'Povolené hodnoty'!$B$4,F500=11),J500+M500+P500+S500,"")</f>
        <v/>
      </c>
      <c r="AJ500" s="40" t="str">
        <f>IF(AND(E500&lt;&gt;'Povolené hodnoty'!$B$4,F500=12),J500+M500+P500+S500,"")</f>
        <v/>
      </c>
      <c r="AK500" s="41" t="str">
        <f>IF(AND(E500&lt;&gt;'Povolené hodnoty'!$B$4,F500=13),J500+M500+P500+S500,"")</f>
        <v/>
      </c>
      <c r="AL500" s="39" t="str">
        <f>IF(AND($G500='Povolené hodnoty'!$B$13,$H500=AL$4),SUM($I500,$L500,$O500,$R500),"")</f>
        <v/>
      </c>
      <c r="AM500" s="458" t="str">
        <f>IF(AND($G500='Povolené hodnoty'!$B$13,$H500=AM$4),SUM($I500,$L500,$O500,$R500),"")</f>
        <v/>
      </c>
      <c r="AN500" s="458" t="str">
        <f>IF(AND($G500='Povolené hodnoty'!$B$13,$H500=AN$4),SUM($I500,$L500,$O500,$R500),"")</f>
        <v/>
      </c>
      <c r="AO500" s="458" t="str">
        <f>IF(AND($G500='Povolené hodnoty'!$B$13,$H500=AO$4),SUM($I500,$L500,$O500,$R500),"")</f>
        <v/>
      </c>
      <c r="AP500" s="458" t="str">
        <f>IF(AND($G500='Povolené hodnoty'!$B$13,$H500=AP$4),SUM($I500,$L500,$O500,$R500),"")</f>
        <v/>
      </c>
      <c r="AQ500" s="40" t="str">
        <f>IF(AND($G500='Povolené hodnoty'!$B$13,OR($H500=AQ$4,$H500='Povolené hodnoty'!$E$36)),SUM($I500,-$J500,$L500,-$M500,$O500,-$P500,$R500,-$S500),"")</f>
        <v/>
      </c>
      <c r="AR500" s="40" t="str">
        <f>IF(AND($G500='Povolené hodnoty'!$B$13,$H500=AR$4),SUM($I500,$L500,$O500,$R500),"")</f>
        <v/>
      </c>
      <c r="AS500" s="41" t="str">
        <f>IF(AND($G500='Povolené hodnoty'!$B$13,$H500=AS$4),SUM($I500,$L500,$O500,$R500),"")</f>
        <v/>
      </c>
      <c r="AT500" s="39" t="str">
        <f>IF(AND($G500='Povolené hodnoty'!$B$14,$H500=AT$4),SUM($I500,$L500,$O500,$R500),"")</f>
        <v/>
      </c>
      <c r="AU500" s="458" t="str">
        <f>IF(AND($G500='Povolené hodnoty'!$B$14,$H500=AU$4),SUM($I500,$L500,$O500,$R500),"")</f>
        <v/>
      </c>
      <c r="AV500" s="41" t="str">
        <f>IF(AND($G500='Povolené hodnoty'!$B$14,$H500=AV$4),SUM($I500,$L500,$O500,$R500),"")</f>
        <v/>
      </c>
      <c r="AW500" s="39" t="str">
        <f>IF(AND($G500='Povolené hodnoty'!$B$13,$H500=AW$4),SUM($J500,$M500,$P500,$S500),"")</f>
        <v/>
      </c>
      <c r="AX500" s="458" t="str">
        <f>IF(AND($G500='Povolené hodnoty'!$B$13,$H500=AX$4),SUM($J500,$M500,$P500,$S500),"")</f>
        <v/>
      </c>
      <c r="AY500" s="458" t="str">
        <f>IF(AND($G500='Povolené hodnoty'!$B$13,$H500=AY$4),SUM($J500,$M500,$P500,$S500),"")</f>
        <v/>
      </c>
      <c r="AZ500" s="458" t="str">
        <f>IF(AND($G500='Povolené hodnoty'!$B$13,$H500=AZ$4),SUM($J500,$M500,$P500,$S500),"")</f>
        <v/>
      </c>
      <c r="BA500" s="458" t="str">
        <f>IF(AND($G500='Povolené hodnoty'!$B$13,$H500=BA$4),SUM($J500,$M500,$P500,$S500),"")</f>
        <v/>
      </c>
      <c r="BB500" s="40" t="str">
        <f>IF(AND($G500='Povolené hodnoty'!$B$13,$H500=BB$4),SUM($J500,$M500,$P500,$S500),"")</f>
        <v/>
      </c>
      <c r="BC500" s="40" t="str">
        <f>IF(AND($G500='Povolené hodnoty'!$B$13,$H500=BC$4),SUM($J500,$M500,$P500,$S500),"")</f>
        <v/>
      </c>
      <c r="BD500" s="40" t="str">
        <f>IF(AND($G500='Povolené hodnoty'!$B$13,$H500=BD$4),SUM($J500,$M500,$P500,$S500),"")</f>
        <v/>
      </c>
      <c r="BE500" s="41" t="str">
        <f>IF(AND($G500='Povolené hodnoty'!$B$13,$H500=BE$4),SUM($J500,$M500,$P500,$S500),"")</f>
        <v/>
      </c>
      <c r="BF500" s="39" t="str">
        <f>IF(AND($G500='Povolené hodnoty'!$B$14,$H500=BF$4),SUM($J500,$M500,$P500,$S500),"")</f>
        <v/>
      </c>
      <c r="BG500" s="458" t="str">
        <f>IF(AND($G500='Povolené hodnoty'!$B$14,$H500=BG$4),SUM($J500,$M500,$P500,$S500),"")</f>
        <v/>
      </c>
      <c r="BH500" s="458" t="str">
        <f>IF(AND($G500='Povolené hodnoty'!$B$14,$H500=BH$4),SUM($J500,$M500,$P500,$S500),"")</f>
        <v/>
      </c>
      <c r="BI500" s="458" t="str">
        <f>IF(AND($G500='Povolené hodnoty'!$B$14,$H500=BI$4),SUM($J500,$M500,$P500,$S500),"")</f>
        <v/>
      </c>
      <c r="BJ500" s="458" t="str">
        <f>IF(AND($G500='Povolené hodnoty'!$B$14,$H500=BJ$4),SUM($J500,$M500,$P500,$S500),"")</f>
        <v/>
      </c>
      <c r="BK500" s="40" t="str">
        <f>IF(AND($G500='Povolené hodnoty'!$B$14,$H500=BK$4),SUM($J500,$M500,$P500,$S500),"")</f>
        <v/>
      </c>
      <c r="BL500" s="40" t="str">
        <f>IF(AND($G500='Povolené hodnoty'!$B$14,$H500=BL$4),SUM($J500,$M500,$P500,$S500),"")</f>
        <v/>
      </c>
      <c r="BM500" s="41" t="str">
        <f>IF(AND($G500='Povolené hodnoty'!$B$14,$H500=BM$4),SUM($J500,$M500,$P500,$S500),"")</f>
        <v/>
      </c>
      <c r="BO500" s="18" t="b">
        <f t="shared" si="281"/>
        <v>0</v>
      </c>
      <c r="BP500" s="18" t="b">
        <f t="shared" si="252"/>
        <v>0</v>
      </c>
      <c r="BQ500" s="18" t="b">
        <f>AND(E500&lt;&gt;'Povolené hodnoty'!$B$6,F500&lt;&gt;'Povolené hodnoty'!$D$7,F500&lt;&gt;'Povolené hodnoty'!$D$8,OR(SUM(I500,L500,O500,R500)&lt;&gt;SUM(W500:X500,AA500:AG500),SUM(J500,M500,P500,S500)&lt;&gt;SUM(Y500:Z500,AH500:AK500),COUNT(I500:J500,L500:M500,O500:P500,R500:S500)&lt;&gt;COUNT(W500:AK500)))</f>
        <v>0</v>
      </c>
      <c r="BR500" s="18" t="b">
        <f>OR(AND(E500='Povolené hodnoty'!$B$6,$BR$5),AND(E500='Povolené hodnoty'!$B$6,H500&lt;&gt;'Povolené hodnoty'!$E$26,H500&lt;&gt;'Povolené hodnoty'!$E$35),AND(E500&lt;&gt;'Povolené hodnoty'!$B$6,OR(H500='Povolené hodnoty'!$E$26,H500='Povolené hodnoty'!$E$35)))</f>
        <v>0</v>
      </c>
      <c r="BS500" s="18" t="b">
        <f>OR(AND(G500&lt;&gt;'Povolené hodnoty'!$B$13,OR(H500='Povolené hodnoty'!$E$21,H500='Povolené hodnoty'!$E$22,H500='Povolené hodnoty'!$E$23,H500='Povolené hodnoty'!$E$24,H500='Povolené hodnoty'!$E$26,H500='Povolené hodnoty'!$E$36)),COUNT(I500:J500,L500:M500,O500:P500,R500:S500)&lt;&gt;COUNT(AL500:BM500))</f>
        <v>0</v>
      </c>
      <c r="BT500" s="18" t="b">
        <f t="shared" si="253"/>
        <v>0</v>
      </c>
      <c r="BV500" s="39" t="str">
        <f t="shared" si="254"/>
        <v/>
      </c>
      <c r="BW500" s="458" t="str">
        <f t="shared" si="255"/>
        <v/>
      </c>
      <c r="BX500" s="458" t="str">
        <f t="shared" si="256"/>
        <v/>
      </c>
      <c r="BY500" s="458" t="str">
        <f t="shared" si="257"/>
        <v/>
      </c>
      <c r="BZ500" s="458" t="str">
        <f t="shared" si="258"/>
        <v/>
      </c>
      <c r="CA500" s="40" t="str">
        <f t="shared" si="259"/>
        <v/>
      </c>
      <c r="CB500" s="40" t="str">
        <f t="shared" si="260"/>
        <v/>
      </c>
      <c r="CC500" s="39" t="str">
        <f t="shared" si="261"/>
        <v/>
      </c>
      <c r="CD500" s="458" t="str">
        <f t="shared" si="262"/>
        <v/>
      </c>
      <c r="CE500" s="41" t="str">
        <f t="shared" si="263"/>
        <v/>
      </c>
      <c r="CF500" s="39" t="str">
        <f t="shared" si="264"/>
        <v/>
      </c>
      <c r="CG500" s="458" t="str">
        <f t="shared" si="265"/>
        <v/>
      </c>
      <c r="CH500" s="458" t="str">
        <f t="shared" si="266"/>
        <v/>
      </c>
      <c r="CI500" s="458" t="str">
        <f t="shared" si="267"/>
        <v/>
      </c>
      <c r="CJ500" s="458" t="str">
        <f t="shared" si="268"/>
        <v/>
      </c>
      <c r="CK500" s="40" t="str">
        <f t="shared" si="269"/>
        <v/>
      </c>
      <c r="CL500" s="40" t="str">
        <f t="shared" si="270"/>
        <v/>
      </c>
      <c r="CM500" s="40" t="str">
        <f t="shared" si="271"/>
        <v/>
      </c>
      <c r="CN500" s="39" t="str">
        <f t="shared" si="272"/>
        <v/>
      </c>
      <c r="CO500" s="458" t="str">
        <f t="shared" si="273"/>
        <v/>
      </c>
      <c r="CP500" s="458" t="str">
        <f t="shared" si="274"/>
        <v/>
      </c>
      <c r="CQ500" s="458" t="str">
        <f t="shared" si="275"/>
        <v/>
      </c>
      <c r="CR500" s="458" t="str">
        <f t="shared" si="276"/>
        <v/>
      </c>
      <c r="CS500" s="40" t="str">
        <f t="shared" si="277"/>
        <v/>
      </c>
      <c r="CT500" s="40" t="str">
        <f t="shared" si="278"/>
        <v/>
      </c>
      <c r="CU500" s="41" t="str">
        <f t="shared" si="279"/>
        <v/>
      </c>
    </row>
    <row r="501" spans="1:99" x14ac:dyDescent="0.2">
      <c r="A501" s="77">
        <f t="shared" si="280"/>
        <v>496</v>
      </c>
      <c r="B501" s="81"/>
      <c r="C501" s="82"/>
      <c r="D501" s="71"/>
      <c r="E501" s="72"/>
      <c r="F501" s="73"/>
      <c r="G501" s="443"/>
      <c r="H501" s="443"/>
      <c r="I501" s="74"/>
      <c r="J501" s="75"/>
      <c r="K501" s="41">
        <f t="shared" si="284"/>
        <v>3625</v>
      </c>
      <c r="L501" s="104"/>
      <c r="M501" s="105"/>
      <c r="N501" s="106">
        <f t="shared" si="285"/>
        <v>537.05999999999995</v>
      </c>
      <c r="O501" s="104"/>
      <c r="P501" s="105"/>
      <c r="Q501" s="106">
        <f t="shared" si="282"/>
        <v>10045.83</v>
      </c>
      <c r="R501" s="104"/>
      <c r="S501" s="105"/>
      <c r="T501" s="106">
        <f t="shared" si="283"/>
        <v>0</v>
      </c>
      <c r="U501" s="439"/>
      <c r="V501" s="42">
        <f t="shared" si="251"/>
        <v>496</v>
      </c>
      <c r="W501" s="39" t="str">
        <f>IF(AND(E501='Povolené hodnoty'!$B$4,F501=2),I501+L501+O501+R501,"")</f>
        <v/>
      </c>
      <c r="X501" s="41" t="str">
        <f>IF(AND(E501='Povolené hodnoty'!$B$4,F501=1),I501+L501+O501+R501,"")</f>
        <v/>
      </c>
      <c r="Y501" s="39" t="str">
        <f>IF(AND(E501='Povolené hodnoty'!$B$4,F501=10),J501+M501+P501+S501,"")</f>
        <v/>
      </c>
      <c r="Z501" s="41" t="str">
        <f>IF(AND(E501='Povolené hodnoty'!$B$4,F501=9),J501+M501+P501+S501,"")</f>
        <v/>
      </c>
      <c r="AA501" s="39" t="str">
        <f>IF(AND(E501&lt;&gt;'Povolené hodnoty'!$B$4,F501=2),I501+L501+O501+R501,"")</f>
        <v/>
      </c>
      <c r="AB501" s="40" t="str">
        <f>IF(AND(E501&lt;&gt;'Povolené hodnoty'!$B$4,F501=3),I501+L501+O501+R501,"")</f>
        <v/>
      </c>
      <c r="AC501" s="40" t="str">
        <f>IF(AND(E501&lt;&gt;'Povolené hodnoty'!$B$4,F501=4),I501+L501+O501+R501,"")</f>
        <v/>
      </c>
      <c r="AD501" s="40" t="str">
        <f>IF(AND(E501&lt;&gt;'Povolené hodnoty'!$B$4,F501="5a"),I501-J501+L501-M501+O501-P501+R501-S501,"")</f>
        <v/>
      </c>
      <c r="AE501" s="40" t="str">
        <f>IF(AND(E501&lt;&gt;'Povolené hodnoty'!$B$4,F501="5b"),I501-J501+L501-M501+O501-P501+R501-S501,"")</f>
        <v/>
      </c>
      <c r="AF501" s="40" t="str">
        <f>IF(AND(E501&lt;&gt;'Povolené hodnoty'!$B$4,F501=6),I501+L501+O501+R501,"")</f>
        <v/>
      </c>
      <c r="AG501" s="41" t="str">
        <f>IF(AND(E501&lt;&gt;'Povolené hodnoty'!$B$4,F501=7),I501+L501+O501+R501,"")</f>
        <v/>
      </c>
      <c r="AH501" s="39" t="str">
        <f>IF(AND(E501&lt;&gt;'Povolené hodnoty'!$B$4,F501=10),J501+M501+P501+S501,"")</f>
        <v/>
      </c>
      <c r="AI501" s="40" t="str">
        <f>IF(AND(E501&lt;&gt;'Povolené hodnoty'!$B$4,F501=11),J501+M501+P501+S501,"")</f>
        <v/>
      </c>
      <c r="AJ501" s="40" t="str">
        <f>IF(AND(E501&lt;&gt;'Povolené hodnoty'!$B$4,F501=12),J501+M501+P501+S501,"")</f>
        <v/>
      </c>
      <c r="AK501" s="41" t="str">
        <f>IF(AND(E501&lt;&gt;'Povolené hodnoty'!$B$4,F501=13),J501+M501+P501+S501,"")</f>
        <v/>
      </c>
      <c r="AL501" s="39" t="str">
        <f>IF(AND($G501='Povolené hodnoty'!$B$13,$H501=AL$4),SUM($I501,$L501,$O501,$R501),"")</f>
        <v/>
      </c>
      <c r="AM501" s="458" t="str">
        <f>IF(AND($G501='Povolené hodnoty'!$B$13,$H501=AM$4),SUM($I501,$L501,$O501,$R501),"")</f>
        <v/>
      </c>
      <c r="AN501" s="458" t="str">
        <f>IF(AND($G501='Povolené hodnoty'!$B$13,$H501=AN$4),SUM($I501,$L501,$O501,$R501),"")</f>
        <v/>
      </c>
      <c r="AO501" s="458" t="str">
        <f>IF(AND($G501='Povolené hodnoty'!$B$13,$H501=AO$4),SUM($I501,$L501,$O501,$R501),"")</f>
        <v/>
      </c>
      <c r="AP501" s="458" t="str">
        <f>IF(AND($G501='Povolené hodnoty'!$B$13,$H501=AP$4),SUM($I501,$L501,$O501,$R501),"")</f>
        <v/>
      </c>
      <c r="AQ501" s="40" t="str">
        <f>IF(AND($G501='Povolené hodnoty'!$B$13,OR($H501=AQ$4,$H501='Povolené hodnoty'!$E$36)),SUM($I501,-$J501,$L501,-$M501,$O501,-$P501,$R501,-$S501),"")</f>
        <v/>
      </c>
      <c r="AR501" s="40" t="str">
        <f>IF(AND($G501='Povolené hodnoty'!$B$13,$H501=AR$4),SUM($I501,$L501,$O501,$R501),"")</f>
        <v/>
      </c>
      <c r="AS501" s="41" t="str">
        <f>IF(AND($G501='Povolené hodnoty'!$B$13,$H501=AS$4),SUM($I501,$L501,$O501,$R501),"")</f>
        <v/>
      </c>
      <c r="AT501" s="39" t="str">
        <f>IF(AND($G501='Povolené hodnoty'!$B$14,$H501=AT$4),SUM($I501,$L501,$O501,$R501),"")</f>
        <v/>
      </c>
      <c r="AU501" s="458" t="str">
        <f>IF(AND($G501='Povolené hodnoty'!$B$14,$H501=AU$4),SUM($I501,$L501,$O501,$R501),"")</f>
        <v/>
      </c>
      <c r="AV501" s="41" t="str">
        <f>IF(AND($G501='Povolené hodnoty'!$B$14,$H501=AV$4),SUM($I501,$L501,$O501,$R501),"")</f>
        <v/>
      </c>
      <c r="AW501" s="39" t="str">
        <f>IF(AND($G501='Povolené hodnoty'!$B$13,$H501=AW$4),SUM($J501,$M501,$P501,$S501),"")</f>
        <v/>
      </c>
      <c r="AX501" s="458" t="str">
        <f>IF(AND($G501='Povolené hodnoty'!$B$13,$H501=AX$4),SUM($J501,$M501,$P501,$S501),"")</f>
        <v/>
      </c>
      <c r="AY501" s="458" t="str">
        <f>IF(AND($G501='Povolené hodnoty'!$B$13,$H501=AY$4),SUM($J501,$M501,$P501,$S501),"")</f>
        <v/>
      </c>
      <c r="AZ501" s="458" t="str">
        <f>IF(AND($G501='Povolené hodnoty'!$B$13,$H501=AZ$4),SUM($J501,$M501,$P501,$S501),"")</f>
        <v/>
      </c>
      <c r="BA501" s="458" t="str">
        <f>IF(AND($G501='Povolené hodnoty'!$B$13,$H501=BA$4),SUM($J501,$M501,$P501,$S501),"")</f>
        <v/>
      </c>
      <c r="BB501" s="40" t="str">
        <f>IF(AND($G501='Povolené hodnoty'!$B$13,$H501=BB$4),SUM($J501,$M501,$P501,$S501),"")</f>
        <v/>
      </c>
      <c r="BC501" s="40" t="str">
        <f>IF(AND($G501='Povolené hodnoty'!$B$13,$H501=BC$4),SUM($J501,$M501,$P501,$S501),"")</f>
        <v/>
      </c>
      <c r="BD501" s="40" t="str">
        <f>IF(AND($G501='Povolené hodnoty'!$B$13,$H501=BD$4),SUM($J501,$M501,$P501,$S501),"")</f>
        <v/>
      </c>
      <c r="BE501" s="41" t="str">
        <f>IF(AND($G501='Povolené hodnoty'!$B$13,$H501=BE$4),SUM($J501,$M501,$P501,$S501),"")</f>
        <v/>
      </c>
      <c r="BF501" s="39" t="str">
        <f>IF(AND($G501='Povolené hodnoty'!$B$14,$H501=BF$4),SUM($J501,$M501,$P501,$S501),"")</f>
        <v/>
      </c>
      <c r="BG501" s="458" t="str">
        <f>IF(AND($G501='Povolené hodnoty'!$B$14,$H501=BG$4),SUM($J501,$M501,$P501,$S501),"")</f>
        <v/>
      </c>
      <c r="BH501" s="458" t="str">
        <f>IF(AND($G501='Povolené hodnoty'!$B$14,$H501=BH$4),SUM($J501,$M501,$P501,$S501),"")</f>
        <v/>
      </c>
      <c r="BI501" s="458" t="str">
        <f>IF(AND($G501='Povolené hodnoty'!$B$14,$H501=BI$4),SUM($J501,$M501,$P501,$S501),"")</f>
        <v/>
      </c>
      <c r="BJ501" s="458" t="str">
        <f>IF(AND($G501='Povolené hodnoty'!$B$14,$H501=BJ$4),SUM($J501,$M501,$P501,$S501),"")</f>
        <v/>
      </c>
      <c r="BK501" s="40" t="str">
        <f>IF(AND($G501='Povolené hodnoty'!$B$14,$H501=BK$4),SUM($J501,$M501,$P501,$S501),"")</f>
        <v/>
      </c>
      <c r="BL501" s="40" t="str">
        <f>IF(AND($G501='Povolené hodnoty'!$B$14,$H501=BL$4),SUM($J501,$M501,$P501,$S501),"")</f>
        <v/>
      </c>
      <c r="BM501" s="41" t="str">
        <f>IF(AND($G501='Povolené hodnoty'!$B$14,$H501=BM$4),SUM($J501,$M501,$P501,$S501),"")</f>
        <v/>
      </c>
      <c r="BO501" s="18" t="b">
        <f t="shared" si="281"/>
        <v>0</v>
      </c>
      <c r="BP501" s="18" t="b">
        <f t="shared" si="252"/>
        <v>0</v>
      </c>
      <c r="BQ501" s="18" t="b">
        <f>AND(E501&lt;&gt;'Povolené hodnoty'!$B$6,F501&lt;&gt;'Povolené hodnoty'!$D$7,F501&lt;&gt;'Povolené hodnoty'!$D$8,OR(SUM(I501,L501,O501,R501)&lt;&gt;SUM(W501:X501,AA501:AG501),SUM(J501,M501,P501,S501)&lt;&gt;SUM(Y501:Z501,AH501:AK501),COUNT(I501:J501,L501:M501,O501:P501,R501:S501)&lt;&gt;COUNT(W501:AK501)))</f>
        <v>0</v>
      </c>
      <c r="BR501" s="18" t="b">
        <f>OR(AND(E501='Povolené hodnoty'!$B$6,$BR$5),AND(E501='Povolené hodnoty'!$B$6,H501&lt;&gt;'Povolené hodnoty'!$E$26,H501&lt;&gt;'Povolené hodnoty'!$E$35),AND(E501&lt;&gt;'Povolené hodnoty'!$B$6,OR(H501='Povolené hodnoty'!$E$26,H501='Povolené hodnoty'!$E$35)))</f>
        <v>0</v>
      </c>
      <c r="BS501" s="18" t="b">
        <f>OR(AND(G501&lt;&gt;'Povolené hodnoty'!$B$13,OR(H501='Povolené hodnoty'!$E$21,H501='Povolené hodnoty'!$E$22,H501='Povolené hodnoty'!$E$23,H501='Povolené hodnoty'!$E$24,H501='Povolené hodnoty'!$E$26,H501='Povolené hodnoty'!$E$36)),COUNT(I501:J501,L501:M501,O501:P501,R501:S501)&lt;&gt;COUNT(AL501:BM501))</f>
        <v>0</v>
      </c>
      <c r="BT501" s="18" t="b">
        <f t="shared" si="253"/>
        <v>0</v>
      </c>
      <c r="BV501" s="39" t="str">
        <f t="shared" si="254"/>
        <v/>
      </c>
      <c r="BW501" s="458" t="str">
        <f t="shared" si="255"/>
        <v/>
      </c>
      <c r="BX501" s="458" t="str">
        <f t="shared" si="256"/>
        <v/>
      </c>
      <c r="BY501" s="458" t="str">
        <f t="shared" si="257"/>
        <v/>
      </c>
      <c r="BZ501" s="458" t="str">
        <f t="shared" si="258"/>
        <v/>
      </c>
      <c r="CA501" s="40" t="str">
        <f t="shared" si="259"/>
        <v/>
      </c>
      <c r="CB501" s="40" t="str">
        <f t="shared" si="260"/>
        <v/>
      </c>
      <c r="CC501" s="39" t="str">
        <f t="shared" si="261"/>
        <v/>
      </c>
      <c r="CD501" s="458" t="str">
        <f t="shared" si="262"/>
        <v/>
      </c>
      <c r="CE501" s="41" t="str">
        <f t="shared" si="263"/>
        <v/>
      </c>
      <c r="CF501" s="39" t="str">
        <f t="shared" si="264"/>
        <v/>
      </c>
      <c r="CG501" s="458" t="str">
        <f t="shared" si="265"/>
        <v/>
      </c>
      <c r="CH501" s="458" t="str">
        <f t="shared" si="266"/>
        <v/>
      </c>
      <c r="CI501" s="458" t="str">
        <f t="shared" si="267"/>
        <v/>
      </c>
      <c r="CJ501" s="458" t="str">
        <f t="shared" si="268"/>
        <v/>
      </c>
      <c r="CK501" s="40" t="str">
        <f t="shared" si="269"/>
        <v/>
      </c>
      <c r="CL501" s="40" t="str">
        <f t="shared" si="270"/>
        <v/>
      </c>
      <c r="CM501" s="40" t="str">
        <f t="shared" si="271"/>
        <v/>
      </c>
      <c r="CN501" s="39" t="str">
        <f t="shared" si="272"/>
        <v/>
      </c>
      <c r="CO501" s="458" t="str">
        <f t="shared" si="273"/>
        <v/>
      </c>
      <c r="CP501" s="458" t="str">
        <f t="shared" si="274"/>
        <v/>
      </c>
      <c r="CQ501" s="458" t="str">
        <f t="shared" si="275"/>
        <v/>
      </c>
      <c r="CR501" s="458" t="str">
        <f t="shared" si="276"/>
        <v/>
      </c>
      <c r="CS501" s="40" t="str">
        <f t="shared" si="277"/>
        <v/>
      </c>
      <c r="CT501" s="40" t="str">
        <f t="shared" si="278"/>
        <v/>
      </c>
      <c r="CU501" s="41" t="str">
        <f t="shared" si="279"/>
        <v/>
      </c>
    </row>
    <row r="502" spans="1:99" x14ac:dyDescent="0.2">
      <c r="A502" s="77">
        <f t="shared" si="280"/>
        <v>497</v>
      </c>
      <c r="B502" s="81"/>
      <c r="C502" s="82"/>
      <c r="D502" s="71"/>
      <c r="E502" s="72"/>
      <c r="F502" s="73"/>
      <c r="G502" s="443"/>
      <c r="H502" s="443"/>
      <c r="I502" s="74"/>
      <c r="J502" s="75"/>
      <c r="K502" s="41">
        <f t="shared" si="284"/>
        <v>3625</v>
      </c>
      <c r="L502" s="104"/>
      <c r="M502" s="105"/>
      <c r="N502" s="106">
        <f t="shared" si="285"/>
        <v>537.05999999999995</v>
      </c>
      <c r="O502" s="104"/>
      <c r="P502" s="105"/>
      <c r="Q502" s="106">
        <f t="shared" si="282"/>
        <v>10045.83</v>
      </c>
      <c r="R502" s="104"/>
      <c r="S502" s="105"/>
      <c r="T502" s="106">
        <f t="shared" si="283"/>
        <v>0</v>
      </c>
      <c r="U502" s="439"/>
      <c r="V502" s="42">
        <f t="shared" si="251"/>
        <v>497</v>
      </c>
      <c r="W502" s="39" t="str">
        <f>IF(AND(E502='Povolené hodnoty'!$B$4,F502=2),I502+L502+O502+R502,"")</f>
        <v/>
      </c>
      <c r="X502" s="41" t="str">
        <f>IF(AND(E502='Povolené hodnoty'!$B$4,F502=1),I502+L502+O502+R502,"")</f>
        <v/>
      </c>
      <c r="Y502" s="39" t="str">
        <f>IF(AND(E502='Povolené hodnoty'!$B$4,F502=10),J502+M502+P502+S502,"")</f>
        <v/>
      </c>
      <c r="Z502" s="41" t="str">
        <f>IF(AND(E502='Povolené hodnoty'!$B$4,F502=9),J502+M502+P502+S502,"")</f>
        <v/>
      </c>
      <c r="AA502" s="39" t="str">
        <f>IF(AND(E502&lt;&gt;'Povolené hodnoty'!$B$4,F502=2),I502+L502+O502+R502,"")</f>
        <v/>
      </c>
      <c r="AB502" s="40" t="str">
        <f>IF(AND(E502&lt;&gt;'Povolené hodnoty'!$B$4,F502=3),I502+L502+O502+R502,"")</f>
        <v/>
      </c>
      <c r="AC502" s="40" t="str">
        <f>IF(AND(E502&lt;&gt;'Povolené hodnoty'!$B$4,F502=4),I502+L502+O502+R502,"")</f>
        <v/>
      </c>
      <c r="AD502" s="40" t="str">
        <f>IF(AND(E502&lt;&gt;'Povolené hodnoty'!$B$4,F502="5a"),I502-J502+L502-M502+O502-P502+R502-S502,"")</f>
        <v/>
      </c>
      <c r="AE502" s="40" t="str">
        <f>IF(AND(E502&lt;&gt;'Povolené hodnoty'!$B$4,F502="5b"),I502-J502+L502-M502+O502-P502+R502-S502,"")</f>
        <v/>
      </c>
      <c r="AF502" s="40" t="str">
        <f>IF(AND(E502&lt;&gt;'Povolené hodnoty'!$B$4,F502=6),I502+L502+O502+R502,"")</f>
        <v/>
      </c>
      <c r="AG502" s="41" t="str">
        <f>IF(AND(E502&lt;&gt;'Povolené hodnoty'!$B$4,F502=7),I502+L502+O502+R502,"")</f>
        <v/>
      </c>
      <c r="AH502" s="39" t="str">
        <f>IF(AND(E502&lt;&gt;'Povolené hodnoty'!$B$4,F502=10),J502+M502+P502+S502,"")</f>
        <v/>
      </c>
      <c r="AI502" s="40" t="str">
        <f>IF(AND(E502&lt;&gt;'Povolené hodnoty'!$B$4,F502=11),J502+M502+P502+S502,"")</f>
        <v/>
      </c>
      <c r="AJ502" s="40" t="str">
        <f>IF(AND(E502&lt;&gt;'Povolené hodnoty'!$B$4,F502=12),J502+M502+P502+S502,"")</f>
        <v/>
      </c>
      <c r="AK502" s="41" t="str">
        <f>IF(AND(E502&lt;&gt;'Povolené hodnoty'!$B$4,F502=13),J502+M502+P502+S502,"")</f>
        <v/>
      </c>
      <c r="AL502" s="39" t="str">
        <f>IF(AND($G502='Povolené hodnoty'!$B$13,$H502=AL$4),SUM($I502,$L502,$O502,$R502),"")</f>
        <v/>
      </c>
      <c r="AM502" s="458" t="str">
        <f>IF(AND($G502='Povolené hodnoty'!$B$13,$H502=AM$4),SUM($I502,$L502,$O502,$R502),"")</f>
        <v/>
      </c>
      <c r="AN502" s="458" t="str">
        <f>IF(AND($G502='Povolené hodnoty'!$B$13,$H502=AN$4),SUM($I502,$L502,$O502,$R502),"")</f>
        <v/>
      </c>
      <c r="AO502" s="458" t="str">
        <f>IF(AND($G502='Povolené hodnoty'!$B$13,$H502=AO$4),SUM($I502,$L502,$O502,$R502),"")</f>
        <v/>
      </c>
      <c r="AP502" s="458" t="str">
        <f>IF(AND($G502='Povolené hodnoty'!$B$13,$H502=AP$4),SUM($I502,$L502,$O502,$R502),"")</f>
        <v/>
      </c>
      <c r="AQ502" s="40" t="str">
        <f>IF(AND($G502='Povolené hodnoty'!$B$13,OR($H502=AQ$4,$H502='Povolené hodnoty'!$E$36)),SUM($I502,-$J502,$L502,-$M502,$O502,-$P502,$R502,-$S502),"")</f>
        <v/>
      </c>
      <c r="AR502" s="40" t="str">
        <f>IF(AND($G502='Povolené hodnoty'!$B$13,$H502=AR$4),SUM($I502,$L502,$O502,$R502),"")</f>
        <v/>
      </c>
      <c r="AS502" s="41" t="str">
        <f>IF(AND($G502='Povolené hodnoty'!$B$13,$H502=AS$4),SUM($I502,$L502,$O502,$R502),"")</f>
        <v/>
      </c>
      <c r="AT502" s="39" t="str">
        <f>IF(AND($G502='Povolené hodnoty'!$B$14,$H502=AT$4),SUM($I502,$L502,$O502,$R502),"")</f>
        <v/>
      </c>
      <c r="AU502" s="458" t="str">
        <f>IF(AND($G502='Povolené hodnoty'!$B$14,$H502=AU$4),SUM($I502,$L502,$O502,$R502),"")</f>
        <v/>
      </c>
      <c r="AV502" s="41" t="str">
        <f>IF(AND($G502='Povolené hodnoty'!$B$14,$H502=AV$4),SUM($I502,$L502,$O502,$R502),"")</f>
        <v/>
      </c>
      <c r="AW502" s="39" t="str">
        <f>IF(AND($G502='Povolené hodnoty'!$B$13,$H502=AW$4),SUM($J502,$M502,$P502,$S502),"")</f>
        <v/>
      </c>
      <c r="AX502" s="458" t="str">
        <f>IF(AND($G502='Povolené hodnoty'!$B$13,$H502=AX$4),SUM($J502,$M502,$P502,$S502),"")</f>
        <v/>
      </c>
      <c r="AY502" s="458" t="str">
        <f>IF(AND($G502='Povolené hodnoty'!$B$13,$H502=AY$4),SUM($J502,$M502,$P502,$S502),"")</f>
        <v/>
      </c>
      <c r="AZ502" s="458" t="str">
        <f>IF(AND($G502='Povolené hodnoty'!$B$13,$H502=AZ$4),SUM($J502,$M502,$P502,$S502),"")</f>
        <v/>
      </c>
      <c r="BA502" s="458" t="str">
        <f>IF(AND($G502='Povolené hodnoty'!$B$13,$H502=BA$4),SUM($J502,$M502,$P502,$S502),"")</f>
        <v/>
      </c>
      <c r="BB502" s="40" t="str">
        <f>IF(AND($G502='Povolené hodnoty'!$B$13,$H502=BB$4),SUM($J502,$M502,$P502,$S502),"")</f>
        <v/>
      </c>
      <c r="BC502" s="40" t="str">
        <f>IF(AND($G502='Povolené hodnoty'!$B$13,$H502=BC$4),SUM($J502,$M502,$P502,$S502),"")</f>
        <v/>
      </c>
      <c r="BD502" s="40" t="str">
        <f>IF(AND($G502='Povolené hodnoty'!$B$13,$H502=BD$4),SUM($J502,$M502,$P502,$S502),"")</f>
        <v/>
      </c>
      <c r="BE502" s="41" t="str">
        <f>IF(AND($G502='Povolené hodnoty'!$B$13,$H502=BE$4),SUM($J502,$M502,$P502,$S502),"")</f>
        <v/>
      </c>
      <c r="BF502" s="39" t="str">
        <f>IF(AND($G502='Povolené hodnoty'!$B$14,$H502=BF$4),SUM($J502,$M502,$P502,$S502),"")</f>
        <v/>
      </c>
      <c r="BG502" s="458" t="str">
        <f>IF(AND($G502='Povolené hodnoty'!$B$14,$H502=BG$4),SUM($J502,$M502,$P502,$S502),"")</f>
        <v/>
      </c>
      <c r="BH502" s="458" t="str">
        <f>IF(AND($G502='Povolené hodnoty'!$B$14,$H502=BH$4),SUM($J502,$M502,$P502,$S502),"")</f>
        <v/>
      </c>
      <c r="BI502" s="458" t="str">
        <f>IF(AND($G502='Povolené hodnoty'!$B$14,$H502=BI$4),SUM($J502,$M502,$P502,$S502),"")</f>
        <v/>
      </c>
      <c r="BJ502" s="458" t="str">
        <f>IF(AND($G502='Povolené hodnoty'!$B$14,$H502=BJ$4),SUM($J502,$M502,$P502,$S502),"")</f>
        <v/>
      </c>
      <c r="BK502" s="40" t="str">
        <f>IF(AND($G502='Povolené hodnoty'!$B$14,$H502=BK$4),SUM($J502,$M502,$P502,$S502),"")</f>
        <v/>
      </c>
      <c r="BL502" s="40" t="str">
        <f>IF(AND($G502='Povolené hodnoty'!$B$14,$H502=BL$4),SUM($J502,$M502,$P502,$S502),"")</f>
        <v/>
      </c>
      <c r="BM502" s="41" t="str">
        <f>IF(AND($G502='Povolené hodnoty'!$B$14,$H502=BM$4),SUM($J502,$M502,$P502,$S502),"")</f>
        <v/>
      </c>
      <c r="BO502" s="18" t="b">
        <f t="shared" si="281"/>
        <v>0</v>
      </c>
      <c r="BP502" s="18" t="b">
        <f t="shared" si="252"/>
        <v>0</v>
      </c>
      <c r="BQ502" s="18" t="b">
        <f>AND(E502&lt;&gt;'Povolené hodnoty'!$B$6,F502&lt;&gt;'Povolené hodnoty'!$D$7,F502&lt;&gt;'Povolené hodnoty'!$D$8,OR(SUM(I502,L502,O502,R502)&lt;&gt;SUM(W502:X502,AA502:AG502),SUM(J502,M502,P502,S502)&lt;&gt;SUM(Y502:Z502,AH502:AK502),COUNT(I502:J502,L502:M502,O502:P502,R502:S502)&lt;&gt;COUNT(W502:AK502)))</f>
        <v>0</v>
      </c>
      <c r="BR502" s="18" t="b">
        <f>OR(AND(E502='Povolené hodnoty'!$B$6,$BR$5),AND(E502='Povolené hodnoty'!$B$6,H502&lt;&gt;'Povolené hodnoty'!$E$26,H502&lt;&gt;'Povolené hodnoty'!$E$35),AND(E502&lt;&gt;'Povolené hodnoty'!$B$6,OR(H502='Povolené hodnoty'!$E$26,H502='Povolené hodnoty'!$E$35)))</f>
        <v>0</v>
      </c>
      <c r="BS502" s="18" t="b">
        <f>OR(AND(G502&lt;&gt;'Povolené hodnoty'!$B$13,OR(H502='Povolené hodnoty'!$E$21,H502='Povolené hodnoty'!$E$22,H502='Povolené hodnoty'!$E$23,H502='Povolené hodnoty'!$E$24,H502='Povolené hodnoty'!$E$26,H502='Povolené hodnoty'!$E$36)),COUNT(I502:J502,L502:M502,O502:P502,R502:S502)&lt;&gt;COUNT(AL502:BM502))</f>
        <v>0</v>
      </c>
      <c r="BT502" s="18" t="b">
        <f t="shared" si="253"/>
        <v>0</v>
      </c>
      <c r="BV502" s="39" t="str">
        <f t="shared" si="254"/>
        <v/>
      </c>
      <c r="BW502" s="458" t="str">
        <f t="shared" si="255"/>
        <v/>
      </c>
      <c r="BX502" s="458" t="str">
        <f t="shared" si="256"/>
        <v/>
      </c>
      <c r="BY502" s="458" t="str">
        <f t="shared" si="257"/>
        <v/>
      </c>
      <c r="BZ502" s="458" t="str">
        <f t="shared" si="258"/>
        <v/>
      </c>
      <c r="CA502" s="40" t="str">
        <f t="shared" si="259"/>
        <v/>
      </c>
      <c r="CB502" s="40" t="str">
        <f t="shared" si="260"/>
        <v/>
      </c>
      <c r="CC502" s="39" t="str">
        <f t="shared" si="261"/>
        <v/>
      </c>
      <c r="CD502" s="458" t="str">
        <f t="shared" si="262"/>
        <v/>
      </c>
      <c r="CE502" s="41" t="str">
        <f t="shared" si="263"/>
        <v/>
      </c>
      <c r="CF502" s="39" t="str">
        <f t="shared" si="264"/>
        <v/>
      </c>
      <c r="CG502" s="458" t="str">
        <f t="shared" si="265"/>
        <v/>
      </c>
      <c r="CH502" s="458" t="str">
        <f t="shared" si="266"/>
        <v/>
      </c>
      <c r="CI502" s="458" t="str">
        <f t="shared" si="267"/>
        <v/>
      </c>
      <c r="CJ502" s="458" t="str">
        <f t="shared" si="268"/>
        <v/>
      </c>
      <c r="CK502" s="40" t="str">
        <f t="shared" si="269"/>
        <v/>
      </c>
      <c r="CL502" s="40" t="str">
        <f t="shared" si="270"/>
        <v/>
      </c>
      <c r="CM502" s="40" t="str">
        <f t="shared" si="271"/>
        <v/>
      </c>
      <c r="CN502" s="39" t="str">
        <f t="shared" si="272"/>
        <v/>
      </c>
      <c r="CO502" s="458" t="str">
        <f t="shared" si="273"/>
        <v/>
      </c>
      <c r="CP502" s="458" t="str">
        <f t="shared" si="274"/>
        <v/>
      </c>
      <c r="CQ502" s="458" t="str">
        <f t="shared" si="275"/>
        <v/>
      </c>
      <c r="CR502" s="458" t="str">
        <f t="shared" si="276"/>
        <v/>
      </c>
      <c r="CS502" s="40" t="str">
        <f t="shared" si="277"/>
        <v/>
      </c>
      <c r="CT502" s="40" t="str">
        <f t="shared" si="278"/>
        <v/>
      </c>
      <c r="CU502" s="41" t="str">
        <f t="shared" si="279"/>
        <v/>
      </c>
    </row>
    <row r="503" spans="1:99" x14ac:dyDescent="0.2">
      <c r="A503" s="77">
        <f t="shared" si="280"/>
        <v>498</v>
      </c>
      <c r="B503" s="81"/>
      <c r="C503" s="82"/>
      <c r="D503" s="71"/>
      <c r="E503" s="72"/>
      <c r="F503" s="73"/>
      <c r="G503" s="443"/>
      <c r="H503" s="443"/>
      <c r="I503" s="74"/>
      <c r="J503" s="75"/>
      <c r="K503" s="41">
        <f t="shared" si="284"/>
        <v>3625</v>
      </c>
      <c r="L503" s="104"/>
      <c r="M503" s="105"/>
      <c r="N503" s="106">
        <f t="shared" si="285"/>
        <v>537.05999999999995</v>
      </c>
      <c r="O503" s="104"/>
      <c r="P503" s="105"/>
      <c r="Q503" s="106">
        <f t="shared" si="282"/>
        <v>10045.83</v>
      </c>
      <c r="R503" s="104"/>
      <c r="S503" s="105"/>
      <c r="T503" s="106">
        <f t="shared" si="283"/>
        <v>0</v>
      </c>
      <c r="U503" s="439"/>
      <c r="V503" s="42">
        <f t="shared" si="251"/>
        <v>498</v>
      </c>
      <c r="W503" s="39" t="str">
        <f>IF(AND(E503='Povolené hodnoty'!$B$4,F503=2),I503+L503+O503+R503,"")</f>
        <v/>
      </c>
      <c r="X503" s="41" t="str">
        <f>IF(AND(E503='Povolené hodnoty'!$B$4,F503=1),I503+L503+O503+R503,"")</f>
        <v/>
      </c>
      <c r="Y503" s="39" t="str">
        <f>IF(AND(E503='Povolené hodnoty'!$B$4,F503=10),J503+M503+P503+S503,"")</f>
        <v/>
      </c>
      <c r="Z503" s="41" t="str">
        <f>IF(AND(E503='Povolené hodnoty'!$B$4,F503=9),J503+M503+P503+S503,"")</f>
        <v/>
      </c>
      <c r="AA503" s="39" t="str">
        <f>IF(AND(E503&lt;&gt;'Povolené hodnoty'!$B$4,F503=2),I503+L503+O503+R503,"")</f>
        <v/>
      </c>
      <c r="AB503" s="40" t="str">
        <f>IF(AND(E503&lt;&gt;'Povolené hodnoty'!$B$4,F503=3),I503+L503+O503+R503,"")</f>
        <v/>
      </c>
      <c r="AC503" s="40" t="str">
        <f>IF(AND(E503&lt;&gt;'Povolené hodnoty'!$B$4,F503=4),I503+L503+O503+R503,"")</f>
        <v/>
      </c>
      <c r="AD503" s="40" t="str">
        <f>IF(AND(E503&lt;&gt;'Povolené hodnoty'!$B$4,F503="5a"),I503-J503+L503-M503+O503-P503+R503-S503,"")</f>
        <v/>
      </c>
      <c r="AE503" s="40" t="str">
        <f>IF(AND(E503&lt;&gt;'Povolené hodnoty'!$B$4,F503="5b"),I503-J503+L503-M503+O503-P503+R503-S503,"")</f>
        <v/>
      </c>
      <c r="AF503" s="40" t="str">
        <f>IF(AND(E503&lt;&gt;'Povolené hodnoty'!$B$4,F503=6),I503+L503+O503+R503,"")</f>
        <v/>
      </c>
      <c r="AG503" s="41" t="str">
        <f>IF(AND(E503&lt;&gt;'Povolené hodnoty'!$B$4,F503=7),I503+L503+O503+R503,"")</f>
        <v/>
      </c>
      <c r="AH503" s="39" t="str">
        <f>IF(AND(E503&lt;&gt;'Povolené hodnoty'!$B$4,F503=10),J503+M503+P503+S503,"")</f>
        <v/>
      </c>
      <c r="AI503" s="40" t="str">
        <f>IF(AND(E503&lt;&gt;'Povolené hodnoty'!$B$4,F503=11),J503+M503+P503+S503,"")</f>
        <v/>
      </c>
      <c r="AJ503" s="40" t="str">
        <f>IF(AND(E503&lt;&gt;'Povolené hodnoty'!$B$4,F503=12),J503+M503+P503+S503,"")</f>
        <v/>
      </c>
      <c r="AK503" s="41" t="str">
        <f>IF(AND(E503&lt;&gt;'Povolené hodnoty'!$B$4,F503=13),J503+M503+P503+S503,"")</f>
        <v/>
      </c>
      <c r="AL503" s="39" t="str">
        <f>IF(AND($G503='Povolené hodnoty'!$B$13,$H503=AL$4),SUM($I503,$L503,$O503,$R503),"")</f>
        <v/>
      </c>
      <c r="AM503" s="458" t="str">
        <f>IF(AND($G503='Povolené hodnoty'!$B$13,$H503=AM$4),SUM($I503,$L503,$O503,$R503),"")</f>
        <v/>
      </c>
      <c r="AN503" s="458" t="str">
        <f>IF(AND($G503='Povolené hodnoty'!$B$13,$H503=AN$4),SUM($I503,$L503,$O503,$R503),"")</f>
        <v/>
      </c>
      <c r="AO503" s="458" t="str">
        <f>IF(AND($G503='Povolené hodnoty'!$B$13,$H503=AO$4),SUM($I503,$L503,$O503,$R503),"")</f>
        <v/>
      </c>
      <c r="AP503" s="458" t="str">
        <f>IF(AND($G503='Povolené hodnoty'!$B$13,$H503=AP$4),SUM($I503,$L503,$O503,$R503),"")</f>
        <v/>
      </c>
      <c r="AQ503" s="40" t="str">
        <f>IF(AND($G503='Povolené hodnoty'!$B$13,OR($H503=AQ$4,$H503='Povolené hodnoty'!$E$36)),SUM($I503,-$J503,$L503,-$M503,$O503,-$P503,$R503,-$S503),"")</f>
        <v/>
      </c>
      <c r="AR503" s="40" t="str">
        <f>IF(AND($G503='Povolené hodnoty'!$B$13,$H503=AR$4),SUM($I503,$L503,$O503,$R503),"")</f>
        <v/>
      </c>
      <c r="AS503" s="41" t="str">
        <f>IF(AND($G503='Povolené hodnoty'!$B$13,$H503=AS$4),SUM($I503,$L503,$O503,$R503),"")</f>
        <v/>
      </c>
      <c r="AT503" s="39" t="str">
        <f>IF(AND($G503='Povolené hodnoty'!$B$14,$H503=AT$4),SUM($I503,$L503,$O503,$R503),"")</f>
        <v/>
      </c>
      <c r="AU503" s="458" t="str">
        <f>IF(AND($G503='Povolené hodnoty'!$B$14,$H503=AU$4),SUM($I503,$L503,$O503,$R503),"")</f>
        <v/>
      </c>
      <c r="AV503" s="41" t="str">
        <f>IF(AND($G503='Povolené hodnoty'!$B$14,$H503=AV$4),SUM($I503,$L503,$O503,$R503),"")</f>
        <v/>
      </c>
      <c r="AW503" s="39" t="str">
        <f>IF(AND($G503='Povolené hodnoty'!$B$13,$H503=AW$4),SUM($J503,$M503,$P503,$S503),"")</f>
        <v/>
      </c>
      <c r="AX503" s="458" t="str">
        <f>IF(AND($G503='Povolené hodnoty'!$B$13,$H503=AX$4),SUM($J503,$M503,$P503,$S503),"")</f>
        <v/>
      </c>
      <c r="AY503" s="458" t="str">
        <f>IF(AND($G503='Povolené hodnoty'!$B$13,$H503=AY$4),SUM($J503,$M503,$P503,$S503),"")</f>
        <v/>
      </c>
      <c r="AZ503" s="458" t="str">
        <f>IF(AND($G503='Povolené hodnoty'!$B$13,$H503=AZ$4),SUM($J503,$M503,$P503,$S503),"")</f>
        <v/>
      </c>
      <c r="BA503" s="458" t="str">
        <f>IF(AND($G503='Povolené hodnoty'!$B$13,$H503=BA$4),SUM($J503,$M503,$P503,$S503),"")</f>
        <v/>
      </c>
      <c r="BB503" s="40" t="str">
        <f>IF(AND($G503='Povolené hodnoty'!$B$13,$H503=BB$4),SUM($J503,$M503,$P503,$S503),"")</f>
        <v/>
      </c>
      <c r="BC503" s="40" t="str">
        <f>IF(AND($G503='Povolené hodnoty'!$B$13,$H503=BC$4),SUM($J503,$M503,$P503,$S503),"")</f>
        <v/>
      </c>
      <c r="BD503" s="40" t="str">
        <f>IF(AND($G503='Povolené hodnoty'!$B$13,$H503=BD$4),SUM($J503,$M503,$P503,$S503),"")</f>
        <v/>
      </c>
      <c r="BE503" s="41" t="str">
        <f>IF(AND($G503='Povolené hodnoty'!$B$13,$H503=BE$4),SUM($J503,$M503,$P503,$S503),"")</f>
        <v/>
      </c>
      <c r="BF503" s="39" t="str">
        <f>IF(AND($G503='Povolené hodnoty'!$B$14,$H503=BF$4),SUM($J503,$M503,$P503,$S503),"")</f>
        <v/>
      </c>
      <c r="BG503" s="458" t="str">
        <f>IF(AND($G503='Povolené hodnoty'!$B$14,$H503=BG$4),SUM($J503,$M503,$P503,$S503),"")</f>
        <v/>
      </c>
      <c r="BH503" s="458" t="str">
        <f>IF(AND($G503='Povolené hodnoty'!$B$14,$H503=BH$4),SUM($J503,$M503,$P503,$S503),"")</f>
        <v/>
      </c>
      <c r="BI503" s="458" t="str">
        <f>IF(AND($G503='Povolené hodnoty'!$B$14,$H503=BI$4),SUM($J503,$M503,$P503,$S503),"")</f>
        <v/>
      </c>
      <c r="BJ503" s="458" t="str">
        <f>IF(AND($G503='Povolené hodnoty'!$B$14,$H503=BJ$4),SUM($J503,$M503,$P503,$S503),"")</f>
        <v/>
      </c>
      <c r="BK503" s="40" t="str">
        <f>IF(AND($G503='Povolené hodnoty'!$B$14,$H503=BK$4),SUM($J503,$M503,$P503,$S503),"")</f>
        <v/>
      </c>
      <c r="BL503" s="40" t="str">
        <f>IF(AND($G503='Povolené hodnoty'!$B$14,$H503=BL$4),SUM($J503,$M503,$P503,$S503),"")</f>
        <v/>
      </c>
      <c r="BM503" s="41" t="str">
        <f>IF(AND($G503='Povolené hodnoty'!$B$14,$H503=BM$4),SUM($J503,$M503,$P503,$S503),"")</f>
        <v/>
      </c>
      <c r="BO503" s="18" t="b">
        <f t="shared" si="281"/>
        <v>0</v>
      </c>
      <c r="BP503" s="18" t="b">
        <f t="shared" si="252"/>
        <v>0</v>
      </c>
      <c r="BQ503" s="18" t="b">
        <f>AND(E503&lt;&gt;'Povolené hodnoty'!$B$6,F503&lt;&gt;'Povolené hodnoty'!$D$7,F503&lt;&gt;'Povolené hodnoty'!$D$8,OR(SUM(I503,L503,O503,R503)&lt;&gt;SUM(W503:X503,AA503:AG503),SUM(J503,M503,P503,S503)&lt;&gt;SUM(Y503:Z503,AH503:AK503),COUNT(I503:J503,L503:M503,O503:P503,R503:S503)&lt;&gt;COUNT(W503:AK503)))</f>
        <v>0</v>
      </c>
      <c r="BR503" s="18" t="b">
        <f>OR(AND(E503='Povolené hodnoty'!$B$6,$BR$5),AND(E503='Povolené hodnoty'!$B$6,H503&lt;&gt;'Povolené hodnoty'!$E$26,H503&lt;&gt;'Povolené hodnoty'!$E$35),AND(E503&lt;&gt;'Povolené hodnoty'!$B$6,OR(H503='Povolené hodnoty'!$E$26,H503='Povolené hodnoty'!$E$35)))</f>
        <v>0</v>
      </c>
      <c r="BS503" s="18" t="b">
        <f>OR(AND(G503&lt;&gt;'Povolené hodnoty'!$B$13,OR(H503='Povolené hodnoty'!$E$21,H503='Povolené hodnoty'!$E$22,H503='Povolené hodnoty'!$E$23,H503='Povolené hodnoty'!$E$24,H503='Povolené hodnoty'!$E$26,H503='Povolené hodnoty'!$E$36)),COUNT(I503:J503,L503:M503,O503:P503,R503:S503)&lt;&gt;COUNT(AL503:BM503))</f>
        <v>0</v>
      </c>
      <c r="BT503" s="18" t="b">
        <f t="shared" si="253"/>
        <v>0</v>
      </c>
      <c r="BV503" s="39" t="str">
        <f t="shared" si="254"/>
        <v/>
      </c>
      <c r="BW503" s="458" t="str">
        <f t="shared" si="255"/>
        <v/>
      </c>
      <c r="BX503" s="458" t="str">
        <f t="shared" si="256"/>
        <v/>
      </c>
      <c r="BY503" s="458" t="str">
        <f t="shared" si="257"/>
        <v/>
      </c>
      <c r="BZ503" s="458" t="str">
        <f t="shared" si="258"/>
        <v/>
      </c>
      <c r="CA503" s="40" t="str">
        <f t="shared" si="259"/>
        <v/>
      </c>
      <c r="CB503" s="40" t="str">
        <f t="shared" si="260"/>
        <v/>
      </c>
      <c r="CC503" s="39" t="str">
        <f t="shared" si="261"/>
        <v/>
      </c>
      <c r="CD503" s="458" t="str">
        <f t="shared" si="262"/>
        <v/>
      </c>
      <c r="CE503" s="41" t="str">
        <f t="shared" si="263"/>
        <v/>
      </c>
      <c r="CF503" s="39" t="str">
        <f t="shared" si="264"/>
        <v/>
      </c>
      <c r="CG503" s="458" t="str">
        <f t="shared" si="265"/>
        <v/>
      </c>
      <c r="CH503" s="458" t="str">
        <f t="shared" si="266"/>
        <v/>
      </c>
      <c r="CI503" s="458" t="str">
        <f t="shared" si="267"/>
        <v/>
      </c>
      <c r="CJ503" s="458" t="str">
        <f t="shared" si="268"/>
        <v/>
      </c>
      <c r="CK503" s="40" t="str">
        <f t="shared" si="269"/>
        <v/>
      </c>
      <c r="CL503" s="40" t="str">
        <f t="shared" si="270"/>
        <v/>
      </c>
      <c r="CM503" s="40" t="str">
        <f t="shared" si="271"/>
        <v/>
      </c>
      <c r="CN503" s="39" t="str">
        <f t="shared" si="272"/>
        <v/>
      </c>
      <c r="CO503" s="458" t="str">
        <f t="shared" si="273"/>
        <v/>
      </c>
      <c r="CP503" s="458" t="str">
        <f t="shared" si="274"/>
        <v/>
      </c>
      <c r="CQ503" s="458" t="str">
        <f t="shared" si="275"/>
        <v/>
      </c>
      <c r="CR503" s="458" t="str">
        <f t="shared" si="276"/>
        <v/>
      </c>
      <c r="CS503" s="40" t="str">
        <f t="shared" si="277"/>
        <v/>
      </c>
      <c r="CT503" s="40" t="str">
        <f t="shared" si="278"/>
        <v/>
      </c>
      <c r="CU503" s="41" t="str">
        <f t="shared" si="279"/>
        <v/>
      </c>
    </row>
    <row r="504" spans="1:99" x14ac:dyDescent="0.2">
      <c r="A504" s="77">
        <f t="shared" si="280"/>
        <v>499</v>
      </c>
      <c r="B504" s="81"/>
      <c r="C504" s="82"/>
      <c r="D504" s="71"/>
      <c r="E504" s="72"/>
      <c r="F504" s="73"/>
      <c r="G504" s="443"/>
      <c r="H504" s="443"/>
      <c r="I504" s="74"/>
      <c r="J504" s="75"/>
      <c r="K504" s="41">
        <f t="shared" si="284"/>
        <v>3625</v>
      </c>
      <c r="L504" s="104"/>
      <c r="M504" s="105"/>
      <c r="N504" s="106">
        <f t="shared" si="285"/>
        <v>537.05999999999995</v>
      </c>
      <c r="O504" s="104"/>
      <c r="P504" s="105"/>
      <c r="Q504" s="106">
        <f t="shared" si="282"/>
        <v>10045.83</v>
      </c>
      <c r="R504" s="104"/>
      <c r="S504" s="105"/>
      <c r="T504" s="106">
        <f t="shared" si="283"/>
        <v>0</v>
      </c>
      <c r="U504" s="439"/>
      <c r="V504" s="42">
        <f t="shared" si="251"/>
        <v>499</v>
      </c>
      <c r="W504" s="39" t="str">
        <f>IF(AND(E504='Povolené hodnoty'!$B$4,F504=2),I504+L504+O504+R504,"")</f>
        <v/>
      </c>
      <c r="X504" s="41" t="str">
        <f>IF(AND(E504='Povolené hodnoty'!$B$4,F504=1),I504+L504+O504+R504,"")</f>
        <v/>
      </c>
      <c r="Y504" s="39" t="str">
        <f>IF(AND(E504='Povolené hodnoty'!$B$4,F504=10),J504+M504+P504+S504,"")</f>
        <v/>
      </c>
      <c r="Z504" s="41" t="str">
        <f>IF(AND(E504='Povolené hodnoty'!$B$4,F504=9),J504+M504+P504+S504,"")</f>
        <v/>
      </c>
      <c r="AA504" s="39" t="str">
        <f>IF(AND(E504&lt;&gt;'Povolené hodnoty'!$B$4,F504=2),I504+L504+O504+R504,"")</f>
        <v/>
      </c>
      <c r="AB504" s="40" t="str">
        <f>IF(AND(E504&lt;&gt;'Povolené hodnoty'!$B$4,F504=3),I504+L504+O504+R504,"")</f>
        <v/>
      </c>
      <c r="AC504" s="40" t="str">
        <f>IF(AND(E504&lt;&gt;'Povolené hodnoty'!$B$4,F504=4),I504+L504+O504+R504,"")</f>
        <v/>
      </c>
      <c r="AD504" s="40" t="str">
        <f>IF(AND(E504&lt;&gt;'Povolené hodnoty'!$B$4,F504="5a"),I504-J504+L504-M504+O504-P504+R504-S504,"")</f>
        <v/>
      </c>
      <c r="AE504" s="40" t="str">
        <f>IF(AND(E504&lt;&gt;'Povolené hodnoty'!$B$4,F504="5b"),I504-J504+L504-M504+O504-P504+R504-S504,"")</f>
        <v/>
      </c>
      <c r="AF504" s="40" t="str">
        <f>IF(AND(E504&lt;&gt;'Povolené hodnoty'!$B$4,F504=6),I504+L504+O504+R504,"")</f>
        <v/>
      </c>
      <c r="AG504" s="41" t="str">
        <f>IF(AND(E504&lt;&gt;'Povolené hodnoty'!$B$4,F504=7),I504+L504+O504+R504,"")</f>
        <v/>
      </c>
      <c r="AH504" s="39" t="str">
        <f>IF(AND(E504&lt;&gt;'Povolené hodnoty'!$B$4,F504=10),J504+M504+P504+S504,"")</f>
        <v/>
      </c>
      <c r="AI504" s="40" t="str">
        <f>IF(AND(E504&lt;&gt;'Povolené hodnoty'!$B$4,F504=11),J504+M504+P504+S504,"")</f>
        <v/>
      </c>
      <c r="AJ504" s="40" t="str">
        <f>IF(AND(E504&lt;&gt;'Povolené hodnoty'!$B$4,F504=12),J504+M504+P504+S504,"")</f>
        <v/>
      </c>
      <c r="AK504" s="41" t="str">
        <f>IF(AND(E504&lt;&gt;'Povolené hodnoty'!$B$4,F504=13),J504+M504+P504+S504,"")</f>
        <v/>
      </c>
      <c r="AL504" s="39" t="str">
        <f>IF(AND($G504='Povolené hodnoty'!$B$13,$H504=AL$4),SUM($I504,$L504,$O504,$R504),"")</f>
        <v/>
      </c>
      <c r="AM504" s="458" t="str">
        <f>IF(AND($G504='Povolené hodnoty'!$B$13,$H504=AM$4),SUM($I504,$L504,$O504,$R504),"")</f>
        <v/>
      </c>
      <c r="AN504" s="458" t="str">
        <f>IF(AND($G504='Povolené hodnoty'!$B$13,$H504=AN$4),SUM($I504,$L504,$O504,$R504),"")</f>
        <v/>
      </c>
      <c r="AO504" s="458" t="str">
        <f>IF(AND($G504='Povolené hodnoty'!$B$13,$H504=AO$4),SUM($I504,$L504,$O504,$R504),"")</f>
        <v/>
      </c>
      <c r="AP504" s="458" t="str">
        <f>IF(AND($G504='Povolené hodnoty'!$B$13,$H504=AP$4),SUM($I504,$L504,$O504,$R504),"")</f>
        <v/>
      </c>
      <c r="AQ504" s="40" t="str">
        <f>IF(AND($G504='Povolené hodnoty'!$B$13,OR($H504=AQ$4,$H504='Povolené hodnoty'!$E$36)),SUM($I504,-$J504,$L504,-$M504,$O504,-$P504,$R504,-$S504),"")</f>
        <v/>
      </c>
      <c r="AR504" s="40" t="str">
        <f>IF(AND($G504='Povolené hodnoty'!$B$13,$H504=AR$4),SUM($I504,$L504,$O504,$R504),"")</f>
        <v/>
      </c>
      <c r="AS504" s="41" t="str">
        <f>IF(AND($G504='Povolené hodnoty'!$B$13,$H504=AS$4),SUM($I504,$L504,$O504,$R504),"")</f>
        <v/>
      </c>
      <c r="AT504" s="39" t="str">
        <f>IF(AND($G504='Povolené hodnoty'!$B$14,$H504=AT$4),SUM($I504,$L504,$O504,$R504),"")</f>
        <v/>
      </c>
      <c r="AU504" s="458" t="str">
        <f>IF(AND($G504='Povolené hodnoty'!$B$14,$H504=AU$4),SUM($I504,$L504,$O504,$R504),"")</f>
        <v/>
      </c>
      <c r="AV504" s="41" t="str">
        <f>IF(AND($G504='Povolené hodnoty'!$B$14,$H504=AV$4),SUM($I504,$L504,$O504,$R504),"")</f>
        <v/>
      </c>
      <c r="AW504" s="39" t="str">
        <f>IF(AND($G504='Povolené hodnoty'!$B$13,$H504=AW$4),SUM($J504,$M504,$P504,$S504),"")</f>
        <v/>
      </c>
      <c r="AX504" s="458" t="str">
        <f>IF(AND($G504='Povolené hodnoty'!$B$13,$H504=AX$4),SUM($J504,$M504,$P504,$S504),"")</f>
        <v/>
      </c>
      <c r="AY504" s="458" t="str">
        <f>IF(AND($G504='Povolené hodnoty'!$B$13,$H504=AY$4),SUM($J504,$M504,$P504,$S504),"")</f>
        <v/>
      </c>
      <c r="AZ504" s="458" t="str">
        <f>IF(AND($G504='Povolené hodnoty'!$B$13,$H504=AZ$4),SUM($J504,$M504,$P504,$S504),"")</f>
        <v/>
      </c>
      <c r="BA504" s="458" t="str">
        <f>IF(AND($G504='Povolené hodnoty'!$B$13,$H504=BA$4),SUM($J504,$M504,$P504,$S504),"")</f>
        <v/>
      </c>
      <c r="BB504" s="40" t="str">
        <f>IF(AND($G504='Povolené hodnoty'!$B$13,$H504=BB$4),SUM($J504,$M504,$P504,$S504),"")</f>
        <v/>
      </c>
      <c r="BC504" s="40" t="str">
        <f>IF(AND($G504='Povolené hodnoty'!$B$13,$H504=BC$4),SUM($J504,$M504,$P504,$S504),"")</f>
        <v/>
      </c>
      <c r="BD504" s="40" t="str">
        <f>IF(AND($G504='Povolené hodnoty'!$B$13,$H504=BD$4),SUM($J504,$M504,$P504,$S504),"")</f>
        <v/>
      </c>
      <c r="BE504" s="41" t="str">
        <f>IF(AND($G504='Povolené hodnoty'!$B$13,$H504=BE$4),SUM($J504,$M504,$P504,$S504),"")</f>
        <v/>
      </c>
      <c r="BF504" s="39" t="str">
        <f>IF(AND($G504='Povolené hodnoty'!$B$14,$H504=BF$4),SUM($J504,$M504,$P504,$S504),"")</f>
        <v/>
      </c>
      <c r="BG504" s="458" t="str">
        <f>IF(AND($G504='Povolené hodnoty'!$B$14,$H504=BG$4),SUM($J504,$M504,$P504,$S504),"")</f>
        <v/>
      </c>
      <c r="BH504" s="458" t="str">
        <f>IF(AND($G504='Povolené hodnoty'!$B$14,$H504=BH$4),SUM($J504,$M504,$P504,$S504),"")</f>
        <v/>
      </c>
      <c r="BI504" s="458" t="str">
        <f>IF(AND($G504='Povolené hodnoty'!$B$14,$H504=BI$4),SUM($J504,$M504,$P504,$S504),"")</f>
        <v/>
      </c>
      <c r="BJ504" s="458" t="str">
        <f>IF(AND($G504='Povolené hodnoty'!$B$14,$H504=BJ$4),SUM($J504,$M504,$P504,$S504),"")</f>
        <v/>
      </c>
      <c r="BK504" s="40" t="str">
        <f>IF(AND($G504='Povolené hodnoty'!$B$14,$H504=BK$4),SUM($J504,$M504,$P504,$S504),"")</f>
        <v/>
      </c>
      <c r="BL504" s="40" t="str">
        <f>IF(AND($G504='Povolené hodnoty'!$B$14,$H504=BL$4),SUM($J504,$M504,$P504,$S504),"")</f>
        <v/>
      </c>
      <c r="BM504" s="41" t="str">
        <f>IF(AND($G504='Povolené hodnoty'!$B$14,$H504=BM$4),SUM($J504,$M504,$P504,$S504),"")</f>
        <v/>
      </c>
      <c r="BO504" s="18" t="b">
        <f t="shared" si="281"/>
        <v>0</v>
      </c>
      <c r="BP504" s="18" t="b">
        <f t="shared" si="252"/>
        <v>0</v>
      </c>
      <c r="BQ504" s="18" t="b">
        <f>AND(E504&lt;&gt;'Povolené hodnoty'!$B$6,F504&lt;&gt;'Povolené hodnoty'!$D$7,F504&lt;&gt;'Povolené hodnoty'!$D$8,OR(SUM(I504,L504,O504,R504)&lt;&gt;SUM(W504:X504,AA504:AG504),SUM(J504,M504,P504,S504)&lt;&gt;SUM(Y504:Z504,AH504:AK504),COUNT(I504:J504,L504:M504,O504:P504,R504:S504)&lt;&gt;COUNT(W504:AK504)))</f>
        <v>0</v>
      </c>
      <c r="BR504" s="18" t="b">
        <f>OR(AND(E504='Povolené hodnoty'!$B$6,$BR$5),AND(E504='Povolené hodnoty'!$B$6,H504&lt;&gt;'Povolené hodnoty'!$E$26,H504&lt;&gt;'Povolené hodnoty'!$E$35),AND(E504&lt;&gt;'Povolené hodnoty'!$B$6,OR(H504='Povolené hodnoty'!$E$26,H504='Povolené hodnoty'!$E$35)))</f>
        <v>0</v>
      </c>
      <c r="BS504" s="18" t="b">
        <f>OR(AND(G504&lt;&gt;'Povolené hodnoty'!$B$13,OR(H504='Povolené hodnoty'!$E$21,H504='Povolené hodnoty'!$E$22,H504='Povolené hodnoty'!$E$23,H504='Povolené hodnoty'!$E$24,H504='Povolené hodnoty'!$E$26,H504='Povolené hodnoty'!$E$36)),COUNT(I504:J504,L504:M504,O504:P504,R504:S504)&lt;&gt;COUNT(AL504:BM504))</f>
        <v>0</v>
      </c>
      <c r="BT504" s="18" t="b">
        <f t="shared" si="253"/>
        <v>0</v>
      </c>
      <c r="BV504" s="39" t="str">
        <f t="shared" si="254"/>
        <v/>
      </c>
      <c r="BW504" s="458" t="str">
        <f t="shared" si="255"/>
        <v/>
      </c>
      <c r="BX504" s="458" t="str">
        <f t="shared" si="256"/>
        <v/>
      </c>
      <c r="BY504" s="458" t="str">
        <f t="shared" si="257"/>
        <v/>
      </c>
      <c r="BZ504" s="458" t="str">
        <f t="shared" si="258"/>
        <v/>
      </c>
      <c r="CA504" s="40" t="str">
        <f t="shared" si="259"/>
        <v/>
      </c>
      <c r="CB504" s="40" t="str">
        <f t="shared" si="260"/>
        <v/>
      </c>
      <c r="CC504" s="39" t="str">
        <f t="shared" si="261"/>
        <v/>
      </c>
      <c r="CD504" s="458" t="str">
        <f t="shared" si="262"/>
        <v/>
      </c>
      <c r="CE504" s="41" t="str">
        <f t="shared" si="263"/>
        <v/>
      </c>
      <c r="CF504" s="39" t="str">
        <f t="shared" si="264"/>
        <v/>
      </c>
      <c r="CG504" s="458" t="str">
        <f t="shared" si="265"/>
        <v/>
      </c>
      <c r="CH504" s="458" t="str">
        <f t="shared" si="266"/>
        <v/>
      </c>
      <c r="CI504" s="458" t="str">
        <f t="shared" si="267"/>
        <v/>
      </c>
      <c r="CJ504" s="458" t="str">
        <f t="shared" si="268"/>
        <v/>
      </c>
      <c r="CK504" s="40" t="str">
        <f t="shared" si="269"/>
        <v/>
      </c>
      <c r="CL504" s="40" t="str">
        <f t="shared" si="270"/>
        <v/>
      </c>
      <c r="CM504" s="40" t="str">
        <f t="shared" si="271"/>
        <v/>
      </c>
      <c r="CN504" s="39" t="str">
        <f t="shared" si="272"/>
        <v/>
      </c>
      <c r="CO504" s="458" t="str">
        <f t="shared" si="273"/>
        <v/>
      </c>
      <c r="CP504" s="458" t="str">
        <f t="shared" si="274"/>
        <v/>
      </c>
      <c r="CQ504" s="458" t="str">
        <f t="shared" si="275"/>
        <v/>
      </c>
      <c r="CR504" s="458" t="str">
        <f t="shared" si="276"/>
        <v/>
      </c>
      <c r="CS504" s="40" t="str">
        <f t="shared" si="277"/>
        <v/>
      </c>
      <c r="CT504" s="40" t="str">
        <f t="shared" si="278"/>
        <v/>
      </c>
      <c r="CU504" s="41" t="str">
        <f t="shared" si="279"/>
        <v/>
      </c>
    </row>
    <row r="505" spans="1:99" x14ac:dyDescent="0.2">
      <c r="A505" s="77">
        <f t="shared" si="280"/>
        <v>500</v>
      </c>
      <c r="B505" s="81"/>
      <c r="C505" s="82"/>
      <c r="D505" s="71"/>
      <c r="E505" s="72"/>
      <c r="F505" s="73"/>
      <c r="G505" s="443"/>
      <c r="H505" s="443"/>
      <c r="I505" s="74"/>
      <c r="J505" s="75"/>
      <c r="K505" s="41">
        <f t="shared" si="284"/>
        <v>3625</v>
      </c>
      <c r="L505" s="104"/>
      <c r="M505" s="105"/>
      <c r="N505" s="106">
        <f t="shared" si="285"/>
        <v>537.05999999999995</v>
      </c>
      <c r="O505" s="104"/>
      <c r="P505" s="105"/>
      <c r="Q505" s="106">
        <f t="shared" si="282"/>
        <v>10045.83</v>
      </c>
      <c r="R505" s="104"/>
      <c r="S505" s="105"/>
      <c r="T505" s="106">
        <f t="shared" si="283"/>
        <v>0</v>
      </c>
      <c r="U505" s="439"/>
      <c r="V505" s="42">
        <f t="shared" si="251"/>
        <v>500</v>
      </c>
      <c r="W505" s="39" t="str">
        <f>IF(AND(E505='Povolené hodnoty'!$B$4,F505=2),I505+L505+O505+R505,"")</f>
        <v/>
      </c>
      <c r="X505" s="41" t="str">
        <f>IF(AND(E505='Povolené hodnoty'!$B$4,F505=1),I505+L505+O505+R505,"")</f>
        <v/>
      </c>
      <c r="Y505" s="39" t="str">
        <f>IF(AND(E505='Povolené hodnoty'!$B$4,F505=10),J505+M505+P505+S505,"")</f>
        <v/>
      </c>
      <c r="Z505" s="41" t="str">
        <f>IF(AND(E505='Povolené hodnoty'!$B$4,F505=9),J505+M505+P505+S505,"")</f>
        <v/>
      </c>
      <c r="AA505" s="39" t="str">
        <f>IF(AND(E505&lt;&gt;'Povolené hodnoty'!$B$4,F505=2),I505+L505+O505+R505,"")</f>
        <v/>
      </c>
      <c r="AB505" s="40" t="str">
        <f>IF(AND(E505&lt;&gt;'Povolené hodnoty'!$B$4,F505=3),I505+L505+O505+R505,"")</f>
        <v/>
      </c>
      <c r="AC505" s="40" t="str">
        <f>IF(AND(E505&lt;&gt;'Povolené hodnoty'!$B$4,F505=4),I505+L505+O505+R505,"")</f>
        <v/>
      </c>
      <c r="AD505" s="40" t="str">
        <f>IF(AND(E505&lt;&gt;'Povolené hodnoty'!$B$4,F505="5a"),I505-J505+L505-M505+O505-P505+R505-S505,"")</f>
        <v/>
      </c>
      <c r="AE505" s="40" t="str">
        <f>IF(AND(E505&lt;&gt;'Povolené hodnoty'!$B$4,F505="5b"),I505-J505+L505-M505+O505-P505+R505-S505,"")</f>
        <v/>
      </c>
      <c r="AF505" s="40" t="str">
        <f>IF(AND(E505&lt;&gt;'Povolené hodnoty'!$B$4,F505=6),I505+L505+O505+R505,"")</f>
        <v/>
      </c>
      <c r="AG505" s="41" t="str">
        <f>IF(AND(E505&lt;&gt;'Povolené hodnoty'!$B$4,F505=7),I505+L505+O505+R505,"")</f>
        <v/>
      </c>
      <c r="AH505" s="39" t="str">
        <f>IF(AND(E505&lt;&gt;'Povolené hodnoty'!$B$4,F505=10),J505+M505+P505+S505,"")</f>
        <v/>
      </c>
      <c r="AI505" s="40" t="str">
        <f>IF(AND(E505&lt;&gt;'Povolené hodnoty'!$B$4,F505=11),J505+M505+P505+S505,"")</f>
        <v/>
      </c>
      <c r="AJ505" s="40" t="str">
        <f>IF(AND(E505&lt;&gt;'Povolené hodnoty'!$B$4,F505=12),J505+M505+P505+S505,"")</f>
        <v/>
      </c>
      <c r="AK505" s="41" t="str">
        <f>IF(AND(E505&lt;&gt;'Povolené hodnoty'!$B$4,F505=13),J505+M505+P505+S505,"")</f>
        <v/>
      </c>
      <c r="AL505" s="39" t="str">
        <f>IF(AND($G505='Povolené hodnoty'!$B$13,$H505=AL$4),SUM($I505,$L505,$O505,$R505),"")</f>
        <v/>
      </c>
      <c r="AM505" s="458" t="str">
        <f>IF(AND($G505='Povolené hodnoty'!$B$13,$H505=AM$4),SUM($I505,$L505,$O505,$R505),"")</f>
        <v/>
      </c>
      <c r="AN505" s="458" t="str">
        <f>IF(AND($G505='Povolené hodnoty'!$B$13,$H505=AN$4),SUM($I505,$L505,$O505,$R505),"")</f>
        <v/>
      </c>
      <c r="AO505" s="458" t="str">
        <f>IF(AND($G505='Povolené hodnoty'!$B$13,$H505=AO$4),SUM($I505,$L505,$O505,$R505),"")</f>
        <v/>
      </c>
      <c r="AP505" s="458" t="str">
        <f>IF(AND($G505='Povolené hodnoty'!$B$13,$H505=AP$4),SUM($I505,$L505,$O505,$R505),"")</f>
        <v/>
      </c>
      <c r="AQ505" s="40" t="str">
        <f>IF(AND($G505='Povolené hodnoty'!$B$13,OR($H505=AQ$4,$H505='Povolené hodnoty'!$E$36)),SUM($I505,-$J505,$L505,-$M505,$O505,-$P505,$R505,-$S505),"")</f>
        <v/>
      </c>
      <c r="AR505" s="40" t="str">
        <f>IF(AND($G505='Povolené hodnoty'!$B$13,$H505=AR$4),SUM($I505,$L505,$O505,$R505),"")</f>
        <v/>
      </c>
      <c r="AS505" s="41" t="str">
        <f>IF(AND($G505='Povolené hodnoty'!$B$13,$H505=AS$4),SUM($I505,$L505,$O505,$R505),"")</f>
        <v/>
      </c>
      <c r="AT505" s="39" t="str">
        <f>IF(AND($G505='Povolené hodnoty'!$B$14,$H505=AT$4),SUM($I505,$L505,$O505,$R505),"")</f>
        <v/>
      </c>
      <c r="AU505" s="458" t="str">
        <f>IF(AND($G505='Povolené hodnoty'!$B$14,$H505=AU$4),SUM($I505,$L505,$O505,$R505),"")</f>
        <v/>
      </c>
      <c r="AV505" s="41" t="str">
        <f>IF(AND($G505='Povolené hodnoty'!$B$14,$H505=AV$4),SUM($I505,$L505,$O505,$R505),"")</f>
        <v/>
      </c>
      <c r="AW505" s="39" t="str">
        <f>IF(AND($G505='Povolené hodnoty'!$B$13,$H505=AW$4),SUM($J505,$M505,$P505,$S505),"")</f>
        <v/>
      </c>
      <c r="AX505" s="458" t="str">
        <f>IF(AND($G505='Povolené hodnoty'!$B$13,$H505=AX$4),SUM($J505,$M505,$P505,$S505),"")</f>
        <v/>
      </c>
      <c r="AY505" s="458" t="str">
        <f>IF(AND($G505='Povolené hodnoty'!$B$13,$H505=AY$4),SUM($J505,$M505,$P505,$S505),"")</f>
        <v/>
      </c>
      <c r="AZ505" s="458" t="str">
        <f>IF(AND($G505='Povolené hodnoty'!$B$13,$H505=AZ$4),SUM($J505,$M505,$P505,$S505),"")</f>
        <v/>
      </c>
      <c r="BA505" s="458" t="str">
        <f>IF(AND($G505='Povolené hodnoty'!$B$13,$H505=BA$4),SUM($J505,$M505,$P505,$S505),"")</f>
        <v/>
      </c>
      <c r="BB505" s="40" t="str">
        <f>IF(AND($G505='Povolené hodnoty'!$B$13,$H505=BB$4),SUM($J505,$M505,$P505,$S505),"")</f>
        <v/>
      </c>
      <c r="BC505" s="40" t="str">
        <f>IF(AND($G505='Povolené hodnoty'!$B$13,$H505=BC$4),SUM($J505,$M505,$P505,$S505),"")</f>
        <v/>
      </c>
      <c r="BD505" s="40" t="str">
        <f>IF(AND($G505='Povolené hodnoty'!$B$13,$H505=BD$4),SUM($J505,$M505,$P505,$S505),"")</f>
        <v/>
      </c>
      <c r="BE505" s="41" t="str">
        <f>IF(AND($G505='Povolené hodnoty'!$B$13,$H505=BE$4),SUM($J505,$M505,$P505,$S505),"")</f>
        <v/>
      </c>
      <c r="BF505" s="39" t="str">
        <f>IF(AND($G505='Povolené hodnoty'!$B$14,$H505=BF$4),SUM($J505,$M505,$P505,$S505),"")</f>
        <v/>
      </c>
      <c r="BG505" s="458" t="str">
        <f>IF(AND($G505='Povolené hodnoty'!$B$14,$H505=BG$4),SUM($J505,$M505,$P505,$S505),"")</f>
        <v/>
      </c>
      <c r="BH505" s="458" t="str">
        <f>IF(AND($G505='Povolené hodnoty'!$B$14,$H505=BH$4),SUM($J505,$M505,$P505,$S505),"")</f>
        <v/>
      </c>
      <c r="BI505" s="458" t="str">
        <f>IF(AND($G505='Povolené hodnoty'!$B$14,$H505=BI$4),SUM($J505,$M505,$P505,$S505),"")</f>
        <v/>
      </c>
      <c r="BJ505" s="458" t="str">
        <f>IF(AND($G505='Povolené hodnoty'!$B$14,$H505=BJ$4),SUM($J505,$M505,$P505,$S505),"")</f>
        <v/>
      </c>
      <c r="BK505" s="40" t="str">
        <f>IF(AND($G505='Povolené hodnoty'!$B$14,$H505=BK$4),SUM($J505,$M505,$P505,$S505),"")</f>
        <v/>
      </c>
      <c r="BL505" s="40" t="str">
        <f>IF(AND($G505='Povolené hodnoty'!$B$14,$H505=BL$4),SUM($J505,$M505,$P505,$S505),"")</f>
        <v/>
      </c>
      <c r="BM505" s="41" t="str">
        <f>IF(AND($G505='Povolené hodnoty'!$B$14,$H505=BM$4),SUM($J505,$M505,$P505,$S505),"")</f>
        <v/>
      </c>
      <c r="BO505" s="18" t="b">
        <f t="shared" si="281"/>
        <v>0</v>
      </c>
      <c r="BP505" s="18" t="b">
        <f t="shared" si="252"/>
        <v>0</v>
      </c>
      <c r="BQ505" s="18" t="b">
        <f>AND(E505&lt;&gt;'Povolené hodnoty'!$B$6,F505&lt;&gt;'Povolené hodnoty'!$D$7,F505&lt;&gt;'Povolené hodnoty'!$D$8,OR(SUM(I505,L505,O505,R505)&lt;&gt;SUM(W505:X505,AA505:AG505),SUM(J505,M505,P505,S505)&lt;&gt;SUM(Y505:Z505,AH505:AK505),COUNT(I505:J505,L505:M505,O505:P505,R505:S505)&lt;&gt;COUNT(W505:AK505)))</f>
        <v>0</v>
      </c>
      <c r="BR505" s="18" t="b">
        <f>OR(AND(E505='Povolené hodnoty'!$B$6,$BR$5),AND(E505='Povolené hodnoty'!$B$6,H505&lt;&gt;'Povolené hodnoty'!$E$26,H505&lt;&gt;'Povolené hodnoty'!$E$35),AND(E505&lt;&gt;'Povolené hodnoty'!$B$6,OR(H505='Povolené hodnoty'!$E$26,H505='Povolené hodnoty'!$E$35)))</f>
        <v>0</v>
      </c>
      <c r="BS505" s="18" t="b">
        <f>OR(AND(G505&lt;&gt;'Povolené hodnoty'!$B$13,OR(H505='Povolené hodnoty'!$E$21,H505='Povolené hodnoty'!$E$22,H505='Povolené hodnoty'!$E$23,H505='Povolené hodnoty'!$E$24,H505='Povolené hodnoty'!$E$26,H505='Povolené hodnoty'!$E$36)),COUNT(I505:J505,L505:M505,O505:P505,R505:S505)&lt;&gt;COUNT(AL505:BM505))</f>
        <v>0</v>
      </c>
      <c r="BT505" s="18" t="b">
        <f t="shared" si="253"/>
        <v>0</v>
      </c>
      <c r="BV505" s="39" t="str">
        <f t="shared" si="254"/>
        <v/>
      </c>
      <c r="BW505" s="458" t="str">
        <f t="shared" si="255"/>
        <v/>
      </c>
      <c r="BX505" s="458" t="str">
        <f t="shared" si="256"/>
        <v/>
      </c>
      <c r="BY505" s="458" t="str">
        <f t="shared" si="257"/>
        <v/>
      </c>
      <c r="BZ505" s="458" t="str">
        <f t="shared" si="258"/>
        <v/>
      </c>
      <c r="CA505" s="40" t="str">
        <f t="shared" si="259"/>
        <v/>
      </c>
      <c r="CB505" s="40" t="str">
        <f t="shared" si="260"/>
        <v/>
      </c>
      <c r="CC505" s="39" t="str">
        <f t="shared" si="261"/>
        <v/>
      </c>
      <c r="CD505" s="458" t="str">
        <f t="shared" si="262"/>
        <v/>
      </c>
      <c r="CE505" s="41" t="str">
        <f t="shared" si="263"/>
        <v/>
      </c>
      <c r="CF505" s="39" t="str">
        <f t="shared" si="264"/>
        <v/>
      </c>
      <c r="CG505" s="458" t="str">
        <f t="shared" si="265"/>
        <v/>
      </c>
      <c r="CH505" s="458" t="str">
        <f t="shared" si="266"/>
        <v/>
      </c>
      <c r="CI505" s="458" t="str">
        <f t="shared" si="267"/>
        <v/>
      </c>
      <c r="CJ505" s="458" t="str">
        <f t="shared" si="268"/>
        <v/>
      </c>
      <c r="CK505" s="40" t="str">
        <f t="shared" si="269"/>
        <v/>
      </c>
      <c r="CL505" s="40" t="str">
        <f t="shared" si="270"/>
        <v/>
      </c>
      <c r="CM505" s="40" t="str">
        <f t="shared" si="271"/>
        <v/>
      </c>
      <c r="CN505" s="39" t="str">
        <f t="shared" si="272"/>
        <v/>
      </c>
      <c r="CO505" s="458" t="str">
        <f t="shared" si="273"/>
        <v/>
      </c>
      <c r="CP505" s="458" t="str">
        <f t="shared" si="274"/>
        <v/>
      </c>
      <c r="CQ505" s="458" t="str">
        <f t="shared" si="275"/>
        <v/>
      </c>
      <c r="CR505" s="458" t="str">
        <f t="shared" si="276"/>
        <v/>
      </c>
      <c r="CS505" s="40" t="str">
        <f t="shared" si="277"/>
        <v/>
      </c>
      <c r="CT505" s="40" t="str">
        <f t="shared" si="278"/>
        <v/>
      </c>
      <c r="CU505" s="41" t="str">
        <f t="shared" si="279"/>
        <v/>
      </c>
    </row>
    <row r="506" spans="1:99" x14ac:dyDescent="0.2">
      <c r="A506" s="77">
        <f t="shared" si="280"/>
        <v>501</v>
      </c>
      <c r="B506" s="81"/>
      <c r="C506" s="82"/>
      <c r="D506" s="71"/>
      <c r="E506" s="72"/>
      <c r="F506" s="73"/>
      <c r="G506" s="443"/>
      <c r="H506" s="443"/>
      <c r="I506" s="74"/>
      <c r="J506" s="75"/>
      <c r="K506" s="41">
        <f t="shared" si="284"/>
        <v>3625</v>
      </c>
      <c r="L506" s="104"/>
      <c r="M506" s="105"/>
      <c r="N506" s="106">
        <f t="shared" si="285"/>
        <v>537.05999999999995</v>
      </c>
      <c r="O506" s="104"/>
      <c r="P506" s="105"/>
      <c r="Q506" s="106">
        <f t="shared" si="282"/>
        <v>10045.83</v>
      </c>
      <c r="R506" s="104"/>
      <c r="S506" s="105"/>
      <c r="T506" s="106">
        <f t="shared" si="283"/>
        <v>0</v>
      </c>
      <c r="U506" s="439"/>
      <c r="V506" s="42">
        <f t="shared" si="251"/>
        <v>501</v>
      </c>
      <c r="W506" s="39" t="str">
        <f>IF(AND(E506='Povolené hodnoty'!$B$4,F506=2),I506+L506+O506+R506,"")</f>
        <v/>
      </c>
      <c r="X506" s="41" t="str">
        <f>IF(AND(E506='Povolené hodnoty'!$B$4,F506=1),I506+L506+O506+R506,"")</f>
        <v/>
      </c>
      <c r="Y506" s="39" t="str">
        <f>IF(AND(E506='Povolené hodnoty'!$B$4,F506=10),J506+M506+P506+S506,"")</f>
        <v/>
      </c>
      <c r="Z506" s="41" t="str">
        <f>IF(AND(E506='Povolené hodnoty'!$B$4,F506=9),J506+M506+P506+S506,"")</f>
        <v/>
      </c>
      <c r="AA506" s="39" t="str">
        <f>IF(AND(E506&lt;&gt;'Povolené hodnoty'!$B$4,F506=2),I506+L506+O506+R506,"")</f>
        <v/>
      </c>
      <c r="AB506" s="40" t="str">
        <f>IF(AND(E506&lt;&gt;'Povolené hodnoty'!$B$4,F506=3),I506+L506+O506+R506,"")</f>
        <v/>
      </c>
      <c r="AC506" s="40" t="str">
        <f>IF(AND(E506&lt;&gt;'Povolené hodnoty'!$B$4,F506=4),I506+L506+O506+R506,"")</f>
        <v/>
      </c>
      <c r="AD506" s="40" t="str">
        <f>IF(AND(E506&lt;&gt;'Povolené hodnoty'!$B$4,F506="5a"),I506-J506+L506-M506+O506-P506+R506-S506,"")</f>
        <v/>
      </c>
      <c r="AE506" s="40" t="str">
        <f>IF(AND(E506&lt;&gt;'Povolené hodnoty'!$B$4,F506="5b"),I506-J506+L506-M506+O506-P506+R506-S506,"")</f>
        <v/>
      </c>
      <c r="AF506" s="40" t="str">
        <f>IF(AND(E506&lt;&gt;'Povolené hodnoty'!$B$4,F506=6),I506+L506+O506+R506,"")</f>
        <v/>
      </c>
      <c r="AG506" s="41" t="str">
        <f>IF(AND(E506&lt;&gt;'Povolené hodnoty'!$B$4,F506=7),I506+L506+O506+R506,"")</f>
        <v/>
      </c>
      <c r="AH506" s="39" t="str">
        <f>IF(AND(E506&lt;&gt;'Povolené hodnoty'!$B$4,F506=10),J506+M506+P506+S506,"")</f>
        <v/>
      </c>
      <c r="AI506" s="40" t="str">
        <f>IF(AND(E506&lt;&gt;'Povolené hodnoty'!$B$4,F506=11),J506+M506+P506+S506,"")</f>
        <v/>
      </c>
      <c r="AJ506" s="40" t="str">
        <f>IF(AND(E506&lt;&gt;'Povolené hodnoty'!$B$4,F506=12),J506+M506+P506+S506,"")</f>
        <v/>
      </c>
      <c r="AK506" s="41" t="str">
        <f>IF(AND(E506&lt;&gt;'Povolené hodnoty'!$B$4,F506=13),J506+M506+P506+S506,"")</f>
        <v/>
      </c>
      <c r="AL506" s="39" t="str">
        <f>IF(AND($G506='Povolené hodnoty'!$B$13,$H506=AL$4),SUM($I506,$L506,$O506,$R506),"")</f>
        <v/>
      </c>
      <c r="AM506" s="458" t="str">
        <f>IF(AND($G506='Povolené hodnoty'!$B$13,$H506=AM$4),SUM($I506,$L506,$O506,$R506),"")</f>
        <v/>
      </c>
      <c r="AN506" s="458" t="str">
        <f>IF(AND($G506='Povolené hodnoty'!$B$13,$H506=AN$4),SUM($I506,$L506,$O506,$R506),"")</f>
        <v/>
      </c>
      <c r="AO506" s="458" t="str">
        <f>IF(AND($G506='Povolené hodnoty'!$B$13,$H506=AO$4),SUM($I506,$L506,$O506,$R506),"")</f>
        <v/>
      </c>
      <c r="AP506" s="458" t="str">
        <f>IF(AND($G506='Povolené hodnoty'!$B$13,$H506=AP$4),SUM($I506,$L506,$O506,$R506),"")</f>
        <v/>
      </c>
      <c r="AQ506" s="40" t="str">
        <f>IF(AND($G506='Povolené hodnoty'!$B$13,OR($H506=AQ$4,$H506='Povolené hodnoty'!$E$36)),SUM($I506,-$J506,$L506,-$M506,$O506,-$P506,$R506,-$S506),"")</f>
        <v/>
      </c>
      <c r="AR506" s="40" t="str">
        <f>IF(AND($G506='Povolené hodnoty'!$B$13,$H506=AR$4),SUM($I506,$L506,$O506,$R506),"")</f>
        <v/>
      </c>
      <c r="AS506" s="41" t="str">
        <f>IF(AND($G506='Povolené hodnoty'!$B$13,$H506=AS$4),SUM($I506,$L506,$O506,$R506),"")</f>
        <v/>
      </c>
      <c r="AT506" s="39" t="str">
        <f>IF(AND($G506='Povolené hodnoty'!$B$14,$H506=AT$4),SUM($I506,$L506,$O506,$R506),"")</f>
        <v/>
      </c>
      <c r="AU506" s="458" t="str">
        <f>IF(AND($G506='Povolené hodnoty'!$B$14,$H506=AU$4),SUM($I506,$L506,$O506,$R506),"")</f>
        <v/>
      </c>
      <c r="AV506" s="41" t="str">
        <f>IF(AND($G506='Povolené hodnoty'!$B$14,$H506=AV$4),SUM($I506,$L506,$O506,$R506),"")</f>
        <v/>
      </c>
      <c r="AW506" s="39" t="str">
        <f>IF(AND($G506='Povolené hodnoty'!$B$13,$H506=AW$4),SUM($J506,$M506,$P506,$S506),"")</f>
        <v/>
      </c>
      <c r="AX506" s="458" t="str">
        <f>IF(AND($G506='Povolené hodnoty'!$B$13,$H506=AX$4),SUM($J506,$M506,$P506,$S506),"")</f>
        <v/>
      </c>
      <c r="AY506" s="458" t="str">
        <f>IF(AND($G506='Povolené hodnoty'!$B$13,$H506=AY$4),SUM($J506,$M506,$P506,$S506),"")</f>
        <v/>
      </c>
      <c r="AZ506" s="458" t="str">
        <f>IF(AND($G506='Povolené hodnoty'!$B$13,$H506=AZ$4),SUM($J506,$M506,$P506,$S506),"")</f>
        <v/>
      </c>
      <c r="BA506" s="458" t="str">
        <f>IF(AND($G506='Povolené hodnoty'!$B$13,$H506=BA$4),SUM($J506,$M506,$P506,$S506),"")</f>
        <v/>
      </c>
      <c r="BB506" s="40" t="str">
        <f>IF(AND($G506='Povolené hodnoty'!$B$13,$H506=BB$4),SUM($J506,$M506,$P506,$S506),"")</f>
        <v/>
      </c>
      <c r="BC506" s="40" t="str">
        <f>IF(AND($G506='Povolené hodnoty'!$B$13,$H506=BC$4),SUM($J506,$M506,$P506,$S506),"")</f>
        <v/>
      </c>
      <c r="BD506" s="40" t="str">
        <f>IF(AND($G506='Povolené hodnoty'!$B$13,$H506=BD$4),SUM($J506,$M506,$P506,$S506),"")</f>
        <v/>
      </c>
      <c r="BE506" s="41" t="str">
        <f>IF(AND($G506='Povolené hodnoty'!$B$13,$H506=BE$4),SUM($J506,$M506,$P506,$S506),"")</f>
        <v/>
      </c>
      <c r="BF506" s="39" t="str">
        <f>IF(AND($G506='Povolené hodnoty'!$B$14,$H506=BF$4),SUM($J506,$M506,$P506,$S506),"")</f>
        <v/>
      </c>
      <c r="BG506" s="458" t="str">
        <f>IF(AND($G506='Povolené hodnoty'!$B$14,$H506=BG$4),SUM($J506,$M506,$P506,$S506),"")</f>
        <v/>
      </c>
      <c r="BH506" s="458" t="str">
        <f>IF(AND($G506='Povolené hodnoty'!$B$14,$H506=BH$4),SUM($J506,$M506,$P506,$S506),"")</f>
        <v/>
      </c>
      <c r="BI506" s="458" t="str">
        <f>IF(AND($G506='Povolené hodnoty'!$B$14,$H506=BI$4),SUM($J506,$M506,$P506,$S506),"")</f>
        <v/>
      </c>
      <c r="BJ506" s="458" t="str">
        <f>IF(AND($G506='Povolené hodnoty'!$B$14,$H506=BJ$4),SUM($J506,$M506,$P506,$S506),"")</f>
        <v/>
      </c>
      <c r="BK506" s="40" t="str">
        <f>IF(AND($G506='Povolené hodnoty'!$B$14,$H506=BK$4),SUM($J506,$M506,$P506,$S506),"")</f>
        <v/>
      </c>
      <c r="BL506" s="40" t="str">
        <f>IF(AND($G506='Povolené hodnoty'!$B$14,$H506=BL$4),SUM($J506,$M506,$P506,$S506),"")</f>
        <v/>
      </c>
      <c r="BM506" s="41" t="str">
        <f>IF(AND($G506='Povolené hodnoty'!$B$14,$H506=BM$4),SUM($J506,$M506,$P506,$S506),"")</f>
        <v/>
      </c>
      <c r="BO506" s="18" t="b">
        <f t="shared" si="281"/>
        <v>0</v>
      </c>
      <c r="BP506" s="18" t="b">
        <f t="shared" si="252"/>
        <v>0</v>
      </c>
      <c r="BQ506" s="18" t="b">
        <f>AND(E506&lt;&gt;'Povolené hodnoty'!$B$6,F506&lt;&gt;'Povolené hodnoty'!$D$7,F506&lt;&gt;'Povolené hodnoty'!$D$8,OR(SUM(I506,L506,O506,R506)&lt;&gt;SUM(W506:X506,AA506:AG506),SUM(J506,M506,P506,S506)&lt;&gt;SUM(Y506:Z506,AH506:AK506),COUNT(I506:J506,L506:M506,O506:P506,R506:S506)&lt;&gt;COUNT(W506:AK506)))</f>
        <v>0</v>
      </c>
      <c r="BR506" s="18" t="b">
        <f>OR(AND(E506='Povolené hodnoty'!$B$6,$BR$5),AND(E506='Povolené hodnoty'!$B$6,H506&lt;&gt;'Povolené hodnoty'!$E$26,H506&lt;&gt;'Povolené hodnoty'!$E$35),AND(E506&lt;&gt;'Povolené hodnoty'!$B$6,OR(H506='Povolené hodnoty'!$E$26,H506='Povolené hodnoty'!$E$35)))</f>
        <v>0</v>
      </c>
      <c r="BS506" s="18" t="b">
        <f>OR(AND(G506&lt;&gt;'Povolené hodnoty'!$B$13,OR(H506='Povolené hodnoty'!$E$21,H506='Povolené hodnoty'!$E$22,H506='Povolené hodnoty'!$E$23,H506='Povolené hodnoty'!$E$24,H506='Povolené hodnoty'!$E$26,H506='Povolené hodnoty'!$E$36)),COUNT(I506:J506,L506:M506,O506:P506,R506:S506)&lt;&gt;COUNT(AL506:BM506))</f>
        <v>0</v>
      </c>
      <c r="BT506" s="18" t="b">
        <f t="shared" si="253"/>
        <v>0</v>
      </c>
      <c r="BV506" s="39" t="str">
        <f t="shared" si="254"/>
        <v/>
      </c>
      <c r="BW506" s="458" t="str">
        <f t="shared" si="255"/>
        <v/>
      </c>
      <c r="BX506" s="458" t="str">
        <f t="shared" si="256"/>
        <v/>
      </c>
      <c r="BY506" s="458" t="str">
        <f t="shared" si="257"/>
        <v/>
      </c>
      <c r="BZ506" s="458" t="str">
        <f t="shared" si="258"/>
        <v/>
      </c>
      <c r="CA506" s="40" t="str">
        <f t="shared" si="259"/>
        <v/>
      </c>
      <c r="CB506" s="40" t="str">
        <f t="shared" si="260"/>
        <v/>
      </c>
      <c r="CC506" s="39" t="str">
        <f t="shared" si="261"/>
        <v/>
      </c>
      <c r="CD506" s="458" t="str">
        <f t="shared" si="262"/>
        <v/>
      </c>
      <c r="CE506" s="41" t="str">
        <f t="shared" si="263"/>
        <v/>
      </c>
      <c r="CF506" s="39" t="str">
        <f t="shared" si="264"/>
        <v/>
      </c>
      <c r="CG506" s="458" t="str">
        <f t="shared" si="265"/>
        <v/>
      </c>
      <c r="CH506" s="458" t="str">
        <f t="shared" si="266"/>
        <v/>
      </c>
      <c r="CI506" s="458" t="str">
        <f t="shared" si="267"/>
        <v/>
      </c>
      <c r="CJ506" s="458" t="str">
        <f t="shared" si="268"/>
        <v/>
      </c>
      <c r="CK506" s="40" t="str">
        <f t="shared" si="269"/>
        <v/>
      </c>
      <c r="CL506" s="40" t="str">
        <f t="shared" si="270"/>
        <v/>
      </c>
      <c r="CM506" s="40" t="str">
        <f t="shared" si="271"/>
        <v/>
      </c>
      <c r="CN506" s="39" t="str">
        <f t="shared" si="272"/>
        <v/>
      </c>
      <c r="CO506" s="458" t="str">
        <f t="shared" si="273"/>
        <v/>
      </c>
      <c r="CP506" s="458" t="str">
        <f t="shared" si="274"/>
        <v/>
      </c>
      <c r="CQ506" s="458" t="str">
        <f t="shared" si="275"/>
        <v/>
      </c>
      <c r="CR506" s="458" t="str">
        <f t="shared" si="276"/>
        <v/>
      </c>
      <c r="CS506" s="40" t="str">
        <f t="shared" si="277"/>
        <v/>
      </c>
      <c r="CT506" s="40" t="str">
        <f t="shared" si="278"/>
        <v/>
      </c>
      <c r="CU506" s="41" t="str">
        <f t="shared" si="279"/>
        <v/>
      </c>
    </row>
    <row r="507" spans="1:99" x14ac:dyDescent="0.2">
      <c r="A507" s="77">
        <f t="shared" si="280"/>
        <v>502</v>
      </c>
      <c r="B507" s="81"/>
      <c r="C507" s="82"/>
      <c r="D507" s="71"/>
      <c r="E507" s="72"/>
      <c r="F507" s="73"/>
      <c r="G507" s="443"/>
      <c r="H507" s="443"/>
      <c r="I507" s="74"/>
      <c r="J507" s="75"/>
      <c r="K507" s="41">
        <f t="shared" si="284"/>
        <v>3625</v>
      </c>
      <c r="L507" s="104"/>
      <c r="M507" s="105"/>
      <c r="N507" s="106">
        <f t="shared" si="285"/>
        <v>537.05999999999995</v>
      </c>
      <c r="O507" s="104"/>
      <c r="P507" s="105"/>
      <c r="Q507" s="106">
        <f t="shared" si="282"/>
        <v>10045.83</v>
      </c>
      <c r="R507" s="104"/>
      <c r="S507" s="105"/>
      <c r="T507" s="106">
        <f t="shared" si="283"/>
        <v>0</v>
      </c>
      <c r="U507" s="439"/>
      <c r="V507" s="42">
        <f t="shared" si="251"/>
        <v>502</v>
      </c>
      <c r="W507" s="39" t="str">
        <f>IF(AND(E507='Povolené hodnoty'!$B$4,F507=2),I507+L507+O507+R507,"")</f>
        <v/>
      </c>
      <c r="X507" s="41" t="str">
        <f>IF(AND(E507='Povolené hodnoty'!$B$4,F507=1),I507+L507+O507+R507,"")</f>
        <v/>
      </c>
      <c r="Y507" s="39" t="str">
        <f>IF(AND(E507='Povolené hodnoty'!$B$4,F507=10),J507+M507+P507+S507,"")</f>
        <v/>
      </c>
      <c r="Z507" s="41" t="str">
        <f>IF(AND(E507='Povolené hodnoty'!$B$4,F507=9),J507+M507+P507+S507,"")</f>
        <v/>
      </c>
      <c r="AA507" s="39" t="str">
        <f>IF(AND(E507&lt;&gt;'Povolené hodnoty'!$B$4,F507=2),I507+L507+O507+R507,"")</f>
        <v/>
      </c>
      <c r="AB507" s="40" t="str">
        <f>IF(AND(E507&lt;&gt;'Povolené hodnoty'!$B$4,F507=3),I507+L507+O507+R507,"")</f>
        <v/>
      </c>
      <c r="AC507" s="40" t="str">
        <f>IF(AND(E507&lt;&gt;'Povolené hodnoty'!$B$4,F507=4),I507+L507+O507+R507,"")</f>
        <v/>
      </c>
      <c r="AD507" s="40" t="str">
        <f>IF(AND(E507&lt;&gt;'Povolené hodnoty'!$B$4,F507="5a"),I507-J507+L507-M507+O507-P507+R507-S507,"")</f>
        <v/>
      </c>
      <c r="AE507" s="40" t="str">
        <f>IF(AND(E507&lt;&gt;'Povolené hodnoty'!$B$4,F507="5b"),I507-J507+L507-M507+O507-P507+R507-S507,"")</f>
        <v/>
      </c>
      <c r="AF507" s="40" t="str">
        <f>IF(AND(E507&lt;&gt;'Povolené hodnoty'!$B$4,F507=6),I507+L507+O507+R507,"")</f>
        <v/>
      </c>
      <c r="AG507" s="41" t="str">
        <f>IF(AND(E507&lt;&gt;'Povolené hodnoty'!$B$4,F507=7),I507+L507+O507+R507,"")</f>
        <v/>
      </c>
      <c r="AH507" s="39" t="str">
        <f>IF(AND(E507&lt;&gt;'Povolené hodnoty'!$B$4,F507=10),J507+M507+P507+S507,"")</f>
        <v/>
      </c>
      <c r="AI507" s="40" t="str">
        <f>IF(AND(E507&lt;&gt;'Povolené hodnoty'!$B$4,F507=11),J507+M507+P507+S507,"")</f>
        <v/>
      </c>
      <c r="AJ507" s="40" t="str">
        <f>IF(AND(E507&lt;&gt;'Povolené hodnoty'!$B$4,F507=12),J507+M507+P507+S507,"")</f>
        <v/>
      </c>
      <c r="AK507" s="41" t="str">
        <f>IF(AND(E507&lt;&gt;'Povolené hodnoty'!$B$4,F507=13),J507+M507+P507+S507,"")</f>
        <v/>
      </c>
      <c r="AL507" s="39" t="str">
        <f>IF(AND($G507='Povolené hodnoty'!$B$13,$H507=AL$4),SUM($I507,$L507,$O507,$R507),"")</f>
        <v/>
      </c>
      <c r="AM507" s="458" t="str">
        <f>IF(AND($G507='Povolené hodnoty'!$B$13,$H507=AM$4),SUM($I507,$L507,$O507,$R507),"")</f>
        <v/>
      </c>
      <c r="AN507" s="458" t="str">
        <f>IF(AND($G507='Povolené hodnoty'!$B$13,$H507=AN$4),SUM($I507,$L507,$O507,$R507),"")</f>
        <v/>
      </c>
      <c r="AO507" s="458" t="str">
        <f>IF(AND($G507='Povolené hodnoty'!$B$13,$H507=AO$4),SUM($I507,$L507,$O507,$R507),"")</f>
        <v/>
      </c>
      <c r="AP507" s="458" t="str">
        <f>IF(AND($G507='Povolené hodnoty'!$B$13,$H507=AP$4),SUM($I507,$L507,$O507,$R507),"")</f>
        <v/>
      </c>
      <c r="AQ507" s="40" t="str">
        <f>IF(AND($G507='Povolené hodnoty'!$B$13,OR($H507=AQ$4,$H507='Povolené hodnoty'!$E$36)),SUM($I507,-$J507,$L507,-$M507,$O507,-$P507,$R507,-$S507),"")</f>
        <v/>
      </c>
      <c r="AR507" s="40" t="str">
        <f>IF(AND($G507='Povolené hodnoty'!$B$13,$H507=AR$4),SUM($I507,$L507,$O507,$R507),"")</f>
        <v/>
      </c>
      <c r="AS507" s="41" t="str">
        <f>IF(AND($G507='Povolené hodnoty'!$B$13,$H507=AS$4),SUM($I507,$L507,$O507,$R507),"")</f>
        <v/>
      </c>
      <c r="AT507" s="39" t="str">
        <f>IF(AND($G507='Povolené hodnoty'!$B$14,$H507=AT$4),SUM($I507,$L507,$O507,$R507),"")</f>
        <v/>
      </c>
      <c r="AU507" s="458" t="str">
        <f>IF(AND($G507='Povolené hodnoty'!$B$14,$H507=AU$4),SUM($I507,$L507,$O507,$R507),"")</f>
        <v/>
      </c>
      <c r="AV507" s="41" t="str">
        <f>IF(AND($G507='Povolené hodnoty'!$B$14,$H507=AV$4),SUM($I507,$L507,$O507,$R507),"")</f>
        <v/>
      </c>
      <c r="AW507" s="39" t="str">
        <f>IF(AND($G507='Povolené hodnoty'!$B$13,$H507=AW$4),SUM($J507,$M507,$P507,$S507),"")</f>
        <v/>
      </c>
      <c r="AX507" s="458" t="str">
        <f>IF(AND($G507='Povolené hodnoty'!$B$13,$H507=AX$4),SUM($J507,$M507,$P507,$S507),"")</f>
        <v/>
      </c>
      <c r="AY507" s="458" t="str">
        <f>IF(AND($G507='Povolené hodnoty'!$B$13,$H507=AY$4),SUM($J507,$M507,$P507,$S507),"")</f>
        <v/>
      </c>
      <c r="AZ507" s="458" t="str">
        <f>IF(AND($G507='Povolené hodnoty'!$B$13,$H507=AZ$4),SUM($J507,$M507,$P507,$S507),"")</f>
        <v/>
      </c>
      <c r="BA507" s="458" t="str">
        <f>IF(AND($G507='Povolené hodnoty'!$B$13,$H507=BA$4),SUM($J507,$M507,$P507,$S507),"")</f>
        <v/>
      </c>
      <c r="BB507" s="40" t="str">
        <f>IF(AND($G507='Povolené hodnoty'!$B$13,$H507=BB$4),SUM($J507,$M507,$P507,$S507),"")</f>
        <v/>
      </c>
      <c r="BC507" s="40" t="str">
        <f>IF(AND($G507='Povolené hodnoty'!$B$13,$H507=BC$4),SUM($J507,$M507,$P507,$S507),"")</f>
        <v/>
      </c>
      <c r="BD507" s="40" t="str">
        <f>IF(AND($G507='Povolené hodnoty'!$B$13,$H507=BD$4),SUM($J507,$M507,$P507,$S507),"")</f>
        <v/>
      </c>
      <c r="BE507" s="41" t="str">
        <f>IF(AND($G507='Povolené hodnoty'!$B$13,$H507=BE$4),SUM($J507,$M507,$P507,$S507),"")</f>
        <v/>
      </c>
      <c r="BF507" s="39" t="str">
        <f>IF(AND($G507='Povolené hodnoty'!$B$14,$H507=BF$4),SUM($J507,$M507,$P507,$S507),"")</f>
        <v/>
      </c>
      <c r="BG507" s="458" t="str">
        <f>IF(AND($G507='Povolené hodnoty'!$B$14,$H507=BG$4),SUM($J507,$M507,$P507,$S507),"")</f>
        <v/>
      </c>
      <c r="BH507" s="458" t="str">
        <f>IF(AND($G507='Povolené hodnoty'!$B$14,$H507=BH$4),SUM($J507,$M507,$P507,$S507),"")</f>
        <v/>
      </c>
      <c r="BI507" s="458" t="str">
        <f>IF(AND($G507='Povolené hodnoty'!$B$14,$H507=BI$4),SUM($J507,$M507,$P507,$S507),"")</f>
        <v/>
      </c>
      <c r="BJ507" s="458" t="str">
        <f>IF(AND($G507='Povolené hodnoty'!$B$14,$H507=BJ$4),SUM($J507,$M507,$P507,$S507),"")</f>
        <v/>
      </c>
      <c r="BK507" s="40" t="str">
        <f>IF(AND($G507='Povolené hodnoty'!$B$14,$H507=BK$4),SUM($J507,$M507,$P507,$S507),"")</f>
        <v/>
      </c>
      <c r="BL507" s="40" t="str">
        <f>IF(AND($G507='Povolené hodnoty'!$B$14,$H507=BL$4),SUM($J507,$M507,$P507,$S507),"")</f>
        <v/>
      </c>
      <c r="BM507" s="41" t="str">
        <f>IF(AND($G507='Povolené hodnoty'!$B$14,$H507=BM$4),SUM($J507,$M507,$P507,$S507),"")</f>
        <v/>
      </c>
      <c r="BO507" s="18" t="b">
        <f t="shared" si="281"/>
        <v>0</v>
      </c>
      <c r="BP507" s="18" t="b">
        <f t="shared" si="252"/>
        <v>0</v>
      </c>
      <c r="BQ507" s="18" t="b">
        <f>AND(E507&lt;&gt;'Povolené hodnoty'!$B$6,F507&lt;&gt;'Povolené hodnoty'!$D$7,F507&lt;&gt;'Povolené hodnoty'!$D$8,OR(SUM(I507,L507,O507,R507)&lt;&gt;SUM(W507:X507,AA507:AG507),SUM(J507,M507,P507,S507)&lt;&gt;SUM(Y507:Z507,AH507:AK507),COUNT(I507:J507,L507:M507,O507:P507,R507:S507)&lt;&gt;COUNT(W507:AK507)))</f>
        <v>0</v>
      </c>
      <c r="BR507" s="18" t="b">
        <f>OR(AND(E507='Povolené hodnoty'!$B$6,$BR$5),AND(E507='Povolené hodnoty'!$B$6,H507&lt;&gt;'Povolené hodnoty'!$E$26,H507&lt;&gt;'Povolené hodnoty'!$E$35),AND(E507&lt;&gt;'Povolené hodnoty'!$B$6,OR(H507='Povolené hodnoty'!$E$26,H507='Povolené hodnoty'!$E$35)))</f>
        <v>0</v>
      </c>
      <c r="BS507" s="18" t="b">
        <f>OR(AND(G507&lt;&gt;'Povolené hodnoty'!$B$13,OR(H507='Povolené hodnoty'!$E$21,H507='Povolené hodnoty'!$E$22,H507='Povolené hodnoty'!$E$23,H507='Povolené hodnoty'!$E$24,H507='Povolené hodnoty'!$E$26,H507='Povolené hodnoty'!$E$36)),COUNT(I507:J507,L507:M507,O507:P507,R507:S507)&lt;&gt;COUNT(AL507:BM507))</f>
        <v>0</v>
      </c>
      <c r="BT507" s="18" t="b">
        <f t="shared" si="253"/>
        <v>0</v>
      </c>
      <c r="BV507" s="39" t="str">
        <f t="shared" si="254"/>
        <v/>
      </c>
      <c r="BW507" s="458" t="str">
        <f t="shared" si="255"/>
        <v/>
      </c>
      <c r="BX507" s="458" t="str">
        <f t="shared" si="256"/>
        <v/>
      </c>
      <c r="BY507" s="458" t="str">
        <f t="shared" si="257"/>
        <v/>
      </c>
      <c r="BZ507" s="458" t="str">
        <f t="shared" si="258"/>
        <v/>
      </c>
      <c r="CA507" s="40" t="str">
        <f t="shared" si="259"/>
        <v/>
      </c>
      <c r="CB507" s="40" t="str">
        <f t="shared" si="260"/>
        <v/>
      </c>
      <c r="CC507" s="39" t="str">
        <f t="shared" si="261"/>
        <v/>
      </c>
      <c r="CD507" s="458" t="str">
        <f t="shared" si="262"/>
        <v/>
      </c>
      <c r="CE507" s="41" t="str">
        <f t="shared" si="263"/>
        <v/>
      </c>
      <c r="CF507" s="39" t="str">
        <f t="shared" si="264"/>
        <v/>
      </c>
      <c r="CG507" s="458" t="str">
        <f t="shared" si="265"/>
        <v/>
      </c>
      <c r="CH507" s="458" t="str">
        <f t="shared" si="266"/>
        <v/>
      </c>
      <c r="CI507" s="458" t="str">
        <f t="shared" si="267"/>
        <v/>
      </c>
      <c r="CJ507" s="458" t="str">
        <f t="shared" si="268"/>
        <v/>
      </c>
      <c r="CK507" s="40" t="str">
        <f t="shared" si="269"/>
        <v/>
      </c>
      <c r="CL507" s="40" t="str">
        <f t="shared" si="270"/>
        <v/>
      </c>
      <c r="CM507" s="40" t="str">
        <f t="shared" si="271"/>
        <v/>
      </c>
      <c r="CN507" s="39" t="str">
        <f t="shared" si="272"/>
        <v/>
      </c>
      <c r="CO507" s="458" t="str">
        <f t="shared" si="273"/>
        <v/>
      </c>
      <c r="CP507" s="458" t="str">
        <f t="shared" si="274"/>
        <v/>
      </c>
      <c r="CQ507" s="458" t="str">
        <f t="shared" si="275"/>
        <v/>
      </c>
      <c r="CR507" s="458" t="str">
        <f t="shared" si="276"/>
        <v/>
      </c>
      <c r="CS507" s="40" t="str">
        <f t="shared" si="277"/>
        <v/>
      </c>
      <c r="CT507" s="40" t="str">
        <f t="shared" si="278"/>
        <v/>
      </c>
      <c r="CU507" s="41" t="str">
        <f t="shared" si="279"/>
        <v/>
      </c>
    </row>
    <row r="508" spans="1:99" x14ac:dyDescent="0.2">
      <c r="A508" s="77">
        <f t="shared" si="280"/>
        <v>503</v>
      </c>
      <c r="B508" s="81"/>
      <c r="C508" s="82"/>
      <c r="D508" s="71"/>
      <c r="E508" s="72"/>
      <c r="F508" s="73"/>
      <c r="G508" s="443"/>
      <c r="H508" s="443"/>
      <c r="I508" s="74"/>
      <c r="J508" s="75"/>
      <c r="K508" s="41">
        <f t="shared" si="284"/>
        <v>3625</v>
      </c>
      <c r="L508" s="104"/>
      <c r="M508" s="105"/>
      <c r="N508" s="106">
        <f t="shared" si="285"/>
        <v>537.05999999999995</v>
      </c>
      <c r="O508" s="104"/>
      <c r="P508" s="105"/>
      <c r="Q508" s="106">
        <f t="shared" si="282"/>
        <v>10045.83</v>
      </c>
      <c r="R508" s="104"/>
      <c r="S508" s="105"/>
      <c r="T508" s="106">
        <f t="shared" si="283"/>
        <v>0</v>
      </c>
      <c r="U508" s="439"/>
      <c r="V508" s="42">
        <f t="shared" si="251"/>
        <v>503</v>
      </c>
      <c r="W508" s="39" t="str">
        <f>IF(AND(E508='Povolené hodnoty'!$B$4,F508=2),I508+L508+O508+R508,"")</f>
        <v/>
      </c>
      <c r="X508" s="41" t="str">
        <f>IF(AND(E508='Povolené hodnoty'!$B$4,F508=1),I508+L508+O508+R508,"")</f>
        <v/>
      </c>
      <c r="Y508" s="39" t="str">
        <f>IF(AND(E508='Povolené hodnoty'!$B$4,F508=10),J508+M508+P508+S508,"")</f>
        <v/>
      </c>
      <c r="Z508" s="41" t="str">
        <f>IF(AND(E508='Povolené hodnoty'!$B$4,F508=9),J508+M508+P508+S508,"")</f>
        <v/>
      </c>
      <c r="AA508" s="39" t="str">
        <f>IF(AND(E508&lt;&gt;'Povolené hodnoty'!$B$4,F508=2),I508+L508+O508+R508,"")</f>
        <v/>
      </c>
      <c r="AB508" s="40" t="str">
        <f>IF(AND(E508&lt;&gt;'Povolené hodnoty'!$B$4,F508=3),I508+L508+O508+R508,"")</f>
        <v/>
      </c>
      <c r="AC508" s="40" t="str">
        <f>IF(AND(E508&lt;&gt;'Povolené hodnoty'!$B$4,F508=4),I508+L508+O508+R508,"")</f>
        <v/>
      </c>
      <c r="AD508" s="40" t="str">
        <f>IF(AND(E508&lt;&gt;'Povolené hodnoty'!$B$4,F508="5a"),I508-J508+L508-M508+O508-P508+R508-S508,"")</f>
        <v/>
      </c>
      <c r="AE508" s="40" t="str">
        <f>IF(AND(E508&lt;&gt;'Povolené hodnoty'!$B$4,F508="5b"),I508-J508+L508-M508+O508-P508+R508-S508,"")</f>
        <v/>
      </c>
      <c r="AF508" s="40" t="str">
        <f>IF(AND(E508&lt;&gt;'Povolené hodnoty'!$B$4,F508=6),I508+L508+O508+R508,"")</f>
        <v/>
      </c>
      <c r="AG508" s="41" t="str">
        <f>IF(AND(E508&lt;&gt;'Povolené hodnoty'!$B$4,F508=7),I508+L508+O508+R508,"")</f>
        <v/>
      </c>
      <c r="AH508" s="39" t="str">
        <f>IF(AND(E508&lt;&gt;'Povolené hodnoty'!$B$4,F508=10),J508+M508+P508+S508,"")</f>
        <v/>
      </c>
      <c r="AI508" s="40" t="str">
        <f>IF(AND(E508&lt;&gt;'Povolené hodnoty'!$B$4,F508=11),J508+M508+P508+S508,"")</f>
        <v/>
      </c>
      <c r="AJ508" s="40" t="str">
        <f>IF(AND(E508&lt;&gt;'Povolené hodnoty'!$B$4,F508=12),J508+M508+P508+S508,"")</f>
        <v/>
      </c>
      <c r="AK508" s="41" t="str">
        <f>IF(AND(E508&lt;&gt;'Povolené hodnoty'!$B$4,F508=13),J508+M508+P508+S508,"")</f>
        <v/>
      </c>
      <c r="AL508" s="39" t="str">
        <f>IF(AND($G508='Povolené hodnoty'!$B$13,$H508=AL$4),SUM($I508,$L508,$O508,$R508),"")</f>
        <v/>
      </c>
      <c r="AM508" s="458" t="str">
        <f>IF(AND($G508='Povolené hodnoty'!$B$13,$H508=AM$4),SUM($I508,$L508,$O508,$R508),"")</f>
        <v/>
      </c>
      <c r="AN508" s="458" t="str">
        <f>IF(AND($G508='Povolené hodnoty'!$B$13,$H508=AN$4),SUM($I508,$L508,$O508,$R508),"")</f>
        <v/>
      </c>
      <c r="AO508" s="458" t="str">
        <f>IF(AND($G508='Povolené hodnoty'!$B$13,$H508=AO$4),SUM($I508,$L508,$O508,$R508),"")</f>
        <v/>
      </c>
      <c r="AP508" s="458" t="str">
        <f>IF(AND($G508='Povolené hodnoty'!$B$13,$H508=AP$4),SUM($I508,$L508,$O508,$R508),"")</f>
        <v/>
      </c>
      <c r="AQ508" s="40" t="str">
        <f>IF(AND($G508='Povolené hodnoty'!$B$13,OR($H508=AQ$4,$H508='Povolené hodnoty'!$E$36)),SUM($I508,-$J508,$L508,-$M508,$O508,-$P508,$R508,-$S508),"")</f>
        <v/>
      </c>
      <c r="AR508" s="40" t="str">
        <f>IF(AND($G508='Povolené hodnoty'!$B$13,$H508=AR$4),SUM($I508,$L508,$O508,$R508),"")</f>
        <v/>
      </c>
      <c r="AS508" s="41" t="str">
        <f>IF(AND($G508='Povolené hodnoty'!$B$13,$H508=AS$4),SUM($I508,$L508,$O508,$R508),"")</f>
        <v/>
      </c>
      <c r="AT508" s="39" t="str">
        <f>IF(AND($G508='Povolené hodnoty'!$B$14,$H508=AT$4),SUM($I508,$L508,$O508,$R508),"")</f>
        <v/>
      </c>
      <c r="AU508" s="458" t="str">
        <f>IF(AND($G508='Povolené hodnoty'!$B$14,$H508=AU$4),SUM($I508,$L508,$O508,$R508),"")</f>
        <v/>
      </c>
      <c r="AV508" s="41" t="str">
        <f>IF(AND($G508='Povolené hodnoty'!$B$14,$H508=AV$4),SUM($I508,$L508,$O508,$R508),"")</f>
        <v/>
      </c>
      <c r="AW508" s="39" t="str">
        <f>IF(AND($G508='Povolené hodnoty'!$B$13,$H508=AW$4),SUM($J508,$M508,$P508,$S508),"")</f>
        <v/>
      </c>
      <c r="AX508" s="458" t="str">
        <f>IF(AND($G508='Povolené hodnoty'!$B$13,$H508=AX$4),SUM($J508,$M508,$P508,$S508),"")</f>
        <v/>
      </c>
      <c r="AY508" s="458" t="str">
        <f>IF(AND($G508='Povolené hodnoty'!$B$13,$H508=AY$4),SUM($J508,$M508,$P508,$S508),"")</f>
        <v/>
      </c>
      <c r="AZ508" s="458" t="str">
        <f>IF(AND($G508='Povolené hodnoty'!$B$13,$H508=AZ$4),SUM($J508,$M508,$P508,$S508),"")</f>
        <v/>
      </c>
      <c r="BA508" s="458" t="str">
        <f>IF(AND($G508='Povolené hodnoty'!$B$13,$H508=BA$4),SUM($J508,$M508,$P508,$S508),"")</f>
        <v/>
      </c>
      <c r="BB508" s="40" t="str">
        <f>IF(AND($G508='Povolené hodnoty'!$B$13,$H508=BB$4),SUM($J508,$M508,$P508,$S508),"")</f>
        <v/>
      </c>
      <c r="BC508" s="40" t="str">
        <f>IF(AND($G508='Povolené hodnoty'!$B$13,$H508=BC$4),SUM($J508,$M508,$P508,$S508),"")</f>
        <v/>
      </c>
      <c r="BD508" s="40" t="str">
        <f>IF(AND($G508='Povolené hodnoty'!$B$13,$H508=BD$4),SUM($J508,$M508,$P508,$S508),"")</f>
        <v/>
      </c>
      <c r="BE508" s="41" t="str">
        <f>IF(AND($G508='Povolené hodnoty'!$B$13,$H508=BE$4),SUM($J508,$M508,$P508,$S508),"")</f>
        <v/>
      </c>
      <c r="BF508" s="39" t="str">
        <f>IF(AND($G508='Povolené hodnoty'!$B$14,$H508=BF$4),SUM($J508,$M508,$P508,$S508),"")</f>
        <v/>
      </c>
      <c r="BG508" s="458" t="str">
        <f>IF(AND($G508='Povolené hodnoty'!$B$14,$H508=BG$4),SUM($J508,$M508,$P508,$S508),"")</f>
        <v/>
      </c>
      <c r="BH508" s="458" t="str">
        <f>IF(AND($G508='Povolené hodnoty'!$B$14,$H508=BH$4),SUM($J508,$M508,$P508,$S508),"")</f>
        <v/>
      </c>
      <c r="BI508" s="458" t="str">
        <f>IF(AND($G508='Povolené hodnoty'!$B$14,$H508=BI$4),SUM($J508,$M508,$P508,$S508),"")</f>
        <v/>
      </c>
      <c r="BJ508" s="458" t="str">
        <f>IF(AND($G508='Povolené hodnoty'!$B$14,$H508=BJ$4),SUM($J508,$M508,$P508,$S508),"")</f>
        <v/>
      </c>
      <c r="BK508" s="40" t="str">
        <f>IF(AND($G508='Povolené hodnoty'!$B$14,$H508=BK$4),SUM($J508,$M508,$P508,$S508),"")</f>
        <v/>
      </c>
      <c r="BL508" s="40" t="str">
        <f>IF(AND($G508='Povolené hodnoty'!$B$14,$H508=BL$4),SUM($J508,$M508,$P508,$S508),"")</f>
        <v/>
      </c>
      <c r="BM508" s="41" t="str">
        <f>IF(AND($G508='Povolené hodnoty'!$B$14,$H508=BM$4),SUM($J508,$M508,$P508,$S508),"")</f>
        <v/>
      </c>
      <c r="BO508" s="18" t="b">
        <f t="shared" si="281"/>
        <v>0</v>
      </c>
      <c r="BP508" s="18" t="b">
        <f t="shared" si="252"/>
        <v>0</v>
      </c>
      <c r="BQ508" s="18" t="b">
        <f>AND(E508&lt;&gt;'Povolené hodnoty'!$B$6,F508&lt;&gt;'Povolené hodnoty'!$D$7,F508&lt;&gt;'Povolené hodnoty'!$D$8,OR(SUM(I508,L508,O508,R508)&lt;&gt;SUM(W508:X508,AA508:AG508),SUM(J508,M508,P508,S508)&lt;&gt;SUM(Y508:Z508,AH508:AK508),COUNT(I508:J508,L508:M508,O508:P508,R508:S508)&lt;&gt;COUNT(W508:AK508)))</f>
        <v>0</v>
      </c>
      <c r="BR508" s="18" t="b">
        <f>OR(AND(E508='Povolené hodnoty'!$B$6,$BR$5),AND(E508='Povolené hodnoty'!$B$6,H508&lt;&gt;'Povolené hodnoty'!$E$26,H508&lt;&gt;'Povolené hodnoty'!$E$35),AND(E508&lt;&gt;'Povolené hodnoty'!$B$6,OR(H508='Povolené hodnoty'!$E$26,H508='Povolené hodnoty'!$E$35)))</f>
        <v>0</v>
      </c>
      <c r="BS508" s="18" t="b">
        <f>OR(AND(G508&lt;&gt;'Povolené hodnoty'!$B$13,OR(H508='Povolené hodnoty'!$E$21,H508='Povolené hodnoty'!$E$22,H508='Povolené hodnoty'!$E$23,H508='Povolené hodnoty'!$E$24,H508='Povolené hodnoty'!$E$26,H508='Povolené hodnoty'!$E$36)),COUNT(I508:J508,L508:M508,O508:P508,R508:S508)&lt;&gt;COUNT(AL508:BM508))</f>
        <v>0</v>
      </c>
      <c r="BT508" s="18" t="b">
        <f t="shared" si="253"/>
        <v>0</v>
      </c>
      <c r="BV508" s="39" t="str">
        <f t="shared" si="254"/>
        <v/>
      </c>
      <c r="BW508" s="458" t="str">
        <f t="shared" si="255"/>
        <v/>
      </c>
      <c r="BX508" s="458" t="str">
        <f t="shared" si="256"/>
        <v/>
      </c>
      <c r="BY508" s="458" t="str">
        <f t="shared" si="257"/>
        <v/>
      </c>
      <c r="BZ508" s="458" t="str">
        <f t="shared" si="258"/>
        <v/>
      </c>
      <c r="CA508" s="40" t="str">
        <f t="shared" si="259"/>
        <v/>
      </c>
      <c r="CB508" s="40" t="str">
        <f t="shared" si="260"/>
        <v/>
      </c>
      <c r="CC508" s="39" t="str">
        <f t="shared" si="261"/>
        <v/>
      </c>
      <c r="CD508" s="458" t="str">
        <f t="shared" si="262"/>
        <v/>
      </c>
      <c r="CE508" s="41" t="str">
        <f t="shared" si="263"/>
        <v/>
      </c>
      <c r="CF508" s="39" t="str">
        <f t="shared" si="264"/>
        <v/>
      </c>
      <c r="CG508" s="458" t="str">
        <f t="shared" si="265"/>
        <v/>
      </c>
      <c r="CH508" s="458" t="str">
        <f t="shared" si="266"/>
        <v/>
      </c>
      <c r="CI508" s="458" t="str">
        <f t="shared" si="267"/>
        <v/>
      </c>
      <c r="CJ508" s="458" t="str">
        <f t="shared" si="268"/>
        <v/>
      </c>
      <c r="CK508" s="40" t="str">
        <f t="shared" si="269"/>
        <v/>
      </c>
      <c r="CL508" s="40" t="str">
        <f t="shared" si="270"/>
        <v/>
      </c>
      <c r="CM508" s="40" t="str">
        <f t="shared" si="271"/>
        <v/>
      </c>
      <c r="CN508" s="39" t="str">
        <f t="shared" si="272"/>
        <v/>
      </c>
      <c r="CO508" s="458" t="str">
        <f t="shared" si="273"/>
        <v/>
      </c>
      <c r="CP508" s="458" t="str">
        <f t="shared" si="274"/>
        <v/>
      </c>
      <c r="CQ508" s="458" t="str">
        <f t="shared" si="275"/>
        <v/>
      </c>
      <c r="CR508" s="458" t="str">
        <f t="shared" si="276"/>
        <v/>
      </c>
      <c r="CS508" s="40" t="str">
        <f t="shared" si="277"/>
        <v/>
      </c>
      <c r="CT508" s="40" t="str">
        <f t="shared" si="278"/>
        <v/>
      </c>
      <c r="CU508" s="41" t="str">
        <f t="shared" si="279"/>
        <v/>
      </c>
    </row>
    <row r="509" spans="1:99" x14ac:dyDescent="0.2">
      <c r="A509" s="77">
        <f t="shared" si="280"/>
        <v>504</v>
      </c>
      <c r="B509" s="81"/>
      <c r="C509" s="82"/>
      <c r="D509" s="71"/>
      <c r="E509" s="72"/>
      <c r="F509" s="73"/>
      <c r="G509" s="443"/>
      <c r="H509" s="443"/>
      <c r="I509" s="74"/>
      <c r="J509" s="75"/>
      <c r="K509" s="41">
        <f t="shared" si="284"/>
        <v>3625</v>
      </c>
      <c r="L509" s="104"/>
      <c r="M509" s="105"/>
      <c r="N509" s="106">
        <f t="shared" si="285"/>
        <v>537.05999999999995</v>
      </c>
      <c r="O509" s="104"/>
      <c r="P509" s="105"/>
      <c r="Q509" s="106">
        <f t="shared" si="282"/>
        <v>10045.83</v>
      </c>
      <c r="R509" s="104"/>
      <c r="S509" s="105"/>
      <c r="T509" s="106">
        <f t="shared" si="283"/>
        <v>0</v>
      </c>
      <c r="U509" s="439"/>
      <c r="V509" s="42">
        <f t="shared" si="251"/>
        <v>504</v>
      </c>
      <c r="W509" s="39" t="str">
        <f>IF(AND(E509='Povolené hodnoty'!$B$4,F509=2),I509+L509+O509+R509,"")</f>
        <v/>
      </c>
      <c r="X509" s="41" t="str">
        <f>IF(AND(E509='Povolené hodnoty'!$B$4,F509=1),I509+L509+O509+R509,"")</f>
        <v/>
      </c>
      <c r="Y509" s="39" t="str">
        <f>IF(AND(E509='Povolené hodnoty'!$B$4,F509=10),J509+M509+P509+S509,"")</f>
        <v/>
      </c>
      <c r="Z509" s="41" t="str">
        <f>IF(AND(E509='Povolené hodnoty'!$B$4,F509=9),J509+M509+P509+S509,"")</f>
        <v/>
      </c>
      <c r="AA509" s="39" t="str">
        <f>IF(AND(E509&lt;&gt;'Povolené hodnoty'!$B$4,F509=2),I509+L509+O509+R509,"")</f>
        <v/>
      </c>
      <c r="AB509" s="40" t="str">
        <f>IF(AND(E509&lt;&gt;'Povolené hodnoty'!$B$4,F509=3),I509+L509+O509+R509,"")</f>
        <v/>
      </c>
      <c r="AC509" s="40" t="str">
        <f>IF(AND(E509&lt;&gt;'Povolené hodnoty'!$B$4,F509=4),I509+L509+O509+R509,"")</f>
        <v/>
      </c>
      <c r="AD509" s="40" t="str">
        <f>IF(AND(E509&lt;&gt;'Povolené hodnoty'!$B$4,F509="5a"),I509-J509+L509-M509+O509-P509+R509-S509,"")</f>
        <v/>
      </c>
      <c r="AE509" s="40" t="str">
        <f>IF(AND(E509&lt;&gt;'Povolené hodnoty'!$B$4,F509="5b"),I509-J509+L509-M509+O509-P509+R509-S509,"")</f>
        <v/>
      </c>
      <c r="AF509" s="40" t="str">
        <f>IF(AND(E509&lt;&gt;'Povolené hodnoty'!$B$4,F509=6),I509+L509+O509+R509,"")</f>
        <v/>
      </c>
      <c r="AG509" s="41" t="str">
        <f>IF(AND(E509&lt;&gt;'Povolené hodnoty'!$B$4,F509=7),I509+L509+O509+R509,"")</f>
        <v/>
      </c>
      <c r="AH509" s="39" t="str">
        <f>IF(AND(E509&lt;&gt;'Povolené hodnoty'!$B$4,F509=10),J509+M509+P509+S509,"")</f>
        <v/>
      </c>
      <c r="AI509" s="40" t="str">
        <f>IF(AND(E509&lt;&gt;'Povolené hodnoty'!$B$4,F509=11),J509+M509+P509+S509,"")</f>
        <v/>
      </c>
      <c r="AJ509" s="40" t="str">
        <f>IF(AND(E509&lt;&gt;'Povolené hodnoty'!$B$4,F509=12),J509+M509+P509+S509,"")</f>
        <v/>
      </c>
      <c r="AK509" s="41" t="str">
        <f>IF(AND(E509&lt;&gt;'Povolené hodnoty'!$B$4,F509=13),J509+M509+P509+S509,"")</f>
        <v/>
      </c>
      <c r="AL509" s="39" t="str">
        <f>IF(AND($G509='Povolené hodnoty'!$B$13,$H509=AL$4),SUM($I509,$L509,$O509,$R509),"")</f>
        <v/>
      </c>
      <c r="AM509" s="458" t="str">
        <f>IF(AND($G509='Povolené hodnoty'!$B$13,$H509=AM$4),SUM($I509,$L509,$O509,$R509),"")</f>
        <v/>
      </c>
      <c r="AN509" s="458" t="str">
        <f>IF(AND($G509='Povolené hodnoty'!$B$13,$H509=AN$4),SUM($I509,$L509,$O509,$R509),"")</f>
        <v/>
      </c>
      <c r="AO509" s="458" t="str">
        <f>IF(AND($G509='Povolené hodnoty'!$B$13,$H509=AO$4),SUM($I509,$L509,$O509,$R509),"")</f>
        <v/>
      </c>
      <c r="AP509" s="458" t="str">
        <f>IF(AND($G509='Povolené hodnoty'!$B$13,$H509=AP$4),SUM($I509,$L509,$O509,$R509),"")</f>
        <v/>
      </c>
      <c r="AQ509" s="40" t="str">
        <f>IF(AND($G509='Povolené hodnoty'!$B$13,OR($H509=AQ$4,$H509='Povolené hodnoty'!$E$36)),SUM($I509,-$J509,$L509,-$M509,$O509,-$P509,$R509,-$S509),"")</f>
        <v/>
      </c>
      <c r="AR509" s="40" t="str">
        <f>IF(AND($G509='Povolené hodnoty'!$B$13,$H509=AR$4),SUM($I509,$L509,$O509,$R509),"")</f>
        <v/>
      </c>
      <c r="AS509" s="41" t="str">
        <f>IF(AND($G509='Povolené hodnoty'!$B$13,$H509=AS$4),SUM($I509,$L509,$O509,$R509),"")</f>
        <v/>
      </c>
      <c r="AT509" s="39" t="str">
        <f>IF(AND($G509='Povolené hodnoty'!$B$14,$H509=AT$4),SUM($I509,$L509,$O509,$R509),"")</f>
        <v/>
      </c>
      <c r="AU509" s="458" t="str">
        <f>IF(AND($G509='Povolené hodnoty'!$B$14,$H509=AU$4),SUM($I509,$L509,$O509,$R509),"")</f>
        <v/>
      </c>
      <c r="AV509" s="41" t="str">
        <f>IF(AND($G509='Povolené hodnoty'!$B$14,$H509=AV$4),SUM($I509,$L509,$O509,$R509),"")</f>
        <v/>
      </c>
      <c r="AW509" s="39" t="str">
        <f>IF(AND($G509='Povolené hodnoty'!$B$13,$H509=AW$4),SUM($J509,$M509,$P509,$S509),"")</f>
        <v/>
      </c>
      <c r="AX509" s="458" t="str">
        <f>IF(AND($G509='Povolené hodnoty'!$B$13,$H509=AX$4),SUM($J509,$M509,$P509,$S509),"")</f>
        <v/>
      </c>
      <c r="AY509" s="458" t="str">
        <f>IF(AND($G509='Povolené hodnoty'!$B$13,$H509=AY$4),SUM($J509,$M509,$P509,$S509),"")</f>
        <v/>
      </c>
      <c r="AZ509" s="458" t="str">
        <f>IF(AND($G509='Povolené hodnoty'!$B$13,$H509=AZ$4),SUM($J509,$M509,$P509,$S509),"")</f>
        <v/>
      </c>
      <c r="BA509" s="458" t="str">
        <f>IF(AND($G509='Povolené hodnoty'!$B$13,$H509=BA$4),SUM($J509,$M509,$P509,$S509),"")</f>
        <v/>
      </c>
      <c r="BB509" s="40" t="str">
        <f>IF(AND($G509='Povolené hodnoty'!$B$13,$H509=BB$4),SUM($J509,$M509,$P509,$S509),"")</f>
        <v/>
      </c>
      <c r="BC509" s="40" t="str">
        <f>IF(AND($G509='Povolené hodnoty'!$B$13,$H509=BC$4),SUM($J509,$M509,$P509,$S509),"")</f>
        <v/>
      </c>
      <c r="BD509" s="40" t="str">
        <f>IF(AND($G509='Povolené hodnoty'!$B$13,$H509=BD$4),SUM($J509,$M509,$P509,$S509),"")</f>
        <v/>
      </c>
      <c r="BE509" s="41" t="str">
        <f>IF(AND($G509='Povolené hodnoty'!$B$13,$H509=BE$4),SUM($J509,$M509,$P509,$S509),"")</f>
        <v/>
      </c>
      <c r="BF509" s="39" t="str">
        <f>IF(AND($G509='Povolené hodnoty'!$B$14,$H509=BF$4),SUM($J509,$M509,$P509,$S509),"")</f>
        <v/>
      </c>
      <c r="BG509" s="458" t="str">
        <f>IF(AND($G509='Povolené hodnoty'!$B$14,$H509=BG$4),SUM($J509,$M509,$P509,$S509),"")</f>
        <v/>
      </c>
      <c r="BH509" s="458" t="str">
        <f>IF(AND($G509='Povolené hodnoty'!$B$14,$H509=BH$4),SUM($J509,$M509,$P509,$S509),"")</f>
        <v/>
      </c>
      <c r="BI509" s="458" t="str">
        <f>IF(AND($G509='Povolené hodnoty'!$B$14,$H509=BI$4),SUM($J509,$M509,$P509,$S509),"")</f>
        <v/>
      </c>
      <c r="BJ509" s="458" t="str">
        <f>IF(AND($G509='Povolené hodnoty'!$B$14,$H509=BJ$4),SUM($J509,$M509,$P509,$S509),"")</f>
        <v/>
      </c>
      <c r="BK509" s="40" t="str">
        <f>IF(AND($G509='Povolené hodnoty'!$B$14,$H509=BK$4),SUM($J509,$M509,$P509,$S509),"")</f>
        <v/>
      </c>
      <c r="BL509" s="40" t="str">
        <f>IF(AND($G509='Povolené hodnoty'!$B$14,$H509=BL$4),SUM($J509,$M509,$P509,$S509),"")</f>
        <v/>
      </c>
      <c r="BM509" s="41" t="str">
        <f>IF(AND($G509='Povolené hodnoty'!$B$14,$H509=BM$4),SUM($J509,$M509,$P509,$S509),"")</f>
        <v/>
      </c>
      <c r="BO509" s="18" t="b">
        <f t="shared" si="281"/>
        <v>0</v>
      </c>
      <c r="BP509" s="18" t="b">
        <f t="shared" si="252"/>
        <v>0</v>
      </c>
      <c r="BQ509" s="18" t="b">
        <f>AND(E509&lt;&gt;'Povolené hodnoty'!$B$6,F509&lt;&gt;'Povolené hodnoty'!$D$7,F509&lt;&gt;'Povolené hodnoty'!$D$8,OR(SUM(I509,L509,O509,R509)&lt;&gt;SUM(W509:X509,AA509:AG509),SUM(J509,M509,P509,S509)&lt;&gt;SUM(Y509:Z509,AH509:AK509),COUNT(I509:J509,L509:M509,O509:P509,R509:S509)&lt;&gt;COUNT(W509:AK509)))</f>
        <v>0</v>
      </c>
      <c r="BR509" s="18" t="b">
        <f>OR(AND(E509='Povolené hodnoty'!$B$6,$BR$5),AND(E509='Povolené hodnoty'!$B$6,H509&lt;&gt;'Povolené hodnoty'!$E$26,H509&lt;&gt;'Povolené hodnoty'!$E$35),AND(E509&lt;&gt;'Povolené hodnoty'!$B$6,OR(H509='Povolené hodnoty'!$E$26,H509='Povolené hodnoty'!$E$35)))</f>
        <v>0</v>
      </c>
      <c r="BS509" s="18" t="b">
        <f>OR(AND(G509&lt;&gt;'Povolené hodnoty'!$B$13,OR(H509='Povolené hodnoty'!$E$21,H509='Povolené hodnoty'!$E$22,H509='Povolené hodnoty'!$E$23,H509='Povolené hodnoty'!$E$24,H509='Povolené hodnoty'!$E$26,H509='Povolené hodnoty'!$E$36)),COUNT(I509:J509,L509:M509,O509:P509,R509:S509)&lt;&gt;COUNT(AL509:BM509))</f>
        <v>0</v>
      </c>
      <c r="BT509" s="18" t="b">
        <f t="shared" si="253"/>
        <v>0</v>
      </c>
      <c r="BV509" s="39" t="str">
        <f t="shared" si="254"/>
        <v/>
      </c>
      <c r="BW509" s="458" t="str">
        <f t="shared" si="255"/>
        <v/>
      </c>
      <c r="BX509" s="458" t="str">
        <f t="shared" si="256"/>
        <v/>
      </c>
      <c r="BY509" s="458" t="str">
        <f t="shared" si="257"/>
        <v/>
      </c>
      <c r="BZ509" s="458" t="str">
        <f t="shared" si="258"/>
        <v/>
      </c>
      <c r="CA509" s="40" t="str">
        <f t="shared" si="259"/>
        <v/>
      </c>
      <c r="CB509" s="40" t="str">
        <f t="shared" si="260"/>
        <v/>
      </c>
      <c r="CC509" s="39" t="str">
        <f t="shared" si="261"/>
        <v/>
      </c>
      <c r="CD509" s="458" t="str">
        <f t="shared" si="262"/>
        <v/>
      </c>
      <c r="CE509" s="41" t="str">
        <f t="shared" si="263"/>
        <v/>
      </c>
      <c r="CF509" s="39" t="str">
        <f t="shared" si="264"/>
        <v/>
      </c>
      <c r="CG509" s="458" t="str">
        <f t="shared" si="265"/>
        <v/>
      </c>
      <c r="CH509" s="458" t="str">
        <f t="shared" si="266"/>
        <v/>
      </c>
      <c r="CI509" s="458" t="str">
        <f t="shared" si="267"/>
        <v/>
      </c>
      <c r="CJ509" s="458" t="str">
        <f t="shared" si="268"/>
        <v/>
      </c>
      <c r="CK509" s="40" t="str">
        <f t="shared" si="269"/>
        <v/>
      </c>
      <c r="CL509" s="40" t="str">
        <f t="shared" si="270"/>
        <v/>
      </c>
      <c r="CM509" s="40" t="str">
        <f t="shared" si="271"/>
        <v/>
      </c>
      <c r="CN509" s="39" t="str">
        <f t="shared" si="272"/>
        <v/>
      </c>
      <c r="CO509" s="458" t="str">
        <f t="shared" si="273"/>
        <v/>
      </c>
      <c r="CP509" s="458" t="str">
        <f t="shared" si="274"/>
        <v/>
      </c>
      <c r="CQ509" s="458" t="str">
        <f t="shared" si="275"/>
        <v/>
      </c>
      <c r="CR509" s="458" t="str">
        <f t="shared" si="276"/>
        <v/>
      </c>
      <c r="CS509" s="40" t="str">
        <f t="shared" si="277"/>
        <v/>
      </c>
      <c r="CT509" s="40" t="str">
        <f t="shared" si="278"/>
        <v/>
      </c>
      <c r="CU509" s="41" t="str">
        <f t="shared" si="279"/>
        <v/>
      </c>
    </row>
    <row r="510" spans="1:99" x14ac:dyDescent="0.2">
      <c r="A510" s="77">
        <f t="shared" si="280"/>
        <v>505</v>
      </c>
      <c r="B510" s="81"/>
      <c r="C510" s="82"/>
      <c r="D510" s="71"/>
      <c r="E510" s="72"/>
      <c r="F510" s="73"/>
      <c r="G510" s="443"/>
      <c r="H510" s="443"/>
      <c r="I510" s="74"/>
      <c r="J510" s="75"/>
      <c r="K510" s="41">
        <f t="shared" si="284"/>
        <v>3625</v>
      </c>
      <c r="L510" s="104"/>
      <c r="M510" s="105"/>
      <c r="N510" s="106">
        <f t="shared" si="285"/>
        <v>537.05999999999995</v>
      </c>
      <c r="O510" s="104"/>
      <c r="P510" s="105"/>
      <c r="Q510" s="106">
        <f t="shared" si="282"/>
        <v>10045.83</v>
      </c>
      <c r="R510" s="104"/>
      <c r="S510" s="105"/>
      <c r="T510" s="106">
        <f t="shared" si="283"/>
        <v>0</v>
      </c>
      <c r="U510" s="439"/>
      <c r="V510" s="42">
        <f t="shared" si="251"/>
        <v>505</v>
      </c>
      <c r="W510" s="39" t="str">
        <f>IF(AND(E510='Povolené hodnoty'!$B$4,F510=2),I510+L510+O510+R510,"")</f>
        <v/>
      </c>
      <c r="X510" s="41" t="str">
        <f>IF(AND(E510='Povolené hodnoty'!$B$4,F510=1),I510+L510+O510+R510,"")</f>
        <v/>
      </c>
      <c r="Y510" s="39" t="str">
        <f>IF(AND(E510='Povolené hodnoty'!$B$4,F510=10),J510+M510+P510+S510,"")</f>
        <v/>
      </c>
      <c r="Z510" s="41" t="str">
        <f>IF(AND(E510='Povolené hodnoty'!$B$4,F510=9),J510+M510+P510+S510,"")</f>
        <v/>
      </c>
      <c r="AA510" s="39" t="str">
        <f>IF(AND(E510&lt;&gt;'Povolené hodnoty'!$B$4,F510=2),I510+L510+O510+R510,"")</f>
        <v/>
      </c>
      <c r="AB510" s="40" t="str">
        <f>IF(AND(E510&lt;&gt;'Povolené hodnoty'!$B$4,F510=3),I510+L510+O510+R510,"")</f>
        <v/>
      </c>
      <c r="AC510" s="40" t="str">
        <f>IF(AND(E510&lt;&gt;'Povolené hodnoty'!$B$4,F510=4),I510+L510+O510+R510,"")</f>
        <v/>
      </c>
      <c r="AD510" s="40" t="str">
        <f>IF(AND(E510&lt;&gt;'Povolené hodnoty'!$B$4,F510="5a"),I510-J510+L510-M510+O510-P510+R510-S510,"")</f>
        <v/>
      </c>
      <c r="AE510" s="40" t="str">
        <f>IF(AND(E510&lt;&gt;'Povolené hodnoty'!$B$4,F510="5b"),I510-J510+L510-M510+O510-P510+R510-S510,"")</f>
        <v/>
      </c>
      <c r="AF510" s="40" t="str">
        <f>IF(AND(E510&lt;&gt;'Povolené hodnoty'!$B$4,F510=6),I510+L510+O510+R510,"")</f>
        <v/>
      </c>
      <c r="AG510" s="41" t="str">
        <f>IF(AND(E510&lt;&gt;'Povolené hodnoty'!$B$4,F510=7),I510+L510+O510+R510,"")</f>
        <v/>
      </c>
      <c r="AH510" s="39" t="str">
        <f>IF(AND(E510&lt;&gt;'Povolené hodnoty'!$B$4,F510=10),J510+M510+P510+S510,"")</f>
        <v/>
      </c>
      <c r="AI510" s="40" t="str">
        <f>IF(AND(E510&lt;&gt;'Povolené hodnoty'!$B$4,F510=11),J510+M510+P510+S510,"")</f>
        <v/>
      </c>
      <c r="AJ510" s="40" t="str">
        <f>IF(AND(E510&lt;&gt;'Povolené hodnoty'!$B$4,F510=12),J510+M510+P510+S510,"")</f>
        <v/>
      </c>
      <c r="AK510" s="41" t="str">
        <f>IF(AND(E510&lt;&gt;'Povolené hodnoty'!$B$4,F510=13),J510+M510+P510+S510,"")</f>
        <v/>
      </c>
      <c r="AL510" s="39" t="str">
        <f>IF(AND($G510='Povolené hodnoty'!$B$13,$H510=AL$4),SUM($I510,$L510,$O510,$R510),"")</f>
        <v/>
      </c>
      <c r="AM510" s="458" t="str">
        <f>IF(AND($G510='Povolené hodnoty'!$B$13,$H510=AM$4),SUM($I510,$L510,$O510,$R510),"")</f>
        <v/>
      </c>
      <c r="AN510" s="458" t="str">
        <f>IF(AND($G510='Povolené hodnoty'!$B$13,$H510=AN$4),SUM($I510,$L510,$O510,$R510),"")</f>
        <v/>
      </c>
      <c r="AO510" s="458" t="str">
        <f>IF(AND($G510='Povolené hodnoty'!$B$13,$H510=AO$4),SUM($I510,$L510,$O510,$R510),"")</f>
        <v/>
      </c>
      <c r="AP510" s="458" t="str">
        <f>IF(AND($G510='Povolené hodnoty'!$B$13,$H510=AP$4),SUM($I510,$L510,$O510,$R510),"")</f>
        <v/>
      </c>
      <c r="AQ510" s="40" t="str">
        <f>IF(AND($G510='Povolené hodnoty'!$B$13,OR($H510=AQ$4,$H510='Povolené hodnoty'!$E$36)),SUM($I510,-$J510,$L510,-$M510,$O510,-$P510,$R510,-$S510),"")</f>
        <v/>
      </c>
      <c r="AR510" s="40" t="str">
        <f>IF(AND($G510='Povolené hodnoty'!$B$13,$H510=AR$4),SUM($I510,$L510,$O510,$R510),"")</f>
        <v/>
      </c>
      <c r="AS510" s="41" t="str">
        <f>IF(AND($G510='Povolené hodnoty'!$B$13,$H510=AS$4),SUM($I510,$L510,$O510,$R510),"")</f>
        <v/>
      </c>
      <c r="AT510" s="39" t="str">
        <f>IF(AND($G510='Povolené hodnoty'!$B$14,$H510=AT$4),SUM($I510,$L510,$O510,$R510),"")</f>
        <v/>
      </c>
      <c r="AU510" s="458" t="str">
        <f>IF(AND($G510='Povolené hodnoty'!$B$14,$H510=AU$4),SUM($I510,$L510,$O510,$R510),"")</f>
        <v/>
      </c>
      <c r="AV510" s="41" t="str">
        <f>IF(AND($G510='Povolené hodnoty'!$B$14,$H510=AV$4),SUM($I510,$L510,$O510,$R510),"")</f>
        <v/>
      </c>
      <c r="AW510" s="39" t="str">
        <f>IF(AND($G510='Povolené hodnoty'!$B$13,$H510=AW$4),SUM($J510,$M510,$P510,$S510),"")</f>
        <v/>
      </c>
      <c r="AX510" s="458" t="str">
        <f>IF(AND($G510='Povolené hodnoty'!$B$13,$H510=AX$4),SUM($J510,$M510,$P510,$S510),"")</f>
        <v/>
      </c>
      <c r="AY510" s="458" t="str">
        <f>IF(AND($G510='Povolené hodnoty'!$B$13,$H510=AY$4),SUM($J510,$M510,$P510,$S510),"")</f>
        <v/>
      </c>
      <c r="AZ510" s="458" t="str">
        <f>IF(AND($G510='Povolené hodnoty'!$B$13,$H510=AZ$4),SUM($J510,$M510,$P510,$S510),"")</f>
        <v/>
      </c>
      <c r="BA510" s="458" t="str">
        <f>IF(AND($G510='Povolené hodnoty'!$B$13,$H510=BA$4),SUM($J510,$M510,$P510,$S510),"")</f>
        <v/>
      </c>
      <c r="BB510" s="40" t="str">
        <f>IF(AND($G510='Povolené hodnoty'!$B$13,$H510=BB$4),SUM($J510,$M510,$P510,$S510),"")</f>
        <v/>
      </c>
      <c r="BC510" s="40" t="str">
        <f>IF(AND($G510='Povolené hodnoty'!$B$13,$H510=BC$4),SUM($J510,$M510,$P510,$S510),"")</f>
        <v/>
      </c>
      <c r="BD510" s="40" t="str">
        <f>IF(AND($G510='Povolené hodnoty'!$B$13,$H510=BD$4),SUM($J510,$M510,$P510,$S510),"")</f>
        <v/>
      </c>
      <c r="BE510" s="41" t="str">
        <f>IF(AND($G510='Povolené hodnoty'!$B$13,$H510=BE$4),SUM($J510,$M510,$P510,$S510),"")</f>
        <v/>
      </c>
      <c r="BF510" s="39" t="str">
        <f>IF(AND($G510='Povolené hodnoty'!$B$14,$H510=BF$4),SUM($J510,$M510,$P510,$S510),"")</f>
        <v/>
      </c>
      <c r="BG510" s="458" t="str">
        <f>IF(AND($G510='Povolené hodnoty'!$B$14,$H510=BG$4),SUM($J510,$M510,$P510,$S510),"")</f>
        <v/>
      </c>
      <c r="BH510" s="458" t="str">
        <f>IF(AND($G510='Povolené hodnoty'!$B$14,$H510=BH$4),SUM($J510,$M510,$P510,$S510),"")</f>
        <v/>
      </c>
      <c r="BI510" s="458" t="str">
        <f>IF(AND($G510='Povolené hodnoty'!$B$14,$H510=BI$4),SUM($J510,$M510,$P510,$S510),"")</f>
        <v/>
      </c>
      <c r="BJ510" s="458" t="str">
        <f>IF(AND($G510='Povolené hodnoty'!$B$14,$H510=BJ$4),SUM($J510,$M510,$P510,$S510),"")</f>
        <v/>
      </c>
      <c r="BK510" s="40" t="str">
        <f>IF(AND($G510='Povolené hodnoty'!$B$14,$H510=BK$4),SUM($J510,$M510,$P510,$S510),"")</f>
        <v/>
      </c>
      <c r="BL510" s="40" t="str">
        <f>IF(AND($G510='Povolené hodnoty'!$B$14,$H510=BL$4),SUM($J510,$M510,$P510,$S510),"")</f>
        <v/>
      </c>
      <c r="BM510" s="41" t="str">
        <f>IF(AND($G510='Povolené hodnoty'!$B$14,$H510=BM$4),SUM($J510,$M510,$P510,$S510),"")</f>
        <v/>
      </c>
      <c r="BO510" s="18" t="b">
        <f t="shared" si="281"/>
        <v>0</v>
      </c>
      <c r="BP510" s="18" t="b">
        <f t="shared" si="252"/>
        <v>0</v>
      </c>
      <c r="BQ510" s="18" t="b">
        <f>AND(E510&lt;&gt;'Povolené hodnoty'!$B$6,F510&lt;&gt;'Povolené hodnoty'!$D$7,F510&lt;&gt;'Povolené hodnoty'!$D$8,OR(SUM(I510,L510,O510,R510)&lt;&gt;SUM(W510:X510,AA510:AG510),SUM(J510,M510,P510,S510)&lt;&gt;SUM(Y510:Z510,AH510:AK510),COUNT(I510:J510,L510:M510,O510:P510,R510:S510)&lt;&gt;COUNT(W510:AK510)))</f>
        <v>0</v>
      </c>
      <c r="BR510" s="18" t="b">
        <f>OR(AND(E510='Povolené hodnoty'!$B$6,$BR$5),AND(E510='Povolené hodnoty'!$B$6,H510&lt;&gt;'Povolené hodnoty'!$E$26,H510&lt;&gt;'Povolené hodnoty'!$E$35),AND(E510&lt;&gt;'Povolené hodnoty'!$B$6,OR(H510='Povolené hodnoty'!$E$26,H510='Povolené hodnoty'!$E$35)))</f>
        <v>0</v>
      </c>
      <c r="BS510" s="18" t="b">
        <f>OR(AND(G510&lt;&gt;'Povolené hodnoty'!$B$13,OR(H510='Povolené hodnoty'!$E$21,H510='Povolené hodnoty'!$E$22,H510='Povolené hodnoty'!$E$23,H510='Povolené hodnoty'!$E$24,H510='Povolené hodnoty'!$E$26,H510='Povolené hodnoty'!$E$36)),COUNT(I510:J510,L510:M510,O510:P510,R510:S510)&lt;&gt;COUNT(AL510:BM510))</f>
        <v>0</v>
      </c>
      <c r="BT510" s="18" t="b">
        <f t="shared" si="253"/>
        <v>0</v>
      </c>
      <c r="BV510" s="39" t="str">
        <f t="shared" si="254"/>
        <v/>
      </c>
      <c r="BW510" s="458" t="str">
        <f t="shared" si="255"/>
        <v/>
      </c>
      <c r="BX510" s="458" t="str">
        <f t="shared" si="256"/>
        <v/>
      </c>
      <c r="BY510" s="458" t="str">
        <f t="shared" si="257"/>
        <v/>
      </c>
      <c r="BZ510" s="458" t="str">
        <f t="shared" si="258"/>
        <v/>
      </c>
      <c r="CA510" s="40" t="str">
        <f t="shared" si="259"/>
        <v/>
      </c>
      <c r="CB510" s="40" t="str">
        <f t="shared" si="260"/>
        <v/>
      </c>
      <c r="CC510" s="39" t="str">
        <f t="shared" si="261"/>
        <v/>
      </c>
      <c r="CD510" s="458" t="str">
        <f t="shared" si="262"/>
        <v/>
      </c>
      <c r="CE510" s="41" t="str">
        <f t="shared" si="263"/>
        <v/>
      </c>
      <c r="CF510" s="39" t="str">
        <f t="shared" si="264"/>
        <v/>
      </c>
      <c r="CG510" s="458" t="str">
        <f t="shared" si="265"/>
        <v/>
      </c>
      <c r="CH510" s="458" t="str">
        <f t="shared" si="266"/>
        <v/>
      </c>
      <c r="CI510" s="458" t="str">
        <f t="shared" si="267"/>
        <v/>
      </c>
      <c r="CJ510" s="458" t="str">
        <f t="shared" si="268"/>
        <v/>
      </c>
      <c r="CK510" s="40" t="str">
        <f t="shared" si="269"/>
        <v/>
      </c>
      <c r="CL510" s="40" t="str">
        <f t="shared" si="270"/>
        <v/>
      </c>
      <c r="CM510" s="40" t="str">
        <f t="shared" si="271"/>
        <v/>
      </c>
      <c r="CN510" s="39" t="str">
        <f t="shared" si="272"/>
        <v/>
      </c>
      <c r="CO510" s="458" t="str">
        <f t="shared" si="273"/>
        <v/>
      </c>
      <c r="CP510" s="458" t="str">
        <f t="shared" si="274"/>
        <v/>
      </c>
      <c r="CQ510" s="458" t="str">
        <f t="shared" si="275"/>
        <v/>
      </c>
      <c r="CR510" s="458" t="str">
        <f t="shared" si="276"/>
        <v/>
      </c>
      <c r="CS510" s="40" t="str">
        <f t="shared" si="277"/>
        <v/>
      </c>
      <c r="CT510" s="40" t="str">
        <f t="shared" si="278"/>
        <v/>
      </c>
      <c r="CU510" s="41" t="str">
        <f t="shared" si="279"/>
        <v/>
      </c>
    </row>
    <row r="511" spans="1:99" x14ac:dyDescent="0.2">
      <c r="A511" s="77">
        <f t="shared" si="280"/>
        <v>506</v>
      </c>
      <c r="B511" s="81"/>
      <c r="C511" s="82"/>
      <c r="D511" s="71"/>
      <c r="E511" s="72"/>
      <c r="F511" s="73"/>
      <c r="G511" s="443"/>
      <c r="H511" s="443"/>
      <c r="I511" s="74"/>
      <c r="J511" s="75"/>
      <c r="K511" s="41">
        <f t="shared" si="284"/>
        <v>3625</v>
      </c>
      <c r="L511" s="104"/>
      <c r="M511" s="105"/>
      <c r="N511" s="106">
        <f t="shared" si="285"/>
        <v>537.05999999999995</v>
      </c>
      <c r="O511" s="104"/>
      <c r="P511" s="105"/>
      <c r="Q511" s="106">
        <f t="shared" si="282"/>
        <v>10045.83</v>
      </c>
      <c r="R511" s="104"/>
      <c r="S511" s="105"/>
      <c r="T511" s="106">
        <f t="shared" si="283"/>
        <v>0</v>
      </c>
      <c r="U511" s="439"/>
      <c r="V511" s="42">
        <f t="shared" si="251"/>
        <v>506</v>
      </c>
      <c r="W511" s="39" t="str">
        <f>IF(AND(E511='Povolené hodnoty'!$B$4,F511=2),I511+L511+O511+R511,"")</f>
        <v/>
      </c>
      <c r="X511" s="41" t="str">
        <f>IF(AND(E511='Povolené hodnoty'!$B$4,F511=1),I511+L511+O511+R511,"")</f>
        <v/>
      </c>
      <c r="Y511" s="39" t="str">
        <f>IF(AND(E511='Povolené hodnoty'!$B$4,F511=10),J511+M511+P511+S511,"")</f>
        <v/>
      </c>
      <c r="Z511" s="41" t="str">
        <f>IF(AND(E511='Povolené hodnoty'!$B$4,F511=9),J511+M511+P511+S511,"")</f>
        <v/>
      </c>
      <c r="AA511" s="39" t="str">
        <f>IF(AND(E511&lt;&gt;'Povolené hodnoty'!$B$4,F511=2),I511+L511+O511+R511,"")</f>
        <v/>
      </c>
      <c r="AB511" s="40" t="str">
        <f>IF(AND(E511&lt;&gt;'Povolené hodnoty'!$B$4,F511=3),I511+L511+O511+R511,"")</f>
        <v/>
      </c>
      <c r="AC511" s="40" t="str">
        <f>IF(AND(E511&lt;&gt;'Povolené hodnoty'!$B$4,F511=4),I511+L511+O511+R511,"")</f>
        <v/>
      </c>
      <c r="AD511" s="40" t="str">
        <f>IF(AND(E511&lt;&gt;'Povolené hodnoty'!$B$4,F511="5a"),I511-J511+L511-M511+O511-P511+R511-S511,"")</f>
        <v/>
      </c>
      <c r="AE511" s="40" t="str">
        <f>IF(AND(E511&lt;&gt;'Povolené hodnoty'!$B$4,F511="5b"),I511-J511+L511-M511+O511-P511+R511-S511,"")</f>
        <v/>
      </c>
      <c r="AF511" s="40" t="str">
        <f>IF(AND(E511&lt;&gt;'Povolené hodnoty'!$B$4,F511=6),I511+L511+O511+R511,"")</f>
        <v/>
      </c>
      <c r="AG511" s="41" t="str">
        <f>IF(AND(E511&lt;&gt;'Povolené hodnoty'!$B$4,F511=7),I511+L511+O511+R511,"")</f>
        <v/>
      </c>
      <c r="AH511" s="39" t="str">
        <f>IF(AND(E511&lt;&gt;'Povolené hodnoty'!$B$4,F511=10),J511+M511+P511+S511,"")</f>
        <v/>
      </c>
      <c r="AI511" s="40" t="str">
        <f>IF(AND(E511&lt;&gt;'Povolené hodnoty'!$B$4,F511=11),J511+M511+P511+S511,"")</f>
        <v/>
      </c>
      <c r="AJ511" s="40" t="str">
        <f>IF(AND(E511&lt;&gt;'Povolené hodnoty'!$B$4,F511=12),J511+M511+P511+S511,"")</f>
        <v/>
      </c>
      <c r="AK511" s="41" t="str">
        <f>IF(AND(E511&lt;&gt;'Povolené hodnoty'!$B$4,F511=13),J511+M511+P511+S511,"")</f>
        <v/>
      </c>
      <c r="AL511" s="39" t="str">
        <f>IF(AND($G511='Povolené hodnoty'!$B$13,$H511=AL$4),SUM($I511,$L511,$O511,$R511),"")</f>
        <v/>
      </c>
      <c r="AM511" s="458" t="str">
        <f>IF(AND($G511='Povolené hodnoty'!$B$13,$H511=AM$4),SUM($I511,$L511,$O511,$R511),"")</f>
        <v/>
      </c>
      <c r="AN511" s="458" t="str">
        <f>IF(AND($G511='Povolené hodnoty'!$B$13,$H511=AN$4),SUM($I511,$L511,$O511,$R511),"")</f>
        <v/>
      </c>
      <c r="AO511" s="458" t="str">
        <f>IF(AND($G511='Povolené hodnoty'!$B$13,$H511=AO$4),SUM($I511,$L511,$O511,$R511),"")</f>
        <v/>
      </c>
      <c r="AP511" s="458" t="str">
        <f>IF(AND($G511='Povolené hodnoty'!$B$13,$H511=AP$4),SUM($I511,$L511,$O511,$R511),"")</f>
        <v/>
      </c>
      <c r="AQ511" s="40" t="str">
        <f>IF(AND($G511='Povolené hodnoty'!$B$13,OR($H511=AQ$4,$H511='Povolené hodnoty'!$E$36)),SUM($I511,-$J511,$L511,-$M511,$O511,-$P511,$R511,-$S511),"")</f>
        <v/>
      </c>
      <c r="AR511" s="40" t="str">
        <f>IF(AND($G511='Povolené hodnoty'!$B$13,$H511=AR$4),SUM($I511,$L511,$O511,$R511),"")</f>
        <v/>
      </c>
      <c r="AS511" s="41" t="str">
        <f>IF(AND($G511='Povolené hodnoty'!$B$13,$H511=AS$4),SUM($I511,$L511,$O511,$R511),"")</f>
        <v/>
      </c>
      <c r="AT511" s="39" t="str">
        <f>IF(AND($G511='Povolené hodnoty'!$B$14,$H511=AT$4),SUM($I511,$L511,$O511,$R511),"")</f>
        <v/>
      </c>
      <c r="AU511" s="458" t="str">
        <f>IF(AND($G511='Povolené hodnoty'!$B$14,$H511=AU$4),SUM($I511,$L511,$O511,$R511),"")</f>
        <v/>
      </c>
      <c r="AV511" s="41" t="str">
        <f>IF(AND($G511='Povolené hodnoty'!$B$14,$H511=AV$4),SUM($I511,$L511,$O511,$R511),"")</f>
        <v/>
      </c>
      <c r="AW511" s="39" t="str">
        <f>IF(AND($G511='Povolené hodnoty'!$B$13,$H511=AW$4),SUM($J511,$M511,$P511,$S511),"")</f>
        <v/>
      </c>
      <c r="AX511" s="458" t="str">
        <f>IF(AND($G511='Povolené hodnoty'!$B$13,$H511=AX$4),SUM($J511,$M511,$P511,$S511),"")</f>
        <v/>
      </c>
      <c r="AY511" s="458" t="str">
        <f>IF(AND($G511='Povolené hodnoty'!$B$13,$H511=AY$4),SUM($J511,$M511,$P511,$S511),"")</f>
        <v/>
      </c>
      <c r="AZ511" s="458" t="str">
        <f>IF(AND($G511='Povolené hodnoty'!$B$13,$H511=AZ$4),SUM($J511,$M511,$P511,$S511),"")</f>
        <v/>
      </c>
      <c r="BA511" s="458" t="str">
        <f>IF(AND($G511='Povolené hodnoty'!$B$13,$H511=BA$4),SUM($J511,$M511,$P511,$S511),"")</f>
        <v/>
      </c>
      <c r="BB511" s="40" t="str">
        <f>IF(AND($G511='Povolené hodnoty'!$B$13,$H511=BB$4),SUM($J511,$M511,$P511,$S511),"")</f>
        <v/>
      </c>
      <c r="BC511" s="40" t="str">
        <f>IF(AND($G511='Povolené hodnoty'!$B$13,$H511=BC$4),SUM($J511,$M511,$P511,$S511),"")</f>
        <v/>
      </c>
      <c r="BD511" s="40" t="str">
        <f>IF(AND($G511='Povolené hodnoty'!$B$13,$H511=BD$4),SUM($J511,$M511,$P511,$S511),"")</f>
        <v/>
      </c>
      <c r="BE511" s="41" t="str">
        <f>IF(AND($G511='Povolené hodnoty'!$B$13,$H511=BE$4),SUM($J511,$M511,$P511,$S511),"")</f>
        <v/>
      </c>
      <c r="BF511" s="39" t="str">
        <f>IF(AND($G511='Povolené hodnoty'!$B$14,$H511=BF$4),SUM($J511,$M511,$P511,$S511),"")</f>
        <v/>
      </c>
      <c r="BG511" s="458" t="str">
        <f>IF(AND($G511='Povolené hodnoty'!$B$14,$H511=BG$4),SUM($J511,$M511,$P511,$S511),"")</f>
        <v/>
      </c>
      <c r="BH511" s="458" t="str">
        <f>IF(AND($G511='Povolené hodnoty'!$B$14,$H511=BH$4),SUM($J511,$M511,$P511,$S511),"")</f>
        <v/>
      </c>
      <c r="BI511" s="458" t="str">
        <f>IF(AND($G511='Povolené hodnoty'!$B$14,$H511=BI$4),SUM($J511,$M511,$P511,$S511),"")</f>
        <v/>
      </c>
      <c r="BJ511" s="458" t="str">
        <f>IF(AND($G511='Povolené hodnoty'!$B$14,$H511=BJ$4),SUM($J511,$M511,$P511,$S511),"")</f>
        <v/>
      </c>
      <c r="BK511" s="40" t="str">
        <f>IF(AND($G511='Povolené hodnoty'!$B$14,$H511=BK$4),SUM($J511,$M511,$P511,$S511),"")</f>
        <v/>
      </c>
      <c r="BL511" s="40" t="str">
        <f>IF(AND($G511='Povolené hodnoty'!$B$14,$H511=BL$4),SUM($J511,$M511,$P511,$S511),"")</f>
        <v/>
      </c>
      <c r="BM511" s="41" t="str">
        <f>IF(AND($G511='Povolené hodnoty'!$B$14,$H511=BM$4),SUM($J511,$M511,$P511,$S511),"")</f>
        <v/>
      </c>
      <c r="BO511" s="18" t="b">
        <f t="shared" si="281"/>
        <v>0</v>
      </c>
      <c r="BP511" s="18" t="b">
        <f t="shared" si="252"/>
        <v>0</v>
      </c>
      <c r="BQ511" s="18" t="b">
        <f>AND(E511&lt;&gt;'Povolené hodnoty'!$B$6,F511&lt;&gt;'Povolené hodnoty'!$D$7,F511&lt;&gt;'Povolené hodnoty'!$D$8,OR(SUM(I511,L511,O511,R511)&lt;&gt;SUM(W511:X511,AA511:AG511),SUM(J511,M511,P511,S511)&lt;&gt;SUM(Y511:Z511,AH511:AK511),COUNT(I511:J511,L511:M511,O511:P511,R511:S511)&lt;&gt;COUNT(W511:AK511)))</f>
        <v>0</v>
      </c>
      <c r="BR511" s="18" t="b">
        <f>OR(AND(E511='Povolené hodnoty'!$B$6,$BR$5),AND(E511='Povolené hodnoty'!$B$6,H511&lt;&gt;'Povolené hodnoty'!$E$26,H511&lt;&gt;'Povolené hodnoty'!$E$35),AND(E511&lt;&gt;'Povolené hodnoty'!$B$6,OR(H511='Povolené hodnoty'!$E$26,H511='Povolené hodnoty'!$E$35)))</f>
        <v>0</v>
      </c>
      <c r="BS511" s="18" t="b">
        <f>OR(AND(G511&lt;&gt;'Povolené hodnoty'!$B$13,OR(H511='Povolené hodnoty'!$E$21,H511='Povolené hodnoty'!$E$22,H511='Povolené hodnoty'!$E$23,H511='Povolené hodnoty'!$E$24,H511='Povolené hodnoty'!$E$26,H511='Povolené hodnoty'!$E$36)),COUNT(I511:J511,L511:M511,O511:P511,R511:S511)&lt;&gt;COUNT(AL511:BM511))</f>
        <v>0</v>
      </c>
      <c r="BT511" s="18" t="b">
        <f t="shared" si="253"/>
        <v>0</v>
      </c>
      <c r="BV511" s="39" t="str">
        <f t="shared" si="254"/>
        <v/>
      </c>
      <c r="BW511" s="458" t="str">
        <f t="shared" si="255"/>
        <v/>
      </c>
      <c r="BX511" s="458" t="str">
        <f t="shared" si="256"/>
        <v/>
      </c>
      <c r="BY511" s="458" t="str">
        <f t="shared" si="257"/>
        <v/>
      </c>
      <c r="BZ511" s="458" t="str">
        <f t="shared" si="258"/>
        <v/>
      </c>
      <c r="CA511" s="40" t="str">
        <f t="shared" si="259"/>
        <v/>
      </c>
      <c r="CB511" s="40" t="str">
        <f t="shared" si="260"/>
        <v/>
      </c>
      <c r="CC511" s="39" t="str">
        <f t="shared" si="261"/>
        <v/>
      </c>
      <c r="CD511" s="458" t="str">
        <f t="shared" si="262"/>
        <v/>
      </c>
      <c r="CE511" s="41" t="str">
        <f t="shared" si="263"/>
        <v/>
      </c>
      <c r="CF511" s="39" t="str">
        <f t="shared" si="264"/>
        <v/>
      </c>
      <c r="CG511" s="458" t="str">
        <f t="shared" si="265"/>
        <v/>
      </c>
      <c r="CH511" s="458" t="str">
        <f t="shared" si="266"/>
        <v/>
      </c>
      <c r="CI511" s="458" t="str">
        <f t="shared" si="267"/>
        <v/>
      </c>
      <c r="CJ511" s="458" t="str">
        <f t="shared" si="268"/>
        <v/>
      </c>
      <c r="CK511" s="40" t="str">
        <f t="shared" si="269"/>
        <v/>
      </c>
      <c r="CL511" s="40" t="str">
        <f t="shared" si="270"/>
        <v/>
      </c>
      <c r="CM511" s="40" t="str">
        <f t="shared" si="271"/>
        <v/>
      </c>
      <c r="CN511" s="39" t="str">
        <f t="shared" si="272"/>
        <v/>
      </c>
      <c r="CO511" s="458" t="str">
        <f t="shared" si="273"/>
        <v/>
      </c>
      <c r="CP511" s="458" t="str">
        <f t="shared" si="274"/>
        <v/>
      </c>
      <c r="CQ511" s="458" t="str">
        <f t="shared" si="275"/>
        <v/>
      </c>
      <c r="CR511" s="458" t="str">
        <f t="shared" si="276"/>
        <v/>
      </c>
      <c r="CS511" s="40" t="str">
        <f t="shared" si="277"/>
        <v/>
      </c>
      <c r="CT511" s="40" t="str">
        <f t="shared" si="278"/>
        <v/>
      </c>
      <c r="CU511" s="41" t="str">
        <f t="shared" si="279"/>
        <v/>
      </c>
    </row>
    <row r="512" spans="1:99" x14ac:dyDescent="0.2">
      <c r="A512" s="77">
        <f t="shared" si="280"/>
        <v>507</v>
      </c>
      <c r="B512" s="81"/>
      <c r="C512" s="82"/>
      <c r="D512" s="71"/>
      <c r="E512" s="72"/>
      <c r="F512" s="73"/>
      <c r="G512" s="443"/>
      <c r="H512" s="443"/>
      <c r="I512" s="74"/>
      <c r="J512" s="75"/>
      <c r="K512" s="41">
        <f t="shared" si="284"/>
        <v>3625</v>
      </c>
      <c r="L512" s="104"/>
      <c r="M512" s="105"/>
      <c r="N512" s="106">
        <f t="shared" si="285"/>
        <v>537.05999999999995</v>
      </c>
      <c r="O512" s="104"/>
      <c r="P512" s="105"/>
      <c r="Q512" s="106">
        <f t="shared" si="282"/>
        <v>10045.83</v>
      </c>
      <c r="R512" s="104"/>
      <c r="S512" s="105"/>
      <c r="T512" s="106">
        <f t="shared" si="283"/>
        <v>0</v>
      </c>
      <c r="U512" s="439"/>
      <c r="V512" s="42">
        <f t="shared" si="251"/>
        <v>507</v>
      </c>
      <c r="W512" s="39" t="str">
        <f>IF(AND(E512='Povolené hodnoty'!$B$4,F512=2),I512+L512+O512+R512,"")</f>
        <v/>
      </c>
      <c r="X512" s="41" t="str">
        <f>IF(AND(E512='Povolené hodnoty'!$B$4,F512=1),I512+L512+O512+R512,"")</f>
        <v/>
      </c>
      <c r="Y512" s="39" t="str">
        <f>IF(AND(E512='Povolené hodnoty'!$B$4,F512=10),J512+M512+P512+S512,"")</f>
        <v/>
      </c>
      <c r="Z512" s="41" t="str">
        <f>IF(AND(E512='Povolené hodnoty'!$B$4,F512=9),J512+M512+P512+S512,"")</f>
        <v/>
      </c>
      <c r="AA512" s="39" t="str">
        <f>IF(AND(E512&lt;&gt;'Povolené hodnoty'!$B$4,F512=2),I512+L512+O512+R512,"")</f>
        <v/>
      </c>
      <c r="AB512" s="40" t="str">
        <f>IF(AND(E512&lt;&gt;'Povolené hodnoty'!$B$4,F512=3),I512+L512+O512+R512,"")</f>
        <v/>
      </c>
      <c r="AC512" s="40" t="str">
        <f>IF(AND(E512&lt;&gt;'Povolené hodnoty'!$B$4,F512=4),I512+L512+O512+R512,"")</f>
        <v/>
      </c>
      <c r="AD512" s="40" t="str">
        <f>IF(AND(E512&lt;&gt;'Povolené hodnoty'!$B$4,F512="5a"),I512-J512+L512-M512+O512-P512+R512-S512,"")</f>
        <v/>
      </c>
      <c r="AE512" s="40" t="str">
        <f>IF(AND(E512&lt;&gt;'Povolené hodnoty'!$B$4,F512="5b"),I512-J512+L512-M512+O512-P512+R512-S512,"")</f>
        <v/>
      </c>
      <c r="AF512" s="40" t="str">
        <f>IF(AND(E512&lt;&gt;'Povolené hodnoty'!$B$4,F512=6),I512+L512+O512+R512,"")</f>
        <v/>
      </c>
      <c r="AG512" s="41" t="str">
        <f>IF(AND(E512&lt;&gt;'Povolené hodnoty'!$B$4,F512=7),I512+L512+O512+R512,"")</f>
        <v/>
      </c>
      <c r="AH512" s="39" t="str">
        <f>IF(AND(E512&lt;&gt;'Povolené hodnoty'!$B$4,F512=10),J512+M512+P512+S512,"")</f>
        <v/>
      </c>
      <c r="AI512" s="40" t="str">
        <f>IF(AND(E512&lt;&gt;'Povolené hodnoty'!$B$4,F512=11),J512+M512+P512+S512,"")</f>
        <v/>
      </c>
      <c r="AJ512" s="40" t="str">
        <f>IF(AND(E512&lt;&gt;'Povolené hodnoty'!$B$4,F512=12),J512+M512+P512+S512,"")</f>
        <v/>
      </c>
      <c r="AK512" s="41" t="str">
        <f>IF(AND(E512&lt;&gt;'Povolené hodnoty'!$B$4,F512=13),J512+M512+P512+S512,"")</f>
        <v/>
      </c>
      <c r="AL512" s="39" t="str">
        <f>IF(AND($G512='Povolené hodnoty'!$B$13,$H512=AL$4),SUM($I512,$L512,$O512,$R512),"")</f>
        <v/>
      </c>
      <c r="AM512" s="458" t="str">
        <f>IF(AND($G512='Povolené hodnoty'!$B$13,$H512=AM$4),SUM($I512,$L512,$O512,$R512),"")</f>
        <v/>
      </c>
      <c r="AN512" s="458" t="str">
        <f>IF(AND($G512='Povolené hodnoty'!$B$13,$H512=AN$4),SUM($I512,$L512,$O512,$R512),"")</f>
        <v/>
      </c>
      <c r="AO512" s="458" t="str">
        <f>IF(AND($G512='Povolené hodnoty'!$B$13,$H512=AO$4),SUM($I512,$L512,$O512,$R512),"")</f>
        <v/>
      </c>
      <c r="AP512" s="458" t="str">
        <f>IF(AND($G512='Povolené hodnoty'!$B$13,$H512=AP$4),SUM($I512,$L512,$O512,$R512),"")</f>
        <v/>
      </c>
      <c r="AQ512" s="40" t="str">
        <f>IF(AND($G512='Povolené hodnoty'!$B$13,OR($H512=AQ$4,$H512='Povolené hodnoty'!$E$36)),SUM($I512,-$J512,$L512,-$M512,$O512,-$P512,$R512,-$S512),"")</f>
        <v/>
      </c>
      <c r="AR512" s="40" t="str">
        <f>IF(AND($G512='Povolené hodnoty'!$B$13,$H512=AR$4),SUM($I512,$L512,$O512,$R512),"")</f>
        <v/>
      </c>
      <c r="AS512" s="41" t="str">
        <f>IF(AND($G512='Povolené hodnoty'!$B$13,$H512=AS$4),SUM($I512,$L512,$O512,$R512),"")</f>
        <v/>
      </c>
      <c r="AT512" s="39" t="str">
        <f>IF(AND($G512='Povolené hodnoty'!$B$14,$H512=AT$4),SUM($I512,$L512,$O512,$R512),"")</f>
        <v/>
      </c>
      <c r="AU512" s="458" t="str">
        <f>IF(AND($G512='Povolené hodnoty'!$B$14,$H512=AU$4),SUM($I512,$L512,$O512,$R512),"")</f>
        <v/>
      </c>
      <c r="AV512" s="41" t="str">
        <f>IF(AND($G512='Povolené hodnoty'!$B$14,$H512=AV$4),SUM($I512,$L512,$O512,$R512),"")</f>
        <v/>
      </c>
      <c r="AW512" s="39" t="str">
        <f>IF(AND($G512='Povolené hodnoty'!$B$13,$H512=AW$4),SUM($J512,$M512,$P512,$S512),"")</f>
        <v/>
      </c>
      <c r="AX512" s="458" t="str">
        <f>IF(AND($G512='Povolené hodnoty'!$B$13,$H512=AX$4),SUM($J512,$M512,$P512,$S512),"")</f>
        <v/>
      </c>
      <c r="AY512" s="458" t="str">
        <f>IF(AND($G512='Povolené hodnoty'!$B$13,$H512=AY$4),SUM($J512,$M512,$P512,$S512),"")</f>
        <v/>
      </c>
      <c r="AZ512" s="458" t="str">
        <f>IF(AND($G512='Povolené hodnoty'!$B$13,$H512=AZ$4),SUM($J512,$M512,$P512,$S512),"")</f>
        <v/>
      </c>
      <c r="BA512" s="458" t="str">
        <f>IF(AND($G512='Povolené hodnoty'!$B$13,$H512=BA$4),SUM($J512,$M512,$P512,$S512),"")</f>
        <v/>
      </c>
      <c r="BB512" s="40" t="str">
        <f>IF(AND($G512='Povolené hodnoty'!$B$13,$H512=BB$4),SUM($J512,$M512,$P512,$S512),"")</f>
        <v/>
      </c>
      <c r="BC512" s="40" t="str">
        <f>IF(AND($G512='Povolené hodnoty'!$B$13,$H512=BC$4),SUM($J512,$M512,$P512,$S512),"")</f>
        <v/>
      </c>
      <c r="BD512" s="40" t="str">
        <f>IF(AND($G512='Povolené hodnoty'!$B$13,$H512=BD$4),SUM($J512,$M512,$P512,$S512),"")</f>
        <v/>
      </c>
      <c r="BE512" s="41" t="str">
        <f>IF(AND($G512='Povolené hodnoty'!$B$13,$H512=BE$4),SUM($J512,$M512,$P512,$S512),"")</f>
        <v/>
      </c>
      <c r="BF512" s="39" t="str">
        <f>IF(AND($G512='Povolené hodnoty'!$B$14,$H512=BF$4),SUM($J512,$M512,$P512,$S512),"")</f>
        <v/>
      </c>
      <c r="BG512" s="458" t="str">
        <f>IF(AND($G512='Povolené hodnoty'!$B$14,$H512=BG$4),SUM($J512,$M512,$P512,$S512),"")</f>
        <v/>
      </c>
      <c r="BH512" s="458" t="str">
        <f>IF(AND($G512='Povolené hodnoty'!$B$14,$H512=BH$4),SUM($J512,$M512,$P512,$S512),"")</f>
        <v/>
      </c>
      <c r="BI512" s="458" t="str">
        <f>IF(AND($G512='Povolené hodnoty'!$B$14,$H512=BI$4),SUM($J512,$M512,$P512,$S512),"")</f>
        <v/>
      </c>
      <c r="BJ512" s="458" t="str">
        <f>IF(AND($G512='Povolené hodnoty'!$B$14,$H512=BJ$4),SUM($J512,$M512,$P512,$S512),"")</f>
        <v/>
      </c>
      <c r="BK512" s="40" t="str">
        <f>IF(AND($G512='Povolené hodnoty'!$B$14,$H512=BK$4),SUM($J512,$M512,$P512,$S512),"")</f>
        <v/>
      </c>
      <c r="BL512" s="40" t="str">
        <f>IF(AND($G512='Povolené hodnoty'!$B$14,$H512=BL$4),SUM($J512,$M512,$P512,$S512),"")</f>
        <v/>
      </c>
      <c r="BM512" s="41" t="str">
        <f>IF(AND($G512='Povolené hodnoty'!$B$14,$H512=BM$4),SUM($J512,$M512,$P512,$S512),"")</f>
        <v/>
      </c>
      <c r="BO512" s="18" t="b">
        <f t="shared" si="281"/>
        <v>0</v>
      </c>
      <c r="BP512" s="18" t="b">
        <f t="shared" si="252"/>
        <v>0</v>
      </c>
      <c r="BQ512" s="18" t="b">
        <f>AND(E512&lt;&gt;'Povolené hodnoty'!$B$6,F512&lt;&gt;'Povolené hodnoty'!$D$7,F512&lt;&gt;'Povolené hodnoty'!$D$8,OR(SUM(I512,L512,O512,R512)&lt;&gt;SUM(W512:X512,AA512:AG512),SUM(J512,M512,P512,S512)&lt;&gt;SUM(Y512:Z512,AH512:AK512),COUNT(I512:J512,L512:M512,O512:P512,R512:S512)&lt;&gt;COUNT(W512:AK512)))</f>
        <v>0</v>
      </c>
      <c r="BR512" s="18" t="b">
        <f>OR(AND(E512='Povolené hodnoty'!$B$6,$BR$5),AND(E512='Povolené hodnoty'!$B$6,H512&lt;&gt;'Povolené hodnoty'!$E$26,H512&lt;&gt;'Povolené hodnoty'!$E$35),AND(E512&lt;&gt;'Povolené hodnoty'!$B$6,OR(H512='Povolené hodnoty'!$E$26,H512='Povolené hodnoty'!$E$35)))</f>
        <v>0</v>
      </c>
      <c r="BS512" s="18" t="b">
        <f>OR(AND(G512&lt;&gt;'Povolené hodnoty'!$B$13,OR(H512='Povolené hodnoty'!$E$21,H512='Povolené hodnoty'!$E$22,H512='Povolené hodnoty'!$E$23,H512='Povolené hodnoty'!$E$24,H512='Povolené hodnoty'!$E$26,H512='Povolené hodnoty'!$E$36)),COUNT(I512:J512,L512:M512,O512:P512,R512:S512)&lt;&gt;COUNT(AL512:BM512))</f>
        <v>0</v>
      </c>
      <c r="BT512" s="18" t="b">
        <f t="shared" si="253"/>
        <v>0</v>
      </c>
      <c r="BV512" s="39" t="str">
        <f t="shared" si="254"/>
        <v/>
      </c>
      <c r="BW512" s="458" t="str">
        <f t="shared" si="255"/>
        <v/>
      </c>
      <c r="BX512" s="458" t="str">
        <f t="shared" si="256"/>
        <v/>
      </c>
      <c r="BY512" s="458" t="str">
        <f t="shared" si="257"/>
        <v/>
      </c>
      <c r="BZ512" s="458" t="str">
        <f t="shared" si="258"/>
        <v/>
      </c>
      <c r="CA512" s="40" t="str">
        <f t="shared" si="259"/>
        <v/>
      </c>
      <c r="CB512" s="40" t="str">
        <f t="shared" si="260"/>
        <v/>
      </c>
      <c r="CC512" s="39" t="str">
        <f t="shared" si="261"/>
        <v/>
      </c>
      <c r="CD512" s="458" t="str">
        <f t="shared" si="262"/>
        <v/>
      </c>
      <c r="CE512" s="41" t="str">
        <f t="shared" si="263"/>
        <v/>
      </c>
      <c r="CF512" s="39" t="str">
        <f t="shared" si="264"/>
        <v/>
      </c>
      <c r="CG512" s="458" t="str">
        <f t="shared" si="265"/>
        <v/>
      </c>
      <c r="CH512" s="458" t="str">
        <f t="shared" si="266"/>
        <v/>
      </c>
      <c r="CI512" s="458" t="str">
        <f t="shared" si="267"/>
        <v/>
      </c>
      <c r="CJ512" s="458" t="str">
        <f t="shared" si="268"/>
        <v/>
      </c>
      <c r="CK512" s="40" t="str">
        <f t="shared" si="269"/>
        <v/>
      </c>
      <c r="CL512" s="40" t="str">
        <f t="shared" si="270"/>
        <v/>
      </c>
      <c r="CM512" s="40" t="str">
        <f t="shared" si="271"/>
        <v/>
      </c>
      <c r="CN512" s="39" t="str">
        <f t="shared" si="272"/>
        <v/>
      </c>
      <c r="CO512" s="458" t="str">
        <f t="shared" si="273"/>
        <v/>
      </c>
      <c r="CP512" s="458" t="str">
        <f t="shared" si="274"/>
        <v/>
      </c>
      <c r="CQ512" s="458" t="str">
        <f t="shared" si="275"/>
        <v/>
      </c>
      <c r="CR512" s="458" t="str">
        <f t="shared" si="276"/>
        <v/>
      </c>
      <c r="CS512" s="40" t="str">
        <f t="shared" si="277"/>
        <v/>
      </c>
      <c r="CT512" s="40" t="str">
        <f t="shared" si="278"/>
        <v/>
      </c>
      <c r="CU512" s="41" t="str">
        <f t="shared" si="279"/>
        <v/>
      </c>
    </row>
    <row r="513" spans="1:99" x14ac:dyDescent="0.2">
      <c r="A513" s="77">
        <f t="shared" si="280"/>
        <v>508</v>
      </c>
      <c r="B513" s="81"/>
      <c r="C513" s="82"/>
      <c r="D513" s="71"/>
      <c r="E513" s="72"/>
      <c r="F513" s="73"/>
      <c r="G513" s="443"/>
      <c r="H513" s="443"/>
      <c r="I513" s="74"/>
      <c r="J513" s="75"/>
      <c r="K513" s="41">
        <f t="shared" si="284"/>
        <v>3625</v>
      </c>
      <c r="L513" s="104"/>
      <c r="M513" s="105"/>
      <c r="N513" s="106">
        <f t="shared" si="285"/>
        <v>537.05999999999995</v>
      </c>
      <c r="O513" s="104"/>
      <c r="P513" s="105"/>
      <c r="Q513" s="106">
        <f t="shared" si="282"/>
        <v>10045.83</v>
      </c>
      <c r="R513" s="104"/>
      <c r="S513" s="105"/>
      <c r="T513" s="106">
        <f t="shared" si="283"/>
        <v>0</v>
      </c>
      <c r="U513" s="439"/>
      <c r="V513" s="42">
        <f t="shared" si="251"/>
        <v>508</v>
      </c>
      <c r="W513" s="39" t="str">
        <f>IF(AND(E513='Povolené hodnoty'!$B$4,F513=2),I513+L513+O513+R513,"")</f>
        <v/>
      </c>
      <c r="X513" s="41" t="str">
        <f>IF(AND(E513='Povolené hodnoty'!$B$4,F513=1),I513+L513+O513+R513,"")</f>
        <v/>
      </c>
      <c r="Y513" s="39" t="str">
        <f>IF(AND(E513='Povolené hodnoty'!$B$4,F513=10),J513+M513+P513+S513,"")</f>
        <v/>
      </c>
      <c r="Z513" s="41" t="str">
        <f>IF(AND(E513='Povolené hodnoty'!$B$4,F513=9),J513+M513+P513+S513,"")</f>
        <v/>
      </c>
      <c r="AA513" s="39" t="str">
        <f>IF(AND(E513&lt;&gt;'Povolené hodnoty'!$B$4,F513=2),I513+L513+O513+R513,"")</f>
        <v/>
      </c>
      <c r="AB513" s="40" t="str">
        <f>IF(AND(E513&lt;&gt;'Povolené hodnoty'!$B$4,F513=3),I513+L513+O513+R513,"")</f>
        <v/>
      </c>
      <c r="AC513" s="40" t="str">
        <f>IF(AND(E513&lt;&gt;'Povolené hodnoty'!$B$4,F513=4),I513+L513+O513+R513,"")</f>
        <v/>
      </c>
      <c r="AD513" s="40" t="str">
        <f>IF(AND(E513&lt;&gt;'Povolené hodnoty'!$B$4,F513="5a"),I513-J513+L513-M513+O513-P513+R513-S513,"")</f>
        <v/>
      </c>
      <c r="AE513" s="40" t="str">
        <f>IF(AND(E513&lt;&gt;'Povolené hodnoty'!$B$4,F513="5b"),I513-J513+L513-M513+O513-P513+R513-S513,"")</f>
        <v/>
      </c>
      <c r="AF513" s="40" t="str">
        <f>IF(AND(E513&lt;&gt;'Povolené hodnoty'!$B$4,F513=6),I513+L513+O513+R513,"")</f>
        <v/>
      </c>
      <c r="AG513" s="41" t="str">
        <f>IF(AND(E513&lt;&gt;'Povolené hodnoty'!$B$4,F513=7),I513+L513+O513+R513,"")</f>
        <v/>
      </c>
      <c r="AH513" s="39" t="str">
        <f>IF(AND(E513&lt;&gt;'Povolené hodnoty'!$B$4,F513=10),J513+M513+P513+S513,"")</f>
        <v/>
      </c>
      <c r="AI513" s="40" t="str">
        <f>IF(AND(E513&lt;&gt;'Povolené hodnoty'!$B$4,F513=11),J513+M513+P513+S513,"")</f>
        <v/>
      </c>
      <c r="AJ513" s="40" t="str">
        <f>IF(AND(E513&lt;&gt;'Povolené hodnoty'!$B$4,F513=12),J513+M513+P513+S513,"")</f>
        <v/>
      </c>
      <c r="AK513" s="41" t="str">
        <f>IF(AND(E513&lt;&gt;'Povolené hodnoty'!$B$4,F513=13),J513+M513+P513+S513,"")</f>
        <v/>
      </c>
      <c r="AL513" s="39" t="str">
        <f>IF(AND($G513='Povolené hodnoty'!$B$13,$H513=AL$4),SUM($I513,$L513,$O513,$R513),"")</f>
        <v/>
      </c>
      <c r="AM513" s="458" t="str">
        <f>IF(AND($G513='Povolené hodnoty'!$B$13,$H513=AM$4),SUM($I513,$L513,$O513,$R513),"")</f>
        <v/>
      </c>
      <c r="AN513" s="458" t="str">
        <f>IF(AND($G513='Povolené hodnoty'!$B$13,$H513=AN$4),SUM($I513,$L513,$O513,$R513),"")</f>
        <v/>
      </c>
      <c r="AO513" s="458" t="str">
        <f>IF(AND($G513='Povolené hodnoty'!$B$13,$H513=AO$4),SUM($I513,$L513,$O513,$R513),"")</f>
        <v/>
      </c>
      <c r="AP513" s="458" t="str">
        <f>IF(AND($G513='Povolené hodnoty'!$B$13,$H513=AP$4),SUM($I513,$L513,$O513,$R513),"")</f>
        <v/>
      </c>
      <c r="AQ513" s="40" t="str">
        <f>IF(AND($G513='Povolené hodnoty'!$B$13,OR($H513=AQ$4,$H513='Povolené hodnoty'!$E$36)),SUM($I513,-$J513,$L513,-$M513,$O513,-$P513,$R513,-$S513),"")</f>
        <v/>
      </c>
      <c r="AR513" s="40" t="str">
        <f>IF(AND($G513='Povolené hodnoty'!$B$13,$H513=AR$4),SUM($I513,$L513,$O513,$R513),"")</f>
        <v/>
      </c>
      <c r="AS513" s="41" t="str">
        <f>IF(AND($G513='Povolené hodnoty'!$B$13,$H513=AS$4),SUM($I513,$L513,$O513,$R513),"")</f>
        <v/>
      </c>
      <c r="AT513" s="39" t="str">
        <f>IF(AND($G513='Povolené hodnoty'!$B$14,$H513=AT$4),SUM($I513,$L513,$O513,$R513),"")</f>
        <v/>
      </c>
      <c r="AU513" s="458" t="str">
        <f>IF(AND($G513='Povolené hodnoty'!$B$14,$H513=AU$4),SUM($I513,$L513,$O513,$R513),"")</f>
        <v/>
      </c>
      <c r="AV513" s="41" t="str">
        <f>IF(AND($G513='Povolené hodnoty'!$B$14,$H513=AV$4),SUM($I513,$L513,$O513,$R513),"")</f>
        <v/>
      </c>
      <c r="AW513" s="39" t="str">
        <f>IF(AND($G513='Povolené hodnoty'!$B$13,$H513=AW$4),SUM($J513,$M513,$P513,$S513),"")</f>
        <v/>
      </c>
      <c r="AX513" s="458" t="str">
        <f>IF(AND($G513='Povolené hodnoty'!$B$13,$H513=AX$4),SUM($J513,$M513,$P513,$S513),"")</f>
        <v/>
      </c>
      <c r="AY513" s="458" t="str">
        <f>IF(AND($G513='Povolené hodnoty'!$B$13,$H513=AY$4),SUM($J513,$M513,$P513,$S513),"")</f>
        <v/>
      </c>
      <c r="AZ513" s="458" t="str">
        <f>IF(AND($G513='Povolené hodnoty'!$B$13,$H513=AZ$4),SUM($J513,$M513,$P513,$S513),"")</f>
        <v/>
      </c>
      <c r="BA513" s="458" t="str">
        <f>IF(AND($G513='Povolené hodnoty'!$B$13,$H513=BA$4),SUM($J513,$M513,$P513,$S513),"")</f>
        <v/>
      </c>
      <c r="BB513" s="40" t="str">
        <f>IF(AND($G513='Povolené hodnoty'!$B$13,$H513=BB$4),SUM($J513,$M513,$P513,$S513),"")</f>
        <v/>
      </c>
      <c r="BC513" s="40" t="str">
        <f>IF(AND($G513='Povolené hodnoty'!$B$13,$H513=BC$4),SUM($J513,$M513,$P513,$S513),"")</f>
        <v/>
      </c>
      <c r="BD513" s="40" t="str">
        <f>IF(AND($G513='Povolené hodnoty'!$B$13,$H513=BD$4),SUM($J513,$M513,$P513,$S513),"")</f>
        <v/>
      </c>
      <c r="BE513" s="41" t="str">
        <f>IF(AND($G513='Povolené hodnoty'!$B$13,$H513=BE$4),SUM($J513,$M513,$P513,$S513),"")</f>
        <v/>
      </c>
      <c r="BF513" s="39" t="str">
        <f>IF(AND($G513='Povolené hodnoty'!$B$14,$H513=BF$4),SUM($J513,$M513,$P513,$S513),"")</f>
        <v/>
      </c>
      <c r="BG513" s="458" t="str">
        <f>IF(AND($G513='Povolené hodnoty'!$B$14,$H513=BG$4),SUM($J513,$M513,$P513,$S513),"")</f>
        <v/>
      </c>
      <c r="BH513" s="458" t="str">
        <f>IF(AND($G513='Povolené hodnoty'!$B$14,$H513=BH$4),SUM($J513,$M513,$P513,$S513),"")</f>
        <v/>
      </c>
      <c r="BI513" s="458" t="str">
        <f>IF(AND($G513='Povolené hodnoty'!$B$14,$H513=BI$4),SUM($J513,$M513,$P513,$S513),"")</f>
        <v/>
      </c>
      <c r="BJ513" s="458" t="str">
        <f>IF(AND($G513='Povolené hodnoty'!$B$14,$H513=BJ$4),SUM($J513,$M513,$P513,$S513),"")</f>
        <v/>
      </c>
      <c r="BK513" s="40" t="str">
        <f>IF(AND($G513='Povolené hodnoty'!$B$14,$H513=BK$4),SUM($J513,$M513,$P513,$S513),"")</f>
        <v/>
      </c>
      <c r="BL513" s="40" t="str">
        <f>IF(AND($G513='Povolené hodnoty'!$B$14,$H513=BL$4),SUM($J513,$M513,$P513,$S513),"")</f>
        <v/>
      </c>
      <c r="BM513" s="41" t="str">
        <f>IF(AND($G513='Povolené hodnoty'!$B$14,$H513=BM$4),SUM($J513,$M513,$P513,$S513),"")</f>
        <v/>
      </c>
      <c r="BO513" s="18" t="b">
        <f t="shared" si="281"/>
        <v>0</v>
      </c>
      <c r="BP513" s="18" t="b">
        <f t="shared" si="252"/>
        <v>0</v>
      </c>
      <c r="BQ513" s="18" t="b">
        <f>AND(E513&lt;&gt;'Povolené hodnoty'!$B$6,F513&lt;&gt;'Povolené hodnoty'!$D$7,F513&lt;&gt;'Povolené hodnoty'!$D$8,OR(SUM(I513,L513,O513,R513)&lt;&gt;SUM(W513:X513,AA513:AG513),SUM(J513,M513,P513,S513)&lt;&gt;SUM(Y513:Z513,AH513:AK513),COUNT(I513:J513,L513:M513,O513:P513,R513:S513)&lt;&gt;COUNT(W513:AK513)))</f>
        <v>0</v>
      </c>
      <c r="BR513" s="18" t="b">
        <f>OR(AND(E513='Povolené hodnoty'!$B$6,$BR$5),AND(E513='Povolené hodnoty'!$B$6,H513&lt;&gt;'Povolené hodnoty'!$E$26,H513&lt;&gt;'Povolené hodnoty'!$E$35),AND(E513&lt;&gt;'Povolené hodnoty'!$B$6,OR(H513='Povolené hodnoty'!$E$26,H513='Povolené hodnoty'!$E$35)))</f>
        <v>0</v>
      </c>
      <c r="BS513" s="18" t="b">
        <f>OR(AND(G513&lt;&gt;'Povolené hodnoty'!$B$13,OR(H513='Povolené hodnoty'!$E$21,H513='Povolené hodnoty'!$E$22,H513='Povolené hodnoty'!$E$23,H513='Povolené hodnoty'!$E$24,H513='Povolené hodnoty'!$E$26,H513='Povolené hodnoty'!$E$36)),COUNT(I513:J513,L513:M513,O513:P513,R513:S513)&lt;&gt;COUNT(AL513:BM513))</f>
        <v>0</v>
      </c>
      <c r="BT513" s="18" t="b">
        <f t="shared" si="253"/>
        <v>0</v>
      </c>
      <c r="BV513" s="39" t="str">
        <f t="shared" si="254"/>
        <v/>
      </c>
      <c r="BW513" s="458" t="str">
        <f t="shared" si="255"/>
        <v/>
      </c>
      <c r="BX513" s="458" t="str">
        <f t="shared" si="256"/>
        <v/>
      </c>
      <c r="BY513" s="458" t="str">
        <f t="shared" si="257"/>
        <v/>
      </c>
      <c r="BZ513" s="458" t="str">
        <f t="shared" si="258"/>
        <v/>
      </c>
      <c r="CA513" s="40" t="str">
        <f t="shared" si="259"/>
        <v/>
      </c>
      <c r="CB513" s="40" t="str">
        <f t="shared" si="260"/>
        <v/>
      </c>
      <c r="CC513" s="39" t="str">
        <f t="shared" si="261"/>
        <v/>
      </c>
      <c r="CD513" s="458" t="str">
        <f t="shared" si="262"/>
        <v/>
      </c>
      <c r="CE513" s="41" t="str">
        <f t="shared" si="263"/>
        <v/>
      </c>
      <c r="CF513" s="39" t="str">
        <f t="shared" si="264"/>
        <v/>
      </c>
      <c r="CG513" s="458" t="str">
        <f t="shared" si="265"/>
        <v/>
      </c>
      <c r="CH513" s="458" t="str">
        <f t="shared" si="266"/>
        <v/>
      </c>
      <c r="CI513" s="458" t="str">
        <f t="shared" si="267"/>
        <v/>
      </c>
      <c r="CJ513" s="458" t="str">
        <f t="shared" si="268"/>
        <v/>
      </c>
      <c r="CK513" s="40" t="str">
        <f t="shared" si="269"/>
        <v/>
      </c>
      <c r="CL513" s="40" t="str">
        <f t="shared" si="270"/>
        <v/>
      </c>
      <c r="CM513" s="40" t="str">
        <f t="shared" si="271"/>
        <v/>
      </c>
      <c r="CN513" s="39" t="str">
        <f t="shared" si="272"/>
        <v/>
      </c>
      <c r="CO513" s="458" t="str">
        <f t="shared" si="273"/>
        <v/>
      </c>
      <c r="CP513" s="458" t="str">
        <f t="shared" si="274"/>
        <v/>
      </c>
      <c r="CQ513" s="458" t="str">
        <f t="shared" si="275"/>
        <v/>
      </c>
      <c r="CR513" s="458" t="str">
        <f t="shared" si="276"/>
        <v/>
      </c>
      <c r="CS513" s="40" t="str">
        <f t="shared" si="277"/>
        <v/>
      </c>
      <c r="CT513" s="40" t="str">
        <f t="shared" si="278"/>
        <v/>
      </c>
      <c r="CU513" s="41" t="str">
        <f t="shared" si="279"/>
        <v/>
      </c>
    </row>
    <row r="514" spans="1:99" x14ac:dyDescent="0.2">
      <c r="A514" s="77">
        <f t="shared" si="280"/>
        <v>509</v>
      </c>
      <c r="B514" s="81"/>
      <c r="C514" s="82"/>
      <c r="D514" s="71"/>
      <c r="E514" s="72"/>
      <c r="F514" s="73"/>
      <c r="G514" s="443"/>
      <c r="H514" s="443"/>
      <c r="I514" s="74"/>
      <c r="J514" s="75"/>
      <c r="K514" s="41">
        <f t="shared" si="284"/>
        <v>3625</v>
      </c>
      <c r="L514" s="104"/>
      <c r="M514" s="105"/>
      <c r="N514" s="106">
        <f t="shared" si="285"/>
        <v>537.05999999999995</v>
      </c>
      <c r="O514" s="104"/>
      <c r="P514" s="105"/>
      <c r="Q514" s="106">
        <f t="shared" si="282"/>
        <v>10045.83</v>
      </c>
      <c r="R514" s="104"/>
      <c r="S514" s="105"/>
      <c r="T514" s="106">
        <f t="shared" si="283"/>
        <v>0</v>
      </c>
      <c r="U514" s="439"/>
      <c r="V514" s="42">
        <f t="shared" si="251"/>
        <v>509</v>
      </c>
      <c r="W514" s="39" t="str">
        <f>IF(AND(E514='Povolené hodnoty'!$B$4,F514=2),I514+L514+O514+R514,"")</f>
        <v/>
      </c>
      <c r="X514" s="41" t="str">
        <f>IF(AND(E514='Povolené hodnoty'!$B$4,F514=1),I514+L514+O514+R514,"")</f>
        <v/>
      </c>
      <c r="Y514" s="39" t="str">
        <f>IF(AND(E514='Povolené hodnoty'!$B$4,F514=10),J514+M514+P514+S514,"")</f>
        <v/>
      </c>
      <c r="Z514" s="41" t="str">
        <f>IF(AND(E514='Povolené hodnoty'!$B$4,F514=9),J514+M514+P514+S514,"")</f>
        <v/>
      </c>
      <c r="AA514" s="39" t="str">
        <f>IF(AND(E514&lt;&gt;'Povolené hodnoty'!$B$4,F514=2),I514+L514+O514+R514,"")</f>
        <v/>
      </c>
      <c r="AB514" s="40" t="str">
        <f>IF(AND(E514&lt;&gt;'Povolené hodnoty'!$B$4,F514=3),I514+L514+O514+R514,"")</f>
        <v/>
      </c>
      <c r="AC514" s="40" t="str">
        <f>IF(AND(E514&lt;&gt;'Povolené hodnoty'!$B$4,F514=4),I514+L514+O514+R514,"")</f>
        <v/>
      </c>
      <c r="AD514" s="40" t="str">
        <f>IF(AND(E514&lt;&gt;'Povolené hodnoty'!$B$4,F514="5a"),I514-J514+L514-M514+O514-P514+R514-S514,"")</f>
        <v/>
      </c>
      <c r="AE514" s="40" t="str">
        <f>IF(AND(E514&lt;&gt;'Povolené hodnoty'!$B$4,F514="5b"),I514-J514+L514-M514+O514-P514+R514-S514,"")</f>
        <v/>
      </c>
      <c r="AF514" s="40" t="str">
        <f>IF(AND(E514&lt;&gt;'Povolené hodnoty'!$B$4,F514=6),I514+L514+O514+R514,"")</f>
        <v/>
      </c>
      <c r="AG514" s="41" t="str">
        <f>IF(AND(E514&lt;&gt;'Povolené hodnoty'!$B$4,F514=7),I514+L514+O514+R514,"")</f>
        <v/>
      </c>
      <c r="AH514" s="39" t="str">
        <f>IF(AND(E514&lt;&gt;'Povolené hodnoty'!$B$4,F514=10),J514+M514+P514+S514,"")</f>
        <v/>
      </c>
      <c r="AI514" s="40" t="str">
        <f>IF(AND(E514&lt;&gt;'Povolené hodnoty'!$B$4,F514=11),J514+M514+P514+S514,"")</f>
        <v/>
      </c>
      <c r="AJ514" s="40" t="str">
        <f>IF(AND(E514&lt;&gt;'Povolené hodnoty'!$B$4,F514=12),J514+M514+P514+S514,"")</f>
        <v/>
      </c>
      <c r="AK514" s="41" t="str">
        <f>IF(AND(E514&lt;&gt;'Povolené hodnoty'!$B$4,F514=13),J514+M514+P514+S514,"")</f>
        <v/>
      </c>
      <c r="AL514" s="39" t="str">
        <f>IF(AND($G514='Povolené hodnoty'!$B$13,$H514=AL$4),SUM($I514,$L514,$O514,$R514),"")</f>
        <v/>
      </c>
      <c r="AM514" s="458" t="str">
        <f>IF(AND($G514='Povolené hodnoty'!$B$13,$H514=AM$4),SUM($I514,$L514,$O514,$R514),"")</f>
        <v/>
      </c>
      <c r="AN514" s="458" t="str">
        <f>IF(AND($G514='Povolené hodnoty'!$B$13,$H514=AN$4),SUM($I514,$L514,$O514,$R514),"")</f>
        <v/>
      </c>
      <c r="AO514" s="458" t="str">
        <f>IF(AND($G514='Povolené hodnoty'!$B$13,$H514=AO$4),SUM($I514,$L514,$O514,$R514),"")</f>
        <v/>
      </c>
      <c r="AP514" s="458" t="str">
        <f>IF(AND($G514='Povolené hodnoty'!$B$13,$H514=AP$4),SUM($I514,$L514,$O514,$R514),"")</f>
        <v/>
      </c>
      <c r="AQ514" s="40" t="str">
        <f>IF(AND($G514='Povolené hodnoty'!$B$13,OR($H514=AQ$4,$H514='Povolené hodnoty'!$E$36)),SUM($I514,-$J514,$L514,-$M514,$O514,-$P514,$R514,-$S514),"")</f>
        <v/>
      </c>
      <c r="AR514" s="40" t="str">
        <f>IF(AND($G514='Povolené hodnoty'!$B$13,$H514=AR$4),SUM($I514,$L514,$O514,$R514),"")</f>
        <v/>
      </c>
      <c r="AS514" s="41" t="str">
        <f>IF(AND($G514='Povolené hodnoty'!$B$13,$H514=AS$4),SUM($I514,$L514,$O514,$R514),"")</f>
        <v/>
      </c>
      <c r="AT514" s="39" t="str">
        <f>IF(AND($G514='Povolené hodnoty'!$B$14,$H514=AT$4),SUM($I514,$L514,$O514,$R514),"")</f>
        <v/>
      </c>
      <c r="AU514" s="458" t="str">
        <f>IF(AND($G514='Povolené hodnoty'!$B$14,$H514=AU$4),SUM($I514,$L514,$O514,$R514),"")</f>
        <v/>
      </c>
      <c r="AV514" s="41" t="str">
        <f>IF(AND($G514='Povolené hodnoty'!$B$14,$H514=AV$4),SUM($I514,$L514,$O514,$R514),"")</f>
        <v/>
      </c>
      <c r="AW514" s="39" t="str">
        <f>IF(AND($G514='Povolené hodnoty'!$B$13,$H514=AW$4),SUM($J514,$M514,$P514,$S514),"")</f>
        <v/>
      </c>
      <c r="AX514" s="458" t="str">
        <f>IF(AND($G514='Povolené hodnoty'!$B$13,$H514=AX$4),SUM($J514,$M514,$P514,$S514),"")</f>
        <v/>
      </c>
      <c r="AY514" s="458" t="str">
        <f>IF(AND($G514='Povolené hodnoty'!$B$13,$H514=AY$4),SUM($J514,$M514,$P514,$S514),"")</f>
        <v/>
      </c>
      <c r="AZ514" s="458" t="str">
        <f>IF(AND($G514='Povolené hodnoty'!$B$13,$H514=AZ$4),SUM($J514,$M514,$P514,$S514),"")</f>
        <v/>
      </c>
      <c r="BA514" s="458" t="str">
        <f>IF(AND($G514='Povolené hodnoty'!$B$13,$H514=BA$4),SUM($J514,$M514,$P514,$S514),"")</f>
        <v/>
      </c>
      <c r="BB514" s="40" t="str">
        <f>IF(AND($G514='Povolené hodnoty'!$B$13,$H514=BB$4),SUM($J514,$M514,$P514,$S514),"")</f>
        <v/>
      </c>
      <c r="BC514" s="40" t="str">
        <f>IF(AND($G514='Povolené hodnoty'!$B$13,$H514=BC$4),SUM($J514,$M514,$P514,$S514),"")</f>
        <v/>
      </c>
      <c r="BD514" s="40" t="str">
        <f>IF(AND($G514='Povolené hodnoty'!$B$13,$H514=BD$4),SUM($J514,$M514,$P514,$S514),"")</f>
        <v/>
      </c>
      <c r="BE514" s="41" t="str">
        <f>IF(AND($G514='Povolené hodnoty'!$B$13,$H514=BE$4),SUM($J514,$M514,$P514,$S514),"")</f>
        <v/>
      </c>
      <c r="BF514" s="39" t="str">
        <f>IF(AND($G514='Povolené hodnoty'!$B$14,$H514=BF$4),SUM($J514,$M514,$P514,$S514),"")</f>
        <v/>
      </c>
      <c r="BG514" s="458" t="str">
        <f>IF(AND($G514='Povolené hodnoty'!$B$14,$H514=BG$4),SUM($J514,$M514,$P514,$S514),"")</f>
        <v/>
      </c>
      <c r="BH514" s="458" t="str">
        <f>IF(AND($G514='Povolené hodnoty'!$B$14,$H514=BH$4),SUM($J514,$M514,$P514,$S514),"")</f>
        <v/>
      </c>
      <c r="BI514" s="458" t="str">
        <f>IF(AND($G514='Povolené hodnoty'!$B$14,$H514=BI$4),SUM($J514,$M514,$P514,$S514),"")</f>
        <v/>
      </c>
      <c r="BJ514" s="458" t="str">
        <f>IF(AND($G514='Povolené hodnoty'!$B$14,$H514=BJ$4),SUM($J514,$M514,$P514,$S514),"")</f>
        <v/>
      </c>
      <c r="BK514" s="40" t="str">
        <f>IF(AND($G514='Povolené hodnoty'!$B$14,$H514=BK$4),SUM($J514,$M514,$P514,$S514),"")</f>
        <v/>
      </c>
      <c r="BL514" s="40" t="str">
        <f>IF(AND($G514='Povolené hodnoty'!$B$14,$H514=BL$4),SUM($J514,$M514,$P514,$S514),"")</f>
        <v/>
      </c>
      <c r="BM514" s="41" t="str">
        <f>IF(AND($G514='Povolené hodnoty'!$B$14,$H514=BM$4),SUM($J514,$M514,$P514,$S514),"")</f>
        <v/>
      </c>
      <c r="BO514" s="18" t="b">
        <f t="shared" si="281"/>
        <v>0</v>
      </c>
      <c r="BP514" s="18" t="b">
        <f t="shared" si="252"/>
        <v>0</v>
      </c>
      <c r="BQ514" s="18" t="b">
        <f>AND(E514&lt;&gt;'Povolené hodnoty'!$B$6,F514&lt;&gt;'Povolené hodnoty'!$D$7,F514&lt;&gt;'Povolené hodnoty'!$D$8,OR(SUM(I514,L514,O514,R514)&lt;&gt;SUM(W514:X514,AA514:AG514),SUM(J514,M514,P514,S514)&lt;&gt;SUM(Y514:Z514,AH514:AK514),COUNT(I514:J514,L514:M514,O514:P514,R514:S514)&lt;&gt;COUNT(W514:AK514)))</f>
        <v>0</v>
      </c>
      <c r="BR514" s="18" t="b">
        <f>OR(AND(E514='Povolené hodnoty'!$B$6,$BR$5),AND(E514='Povolené hodnoty'!$B$6,H514&lt;&gt;'Povolené hodnoty'!$E$26,H514&lt;&gt;'Povolené hodnoty'!$E$35),AND(E514&lt;&gt;'Povolené hodnoty'!$B$6,OR(H514='Povolené hodnoty'!$E$26,H514='Povolené hodnoty'!$E$35)))</f>
        <v>0</v>
      </c>
      <c r="BS514" s="18" t="b">
        <f>OR(AND(G514&lt;&gt;'Povolené hodnoty'!$B$13,OR(H514='Povolené hodnoty'!$E$21,H514='Povolené hodnoty'!$E$22,H514='Povolené hodnoty'!$E$23,H514='Povolené hodnoty'!$E$24,H514='Povolené hodnoty'!$E$26,H514='Povolené hodnoty'!$E$36)),COUNT(I514:J514,L514:M514,O514:P514,R514:S514)&lt;&gt;COUNT(AL514:BM514))</f>
        <v>0</v>
      </c>
      <c r="BT514" s="18" t="b">
        <f t="shared" si="253"/>
        <v>0</v>
      </c>
      <c r="BV514" s="39" t="str">
        <f t="shared" si="254"/>
        <v/>
      </c>
      <c r="BW514" s="458" t="str">
        <f t="shared" si="255"/>
        <v/>
      </c>
      <c r="BX514" s="458" t="str">
        <f t="shared" si="256"/>
        <v/>
      </c>
      <c r="BY514" s="458" t="str">
        <f t="shared" si="257"/>
        <v/>
      </c>
      <c r="BZ514" s="458" t="str">
        <f t="shared" si="258"/>
        <v/>
      </c>
      <c r="CA514" s="40" t="str">
        <f t="shared" si="259"/>
        <v/>
      </c>
      <c r="CB514" s="40" t="str">
        <f t="shared" si="260"/>
        <v/>
      </c>
      <c r="CC514" s="39" t="str">
        <f t="shared" si="261"/>
        <v/>
      </c>
      <c r="CD514" s="458" t="str">
        <f t="shared" si="262"/>
        <v/>
      </c>
      <c r="CE514" s="41" t="str">
        <f t="shared" si="263"/>
        <v/>
      </c>
      <c r="CF514" s="39" t="str">
        <f t="shared" si="264"/>
        <v/>
      </c>
      <c r="CG514" s="458" t="str">
        <f t="shared" si="265"/>
        <v/>
      </c>
      <c r="CH514" s="458" t="str">
        <f t="shared" si="266"/>
        <v/>
      </c>
      <c r="CI514" s="458" t="str">
        <f t="shared" si="267"/>
        <v/>
      </c>
      <c r="CJ514" s="458" t="str">
        <f t="shared" si="268"/>
        <v/>
      </c>
      <c r="CK514" s="40" t="str">
        <f t="shared" si="269"/>
        <v/>
      </c>
      <c r="CL514" s="40" t="str">
        <f t="shared" si="270"/>
        <v/>
      </c>
      <c r="CM514" s="40" t="str">
        <f t="shared" si="271"/>
        <v/>
      </c>
      <c r="CN514" s="39" t="str">
        <f t="shared" si="272"/>
        <v/>
      </c>
      <c r="CO514" s="458" t="str">
        <f t="shared" si="273"/>
        <v/>
      </c>
      <c r="CP514" s="458" t="str">
        <f t="shared" si="274"/>
        <v/>
      </c>
      <c r="CQ514" s="458" t="str">
        <f t="shared" si="275"/>
        <v/>
      </c>
      <c r="CR514" s="458" t="str">
        <f t="shared" si="276"/>
        <v/>
      </c>
      <c r="CS514" s="40" t="str">
        <f t="shared" si="277"/>
        <v/>
      </c>
      <c r="CT514" s="40" t="str">
        <f t="shared" si="278"/>
        <v/>
      </c>
      <c r="CU514" s="41" t="str">
        <f t="shared" si="279"/>
        <v/>
      </c>
    </row>
    <row r="515" spans="1:99" x14ac:dyDescent="0.2">
      <c r="A515" s="77">
        <f t="shared" si="280"/>
        <v>510</v>
      </c>
      <c r="B515" s="81"/>
      <c r="C515" s="82"/>
      <c r="D515" s="71"/>
      <c r="E515" s="72"/>
      <c r="F515" s="73"/>
      <c r="G515" s="443"/>
      <c r="H515" s="443"/>
      <c r="I515" s="74"/>
      <c r="J515" s="75"/>
      <c r="K515" s="41">
        <f t="shared" si="284"/>
        <v>3625</v>
      </c>
      <c r="L515" s="104"/>
      <c r="M515" s="105"/>
      <c r="N515" s="106">
        <f t="shared" si="285"/>
        <v>537.05999999999995</v>
      </c>
      <c r="O515" s="104"/>
      <c r="P515" s="105"/>
      <c r="Q515" s="106">
        <f t="shared" si="282"/>
        <v>10045.83</v>
      </c>
      <c r="R515" s="104"/>
      <c r="S515" s="105"/>
      <c r="T515" s="106">
        <f t="shared" si="283"/>
        <v>0</v>
      </c>
      <c r="U515" s="439"/>
      <c r="V515" s="42">
        <f t="shared" si="251"/>
        <v>510</v>
      </c>
      <c r="W515" s="39" t="str">
        <f>IF(AND(E515='Povolené hodnoty'!$B$4,F515=2),I515+L515+O515+R515,"")</f>
        <v/>
      </c>
      <c r="X515" s="41" t="str">
        <f>IF(AND(E515='Povolené hodnoty'!$B$4,F515=1),I515+L515+O515+R515,"")</f>
        <v/>
      </c>
      <c r="Y515" s="39" t="str">
        <f>IF(AND(E515='Povolené hodnoty'!$B$4,F515=10),J515+M515+P515+S515,"")</f>
        <v/>
      </c>
      <c r="Z515" s="41" t="str">
        <f>IF(AND(E515='Povolené hodnoty'!$B$4,F515=9),J515+M515+P515+S515,"")</f>
        <v/>
      </c>
      <c r="AA515" s="39" t="str">
        <f>IF(AND(E515&lt;&gt;'Povolené hodnoty'!$B$4,F515=2),I515+L515+O515+R515,"")</f>
        <v/>
      </c>
      <c r="AB515" s="40" t="str">
        <f>IF(AND(E515&lt;&gt;'Povolené hodnoty'!$B$4,F515=3),I515+L515+O515+R515,"")</f>
        <v/>
      </c>
      <c r="AC515" s="40" t="str">
        <f>IF(AND(E515&lt;&gt;'Povolené hodnoty'!$B$4,F515=4),I515+L515+O515+R515,"")</f>
        <v/>
      </c>
      <c r="AD515" s="40" t="str">
        <f>IF(AND(E515&lt;&gt;'Povolené hodnoty'!$B$4,F515="5a"),I515-J515+L515-M515+O515-P515+R515-S515,"")</f>
        <v/>
      </c>
      <c r="AE515" s="40" t="str">
        <f>IF(AND(E515&lt;&gt;'Povolené hodnoty'!$B$4,F515="5b"),I515-J515+L515-M515+O515-P515+R515-S515,"")</f>
        <v/>
      </c>
      <c r="AF515" s="40" t="str">
        <f>IF(AND(E515&lt;&gt;'Povolené hodnoty'!$B$4,F515=6),I515+L515+O515+R515,"")</f>
        <v/>
      </c>
      <c r="AG515" s="41" t="str">
        <f>IF(AND(E515&lt;&gt;'Povolené hodnoty'!$B$4,F515=7),I515+L515+O515+R515,"")</f>
        <v/>
      </c>
      <c r="AH515" s="39" t="str">
        <f>IF(AND(E515&lt;&gt;'Povolené hodnoty'!$B$4,F515=10),J515+M515+P515+S515,"")</f>
        <v/>
      </c>
      <c r="AI515" s="40" t="str">
        <f>IF(AND(E515&lt;&gt;'Povolené hodnoty'!$B$4,F515=11),J515+M515+P515+S515,"")</f>
        <v/>
      </c>
      <c r="AJ515" s="40" t="str">
        <f>IF(AND(E515&lt;&gt;'Povolené hodnoty'!$B$4,F515=12),J515+M515+P515+S515,"")</f>
        <v/>
      </c>
      <c r="AK515" s="41" t="str">
        <f>IF(AND(E515&lt;&gt;'Povolené hodnoty'!$B$4,F515=13),J515+M515+P515+S515,"")</f>
        <v/>
      </c>
      <c r="AL515" s="39" t="str">
        <f>IF(AND($G515='Povolené hodnoty'!$B$13,$H515=AL$4),SUM($I515,$L515,$O515,$R515),"")</f>
        <v/>
      </c>
      <c r="AM515" s="458" t="str">
        <f>IF(AND($G515='Povolené hodnoty'!$B$13,$H515=AM$4),SUM($I515,$L515,$O515,$R515),"")</f>
        <v/>
      </c>
      <c r="AN515" s="458" t="str">
        <f>IF(AND($G515='Povolené hodnoty'!$B$13,$H515=AN$4),SUM($I515,$L515,$O515,$R515),"")</f>
        <v/>
      </c>
      <c r="AO515" s="458" t="str">
        <f>IF(AND($G515='Povolené hodnoty'!$B$13,$H515=AO$4),SUM($I515,$L515,$O515,$R515),"")</f>
        <v/>
      </c>
      <c r="AP515" s="458" t="str">
        <f>IF(AND($G515='Povolené hodnoty'!$B$13,$H515=AP$4),SUM($I515,$L515,$O515,$R515),"")</f>
        <v/>
      </c>
      <c r="AQ515" s="40" t="str">
        <f>IF(AND($G515='Povolené hodnoty'!$B$13,OR($H515=AQ$4,$H515='Povolené hodnoty'!$E$36)),SUM($I515,-$J515,$L515,-$M515,$O515,-$P515,$R515,-$S515),"")</f>
        <v/>
      </c>
      <c r="AR515" s="40" t="str">
        <f>IF(AND($G515='Povolené hodnoty'!$B$13,$H515=AR$4),SUM($I515,$L515,$O515,$R515),"")</f>
        <v/>
      </c>
      <c r="AS515" s="41" t="str">
        <f>IF(AND($G515='Povolené hodnoty'!$B$13,$H515=AS$4),SUM($I515,$L515,$O515,$R515),"")</f>
        <v/>
      </c>
      <c r="AT515" s="39" t="str">
        <f>IF(AND($G515='Povolené hodnoty'!$B$14,$H515=AT$4),SUM($I515,$L515,$O515,$R515),"")</f>
        <v/>
      </c>
      <c r="AU515" s="458" t="str">
        <f>IF(AND($G515='Povolené hodnoty'!$B$14,$H515=AU$4),SUM($I515,$L515,$O515,$R515),"")</f>
        <v/>
      </c>
      <c r="AV515" s="41" t="str">
        <f>IF(AND($G515='Povolené hodnoty'!$B$14,$H515=AV$4),SUM($I515,$L515,$O515,$R515),"")</f>
        <v/>
      </c>
      <c r="AW515" s="39" t="str">
        <f>IF(AND($G515='Povolené hodnoty'!$B$13,$H515=AW$4),SUM($J515,$M515,$P515,$S515),"")</f>
        <v/>
      </c>
      <c r="AX515" s="458" t="str">
        <f>IF(AND($G515='Povolené hodnoty'!$B$13,$H515=AX$4),SUM($J515,$M515,$P515,$S515),"")</f>
        <v/>
      </c>
      <c r="AY515" s="458" t="str">
        <f>IF(AND($G515='Povolené hodnoty'!$B$13,$H515=AY$4),SUM($J515,$M515,$P515,$S515),"")</f>
        <v/>
      </c>
      <c r="AZ515" s="458" t="str">
        <f>IF(AND($G515='Povolené hodnoty'!$B$13,$H515=AZ$4),SUM($J515,$M515,$P515,$S515),"")</f>
        <v/>
      </c>
      <c r="BA515" s="458" t="str">
        <f>IF(AND($G515='Povolené hodnoty'!$B$13,$H515=BA$4),SUM($J515,$M515,$P515,$S515),"")</f>
        <v/>
      </c>
      <c r="BB515" s="40" t="str">
        <f>IF(AND($G515='Povolené hodnoty'!$B$13,$H515=BB$4),SUM($J515,$M515,$P515,$S515),"")</f>
        <v/>
      </c>
      <c r="BC515" s="40" t="str">
        <f>IF(AND($G515='Povolené hodnoty'!$B$13,$H515=BC$4),SUM($J515,$M515,$P515,$S515),"")</f>
        <v/>
      </c>
      <c r="BD515" s="40" t="str">
        <f>IF(AND($G515='Povolené hodnoty'!$B$13,$H515=BD$4),SUM($J515,$M515,$P515,$S515),"")</f>
        <v/>
      </c>
      <c r="BE515" s="41" t="str">
        <f>IF(AND($G515='Povolené hodnoty'!$B$13,$H515=BE$4),SUM($J515,$M515,$P515,$S515),"")</f>
        <v/>
      </c>
      <c r="BF515" s="39" t="str">
        <f>IF(AND($G515='Povolené hodnoty'!$B$14,$H515=BF$4),SUM($J515,$M515,$P515,$S515),"")</f>
        <v/>
      </c>
      <c r="BG515" s="458" t="str">
        <f>IF(AND($G515='Povolené hodnoty'!$B$14,$H515=BG$4),SUM($J515,$M515,$P515,$S515),"")</f>
        <v/>
      </c>
      <c r="BH515" s="458" t="str">
        <f>IF(AND($G515='Povolené hodnoty'!$B$14,$H515=BH$4),SUM($J515,$M515,$P515,$S515),"")</f>
        <v/>
      </c>
      <c r="BI515" s="458" t="str">
        <f>IF(AND($G515='Povolené hodnoty'!$B$14,$H515=BI$4),SUM($J515,$M515,$P515,$S515),"")</f>
        <v/>
      </c>
      <c r="BJ515" s="458" t="str">
        <f>IF(AND($G515='Povolené hodnoty'!$B$14,$H515=BJ$4),SUM($J515,$M515,$P515,$S515),"")</f>
        <v/>
      </c>
      <c r="BK515" s="40" t="str">
        <f>IF(AND($G515='Povolené hodnoty'!$B$14,$H515=BK$4),SUM($J515,$M515,$P515,$S515),"")</f>
        <v/>
      </c>
      <c r="BL515" s="40" t="str">
        <f>IF(AND($G515='Povolené hodnoty'!$B$14,$H515=BL$4),SUM($J515,$M515,$P515,$S515),"")</f>
        <v/>
      </c>
      <c r="BM515" s="41" t="str">
        <f>IF(AND($G515='Povolené hodnoty'!$B$14,$H515=BM$4),SUM($J515,$M515,$P515,$S515),"")</f>
        <v/>
      </c>
      <c r="BO515" s="18" t="b">
        <f t="shared" si="281"/>
        <v>0</v>
      </c>
      <c r="BP515" s="18" t="b">
        <f t="shared" si="252"/>
        <v>0</v>
      </c>
      <c r="BQ515" s="18" t="b">
        <f>AND(E515&lt;&gt;'Povolené hodnoty'!$B$6,F515&lt;&gt;'Povolené hodnoty'!$D$7,F515&lt;&gt;'Povolené hodnoty'!$D$8,OR(SUM(I515,L515,O515,R515)&lt;&gt;SUM(W515:X515,AA515:AG515),SUM(J515,M515,P515,S515)&lt;&gt;SUM(Y515:Z515,AH515:AK515),COUNT(I515:J515,L515:M515,O515:P515,R515:S515)&lt;&gt;COUNT(W515:AK515)))</f>
        <v>0</v>
      </c>
      <c r="BR515" s="18" t="b">
        <f>OR(AND(E515='Povolené hodnoty'!$B$6,$BR$5),AND(E515='Povolené hodnoty'!$B$6,H515&lt;&gt;'Povolené hodnoty'!$E$26,H515&lt;&gt;'Povolené hodnoty'!$E$35),AND(E515&lt;&gt;'Povolené hodnoty'!$B$6,OR(H515='Povolené hodnoty'!$E$26,H515='Povolené hodnoty'!$E$35)))</f>
        <v>0</v>
      </c>
      <c r="BS515" s="18" t="b">
        <f>OR(AND(G515&lt;&gt;'Povolené hodnoty'!$B$13,OR(H515='Povolené hodnoty'!$E$21,H515='Povolené hodnoty'!$E$22,H515='Povolené hodnoty'!$E$23,H515='Povolené hodnoty'!$E$24,H515='Povolené hodnoty'!$E$26,H515='Povolené hodnoty'!$E$36)),COUNT(I515:J515,L515:M515,O515:P515,R515:S515)&lt;&gt;COUNT(AL515:BM515))</f>
        <v>0</v>
      </c>
      <c r="BT515" s="18" t="b">
        <f t="shared" si="253"/>
        <v>0</v>
      </c>
      <c r="BV515" s="39" t="str">
        <f t="shared" si="254"/>
        <v/>
      </c>
      <c r="BW515" s="458" t="str">
        <f t="shared" si="255"/>
        <v/>
      </c>
      <c r="BX515" s="458" t="str">
        <f t="shared" si="256"/>
        <v/>
      </c>
      <c r="BY515" s="458" t="str">
        <f t="shared" si="257"/>
        <v/>
      </c>
      <c r="BZ515" s="458" t="str">
        <f t="shared" si="258"/>
        <v/>
      </c>
      <c r="CA515" s="40" t="str">
        <f t="shared" si="259"/>
        <v/>
      </c>
      <c r="CB515" s="40" t="str">
        <f t="shared" si="260"/>
        <v/>
      </c>
      <c r="CC515" s="39" t="str">
        <f t="shared" si="261"/>
        <v/>
      </c>
      <c r="CD515" s="458" t="str">
        <f t="shared" si="262"/>
        <v/>
      </c>
      <c r="CE515" s="41" t="str">
        <f t="shared" si="263"/>
        <v/>
      </c>
      <c r="CF515" s="39" t="str">
        <f t="shared" si="264"/>
        <v/>
      </c>
      <c r="CG515" s="458" t="str">
        <f t="shared" si="265"/>
        <v/>
      </c>
      <c r="CH515" s="458" t="str">
        <f t="shared" si="266"/>
        <v/>
      </c>
      <c r="CI515" s="458" t="str">
        <f t="shared" si="267"/>
        <v/>
      </c>
      <c r="CJ515" s="458" t="str">
        <f t="shared" si="268"/>
        <v/>
      </c>
      <c r="CK515" s="40" t="str">
        <f t="shared" si="269"/>
        <v/>
      </c>
      <c r="CL515" s="40" t="str">
        <f t="shared" si="270"/>
        <v/>
      </c>
      <c r="CM515" s="40" t="str">
        <f t="shared" si="271"/>
        <v/>
      </c>
      <c r="CN515" s="39" t="str">
        <f t="shared" si="272"/>
        <v/>
      </c>
      <c r="CO515" s="458" t="str">
        <f t="shared" si="273"/>
        <v/>
      </c>
      <c r="CP515" s="458" t="str">
        <f t="shared" si="274"/>
        <v/>
      </c>
      <c r="CQ515" s="458" t="str">
        <f t="shared" si="275"/>
        <v/>
      </c>
      <c r="CR515" s="458" t="str">
        <f t="shared" si="276"/>
        <v/>
      </c>
      <c r="CS515" s="40" t="str">
        <f t="shared" si="277"/>
        <v/>
      </c>
      <c r="CT515" s="40" t="str">
        <f t="shared" si="278"/>
        <v/>
      </c>
      <c r="CU515" s="41" t="str">
        <f t="shared" si="279"/>
        <v/>
      </c>
    </row>
    <row r="516" spans="1:99" x14ac:dyDescent="0.2">
      <c r="A516" s="77">
        <f t="shared" si="280"/>
        <v>511</v>
      </c>
      <c r="B516" s="81"/>
      <c r="C516" s="82"/>
      <c r="D516" s="71"/>
      <c r="E516" s="72"/>
      <c r="F516" s="73"/>
      <c r="G516" s="443"/>
      <c r="H516" s="443"/>
      <c r="I516" s="74"/>
      <c r="J516" s="75"/>
      <c r="K516" s="41">
        <f t="shared" si="284"/>
        <v>3625</v>
      </c>
      <c r="L516" s="104"/>
      <c r="M516" s="105"/>
      <c r="N516" s="106">
        <f t="shared" si="285"/>
        <v>537.05999999999995</v>
      </c>
      <c r="O516" s="104"/>
      <c r="P516" s="105"/>
      <c r="Q516" s="106">
        <f t="shared" si="282"/>
        <v>10045.83</v>
      </c>
      <c r="R516" s="104"/>
      <c r="S516" s="105"/>
      <c r="T516" s="106">
        <f t="shared" si="283"/>
        <v>0</v>
      </c>
      <c r="U516" s="439"/>
      <c r="V516" s="42">
        <f t="shared" si="251"/>
        <v>511</v>
      </c>
      <c r="W516" s="39" t="str">
        <f>IF(AND(E516='Povolené hodnoty'!$B$4,F516=2),I516+L516+O516+R516,"")</f>
        <v/>
      </c>
      <c r="X516" s="41" t="str">
        <f>IF(AND(E516='Povolené hodnoty'!$B$4,F516=1),I516+L516+O516+R516,"")</f>
        <v/>
      </c>
      <c r="Y516" s="39" t="str">
        <f>IF(AND(E516='Povolené hodnoty'!$B$4,F516=10),J516+M516+P516+S516,"")</f>
        <v/>
      </c>
      <c r="Z516" s="41" t="str">
        <f>IF(AND(E516='Povolené hodnoty'!$B$4,F516=9),J516+M516+P516+S516,"")</f>
        <v/>
      </c>
      <c r="AA516" s="39" t="str">
        <f>IF(AND(E516&lt;&gt;'Povolené hodnoty'!$B$4,F516=2),I516+L516+O516+R516,"")</f>
        <v/>
      </c>
      <c r="AB516" s="40" t="str">
        <f>IF(AND(E516&lt;&gt;'Povolené hodnoty'!$B$4,F516=3),I516+L516+O516+R516,"")</f>
        <v/>
      </c>
      <c r="AC516" s="40" t="str">
        <f>IF(AND(E516&lt;&gt;'Povolené hodnoty'!$B$4,F516=4),I516+L516+O516+R516,"")</f>
        <v/>
      </c>
      <c r="AD516" s="40" t="str">
        <f>IF(AND(E516&lt;&gt;'Povolené hodnoty'!$B$4,F516="5a"),I516-J516+L516-M516+O516-P516+R516-S516,"")</f>
        <v/>
      </c>
      <c r="AE516" s="40" t="str">
        <f>IF(AND(E516&lt;&gt;'Povolené hodnoty'!$B$4,F516="5b"),I516-J516+L516-M516+O516-P516+R516-S516,"")</f>
        <v/>
      </c>
      <c r="AF516" s="40" t="str">
        <f>IF(AND(E516&lt;&gt;'Povolené hodnoty'!$B$4,F516=6),I516+L516+O516+R516,"")</f>
        <v/>
      </c>
      <c r="AG516" s="41" t="str">
        <f>IF(AND(E516&lt;&gt;'Povolené hodnoty'!$B$4,F516=7),I516+L516+O516+R516,"")</f>
        <v/>
      </c>
      <c r="AH516" s="39" t="str">
        <f>IF(AND(E516&lt;&gt;'Povolené hodnoty'!$B$4,F516=10),J516+M516+P516+S516,"")</f>
        <v/>
      </c>
      <c r="AI516" s="40" t="str">
        <f>IF(AND(E516&lt;&gt;'Povolené hodnoty'!$B$4,F516=11),J516+M516+P516+S516,"")</f>
        <v/>
      </c>
      <c r="AJ516" s="40" t="str">
        <f>IF(AND(E516&lt;&gt;'Povolené hodnoty'!$B$4,F516=12),J516+M516+P516+S516,"")</f>
        <v/>
      </c>
      <c r="AK516" s="41" t="str">
        <f>IF(AND(E516&lt;&gt;'Povolené hodnoty'!$B$4,F516=13),J516+M516+P516+S516,"")</f>
        <v/>
      </c>
      <c r="AL516" s="39" t="str">
        <f>IF(AND($G516='Povolené hodnoty'!$B$13,$H516=AL$4),SUM($I516,$L516,$O516,$R516),"")</f>
        <v/>
      </c>
      <c r="AM516" s="458" t="str">
        <f>IF(AND($G516='Povolené hodnoty'!$B$13,$H516=AM$4),SUM($I516,$L516,$O516,$R516),"")</f>
        <v/>
      </c>
      <c r="AN516" s="458" t="str">
        <f>IF(AND($G516='Povolené hodnoty'!$B$13,$H516=AN$4),SUM($I516,$L516,$O516,$R516),"")</f>
        <v/>
      </c>
      <c r="AO516" s="458" t="str">
        <f>IF(AND($G516='Povolené hodnoty'!$B$13,$H516=AO$4),SUM($I516,$L516,$O516,$R516),"")</f>
        <v/>
      </c>
      <c r="AP516" s="458" t="str">
        <f>IF(AND($G516='Povolené hodnoty'!$B$13,$H516=AP$4),SUM($I516,$L516,$O516,$R516),"")</f>
        <v/>
      </c>
      <c r="AQ516" s="40" t="str">
        <f>IF(AND($G516='Povolené hodnoty'!$B$13,OR($H516=AQ$4,$H516='Povolené hodnoty'!$E$36)),SUM($I516,-$J516,$L516,-$M516,$O516,-$P516,$R516,-$S516),"")</f>
        <v/>
      </c>
      <c r="AR516" s="40" t="str">
        <f>IF(AND($G516='Povolené hodnoty'!$B$13,$H516=AR$4),SUM($I516,$L516,$O516,$R516),"")</f>
        <v/>
      </c>
      <c r="AS516" s="41" t="str">
        <f>IF(AND($G516='Povolené hodnoty'!$B$13,$H516=AS$4),SUM($I516,$L516,$O516,$R516),"")</f>
        <v/>
      </c>
      <c r="AT516" s="39" t="str">
        <f>IF(AND($G516='Povolené hodnoty'!$B$14,$H516=AT$4),SUM($I516,$L516,$O516,$R516),"")</f>
        <v/>
      </c>
      <c r="AU516" s="458" t="str">
        <f>IF(AND($G516='Povolené hodnoty'!$B$14,$H516=AU$4),SUM($I516,$L516,$O516,$R516),"")</f>
        <v/>
      </c>
      <c r="AV516" s="41" t="str">
        <f>IF(AND($G516='Povolené hodnoty'!$B$14,$H516=AV$4),SUM($I516,$L516,$O516,$R516),"")</f>
        <v/>
      </c>
      <c r="AW516" s="39" t="str">
        <f>IF(AND($G516='Povolené hodnoty'!$B$13,$H516=AW$4),SUM($J516,$M516,$P516,$S516),"")</f>
        <v/>
      </c>
      <c r="AX516" s="458" t="str">
        <f>IF(AND($G516='Povolené hodnoty'!$B$13,$H516=AX$4),SUM($J516,$M516,$P516,$S516),"")</f>
        <v/>
      </c>
      <c r="AY516" s="458" t="str">
        <f>IF(AND($G516='Povolené hodnoty'!$B$13,$H516=AY$4),SUM($J516,$M516,$P516,$S516),"")</f>
        <v/>
      </c>
      <c r="AZ516" s="458" t="str">
        <f>IF(AND($G516='Povolené hodnoty'!$B$13,$H516=AZ$4),SUM($J516,$M516,$P516,$S516),"")</f>
        <v/>
      </c>
      <c r="BA516" s="458" t="str">
        <f>IF(AND($G516='Povolené hodnoty'!$B$13,$H516=BA$4),SUM($J516,$M516,$P516,$S516),"")</f>
        <v/>
      </c>
      <c r="BB516" s="40" t="str">
        <f>IF(AND($G516='Povolené hodnoty'!$B$13,$H516=BB$4),SUM($J516,$M516,$P516,$S516),"")</f>
        <v/>
      </c>
      <c r="BC516" s="40" t="str">
        <f>IF(AND($G516='Povolené hodnoty'!$B$13,$H516=BC$4),SUM($J516,$M516,$P516,$S516),"")</f>
        <v/>
      </c>
      <c r="BD516" s="40" t="str">
        <f>IF(AND($G516='Povolené hodnoty'!$B$13,$H516=BD$4),SUM($J516,$M516,$P516,$S516),"")</f>
        <v/>
      </c>
      <c r="BE516" s="41" t="str">
        <f>IF(AND($G516='Povolené hodnoty'!$B$13,$H516=BE$4),SUM($J516,$M516,$P516,$S516),"")</f>
        <v/>
      </c>
      <c r="BF516" s="39" t="str">
        <f>IF(AND($G516='Povolené hodnoty'!$B$14,$H516=BF$4),SUM($J516,$M516,$P516,$S516),"")</f>
        <v/>
      </c>
      <c r="BG516" s="458" t="str">
        <f>IF(AND($G516='Povolené hodnoty'!$B$14,$H516=BG$4),SUM($J516,$M516,$P516,$S516),"")</f>
        <v/>
      </c>
      <c r="BH516" s="458" t="str">
        <f>IF(AND($G516='Povolené hodnoty'!$B$14,$H516=BH$4),SUM($J516,$M516,$P516,$S516),"")</f>
        <v/>
      </c>
      <c r="BI516" s="458" t="str">
        <f>IF(AND($G516='Povolené hodnoty'!$B$14,$H516=BI$4),SUM($J516,$M516,$P516,$S516),"")</f>
        <v/>
      </c>
      <c r="BJ516" s="458" t="str">
        <f>IF(AND($G516='Povolené hodnoty'!$B$14,$H516=BJ$4),SUM($J516,$M516,$P516,$S516),"")</f>
        <v/>
      </c>
      <c r="BK516" s="40" t="str">
        <f>IF(AND($G516='Povolené hodnoty'!$B$14,$H516=BK$4),SUM($J516,$M516,$P516,$S516),"")</f>
        <v/>
      </c>
      <c r="BL516" s="40" t="str">
        <f>IF(AND($G516='Povolené hodnoty'!$B$14,$H516=BL$4),SUM($J516,$M516,$P516,$S516),"")</f>
        <v/>
      </c>
      <c r="BM516" s="41" t="str">
        <f>IF(AND($G516='Povolené hodnoty'!$B$14,$H516=BM$4),SUM($J516,$M516,$P516,$S516),"")</f>
        <v/>
      </c>
      <c r="BO516" s="18" t="b">
        <f t="shared" si="281"/>
        <v>0</v>
      </c>
      <c r="BP516" s="18" t="b">
        <f t="shared" si="252"/>
        <v>0</v>
      </c>
      <c r="BQ516" s="18" t="b">
        <f>AND(E516&lt;&gt;'Povolené hodnoty'!$B$6,F516&lt;&gt;'Povolené hodnoty'!$D$7,F516&lt;&gt;'Povolené hodnoty'!$D$8,OR(SUM(I516,L516,O516,R516)&lt;&gt;SUM(W516:X516,AA516:AG516),SUM(J516,M516,P516,S516)&lt;&gt;SUM(Y516:Z516,AH516:AK516),COUNT(I516:J516,L516:M516,O516:P516,R516:S516)&lt;&gt;COUNT(W516:AK516)))</f>
        <v>0</v>
      </c>
      <c r="BR516" s="18" t="b">
        <f>OR(AND(E516='Povolené hodnoty'!$B$6,$BR$5),AND(E516='Povolené hodnoty'!$B$6,H516&lt;&gt;'Povolené hodnoty'!$E$26,H516&lt;&gt;'Povolené hodnoty'!$E$35),AND(E516&lt;&gt;'Povolené hodnoty'!$B$6,OR(H516='Povolené hodnoty'!$E$26,H516='Povolené hodnoty'!$E$35)))</f>
        <v>0</v>
      </c>
      <c r="BS516" s="18" t="b">
        <f>OR(AND(G516&lt;&gt;'Povolené hodnoty'!$B$13,OR(H516='Povolené hodnoty'!$E$21,H516='Povolené hodnoty'!$E$22,H516='Povolené hodnoty'!$E$23,H516='Povolené hodnoty'!$E$24,H516='Povolené hodnoty'!$E$26,H516='Povolené hodnoty'!$E$36)),COUNT(I516:J516,L516:M516,O516:P516,R516:S516)&lt;&gt;COUNT(AL516:BM516))</f>
        <v>0</v>
      </c>
      <c r="BT516" s="18" t="b">
        <f t="shared" si="253"/>
        <v>0</v>
      </c>
      <c r="BV516" s="39" t="str">
        <f t="shared" si="254"/>
        <v/>
      </c>
      <c r="BW516" s="458" t="str">
        <f t="shared" si="255"/>
        <v/>
      </c>
      <c r="BX516" s="458" t="str">
        <f t="shared" si="256"/>
        <v/>
      </c>
      <c r="BY516" s="458" t="str">
        <f t="shared" si="257"/>
        <v/>
      </c>
      <c r="BZ516" s="458" t="str">
        <f t="shared" si="258"/>
        <v/>
      </c>
      <c r="CA516" s="40" t="str">
        <f t="shared" si="259"/>
        <v/>
      </c>
      <c r="CB516" s="40" t="str">
        <f t="shared" si="260"/>
        <v/>
      </c>
      <c r="CC516" s="39" t="str">
        <f t="shared" si="261"/>
        <v/>
      </c>
      <c r="CD516" s="458" t="str">
        <f t="shared" si="262"/>
        <v/>
      </c>
      <c r="CE516" s="41" t="str">
        <f t="shared" si="263"/>
        <v/>
      </c>
      <c r="CF516" s="39" t="str">
        <f t="shared" si="264"/>
        <v/>
      </c>
      <c r="CG516" s="458" t="str">
        <f t="shared" si="265"/>
        <v/>
      </c>
      <c r="CH516" s="458" t="str">
        <f t="shared" si="266"/>
        <v/>
      </c>
      <c r="CI516" s="458" t="str">
        <f t="shared" si="267"/>
        <v/>
      </c>
      <c r="CJ516" s="458" t="str">
        <f t="shared" si="268"/>
        <v/>
      </c>
      <c r="CK516" s="40" t="str">
        <f t="shared" si="269"/>
        <v/>
      </c>
      <c r="CL516" s="40" t="str">
        <f t="shared" si="270"/>
        <v/>
      </c>
      <c r="CM516" s="40" t="str">
        <f t="shared" si="271"/>
        <v/>
      </c>
      <c r="CN516" s="39" t="str">
        <f t="shared" si="272"/>
        <v/>
      </c>
      <c r="CO516" s="458" t="str">
        <f t="shared" si="273"/>
        <v/>
      </c>
      <c r="CP516" s="458" t="str">
        <f t="shared" si="274"/>
        <v/>
      </c>
      <c r="CQ516" s="458" t="str">
        <f t="shared" si="275"/>
        <v/>
      </c>
      <c r="CR516" s="458" t="str">
        <f t="shared" si="276"/>
        <v/>
      </c>
      <c r="CS516" s="40" t="str">
        <f t="shared" si="277"/>
        <v/>
      </c>
      <c r="CT516" s="40" t="str">
        <f t="shared" si="278"/>
        <v/>
      </c>
      <c r="CU516" s="41" t="str">
        <f t="shared" si="279"/>
        <v/>
      </c>
    </row>
    <row r="517" spans="1:99" x14ac:dyDescent="0.2">
      <c r="A517" s="77">
        <f t="shared" si="280"/>
        <v>512</v>
      </c>
      <c r="B517" s="81"/>
      <c r="C517" s="82"/>
      <c r="D517" s="71"/>
      <c r="E517" s="72"/>
      <c r="F517" s="73"/>
      <c r="G517" s="443"/>
      <c r="H517" s="443"/>
      <c r="I517" s="74"/>
      <c r="J517" s="75"/>
      <c r="K517" s="41">
        <f t="shared" si="284"/>
        <v>3625</v>
      </c>
      <c r="L517" s="104"/>
      <c r="M517" s="105"/>
      <c r="N517" s="106">
        <f t="shared" si="285"/>
        <v>537.05999999999995</v>
      </c>
      <c r="O517" s="104"/>
      <c r="P517" s="105"/>
      <c r="Q517" s="106">
        <f t="shared" si="282"/>
        <v>10045.83</v>
      </c>
      <c r="R517" s="104"/>
      <c r="S517" s="105"/>
      <c r="T517" s="106">
        <f t="shared" si="283"/>
        <v>0</v>
      </c>
      <c r="U517" s="439"/>
      <c r="V517" s="42">
        <f t="shared" ref="V517:V580" si="286">A517</f>
        <v>512</v>
      </c>
      <c r="W517" s="39" t="str">
        <f>IF(AND(E517='Povolené hodnoty'!$B$4,F517=2),I517+L517+O517+R517,"")</f>
        <v/>
      </c>
      <c r="X517" s="41" t="str">
        <f>IF(AND(E517='Povolené hodnoty'!$B$4,F517=1),I517+L517+O517+R517,"")</f>
        <v/>
      </c>
      <c r="Y517" s="39" t="str">
        <f>IF(AND(E517='Povolené hodnoty'!$B$4,F517=10),J517+M517+P517+S517,"")</f>
        <v/>
      </c>
      <c r="Z517" s="41" t="str">
        <f>IF(AND(E517='Povolené hodnoty'!$B$4,F517=9),J517+M517+P517+S517,"")</f>
        <v/>
      </c>
      <c r="AA517" s="39" t="str">
        <f>IF(AND(E517&lt;&gt;'Povolené hodnoty'!$B$4,F517=2),I517+L517+O517+R517,"")</f>
        <v/>
      </c>
      <c r="AB517" s="40" t="str">
        <f>IF(AND(E517&lt;&gt;'Povolené hodnoty'!$B$4,F517=3),I517+L517+O517+R517,"")</f>
        <v/>
      </c>
      <c r="AC517" s="40" t="str">
        <f>IF(AND(E517&lt;&gt;'Povolené hodnoty'!$B$4,F517=4),I517+L517+O517+R517,"")</f>
        <v/>
      </c>
      <c r="AD517" s="40" t="str">
        <f>IF(AND(E517&lt;&gt;'Povolené hodnoty'!$B$4,F517="5a"),I517-J517+L517-M517+O517-P517+R517-S517,"")</f>
        <v/>
      </c>
      <c r="AE517" s="40" t="str">
        <f>IF(AND(E517&lt;&gt;'Povolené hodnoty'!$B$4,F517="5b"),I517-J517+L517-M517+O517-P517+R517-S517,"")</f>
        <v/>
      </c>
      <c r="AF517" s="40" t="str">
        <f>IF(AND(E517&lt;&gt;'Povolené hodnoty'!$B$4,F517=6),I517+L517+O517+R517,"")</f>
        <v/>
      </c>
      <c r="AG517" s="41" t="str">
        <f>IF(AND(E517&lt;&gt;'Povolené hodnoty'!$B$4,F517=7),I517+L517+O517+R517,"")</f>
        <v/>
      </c>
      <c r="AH517" s="39" t="str">
        <f>IF(AND(E517&lt;&gt;'Povolené hodnoty'!$B$4,F517=10),J517+M517+P517+S517,"")</f>
        <v/>
      </c>
      <c r="AI517" s="40" t="str">
        <f>IF(AND(E517&lt;&gt;'Povolené hodnoty'!$B$4,F517=11),J517+M517+P517+S517,"")</f>
        <v/>
      </c>
      <c r="AJ517" s="40" t="str">
        <f>IF(AND(E517&lt;&gt;'Povolené hodnoty'!$B$4,F517=12),J517+M517+P517+S517,"")</f>
        <v/>
      </c>
      <c r="AK517" s="41" t="str">
        <f>IF(AND(E517&lt;&gt;'Povolené hodnoty'!$B$4,F517=13),J517+M517+P517+S517,"")</f>
        <v/>
      </c>
      <c r="AL517" s="39" t="str">
        <f>IF(AND($G517='Povolené hodnoty'!$B$13,$H517=AL$4),SUM($I517,$L517,$O517,$R517),"")</f>
        <v/>
      </c>
      <c r="AM517" s="458" t="str">
        <f>IF(AND($G517='Povolené hodnoty'!$B$13,$H517=AM$4),SUM($I517,$L517,$O517,$R517),"")</f>
        <v/>
      </c>
      <c r="AN517" s="458" t="str">
        <f>IF(AND($G517='Povolené hodnoty'!$B$13,$H517=AN$4),SUM($I517,$L517,$O517,$R517),"")</f>
        <v/>
      </c>
      <c r="AO517" s="458" t="str">
        <f>IF(AND($G517='Povolené hodnoty'!$B$13,$H517=AO$4),SUM($I517,$L517,$O517,$R517),"")</f>
        <v/>
      </c>
      <c r="AP517" s="458" t="str">
        <f>IF(AND($G517='Povolené hodnoty'!$B$13,$H517=AP$4),SUM($I517,$L517,$O517,$R517),"")</f>
        <v/>
      </c>
      <c r="AQ517" s="40" t="str">
        <f>IF(AND($G517='Povolené hodnoty'!$B$13,OR($H517=AQ$4,$H517='Povolené hodnoty'!$E$36)),SUM($I517,-$J517,$L517,-$M517,$O517,-$P517,$R517,-$S517),"")</f>
        <v/>
      </c>
      <c r="AR517" s="40" t="str">
        <f>IF(AND($G517='Povolené hodnoty'!$B$13,$H517=AR$4),SUM($I517,$L517,$O517,$R517),"")</f>
        <v/>
      </c>
      <c r="AS517" s="41" t="str">
        <f>IF(AND($G517='Povolené hodnoty'!$B$13,$H517=AS$4),SUM($I517,$L517,$O517,$R517),"")</f>
        <v/>
      </c>
      <c r="AT517" s="39" t="str">
        <f>IF(AND($G517='Povolené hodnoty'!$B$14,$H517=AT$4),SUM($I517,$L517,$O517,$R517),"")</f>
        <v/>
      </c>
      <c r="AU517" s="458" t="str">
        <f>IF(AND($G517='Povolené hodnoty'!$B$14,$H517=AU$4),SUM($I517,$L517,$O517,$R517),"")</f>
        <v/>
      </c>
      <c r="AV517" s="41" t="str">
        <f>IF(AND($G517='Povolené hodnoty'!$B$14,$H517=AV$4),SUM($I517,$L517,$O517,$R517),"")</f>
        <v/>
      </c>
      <c r="AW517" s="39" t="str">
        <f>IF(AND($G517='Povolené hodnoty'!$B$13,$H517=AW$4),SUM($J517,$M517,$P517,$S517),"")</f>
        <v/>
      </c>
      <c r="AX517" s="458" t="str">
        <f>IF(AND($G517='Povolené hodnoty'!$B$13,$H517=AX$4),SUM($J517,$M517,$P517,$S517),"")</f>
        <v/>
      </c>
      <c r="AY517" s="458" t="str">
        <f>IF(AND($G517='Povolené hodnoty'!$B$13,$H517=AY$4),SUM($J517,$M517,$P517,$S517),"")</f>
        <v/>
      </c>
      <c r="AZ517" s="458" t="str">
        <f>IF(AND($G517='Povolené hodnoty'!$B$13,$H517=AZ$4),SUM($J517,$M517,$P517,$S517),"")</f>
        <v/>
      </c>
      <c r="BA517" s="458" t="str">
        <f>IF(AND($G517='Povolené hodnoty'!$B$13,$H517=BA$4),SUM($J517,$M517,$P517,$S517),"")</f>
        <v/>
      </c>
      <c r="BB517" s="40" t="str">
        <f>IF(AND($G517='Povolené hodnoty'!$B$13,$H517=BB$4),SUM($J517,$M517,$P517,$S517),"")</f>
        <v/>
      </c>
      <c r="BC517" s="40" t="str">
        <f>IF(AND($G517='Povolené hodnoty'!$B$13,$H517=BC$4),SUM($J517,$M517,$P517,$S517),"")</f>
        <v/>
      </c>
      <c r="BD517" s="40" t="str">
        <f>IF(AND($G517='Povolené hodnoty'!$B$13,$H517=BD$4),SUM($J517,$M517,$P517,$S517),"")</f>
        <v/>
      </c>
      <c r="BE517" s="41" t="str">
        <f>IF(AND($G517='Povolené hodnoty'!$B$13,$H517=BE$4),SUM($J517,$M517,$P517,$S517),"")</f>
        <v/>
      </c>
      <c r="BF517" s="39" t="str">
        <f>IF(AND($G517='Povolené hodnoty'!$B$14,$H517=BF$4),SUM($J517,$M517,$P517,$S517),"")</f>
        <v/>
      </c>
      <c r="BG517" s="458" t="str">
        <f>IF(AND($G517='Povolené hodnoty'!$B$14,$H517=BG$4),SUM($J517,$M517,$P517,$S517),"")</f>
        <v/>
      </c>
      <c r="BH517" s="458" t="str">
        <f>IF(AND($G517='Povolené hodnoty'!$B$14,$H517=BH$4),SUM($J517,$M517,$P517,$S517),"")</f>
        <v/>
      </c>
      <c r="BI517" s="458" t="str">
        <f>IF(AND($G517='Povolené hodnoty'!$B$14,$H517=BI$4),SUM($J517,$M517,$P517,$S517),"")</f>
        <v/>
      </c>
      <c r="BJ517" s="458" t="str">
        <f>IF(AND($G517='Povolené hodnoty'!$B$14,$H517=BJ$4),SUM($J517,$M517,$P517,$S517),"")</f>
        <v/>
      </c>
      <c r="BK517" s="40" t="str">
        <f>IF(AND($G517='Povolené hodnoty'!$B$14,$H517=BK$4),SUM($J517,$M517,$P517,$S517),"")</f>
        <v/>
      </c>
      <c r="BL517" s="40" t="str">
        <f>IF(AND($G517='Povolené hodnoty'!$B$14,$H517=BL$4),SUM($J517,$M517,$P517,$S517),"")</f>
        <v/>
      </c>
      <c r="BM517" s="41" t="str">
        <f>IF(AND($G517='Povolené hodnoty'!$B$14,$H517=BM$4),SUM($J517,$M517,$P517,$S517),"")</f>
        <v/>
      </c>
      <c r="BO517" s="18" t="b">
        <f t="shared" si="281"/>
        <v>0</v>
      </c>
      <c r="BP517" s="18" t="b">
        <f t="shared" si="252"/>
        <v>0</v>
      </c>
      <c r="BQ517" s="18" t="b">
        <f>AND(E517&lt;&gt;'Povolené hodnoty'!$B$6,F517&lt;&gt;'Povolené hodnoty'!$D$7,F517&lt;&gt;'Povolené hodnoty'!$D$8,OR(SUM(I517,L517,O517,R517)&lt;&gt;SUM(W517:X517,AA517:AG517),SUM(J517,M517,P517,S517)&lt;&gt;SUM(Y517:Z517,AH517:AK517),COUNT(I517:J517,L517:M517,O517:P517,R517:S517)&lt;&gt;COUNT(W517:AK517)))</f>
        <v>0</v>
      </c>
      <c r="BR517" s="18" t="b">
        <f>OR(AND(E517='Povolené hodnoty'!$B$6,$BR$5),AND(E517='Povolené hodnoty'!$B$6,H517&lt;&gt;'Povolené hodnoty'!$E$26,H517&lt;&gt;'Povolené hodnoty'!$E$35),AND(E517&lt;&gt;'Povolené hodnoty'!$B$6,OR(H517='Povolené hodnoty'!$E$26,H517='Povolené hodnoty'!$E$35)))</f>
        <v>0</v>
      </c>
      <c r="BS517" s="18" t="b">
        <f>OR(AND(G517&lt;&gt;'Povolené hodnoty'!$B$13,OR(H517='Povolené hodnoty'!$E$21,H517='Povolené hodnoty'!$E$22,H517='Povolené hodnoty'!$E$23,H517='Povolené hodnoty'!$E$24,H517='Povolené hodnoty'!$E$26,H517='Povolené hodnoty'!$E$36)),COUNT(I517:J517,L517:M517,O517:P517,R517:S517)&lt;&gt;COUNT(AL517:BM517))</f>
        <v>0</v>
      </c>
      <c r="BT517" s="18" t="b">
        <f t="shared" si="253"/>
        <v>0</v>
      </c>
      <c r="BV517" s="39" t="str">
        <f t="shared" si="254"/>
        <v/>
      </c>
      <c r="BW517" s="458" t="str">
        <f t="shared" si="255"/>
        <v/>
      </c>
      <c r="BX517" s="458" t="str">
        <f t="shared" si="256"/>
        <v/>
      </c>
      <c r="BY517" s="458" t="str">
        <f t="shared" si="257"/>
        <v/>
      </c>
      <c r="BZ517" s="458" t="str">
        <f t="shared" si="258"/>
        <v/>
      </c>
      <c r="CA517" s="40" t="str">
        <f t="shared" si="259"/>
        <v/>
      </c>
      <c r="CB517" s="40" t="str">
        <f t="shared" si="260"/>
        <v/>
      </c>
      <c r="CC517" s="39" t="str">
        <f t="shared" si="261"/>
        <v/>
      </c>
      <c r="CD517" s="458" t="str">
        <f t="shared" si="262"/>
        <v/>
      </c>
      <c r="CE517" s="41" t="str">
        <f t="shared" si="263"/>
        <v/>
      </c>
      <c r="CF517" s="39" t="str">
        <f t="shared" si="264"/>
        <v/>
      </c>
      <c r="CG517" s="458" t="str">
        <f t="shared" si="265"/>
        <v/>
      </c>
      <c r="CH517" s="458" t="str">
        <f t="shared" si="266"/>
        <v/>
      </c>
      <c r="CI517" s="458" t="str">
        <f t="shared" si="267"/>
        <v/>
      </c>
      <c r="CJ517" s="458" t="str">
        <f t="shared" si="268"/>
        <v/>
      </c>
      <c r="CK517" s="40" t="str">
        <f t="shared" si="269"/>
        <v/>
      </c>
      <c r="CL517" s="40" t="str">
        <f t="shared" si="270"/>
        <v/>
      </c>
      <c r="CM517" s="40" t="str">
        <f t="shared" si="271"/>
        <v/>
      </c>
      <c r="CN517" s="39" t="str">
        <f t="shared" si="272"/>
        <v/>
      </c>
      <c r="CO517" s="458" t="str">
        <f t="shared" si="273"/>
        <v/>
      </c>
      <c r="CP517" s="458" t="str">
        <f t="shared" si="274"/>
        <v/>
      </c>
      <c r="CQ517" s="458" t="str">
        <f t="shared" si="275"/>
        <v/>
      </c>
      <c r="CR517" s="458" t="str">
        <f t="shared" si="276"/>
        <v/>
      </c>
      <c r="CS517" s="40" t="str">
        <f t="shared" si="277"/>
        <v/>
      </c>
      <c r="CT517" s="40" t="str">
        <f t="shared" si="278"/>
        <v/>
      </c>
      <c r="CU517" s="41" t="str">
        <f t="shared" si="279"/>
        <v/>
      </c>
    </row>
    <row r="518" spans="1:99" x14ac:dyDescent="0.2">
      <c r="A518" s="77">
        <f t="shared" si="280"/>
        <v>513</v>
      </c>
      <c r="B518" s="81"/>
      <c r="C518" s="82"/>
      <c r="D518" s="71"/>
      <c r="E518" s="72"/>
      <c r="F518" s="73"/>
      <c r="G518" s="443"/>
      <c r="H518" s="443"/>
      <c r="I518" s="74"/>
      <c r="J518" s="75"/>
      <c r="K518" s="41">
        <f t="shared" si="284"/>
        <v>3625</v>
      </c>
      <c r="L518" s="104"/>
      <c r="M518" s="105"/>
      <c r="N518" s="106">
        <f t="shared" si="285"/>
        <v>537.05999999999995</v>
      </c>
      <c r="O518" s="104"/>
      <c r="P518" s="105"/>
      <c r="Q518" s="106">
        <f t="shared" si="282"/>
        <v>10045.83</v>
      </c>
      <c r="R518" s="104"/>
      <c r="S518" s="105"/>
      <c r="T518" s="106">
        <f t="shared" si="283"/>
        <v>0</v>
      </c>
      <c r="U518" s="439"/>
      <c r="V518" s="42">
        <f t="shared" si="286"/>
        <v>513</v>
      </c>
      <c r="W518" s="39" t="str">
        <f>IF(AND(E518='Povolené hodnoty'!$B$4,F518=2),I518+L518+O518+R518,"")</f>
        <v/>
      </c>
      <c r="X518" s="41" t="str">
        <f>IF(AND(E518='Povolené hodnoty'!$B$4,F518=1),I518+L518+O518+R518,"")</f>
        <v/>
      </c>
      <c r="Y518" s="39" t="str">
        <f>IF(AND(E518='Povolené hodnoty'!$B$4,F518=10),J518+M518+P518+S518,"")</f>
        <v/>
      </c>
      <c r="Z518" s="41" t="str">
        <f>IF(AND(E518='Povolené hodnoty'!$B$4,F518=9),J518+M518+P518+S518,"")</f>
        <v/>
      </c>
      <c r="AA518" s="39" t="str">
        <f>IF(AND(E518&lt;&gt;'Povolené hodnoty'!$B$4,F518=2),I518+L518+O518+R518,"")</f>
        <v/>
      </c>
      <c r="AB518" s="40" t="str">
        <f>IF(AND(E518&lt;&gt;'Povolené hodnoty'!$B$4,F518=3),I518+L518+O518+R518,"")</f>
        <v/>
      </c>
      <c r="AC518" s="40" t="str">
        <f>IF(AND(E518&lt;&gt;'Povolené hodnoty'!$B$4,F518=4),I518+L518+O518+R518,"")</f>
        <v/>
      </c>
      <c r="AD518" s="40" t="str">
        <f>IF(AND(E518&lt;&gt;'Povolené hodnoty'!$B$4,F518="5a"),I518-J518+L518-M518+O518-P518+R518-S518,"")</f>
        <v/>
      </c>
      <c r="AE518" s="40" t="str">
        <f>IF(AND(E518&lt;&gt;'Povolené hodnoty'!$B$4,F518="5b"),I518-J518+L518-M518+O518-P518+R518-S518,"")</f>
        <v/>
      </c>
      <c r="AF518" s="40" t="str">
        <f>IF(AND(E518&lt;&gt;'Povolené hodnoty'!$B$4,F518=6),I518+L518+O518+R518,"")</f>
        <v/>
      </c>
      <c r="AG518" s="41" t="str">
        <f>IF(AND(E518&lt;&gt;'Povolené hodnoty'!$B$4,F518=7),I518+L518+O518+R518,"")</f>
        <v/>
      </c>
      <c r="AH518" s="39" t="str">
        <f>IF(AND(E518&lt;&gt;'Povolené hodnoty'!$B$4,F518=10),J518+M518+P518+S518,"")</f>
        <v/>
      </c>
      <c r="AI518" s="40" t="str">
        <f>IF(AND(E518&lt;&gt;'Povolené hodnoty'!$B$4,F518=11),J518+M518+P518+S518,"")</f>
        <v/>
      </c>
      <c r="AJ518" s="40" t="str">
        <f>IF(AND(E518&lt;&gt;'Povolené hodnoty'!$B$4,F518=12),J518+M518+P518+S518,"")</f>
        <v/>
      </c>
      <c r="AK518" s="41" t="str">
        <f>IF(AND(E518&lt;&gt;'Povolené hodnoty'!$B$4,F518=13),J518+M518+P518+S518,"")</f>
        <v/>
      </c>
      <c r="AL518" s="39" t="str">
        <f>IF(AND($G518='Povolené hodnoty'!$B$13,$H518=AL$4),SUM($I518,$L518,$O518,$R518),"")</f>
        <v/>
      </c>
      <c r="AM518" s="458" t="str">
        <f>IF(AND($G518='Povolené hodnoty'!$B$13,$H518=AM$4),SUM($I518,$L518,$O518,$R518),"")</f>
        <v/>
      </c>
      <c r="AN518" s="458" t="str">
        <f>IF(AND($G518='Povolené hodnoty'!$B$13,$H518=AN$4),SUM($I518,$L518,$O518,$R518),"")</f>
        <v/>
      </c>
      <c r="AO518" s="458" t="str">
        <f>IF(AND($G518='Povolené hodnoty'!$B$13,$H518=AO$4),SUM($I518,$L518,$O518,$R518),"")</f>
        <v/>
      </c>
      <c r="AP518" s="458" t="str">
        <f>IF(AND($G518='Povolené hodnoty'!$B$13,$H518=AP$4),SUM($I518,$L518,$O518,$R518),"")</f>
        <v/>
      </c>
      <c r="AQ518" s="40" t="str">
        <f>IF(AND($G518='Povolené hodnoty'!$B$13,OR($H518=AQ$4,$H518='Povolené hodnoty'!$E$36)),SUM($I518,-$J518,$L518,-$M518,$O518,-$P518,$R518,-$S518),"")</f>
        <v/>
      </c>
      <c r="AR518" s="40" t="str">
        <f>IF(AND($G518='Povolené hodnoty'!$B$13,$H518=AR$4),SUM($I518,$L518,$O518,$R518),"")</f>
        <v/>
      </c>
      <c r="AS518" s="41" t="str">
        <f>IF(AND($G518='Povolené hodnoty'!$B$13,$H518=AS$4),SUM($I518,$L518,$O518,$R518),"")</f>
        <v/>
      </c>
      <c r="AT518" s="39" t="str">
        <f>IF(AND($G518='Povolené hodnoty'!$B$14,$H518=AT$4),SUM($I518,$L518,$O518,$R518),"")</f>
        <v/>
      </c>
      <c r="AU518" s="458" t="str">
        <f>IF(AND($G518='Povolené hodnoty'!$B$14,$H518=AU$4),SUM($I518,$L518,$O518,$R518),"")</f>
        <v/>
      </c>
      <c r="AV518" s="41" t="str">
        <f>IF(AND($G518='Povolené hodnoty'!$B$14,$H518=AV$4),SUM($I518,$L518,$O518,$R518),"")</f>
        <v/>
      </c>
      <c r="AW518" s="39" t="str">
        <f>IF(AND($G518='Povolené hodnoty'!$B$13,$H518=AW$4),SUM($J518,$M518,$P518,$S518),"")</f>
        <v/>
      </c>
      <c r="AX518" s="458" t="str">
        <f>IF(AND($G518='Povolené hodnoty'!$B$13,$H518=AX$4),SUM($J518,$M518,$P518,$S518),"")</f>
        <v/>
      </c>
      <c r="AY518" s="458" t="str">
        <f>IF(AND($G518='Povolené hodnoty'!$B$13,$H518=AY$4),SUM($J518,$M518,$P518,$S518),"")</f>
        <v/>
      </c>
      <c r="AZ518" s="458" t="str">
        <f>IF(AND($G518='Povolené hodnoty'!$B$13,$H518=AZ$4),SUM($J518,$M518,$P518,$S518),"")</f>
        <v/>
      </c>
      <c r="BA518" s="458" t="str">
        <f>IF(AND($G518='Povolené hodnoty'!$B$13,$H518=BA$4),SUM($J518,$M518,$P518,$S518),"")</f>
        <v/>
      </c>
      <c r="BB518" s="40" t="str">
        <f>IF(AND($G518='Povolené hodnoty'!$B$13,$H518=BB$4),SUM($J518,$M518,$P518,$S518),"")</f>
        <v/>
      </c>
      <c r="BC518" s="40" t="str">
        <f>IF(AND($G518='Povolené hodnoty'!$B$13,$H518=BC$4),SUM($J518,$M518,$P518,$S518),"")</f>
        <v/>
      </c>
      <c r="BD518" s="40" t="str">
        <f>IF(AND($G518='Povolené hodnoty'!$B$13,$H518=BD$4),SUM($J518,$M518,$P518,$S518),"")</f>
        <v/>
      </c>
      <c r="BE518" s="41" t="str">
        <f>IF(AND($G518='Povolené hodnoty'!$B$13,$H518=BE$4),SUM($J518,$M518,$P518,$S518),"")</f>
        <v/>
      </c>
      <c r="BF518" s="39" t="str">
        <f>IF(AND($G518='Povolené hodnoty'!$B$14,$H518=BF$4),SUM($J518,$M518,$P518,$S518),"")</f>
        <v/>
      </c>
      <c r="BG518" s="458" t="str">
        <f>IF(AND($G518='Povolené hodnoty'!$B$14,$H518=BG$4),SUM($J518,$M518,$P518,$S518),"")</f>
        <v/>
      </c>
      <c r="BH518" s="458" t="str">
        <f>IF(AND($G518='Povolené hodnoty'!$B$14,$H518=BH$4),SUM($J518,$M518,$P518,$S518),"")</f>
        <v/>
      </c>
      <c r="BI518" s="458" t="str">
        <f>IF(AND($G518='Povolené hodnoty'!$B$14,$H518=BI$4),SUM($J518,$M518,$P518,$S518),"")</f>
        <v/>
      </c>
      <c r="BJ518" s="458" t="str">
        <f>IF(AND($G518='Povolené hodnoty'!$B$14,$H518=BJ$4),SUM($J518,$M518,$P518,$S518),"")</f>
        <v/>
      </c>
      <c r="BK518" s="40" t="str">
        <f>IF(AND($G518='Povolené hodnoty'!$B$14,$H518=BK$4),SUM($J518,$M518,$P518,$S518),"")</f>
        <v/>
      </c>
      <c r="BL518" s="40" t="str">
        <f>IF(AND($G518='Povolené hodnoty'!$B$14,$H518=BL$4),SUM($J518,$M518,$P518,$S518),"")</f>
        <v/>
      </c>
      <c r="BM518" s="41" t="str">
        <f>IF(AND($G518='Povolené hodnoty'!$B$14,$H518=BM$4),SUM($J518,$M518,$P518,$S518),"")</f>
        <v/>
      </c>
      <c r="BO518" s="18" t="b">
        <f t="shared" si="281"/>
        <v>0</v>
      </c>
      <c r="BP518" s="18" t="b">
        <f t="shared" ref="BP518:BP581" si="287">COUNT(I518:J518,L518:M518,O518:P518,R518:S518)&gt;1</f>
        <v>0</v>
      </c>
      <c r="BQ518" s="18" t="b">
        <f>AND(E518&lt;&gt;'Povolené hodnoty'!$B$6,F518&lt;&gt;'Povolené hodnoty'!$D$7,F518&lt;&gt;'Povolené hodnoty'!$D$8,OR(SUM(I518,L518,O518,R518)&lt;&gt;SUM(W518:X518,AA518:AG518),SUM(J518,M518,P518,S518)&lt;&gt;SUM(Y518:Z518,AH518:AK518),COUNT(I518:J518,L518:M518,O518:P518,R518:S518)&lt;&gt;COUNT(W518:AK518)))</f>
        <v>0</v>
      </c>
      <c r="BR518" s="18" t="b">
        <f>OR(AND(E518='Povolené hodnoty'!$B$6,$BR$5),AND(E518='Povolené hodnoty'!$B$6,H518&lt;&gt;'Povolené hodnoty'!$E$26,H518&lt;&gt;'Povolené hodnoty'!$E$35),AND(E518&lt;&gt;'Povolené hodnoty'!$B$6,OR(H518='Povolené hodnoty'!$E$26,H518='Povolené hodnoty'!$E$35)))</f>
        <v>0</v>
      </c>
      <c r="BS518" s="18" t="b">
        <f>OR(AND(G518&lt;&gt;'Povolené hodnoty'!$B$13,OR(H518='Povolené hodnoty'!$E$21,H518='Povolené hodnoty'!$E$22,H518='Povolené hodnoty'!$E$23,H518='Povolené hodnoty'!$E$24,H518='Povolené hodnoty'!$E$26,H518='Povolené hodnoty'!$E$36)),COUNT(I518:J518,L518:M518,O518:P518,R518:S518)&lt;&gt;COUNT(AL518:BM518))</f>
        <v>0</v>
      </c>
      <c r="BT518" s="18" t="b">
        <f t="shared" ref="BT518:BT581" si="288">OR(AND(LEFT(H518,1)="V",COUNT(I518,L518,O518,R518)&gt;0),AND(LEFT(H518,1)="P",COUNT(J518,M518,P518,S518)&gt;0))</f>
        <v>0</v>
      </c>
      <c r="BV518" s="39" t="str">
        <f t="shared" ref="BV518:BV581" si="289">IF(SUM($W518:$X518)=AL518,AL518,"")</f>
        <v/>
      </c>
      <c r="BW518" s="458" t="str">
        <f t="shared" ref="BW518:BW581" si="290">IF(SUM($W518:$X518)=AM518,AM518,"")</f>
        <v/>
      </c>
      <c r="BX518" s="458" t="str">
        <f t="shared" ref="BX518:BX581" si="291">IF(SUM($W518:$X518)=AN518,AN518,"")</f>
        <v/>
      </c>
      <c r="BY518" s="458" t="str">
        <f t="shared" ref="BY518:BY581" si="292">IF(SUM($W518:$X518)=AO518,AO518,"")</f>
        <v/>
      </c>
      <c r="BZ518" s="458" t="str">
        <f t="shared" ref="BZ518:BZ581" si="293">IF(SUM($W518:$X518)=AP518,AP518,"")</f>
        <v/>
      </c>
      <c r="CA518" s="40" t="str">
        <f t="shared" ref="CA518:CA581" si="294">IF(SUM($W518:$X518)=AQ518,AQ518,"")</f>
        <v/>
      </c>
      <c r="CB518" s="40" t="str">
        <f t="shared" ref="CB518:CB581" si="295">IF(SUM($W518:$X518)=AR518,AR518,"")</f>
        <v/>
      </c>
      <c r="CC518" s="39" t="str">
        <f t="shared" ref="CC518:CC581" si="296">IF(SUM($W518:$X518)=AT518,AT518,"")</f>
        <v/>
      </c>
      <c r="CD518" s="458" t="str">
        <f t="shared" ref="CD518:CD581" si="297">IF(SUM($W518:$X518)=AU518,AU518,"")</f>
        <v/>
      </c>
      <c r="CE518" s="41" t="str">
        <f t="shared" ref="CE518:CE581" si="298">IF(SUM($W518:$X518)=AV518,AV518,"")</f>
        <v/>
      </c>
      <c r="CF518" s="39" t="str">
        <f t="shared" ref="CF518:CF581" si="299">IF(SUM($Y518:$Z518)=AW518,AW518,"")</f>
        <v/>
      </c>
      <c r="CG518" s="458" t="str">
        <f t="shared" ref="CG518:CG581" si="300">IF(SUM($Y518:$Z518)=AX518,AX518,"")</f>
        <v/>
      </c>
      <c r="CH518" s="458" t="str">
        <f t="shared" ref="CH518:CH581" si="301">IF(SUM($Y518:$Z518)=AY518,AY518,"")</f>
        <v/>
      </c>
      <c r="CI518" s="458" t="str">
        <f t="shared" ref="CI518:CI581" si="302">IF(SUM($Y518:$Z518)=AZ518,AZ518,"")</f>
        <v/>
      </c>
      <c r="CJ518" s="458" t="str">
        <f t="shared" ref="CJ518:CJ581" si="303">IF(SUM($Y518:$Z518)=BA518,BA518,"")</f>
        <v/>
      </c>
      <c r="CK518" s="40" t="str">
        <f t="shared" ref="CK518:CK581" si="304">IF(SUM($Y518:$Z518)=BB518,BB518,"")</f>
        <v/>
      </c>
      <c r="CL518" s="40" t="str">
        <f t="shared" ref="CL518:CL581" si="305">IF(SUM($Y518:$Z518)=BC518,BC518,"")</f>
        <v/>
      </c>
      <c r="CM518" s="40" t="str">
        <f t="shared" ref="CM518:CM581" si="306">IF(SUM($Y518:$Z518)=BD518,BD518,"")</f>
        <v/>
      </c>
      <c r="CN518" s="39" t="str">
        <f t="shared" ref="CN518:CN581" si="307">IF(SUM($Y518:$Z518)=BF518,BF518,"")</f>
        <v/>
      </c>
      <c r="CO518" s="458" t="str">
        <f t="shared" ref="CO518:CO581" si="308">IF(SUM($Y518:$Z518)=BG518,BG518,"")</f>
        <v/>
      </c>
      <c r="CP518" s="458" t="str">
        <f t="shared" ref="CP518:CP581" si="309">IF(SUM($Y518:$Z518)=BH518,BH518,"")</f>
        <v/>
      </c>
      <c r="CQ518" s="458" t="str">
        <f t="shared" ref="CQ518:CQ581" si="310">IF(SUM($Y518:$Z518)=BI518,BI518,"")</f>
        <v/>
      </c>
      <c r="CR518" s="458" t="str">
        <f t="shared" ref="CR518:CR581" si="311">IF(SUM($Y518:$Z518)=BJ518,BJ518,"")</f>
        <v/>
      </c>
      <c r="CS518" s="40" t="str">
        <f t="shared" ref="CS518:CS581" si="312">IF(SUM($Y518:$Z518)=BK518,BK518,"")</f>
        <v/>
      </c>
      <c r="CT518" s="40" t="str">
        <f t="shared" ref="CT518:CT581" si="313">IF(SUM($Y518:$Z518)=BL518,BL518,"")</f>
        <v/>
      </c>
      <c r="CU518" s="41" t="str">
        <f t="shared" ref="CU518:CU581" si="314">IF(SUM($Y518:$Z518)=BM518,BM518,"")</f>
        <v/>
      </c>
    </row>
    <row r="519" spans="1:99" x14ac:dyDescent="0.2">
      <c r="A519" s="77">
        <f t="shared" ref="A519:A582" si="315">A518+1</f>
        <v>514</v>
      </c>
      <c r="B519" s="81"/>
      <c r="C519" s="82"/>
      <c r="D519" s="71"/>
      <c r="E519" s="72"/>
      <c r="F519" s="73"/>
      <c r="G519" s="443"/>
      <c r="H519" s="443"/>
      <c r="I519" s="74"/>
      <c r="J519" s="75"/>
      <c r="K519" s="41">
        <f t="shared" si="284"/>
        <v>3625</v>
      </c>
      <c r="L519" s="104"/>
      <c r="M519" s="105"/>
      <c r="N519" s="106">
        <f t="shared" si="285"/>
        <v>537.05999999999995</v>
      </c>
      <c r="O519" s="104"/>
      <c r="P519" s="105"/>
      <c r="Q519" s="106">
        <f t="shared" si="282"/>
        <v>10045.83</v>
      </c>
      <c r="R519" s="104"/>
      <c r="S519" s="105"/>
      <c r="T519" s="106">
        <f t="shared" si="283"/>
        <v>0</v>
      </c>
      <c r="U519" s="439"/>
      <c r="V519" s="42">
        <f t="shared" si="286"/>
        <v>514</v>
      </c>
      <c r="W519" s="39" t="str">
        <f>IF(AND(E519='Povolené hodnoty'!$B$4,F519=2),I519+L519+O519+R519,"")</f>
        <v/>
      </c>
      <c r="X519" s="41" t="str">
        <f>IF(AND(E519='Povolené hodnoty'!$B$4,F519=1),I519+L519+O519+R519,"")</f>
        <v/>
      </c>
      <c r="Y519" s="39" t="str">
        <f>IF(AND(E519='Povolené hodnoty'!$B$4,F519=10),J519+M519+P519+S519,"")</f>
        <v/>
      </c>
      <c r="Z519" s="41" t="str">
        <f>IF(AND(E519='Povolené hodnoty'!$B$4,F519=9),J519+M519+P519+S519,"")</f>
        <v/>
      </c>
      <c r="AA519" s="39" t="str">
        <f>IF(AND(E519&lt;&gt;'Povolené hodnoty'!$B$4,F519=2),I519+L519+O519+R519,"")</f>
        <v/>
      </c>
      <c r="AB519" s="40" t="str">
        <f>IF(AND(E519&lt;&gt;'Povolené hodnoty'!$B$4,F519=3),I519+L519+O519+R519,"")</f>
        <v/>
      </c>
      <c r="AC519" s="40" t="str">
        <f>IF(AND(E519&lt;&gt;'Povolené hodnoty'!$B$4,F519=4),I519+L519+O519+R519,"")</f>
        <v/>
      </c>
      <c r="AD519" s="40" t="str">
        <f>IF(AND(E519&lt;&gt;'Povolené hodnoty'!$B$4,F519="5a"),I519-J519+L519-M519+O519-P519+R519-S519,"")</f>
        <v/>
      </c>
      <c r="AE519" s="40" t="str">
        <f>IF(AND(E519&lt;&gt;'Povolené hodnoty'!$B$4,F519="5b"),I519-J519+L519-M519+O519-P519+R519-S519,"")</f>
        <v/>
      </c>
      <c r="AF519" s="40" t="str">
        <f>IF(AND(E519&lt;&gt;'Povolené hodnoty'!$B$4,F519=6),I519+L519+O519+R519,"")</f>
        <v/>
      </c>
      <c r="AG519" s="41" t="str">
        <f>IF(AND(E519&lt;&gt;'Povolené hodnoty'!$B$4,F519=7),I519+L519+O519+R519,"")</f>
        <v/>
      </c>
      <c r="AH519" s="39" t="str">
        <f>IF(AND(E519&lt;&gt;'Povolené hodnoty'!$B$4,F519=10),J519+M519+P519+S519,"")</f>
        <v/>
      </c>
      <c r="AI519" s="40" t="str">
        <f>IF(AND(E519&lt;&gt;'Povolené hodnoty'!$B$4,F519=11),J519+M519+P519+S519,"")</f>
        <v/>
      </c>
      <c r="AJ519" s="40" t="str">
        <f>IF(AND(E519&lt;&gt;'Povolené hodnoty'!$B$4,F519=12),J519+M519+P519+S519,"")</f>
        <v/>
      </c>
      <c r="AK519" s="41" t="str">
        <f>IF(AND(E519&lt;&gt;'Povolené hodnoty'!$B$4,F519=13),J519+M519+P519+S519,"")</f>
        <v/>
      </c>
      <c r="AL519" s="39" t="str">
        <f>IF(AND($G519='Povolené hodnoty'!$B$13,$H519=AL$4),SUM($I519,$L519,$O519,$R519),"")</f>
        <v/>
      </c>
      <c r="AM519" s="458" t="str">
        <f>IF(AND($G519='Povolené hodnoty'!$B$13,$H519=AM$4),SUM($I519,$L519,$O519,$R519),"")</f>
        <v/>
      </c>
      <c r="AN519" s="458" t="str">
        <f>IF(AND($G519='Povolené hodnoty'!$B$13,$H519=AN$4),SUM($I519,$L519,$O519,$R519),"")</f>
        <v/>
      </c>
      <c r="AO519" s="458" t="str">
        <f>IF(AND($G519='Povolené hodnoty'!$B$13,$H519=AO$4),SUM($I519,$L519,$O519,$R519),"")</f>
        <v/>
      </c>
      <c r="AP519" s="458" t="str">
        <f>IF(AND($G519='Povolené hodnoty'!$B$13,$H519=AP$4),SUM($I519,$L519,$O519,$R519),"")</f>
        <v/>
      </c>
      <c r="AQ519" s="40" t="str">
        <f>IF(AND($G519='Povolené hodnoty'!$B$13,OR($H519=AQ$4,$H519='Povolené hodnoty'!$E$36)),SUM($I519,-$J519,$L519,-$M519,$O519,-$P519,$R519,-$S519),"")</f>
        <v/>
      </c>
      <c r="AR519" s="40" t="str">
        <f>IF(AND($G519='Povolené hodnoty'!$B$13,$H519=AR$4),SUM($I519,$L519,$O519,$R519),"")</f>
        <v/>
      </c>
      <c r="AS519" s="41" t="str">
        <f>IF(AND($G519='Povolené hodnoty'!$B$13,$H519=AS$4),SUM($I519,$L519,$O519,$R519),"")</f>
        <v/>
      </c>
      <c r="AT519" s="39" t="str">
        <f>IF(AND($G519='Povolené hodnoty'!$B$14,$H519=AT$4),SUM($I519,$L519,$O519,$R519),"")</f>
        <v/>
      </c>
      <c r="AU519" s="458" t="str">
        <f>IF(AND($G519='Povolené hodnoty'!$B$14,$H519=AU$4),SUM($I519,$L519,$O519,$R519),"")</f>
        <v/>
      </c>
      <c r="AV519" s="41" t="str">
        <f>IF(AND($G519='Povolené hodnoty'!$B$14,$H519=AV$4),SUM($I519,$L519,$O519,$R519),"")</f>
        <v/>
      </c>
      <c r="AW519" s="39" t="str">
        <f>IF(AND($G519='Povolené hodnoty'!$B$13,$H519=AW$4),SUM($J519,$M519,$P519,$S519),"")</f>
        <v/>
      </c>
      <c r="AX519" s="458" t="str">
        <f>IF(AND($G519='Povolené hodnoty'!$B$13,$H519=AX$4),SUM($J519,$M519,$P519,$S519),"")</f>
        <v/>
      </c>
      <c r="AY519" s="458" t="str">
        <f>IF(AND($G519='Povolené hodnoty'!$B$13,$H519=AY$4),SUM($J519,$M519,$P519,$S519),"")</f>
        <v/>
      </c>
      <c r="AZ519" s="458" t="str">
        <f>IF(AND($G519='Povolené hodnoty'!$B$13,$H519=AZ$4),SUM($J519,$M519,$P519,$S519),"")</f>
        <v/>
      </c>
      <c r="BA519" s="458" t="str">
        <f>IF(AND($G519='Povolené hodnoty'!$B$13,$H519=BA$4),SUM($J519,$M519,$P519,$S519),"")</f>
        <v/>
      </c>
      <c r="BB519" s="40" t="str">
        <f>IF(AND($G519='Povolené hodnoty'!$B$13,$H519=BB$4),SUM($J519,$M519,$P519,$S519),"")</f>
        <v/>
      </c>
      <c r="BC519" s="40" t="str">
        <f>IF(AND($G519='Povolené hodnoty'!$B$13,$H519=BC$4),SUM($J519,$M519,$P519,$S519),"")</f>
        <v/>
      </c>
      <c r="BD519" s="40" t="str">
        <f>IF(AND($G519='Povolené hodnoty'!$B$13,$H519=BD$4),SUM($J519,$M519,$P519,$S519),"")</f>
        <v/>
      </c>
      <c r="BE519" s="41" t="str">
        <f>IF(AND($G519='Povolené hodnoty'!$B$13,$H519=BE$4),SUM($J519,$M519,$P519,$S519),"")</f>
        <v/>
      </c>
      <c r="BF519" s="39" t="str">
        <f>IF(AND($G519='Povolené hodnoty'!$B$14,$H519=BF$4),SUM($J519,$M519,$P519,$S519),"")</f>
        <v/>
      </c>
      <c r="BG519" s="458" t="str">
        <f>IF(AND($G519='Povolené hodnoty'!$B$14,$H519=BG$4),SUM($J519,$M519,$P519,$S519),"")</f>
        <v/>
      </c>
      <c r="BH519" s="458" t="str">
        <f>IF(AND($G519='Povolené hodnoty'!$B$14,$H519=BH$4),SUM($J519,$M519,$P519,$S519),"")</f>
        <v/>
      </c>
      <c r="BI519" s="458" t="str">
        <f>IF(AND($G519='Povolené hodnoty'!$B$14,$H519=BI$4),SUM($J519,$M519,$P519,$S519),"")</f>
        <v/>
      </c>
      <c r="BJ519" s="458" t="str">
        <f>IF(AND($G519='Povolené hodnoty'!$B$14,$H519=BJ$4),SUM($J519,$M519,$P519,$S519),"")</f>
        <v/>
      </c>
      <c r="BK519" s="40" t="str">
        <f>IF(AND($G519='Povolené hodnoty'!$B$14,$H519=BK$4),SUM($J519,$M519,$P519,$S519),"")</f>
        <v/>
      </c>
      <c r="BL519" s="40" t="str">
        <f>IF(AND($G519='Povolené hodnoty'!$B$14,$H519=BL$4),SUM($J519,$M519,$P519,$S519),"")</f>
        <v/>
      </c>
      <c r="BM519" s="41" t="str">
        <f>IF(AND($G519='Povolené hodnoty'!$B$14,$H519=BM$4),SUM($J519,$M519,$P519,$S519),"")</f>
        <v/>
      </c>
      <c r="BO519" s="18" t="b">
        <f t="shared" ref="BO519:BO582" si="316">OR(BP519:BT519)</f>
        <v>0</v>
      </c>
      <c r="BP519" s="18" t="b">
        <f t="shared" si="287"/>
        <v>0</v>
      </c>
      <c r="BQ519" s="18" t="b">
        <f>AND(E519&lt;&gt;'Povolené hodnoty'!$B$6,F519&lt;&gt;'Povolené hodnoty'!$D$7,F519&lt;&gt;'Povolené hodnoty'!$D$8,OR(SUM(I519,L519,O519,R519)&lt;&gt;SUM(W519:X519,AA519:AG519),SUM(J519,M519,P519,S519)&lt;&gt;SUM(Y519:Z519,AH519:AK519),COUNT(I519:J519,L519:M519,O519:P519,R519:S519)&lt;&gt;COUNT(W519:AK519)))</f>
        <v>0</v>
      </c>
      <c r="BR519" s="18" t="b">
        <f>OR(AND(E519='Povolené hodnoty'!$B$6,$BR$5),AND(E519='Povolené hodnoty'!$B$6,H519&lt;&gt;'Povolené hodnoty'!$E$26,H519&lt;&gt;'Povolené hodnoty'!$E$35),AND(E519&lt;&gt;'Povolené hodnoty'!$B$6,OR(H519='Povolené hodnoty'!$E$26,H519='Povolené hodnoty'!$E$35)))</f>
        <v>0</v>
      </c>
      <c r="BS519" s="18" t="b">
        <f>OR(AND(G519&lt;&gt;'Povolené hodnoty'!$B$13,OR(H519='Povolené hodnoty'!$E$21,H519='Povolené hodnoty'!$E$22,H519='Povolené hodnoty'!$E$23,H519='Povolené hodnoty'!$E$24,H519='Povolené hodnoty'!$E$26,H519='Povolené hodnoty'!$E$36)),COUNT(I519:J519,L519:M519,O519:P519,R519:S519)&lt;&gt;COUNT(AL519:BM519))</f>
        <v>0</v>
      </c>
      <c r="BT519" s="18" t="b">
        <f t="shared" si="288"/>
        <v>0</v>
      </c>
      <c r="BV519" s="39" t="str">
        <f t="shared" si="289"/>
        <v/>
      </c>
      <c r="BW519" s="458" t="str">
        <f t="shared" si="290"/>
        <v/>
      </c>
      <c r="BX519" s="458" t="str">
        <f t="shared" si="291"/>
        <v/>
      </c>
      <c r="BY519" s="458" t="str">
        <f t="shared" si="292"/>
        <v/>
      </c>
      <c r="BZ519" s="458" t="str">
        <f t="shared" si="293"/>
        <v/>
      </c>
      <c r="CA519" s="40" t="str">
        <f t="shared" si="294"/>
        <v/>
      </c>
      <c r="CB519" s="40" t="str">
        <f t="shared" si="295"/>
        <v/>
      </c>
      <c r="CC519" s="39" t="str">
        <f t="shared" si="296"/>
        <v/>
      </c>
      <c r="CD519" s="458" t="str">
        <f t="shared" si="297"/>
        <v/>
      </c>
      <c r="CE519" s="41" t="str">
        <f t="shared" si="298"/>
        <v/>
      </c>
      <c r="CF519" s="39" t="str">
        <f t="shared" si="299"/>
        <v/>
      </c>
      <c r="CG519" s="458" t="str">
        <f t="shared" si="300"/>
        <v/>
      </c>
      <c r="CH519" s="458" t="str">
        <f t="shared" si="301"/>
        <v/>
      </c>
      <c r="CI519" s="458" t="str">
        <f t="shared" si="302"/>
        <v/>
      </c>
      <c r="CJ519" s="458" t="str">
        <f t="shared" si="303"/>
        <v/>
      </c>
      <c r="CK519" s="40" t="str">
        <f t="shared" si="304"/>
        <v/>
      </c>
      <c r="CL519" s="40" t="str">
        <f t="shared" si="305"/>
        <v/>
      </c>
      <c r="CM519" s="40" t="str">
        <f t="shared" si="306"/>
        <v/>
      </c>
      <c r="CN519" s="39" t="str">
        <f t="shared" si="307"/>
        <v/>
      </c>
      <c r="CO519" s="458" t="str">
        <f t="shared" si="308"/>
        <v/>
      </c>
      <c r="CP519" s="458" t="str">
        <f t="shared" si="309"/>
        <v/>
      </c>
      <c r="CQ519" s="458" t="str">
        <f t="shared" si="310"/>
        <v/>
      </c>
      <c r="CR519" s="458" t="str">
        <f t="shared" si="311"/>
        <v/>
      </c>
      <c r="CS519" s="40" t="str">
        <f t="shared" si="312"/>
        <v/>
      </c>
      <c r="CT519" s="40" t="str">
        <f t="shared" si="313"/>
        <v/>
      </c>
      <c r="CU519" s="41" t="str">
        <f t="shared" si="314"/>
        <v/>
      </c>
    </row>
    <row r="520" spans="1:99" x14ac:dyDescent="0.2">
      <c r="A520" s="77">
        <f t="shared" si="315"/>
        <v>515</v>
      </c>
      <c r="B520" s="81"/>
      <c r="C520" s="82"/>
      <c r="D520" s="71"/>
      <c r="E520" s="72"/>
      <c r="F520" s="73"/>
      <c r="G520" s="443"/>
      <c r="H520" s="443"/>
      <c r="I520" s="74"/>
      <c r="J520" s="75"/>
      <c r="K520" s="41">
        <f t="shared" si="284"/>
        <v>3625</v>
      </c>
      <c r="L520" s="104"/>
      <c r="M520" s="105"/>
      <c r="N520" s="106">
        <f t="shared" si="285"/>
        <v>537.05999999999995</v>
      </c>
      <c r="O520" s="104"/>
      <c r="P520" s="105"/>
      <c r="Q520" s="106">
        <f t="shared" ref="Q520:Q583" si="317">Q519+O520-P520</f>
        <v>10045.83</v>
      </c>
      <c r="R520" s="104"/>
      <c r="S520" s="105"/>
      <c r="T520" s="106">
        <f t="shared" ref="T520:T583" si="318">T519+R520-S520</f>
        <v>0</v>
      </c>
      <c r="U520" s="439"/>
      <c r="V520" s="42">
        <f t="shared" si="286"/>
        <v>515</v>
      </c>
      <c r="W520" s="39" t="str">
        <f>IF(AND(E520='Povolené hodnoty'!$B$4,F520=2),I520+L520+O520+R520,"")</f>
        <v/>
      </c>
      <c r="X520" s="41" t="str">
        <f>IF(AND(E520='Povolené hodnoty'!$B$4,F520=1),I520+L520+O520+R520,"")</f>
        <v/>
      </c>
      <c r="Y520" s="39" t="str">
        <f>IF(AND(E520='Povolené hodnoty'!$B$4,F520=10),J520+M520+P520+S520,"")</f>
        <v/>
      </c>
      <c r="Z520" s="41" t="str">
        <f>IF(AND(E520='Povolené hodnoty'!$B$4,F520=9),J520+M520+P520+S520,"")</f>
        <v/>
      </c>
      <c r="AA520" s="39" t="str">
        <f>IF(AND(E520&lt;&gt;'Povolené hodnoty'!$B$4,F520=2),I520+L520+O520+R520,"")</f>
        <v/>
      </c>
      <c r="AB520" s="40" t="str">
        <f>IF(AND(E520&lt;&gt;'Povolené hodnoty'!$B$4,F520=3),I520+L520+O520+R520,"")</f>
        <v/>
      </c>
      <c r="AC520" s="40" t="str">
        <f>IF(AND(E520&lt;&gt;'Povolené hodnoty'!$B$4,F520=4),I520+L520+O520+R520,"")</f>
        <v/>
      </c>
      <c r="AD520" s="40" t="str">
        <f>IF(AND(E520&lt;&gt;'Povolené hodnoty'!$B$4,F520="5a"),I520-J520+L520-M520+O520-P520+R520-S520,"")</f>
        <v/>
      </c>
      <c r="AE520" s="40" t="str">
        <f>IF(AND(E520&lt;&gt;'Povolené hodnoty'!$B$4,F520="5b"),I520-J520+L520-M520+O520-P520+R520-S520,"")</f>
        <v/>
      </c>
      <c r="AF520" s="40" t="str">
        <f>IF(AND(E520&lt;&gt;'Povolené hodnoty'!$B$4,F520=6),I520+L520+O520+R520,"")</f>
        <v/>
      </c>
      <c r="AG520" s="41" t="str">
        <f>IF(AND(E520&lt;&gt;'Povolené hodnoty'!$B$4,F520=7),I520+L520+O520+R520,"")</f>
        <v/>
      </c>
      <c r="AH520" s="39" t="str">
        <f>IF(AND(E520&lt;&gt;'Povolené hodnoty'!$B$4,F520=10),J520+M520+P520+S520,"")</f>
        <v/>
      </c>
      <c r="AI520" s="40" t="str">
        <f>IF(AND(E520&lt;&gt;'Povolené hodnoty'!$B$4,F520=11),J520+M520+P520+S520,"")</f>
        <v/>
      </c>
      <c r="AJ520" s="40" t="str">
        <f>IF(AND(E520&lt;&gt;'Povolené hodnoty'!$B$4,F520=12),J520+M520+P520+S520,"")</f>
        <v/>
      </c>
      <c r="AK520" s="41" t="str">
        <f>IF(AND(E520&lt;&gt;'Povolené hodnoty'!$B$4,F520=13),J520+M520+P520+S520,"")</f>
        <v/>
      </c>
      <c r="AL520" s="39" t="str">
        <f>IF(AND($G520='Povolené hodnoty'!$B$13,$H520=AL$4),SUM($I520,$L520,$O520,$R520),"")</f>
        <v/>
      </c>
      <c r="AM520" s="458" t="str">
        <f>IF(AND($G520='Povolené hodnoty'!$B$13,$H520=AM$4),SUM($I520,$L520,$O520,$R520),"")</f>
        <v/>
      </c>
      <c r="AN520" s="458" t="str">
        <f>IF(AND($G520='Povolené hodnoty'!$B$13,$H520=AN$4),SUM($I520,$L520,$O520,$R520),"")</f>
        <v/>
      </c>
      <c r="AO520" s="458" t="str">
        <f>IF(AND($G520='Povolené hodnoty'!$B$13,$H520=AO$4),SUM($I520,$L520,$O520,$R520),"")</f>
        <v/>
      </c>
      <c r="AP520" s="458" t="str">
        <f>IF(AND($G520='Povolené hodnoty'!$B$13,$H520=AP$4),SUM($I520,$L520,$O520,$R520),"")</f>
        <v/>
      </c>
      <c r="AQ520" s="40" t="str">
        <f>IF(AND($G520='Povolené hodnoty'!$B$13,OR($H520=AQ$4,$H520='Povolené hodnoty'!$E$36)),SUM($I520,-$J520,$L520,-$M520,$O520,-$P520,$R520,-$S520),"")</f>
        <v/>
      </c>
      <c r="AR520" s="40" t="str">
        <f>IF(AND($G520='Povolené hodnoty'!$B$13,$H520=AR$4),SUM($I520,$L520,$O520,$R520),"")</f>
        <v/>
      </c>
      <c r="AS520" s="41" t="str">
        <f>IF(AND($G520='Povolené hodnoty'!$B$13,$H520=AS$4),SUM($I520,$L520,$O520,$R520),"")</f>
        <v/>
      </c>
      <c r="AT520" s="39" t="str">
        <f>IF(AND($G520='Povolené hodnoty'!$B$14,$H520=AT$4),SUM($I520,$L520,$O520,$R520),"")</f>
        <v/>
      </c>
      <c r="AU520" s="458" t="str">
        <f>IF(AND($G520='Povolené hodnoty'!$B$14,$H520=AU$4),SUM($I520,$L520,$O520,$R520),"")</f>
        <v/>
      </c>
      <c r="AV520" s="41" t="str">
        <f>IF(AND($G520='Povolené hodnoty'!$B$14,$H520=AV$4),SUM($I520,$L520,$O520,$R520),"")</f>
        <v/>
      </c>
      <c r="AW520" s="39" t="str">
        <f>IF(AND($G520='Povolené hodnoty'!$B$13,$H520=AW$4),SUM($J520,$M520,$P520,$S520),"")</f>
        <v/>
      </c>
      <c r="AX520" s="458" t="str">
        <f>IF(AND($G520='Povolené hodnoty'!$B$13,$H520=AX$4),SUM($J520,$M520,$P520,$S520),"")</f>
        <v/>
      </c>
      <c r="AY520" s="458" t="str">
        <f>IF(AND($G520='Povolené hodnoty'!$B$13,$H520=AY$4),SUM($J520,$M520,$P520,$S520),"")</f>
        <v/>
      </c>
      <c r="AZ520" s="458" t="str">
        <f>IF(AND($G520='Povolené hodnoty'!$B$13,$H520=AZ$4),SUM($J520,$M520,$P520,$S520),"")</f>
        <v/>
      </c>
      <c r="BA520" s="458" t="str">
        <f>IF(AND($G520='Povolené hodnoty'!$B$13,$H520=BA$4),SUM($J520,$M520,$P520,$S520),"")</f>
        <v/>
      </c>
      <c r="BB520" s="40" t="str">
        <f>IF(AND($G520='Povolené hodnoty'!$B$13,$H520=BB$4),SUM($J520,$M520,$P520,$S520),"")</f>
        <v/>
      </c>
      <c r="BC520" s="40" t="str">
        <f>IF(AND($G520='Povolené hodnoty'!$B$13,$H520=BC$4),SUM($J520,$M520,$P520,$S520),"")</f>
        <v/>
      </c>
      <c r="BD520" s="40" t="str">
        <f>IF(AND($G520='Povolené hodnoty'!$B$13,$H520=BD$4),SUM($J520,$M520,$P520,$S520),"")</f>
        <v/>
      </c>
      <c r="BE520" s="41" t="str">
        <f>IF(AND($G520='Povolené hodnoty'!$B$13,$H520=BE$4),SUM($J520,$M520,$P520,$S520),"")</f>
        <v/>
      </c>
      <c r="BF520" s="39" t="str">
        <f>IF(AND($G520='Povolené hodnoty'!$B$14,$H520=BF$4),SUM($J520,$M520,$P520,$S520),"")</f>
        <v/>
      </c>
      <c r="BG520" s="458" t="str">
        <f>IF(AND($G520='Povolené hodnoty'!$B$14,$H520=BG$4),SUM($J520,$M520,$P520,$S520),"")</f>
        <v/>
      </c>
      <c r="BH520" s="458" t="str">
        <f>IF(AND($G520='Povolené hodnoty'!$B$14,$H520=BH$4),SUM($J520,$M520,$P520,$S520),"")</f>
        <v/>
      </c>
      <c r="BI520" s="458" t="str">
        <f>IF(AND($G520='Povolené hodnoty'!$B$14,$H520=BI$4),SUM($J520,$M520,$P520,$S520),"")</f>
        <v/>
      </c>
      <c r="BJ520" s="458" t="str">
        <f>IF(AND($G520='Povolené hodnoty'!$B$14,$H520=BJ$4),SUM($J520,$M520,$P520,$S520),"")</f>
        <v/>
      </c>
      <c r="BK520" s="40" t="str">
        <f>IF(AND($G520='Povolené hodnoty'!$B$14,$H520=BK$4),SUM($J520,$M520,$P520,$S520),"")</f>
        <v/>
      </c>
      <c r="BL520" s="40" t="str">
        <f>IF(AND($G520='Povolené hodnoty'!$B$14,$H520=BL$4),SUM($J520,$M520,$P520,$S520),"")</f>
        <v/>
      </c>
      <c r="BM520" s="41" t="str">
        <f>IF(AND($G520='Povolené hodnoty'!$B$14,$H520=BM$4),SUM($J520,$M520,$P520,$S520),"")</f>
        <v/>
      </c>
      <c r="BO520" s="18" t="b">
        <f t="shared" si="316"/>
        <v>0</v>
      </c>
      <c r="BP520" s="18" t="b">
        <f t="shared" si="287"/>
        <v>0</v>
      </c>
      <c r="BQ520" s="18" t="b">
        <f>AND(E520&lt;&gt;'Povolené hodnoty'!$B$6,F520&lt;&gt;'Povolené hodnoty'!$D$7,F520&lt;&gt;'Povolené hodnoty'!$D$8,OR(SUM(I520,L520,O520,R520)&lt;&gt;SUM(W520:X520,AA520:AG520),SUM(J520,M520,P520,S520)&lt;&gt;SUM(Y520:Z520,AH520:AK520),COUNT(I520:J520,L520:M520,O520:P520,R520:S520)&lt;&gt;COUNT(W520:AK520)))</f>
        <v>0</v>
      </c>
      <c r="BR520" s="18" t="b">
        <f>OR(AND(E520='Povolené hodnoty'!$B$6,$BR$5),AND(E520='Povolené hodnoty'!$B$6,H520&lt;&gt;'Povolené hodnoty'!$E$26,H520&lt;&gt;'Povolené hodnoty'!$E$35),AND(E520&lt;&gt;'Povolené hodnoty'!$B$6,OR(H520='Povolené hodnoty'!$E$26,H520='Povolené hodnoty'!$E$35)))</f>
        <v>0</v>
      </c>
      <c r="BS520" s="18" t="b">
        <f>OR(AND(G520&lt;&gt;'Povolené hodnoty'!$B$13,OR(H520='Povolené hodnoty'!$E$21,H520='Povolené hodnoty'!$E$22,H520='Povolené hodnoty'!$E$23,H520='Povolené hodnoty'!$E$24,H520='Povolené hodnoty'!$E$26,H520='Povolené hodnoty'!$E$36)),COUNT(I520:J520,L520:M520,O520:P520,R520:S520)&lt;&gt;COUNT(AL520:BM520))</f>
        <v>0</v>
      </c>
      <c r="BT520" s="18" t="b">
        <f t="shared" si="288"/>
        <v>0</v>
      </c>
      <c r="BV520" s="39" t="str">
        <f t="shared" si="289"/>
        <v/>
      </c>
      <c r="BW520" s="458" t="str">
        <f t="shared" si="290"/>
        <v/>
      </c>
      <c r="BX520" s="458" t="str">
        <f t="shared" si="291"/>
        <v/>
      </c>
      <c r="BY520" s="458" t="str">
        <f t="shared" si="292"/>
        <v/>
      </c>
      <c r="BZ520" s="458" t="str">
        <f t="shared" si="293"/>
        <v/>
      </c>
      <c r="CA520" s="40" t="str">
        <f t="shared" si="294"/>
        <v/>
      </c>
      <c r="CB520" s="40" t="str">
        <f t="shared" si="295"/>
        <v/>
      </c>
      <c r="CC520" s="39" t="str">
        <f t="shared" si="296"/>
        <v/>
      </c>
      <c r="CD520" s="458" t="str">
        <f t="shared" si="297"/>
        <v/>
      </c>
      <c r="CE520" s="41" t="str">
        <f t="shared" si="298"/>
        <v/>
      </c>
      <c r="CF520" s="39" t="str">
        <f t="shared" si="299"/>
        <v/>
      </c>
      <c r="CG520" s="458" t="str">
        <f t="shared" si="300"/>
        <v/>
      </c>
      <c r="CH520" s="458" t="str">
        <f t="shared" si="301"/>
        <v/>
      </c>
      <c r="CI520" s="458" t="str">
        <f t="shared" si="302"/>
        <v/>
      </c>
      <c r="CJ520" s="458" t="str">
        <f t="shared" si="303"/>
        <v/>
      </c>
      <c r="CK520" s="40" t="str">
        <f t="shared" si="304"/>
        <v/>
      </c>
      <c r="CL520" s="40" t="str">
        <f t="shared" si="305"/>
        <v/>
      </c>
      <c r="CM520" s="40" t="str">
        <f t="shared" si="306"/>
        <v/>
      </c>
      <c r="CN520" s="39" t="str">
        <f t="shared" si="307"/>
        <v/>
      </c>
      <c r="CO520" s="458" t="str">
        <f t="shared" si="308"/>
        <v/>
      </c>
      <c r="CP520" s="458" t="str">
        <f t="shared" si="309"/>
        <v/>
      </c>
      <c r="CQ520" s="458" t="str">
        <f t="shared" si="310"/>
        <v/>
      </c>
      <c r="CR520" s="458" t="str">
        <f t="shared" si="311"/>
        <v/>
      </c>
      <c r="CS520" s="40" t="str">
        <f t="shared" si="312"/>
        <v/>
      </c>
      <c r="CT520" s="40" t="str">
        <f t="shared" si="313"/>
        <v/>
      </c>
      <c r="CU520" s="41" t="str">
        <f t="shared" si="314"/>
        <v/>
      </c>
    </row>
    <row r="521" spans="1:99" x14ac:dyDescent="0.2">
      <c r="A521" s="77">
        <f t="shared" si="315"/>
        <v>516</v>
      </c>
      <c r="B521" s="81"/>
      <c r="C521" s="82"/>
      <c r="D521" s="71"/>
      <c r="E521" s="72"/>
      <c r="F521" s="73"/>
      <c r="G521" s="443"/>
      <c r="H521" s="443"/>
      <c r="I521" s="74"/>
      <c r="J521" s="75"/>
      <c r="K521" s="41">
        <f t="shared" si="284"/>
        <v>3625</v>
      </c>
      <c r="L521" s="104"/>
      <c r="M521" s="105"/>
      <c r="N521" s="106">
        <f t="shared" si="285"/>
        <v>537.05999999999995</v>
      </c>
      <c r="O521" s="104"/>
      <c r="P521" s="105"/>
      <c r="Q521" s="106">
        <f t="shared" si="317"/>
        <v>10045.83</v>
      </c>
      <c r="R521" s="104"/>
      <c r="S521" s="105"/>
      <c r="T521" s="106">
        <f t="shared" si="318"/>
        <v>0</v>
      </c>
      <c r="U521" s="439"/>
      <c r="V521" s="42">
        <f t="shared" si="286"/>
        <v>516</v>
      </c>
      <c r="W521" s="39" t="str">
        <f>IF(AND(E521='Povolené hodnoty'!$B$4,F521=2),I521+L521+O521+R521,"")</f>
        <v/>
      </c>
      <c r="X521" s="41" t="str">
        <f>IF(AND(E521='Povolené hodnoty'!$B$4,F521=1),I521+L521+O521+R521,"")</f>
        <v/>
      </c>
      <c r="Y521" s="39" t="str">
        <f>IF(AND(E521='Povolené hodnoty'!$B$4,F521=10),J521+M521+P521+S521,"")</f>
        <v/>
      </c>
      <c r="Z521" s="41" t="str">
        <f>IF(AND(E521='Povolené hodnoty'!$B$4,F521=9),J521+M521+P521+S521,"")</f>
        <v/>
      </c>
      <c r="AA521" s="39" t="str">
        <f>IF(AND(E521&lt;&gt;'Povolené hodnoty'!$B$4,F521=2),I521+L521+O521+R521,"")</f>
        <v/>
      </c>
      <c r="AB521" s="40" t="str">
        <f>IF(AND(E521&lt;&gt;'Povolené hodnoty'!$B$4,F521=3),I521+L521+O521+R521,"")</f>
        <v/>
      </c>
      <c r="AC521" s="40" t="str">
        <f>IF(AND(E521&lt;&gt;'Povolené hodnoty'!$B$4,F521=4),I521+L521+O521+R521,"")</f>
        <v/>
      </c>
      <c r="AD521" s="40" t="str">
        <f>IF(AND(E521&lt;&gt;'Povolené hodnoty'!$B$4,F521="5a"),I521-J521+L521-M521+O521-P521+R521-S521,"")</f>
        <v/>
      </c>
      <c r="AE521" s="40" t="str">
        <f>IF(AND(E521&lt;&gt;'Povolené hodnoty'!$B$4,F521="5b"),I521-J521+L521-M521+O521-P521+R521-S521,"")</f>
        <v/>
      </c>
      <c r="AF521" s="40" t="str">
        <f>IF(AND(E521&lt;&gt;'Povolené hodnoty'!$B$4,F521=6),I521+L521+O521+R521,"")</f>
        <v/>
      </c>
      <c r="AG521" s="41" t="str">
        <f>IF(AND(E521&lt;&gt;'Povolené hodnoty'!$B$4,F521=7),I521+L521+O521+R521,"")</f>
        <v/>
      </c>
      <c r="AH521" s="39" t="str">
        <f>IF(AND(E521&lt;&gt;'Povolené hodnoty'!$B$4,F521=10),J521+M521+P521+S521,"")</f>
        <v/>
      </c>
      <c r="AI521" s="40" t="str">
        <f>IF(AND(E521&lt;&gt;'Povolené hodnoty'!$B$4,F521=11),J521+M521+P521+S521,"")</f>
        <v/>
      </c>
      <c r="AJ521" s="40" t="str">
        <f>IF(AND(E521&lt;&gt;'Povolené hodnoty'!$B$4,F521=12),J521+M521+P521+S521,"")</f>
        <v/>
      </c>
      <c r="AK521" s="41" t="str">
        <f>IF(AND(E521&lt;&gt;'Povolené hodnoty'!$B$4,F521=13),J521+M521+P521+S521,"")</f>
        <v/>
      </c>
      <c r="AL521" s="39" t="str">
        <f>IF(AND($G521='Povolené hodnoty'!$B$13,$H521=AL$4),SUM($I521,$L521,$O521,$R521),"")</f>
        <v/>
      </c>
      <c r="AM521" s="458" t="str">
        <f>IF(AND($G521='Povolené hodnoty'!$B$13,$H521=AM$4),SUM($I521,$L521,$O521,$R521),"")</f>
        <v/>
      </c>
      <c r="AN521" s="458" t="str">
        <f>IF(AND($G521='Povolené hodnoty'!$B$13,$H521=AN$4),SUM($I521,$L521,$O521,$R521),"")</f>
        <v/>
      </c>
      <c r="AO521" s="458" t="str">
        <f>IF(AND($G521='Povolené hodnoty'!$B$13,$H521=AO$4),SUM($I521,$L521,$O521,$R521),"")</f>
        <v/>
      </c>
      <c r="AP521" s="458" t="str">
        <f>IF(AND($G521='Povolené hodnoty'!$B$13,$H521=AP$4),SUM($I521,$L521,$O521,$R521),"")</f>
        <v/>
      </c>
      <c r="AQ521" s="40" t="str">
        <f>IF(AND($G521='Povolené hodnoty'!$B$13,OR($H521=AQ$4,$H521='Povolené hodnoty'!$E$36)),SUM($I521,-$J521,$L521,-$M521,$O521,-$P521,$R521,-$S521),"")</f>
        <v/>
      </c>
      <c r="AR521" s="40" t="str">
        <f>IF(AND($G521='Povolené hodnoty'!$B$13,$H521=AR$4),SUM($I521,$L521,$O521,$R521),"")</f>
        <v/>
      </c>
      <c r="AS521" s="41" t="str">
        <f>IF(AND($G521='Povolené hodnoty'!$B$13,$H521=AS$4),SUM($I521,$L521,$O521,$R521),"")</f>
        <v/>
      </c>
      <c r="AT521" s="39" t="str">
        <f>IF(AND($G521='Povolené hodnoty'!$B$14,$H521=AT$4),SUM($I521,$L521,$O521,$R521),"")</f>
        <v/>
      </c>
      <c r="AU521" s="458" t="str">
        <f>IF(AND($G521='Povolené hodnoty'!$B$14,$H521=AU$4),SUM($I521,$L521,$O521,$R521),"")</f>
        <v/>
      </c>
      <c r="AV521" s="41" t="str">
        <f>IF(AND($G521='Povolené hodnoty'!$B$14,$H521=AV$4),SUM($I521,$L521,$O521,$R521),"")</f>
        <v/>
      </c>
      <c r="AW521" s="39" t="str">
        <f>IF(AND($G521='Povolené hodnoty'!$B$13,$H521=AW$4),SUM($J521,$M521,$P521,$S521),"")</f>
        <v/>
      </c>
      <c r="AX521" s="458" t="str">
        <f>IF(AND($G521='Povolené hodnoty'!$B$13,$H521=AX$4),SUM($J521,$M521,$P521,$S521),"")</f>
        <v/>
      </c>
      <c r="AY521" s="458" t="str">
        <f>IF(AND($G521='Povolené hodnoty'!$B$13,$H521=AY$4),SUM($J521,$M521,$P521,$S521),"")</f>
        <v/>
      </c>
      <c r="AZ521" s="458" t="str">
        <f>IF(AND($G521='Povolené hodnoty'!$B$13,$H521=AZ$4),SUM($J521,$M521,$P521,$S521),"")</f>
        <v/>
      </c>
      <c r="BA521" s="458" t="str">
        <f>IF(AND($G521='Povolené hodnoty'!$B$13,$H521=BA$4),SUM($J521,$M521,$P521,$S521),"")</f>
        <v/>
      </c>
      <c r="BB521" s="40" t="str">
        <f>IF(AND($G521='Povolené hodnoty'!$B$13,$H521=BB$4),SUM($J521,$M521,$P521,$S521),"")</f>
        <v/>
      </c>
      <c r="BC521" s="40" t="str">
        <f>IF(AND($G521='Povolené hodnoty'!$B$13,$H521=BC$4),SUM($J521,$M521,$P521,$S521),"")</f>
        <v/>
      </c>
      <c r="BD521" s="40" t="str">
        <f>IF(AND($G521='Povolené hodnoty'!$B$13,$H521=BD$4),SUM($J521,$M521,$P521,$S521),"")</f>
        <v/>
      </c>
      <c r="BE521" s="41" t="str">
        <f>IF(AND($G521='Povolené hodnoty'!$B$13,$H521=BE$4),SUM($J521,$M521,$P521,$S521),"")</f>
        <v/>
      </c>
      <c r="BF521" s="39" t="str">
        <f>IF(AND($G521='Povolené hodnoty'!$B$14,$H521=BF$4),SUM($J521,$M521,$P521,$S521),"")</f>
        <v/>
      </c>
      <c r="BG521" s="458" t="str">
        <f>IF(AND($G521='Povolené hodnoty'!$B$14,$H521=BG$4),SUM($J521,$M521,$P521,$S521),"")</f>
        <v/>
      </c>
      <c r="BH521" s="458" t="str">
        <f>IF(AND($G521='Povolené hodnoty'!$B$14,$H521=BH$4),SUM($J521,$M521,$P521,$S521),"")</f>
        <v/>
      </c>
      <c r="BI521" s="458" t="str">
        <f>IF(AND($G521='Povolené hodnoty'!$B$14,$H521=BI$4),SUM($J521,$M521,$P521,$S521),"")</f>
        <v/>
      </c>
      <c r="BJ521" s="458" t="str">
        <f>IF(AND($G521='Povolené hodnoty'!$B$14,$H521=BJ$4),SUM($J521,$M521,$P521,$S521),"")</f>
        <v/>
      </c>
      <c r="BK521" s="40" t="str">
        <f>IF(AND($G521='Povolené hodnoty'!$B$14,$H521=BK$4),SUM($J521,$M521,$P521,$S521),"")</f>
        <v/>
      </c>
      <c r="BL521" s="40" t="str">
        <f>IF(AND($G521='Povolené hodnoty'!$B$14,$H521=BL$4),SUM($J521,$M521,$P521,$S521),"")</f>
        <v/>
      </c>
      <c r="BM521" s="41" t="str">
        <f>IF(AND($G521='Povolené hodnoty'!$B$14,$H521=BM$4),SUM($J521,$M521,$P521,$S521),"")</f>
        <v/>
      </c>
      <c r="BO521" s="18" t="b">
        <f t="shared" si="316"/>
        <v>0</v>
      </c>
      <c r="BP521" s="18" t="b">
        <f t="shared" si="287"/>
        <v>0</v>
      </c>
      <c r="BQ521" s="18" t="b">
        <f>AND(E521&lt;&gt;'Povolené hodnoty'!$B$6,F521&lt;&gt;'Povolené hodnoty'!$D$7,F521&lt;&gt;'Povolené hodnoty'!$D$8,OR(SUM(I521,L521,O521,R521)&lt;&gt;SUM(W521:X521,AA521:AG521),SUM(J521,M521,P521,S521)&lt;&gt;SUM(Y521:Z521,AH521:AK521),COUNT(I521:J521,L521:M521,O521:P521,R521:S521)&lt;&gt;COUNT(W521:AK521)))</f>
        <v>0</v>
      </c>
      <c r="BR521" s="18" t="b">
        <f>OR(AND(E521='Povolené hodnoty'!$B$6,$BR$5),AND(E521='Povolené hodnoty'!$B$6,H521&lt;&gt;'Povolené hodnoty'!$E$26,H521&lt;&gt;'Povolené hodnoty'!$E$35),AND(E521&lt;&gt;'Povolené hodnoty'!$B$6,OR(H521='Povolené hodnoty'!$E$26,H521='Povolené hodnoty'!$E$35)))</f>
        <v>0</v>
      </c>
      <c r="BS521" s="18" t="b">
        <f>OR(AND(G521&lt;&gt;'Povolené hodnoty'!$B$13,OR(H521='Povolené hodnoty'!$E$21,H521='Povolené hodnoty'!$E$22,H521='Povolené hodnoty'!$E$23,H521='Povolené hodnoty'!$E$24,H521='Povolené hodnoty'!$E$26,H521='Povolené hodnoty'!$E$36)),COUNT(I521:J521,L521:M521,O521:P521,R521:S521)&lt;&gt;COUNT(AL521:BM521))</f>
        <v>0</v>
      </c>
      <c r="BT521" s="18" t="b">
        <f t="shared" si="288"/>
        <v>0</v>
      </c>
      <c r="BV521" s="39" t="str">
        <f t="shared" si="289"/>
        <v/>
      </c>
      <c r="BW521" s="458" t="str">
        <f t="shared" si="290"/>
        <v/>
      </c>
      <c r="BX521" s="458" t="str">
        <f t="shared" si="291"/>
        <v/>
      </c>
      <c r="BY521" s="458" t="str">
        <f t="shared" si="292"/>
        <v/>
      </c>
      <c r="BZ521" s="458" t="str">
        <f t="shared" si="293"/>
        <v/>
      </c>
      <c r="CA521" s="40" t="str">
        <f t="shared" si="294"/>
        <v/>
      </c>
      <c r="CB521" s="40" t="str">
        <f t="shared" si="295"/>
        <v/>
      </c>
      <c r="CC521" s="39" t="str">
        <f t="shared" si="296"/>
        <v/>
      </c>
      <c r="CD521" s="458" t="str">
        <f t="shared" si="297"/>
        <v/>
      </c>
      <c r="CE521" s="41" t="str">
        <f t="shared" si="298"/>
        <v/>
      </c>
      <c r="CF521" s="39" t="str">
        <f t="shared" si="299"/>
        <v/>
      </c>
      <c r="CG521" s="458" t="str">
        <f t="shared" si="300"/>
        <v/>
      </c>
      <c r="CH521" s="458" t="str">
        <f t="shared" si="301"/>
        <v/>
      </c>
      <c r="CI521" s="458" t="str">
        <f t="shared" si="302"/>
        <v/>
      </c>
      <c r="CJ521" s="458" t="str">
        <f t="shared" si="303"/>
        <v/>
      </c>
      <c r="CK521" s="40" t="str">
        <f t="shared" si="304"/>
        <v/>
      </c>
      <c r="CL521" s="40" t="str">
        <f t="shared" si="305"/>
        <v/>
      </c>
      <c r="CM521" s="40" t="str">
        <f t="shared" si="306"/>
        <v/>
      </c>
      <c r="CN521" s="39" t="str">
        <f t="shared" si="307"/>
        <v/>
      </c>
      <c r="CO521" s="458" t="str">
        <f t="shared" si="308"/>
        <v/>
      </c>
      <c r="CP521" s="458" t="str">
        <f t="shared" si="309"/>
        <v/>
      </c>
      <c r="CQ521" s="458" t="str">
        <f t="shared" si="310"/>
        <v/>
      </c>
      <c r="CR521" s="458" t="str">
        <f t="shared" si="311"/>
        <v/>
      </c>
      <c r="CS521" s="40" t="str">
        <f t="shared" si="312"/>
        <v/>
      </c>
      <c r="CT521" s="40" t="str">
        <f t="shared" si="313"/>
        <v/>
      </c>
      <c r="CU521" s="41" t="str">
        <f t="shared" si="314"/>
        <v/>
      </c>
    </row>
    <row r="522" spans="1:99" x14ac:dyDescent="0.2">
      <c r="A522" s="77">
        <f t="shared" si="315"/>
        <v>517</v>
      </c>
      <c r="B522" s="81"/>
      <c r="C522" s="82"/>
      <c r="D522" s="71"/>
      <c r="E522" s="72"/>
      <c r="F522" s="73"/>
      <c r="G522" s="443"/>
      <c r="H522" s="443"/>
      <c r="I522" s="74"/>
      <c r="J522" s="75"/>
      <c r="K522" s="41">
        <f t="shared" si="284"/>
        <v>3625</v>
      </c>
      <c r="L522" s="104"/>
      <c r="M522" s="105"/>
      <c r="N522" s="106">
        <f t="shared" si="285"/>
        <v>537.05999999999995</v>
      </c>
      <c r="O522" s="104"/>
      <c r="P522" s="105"/>
      <c r="Q522" s="106">
        <f t="shared" si="317"/>
        <v>10045.83</v>
      </c>
      <c r="R522" s="104"/>
      <c r="S522" s="105"/>
      <c r="T522" s="106">
        <f t="shared" si="318"/>
        <v>0</v>
      </c>
      <c r="U522" s="439"/>
      <c r="V522" s="42">
        <f t="shared" si="286"/>
        <v>517</v>
      </c>
      <c r="W522" s="39" t="str">
        <f>IF(AND(E522='Povolené hodnoty'!$B$4,F522=2),I522+L522+O522+R522,"")</f>
        <v/>
      </c>
      <c r="X522" s="41" t="str">
        <f>IF(AND(E522='Povolené hodnoty'!$B$4,F522=1),I522+L522+O522+R522,"")</f>
        <v/>
      </c>
      <c r="Y522" s="39" t="str">
        <f>IF(AND(E522='Povolené hodnoty'!$B$4,F522=10),J522+M522+P522+S522,"")</f>
        <v/>
      </c>
      <c r="Z522" s="41" t="str">
        <f>IF(AND(E522='Povolené hodnoty'!$B$4,F522=9),J522+M522+P522+S522,"")</f>
        <v/>
      </c>
      <c r="AA522" s="39" t="str">
        <f>IF(AND(E522&lt;&gt;'Povolené hodnoty'!$B$4,F522=2),I522+L522+O522+R522,"")</f>
        <v/>
      </c>
      <c r="AB522" s="40" t="str">
        <f>IF(AND(E522&lt;&gt;'Povolené hodnoty'!$B$4,F522=3),I522+L522+O522+R522,"")</f>
        <v/>
      </c>
      <c r="AC522" s="40" t="str">
        <f>IF(AND(E522&lt;&gt;'Povolené hodnoty'!$B$4,F522=4),I522+L522+O522+R522,"")</f>
        <v/>
      </c>
      <c r="AD522" s="40" t="str">
        <f>IF(AND(E522&lt;&gt;'Povolené hodnoty'!$B$4,F522="5a"),I522-J522+L522-M522+O522-P522+R522-S522,"")</f>
        <v/>
      </c>
      <c r="AE522" s="40" t="str">
        <f>IF(AND(E522&lt;&gt;'Povolené hodnoty'!$B$4,F522="5b"),I522-J522+L522-M522+O522-P522+R522-S522,"")</f>
        <v/>
      </c>
      <c r="AF522" s="40" t="str">
        <f>IF(AND(E522&lt;&gt;'Povolené hodnoty'!$B$4,F522=6),I522+L522+O522+R522,"")</f>
        <v/>
      </c>
      <c r="AG522" s="41" t="str">
        <f>IF(AND(E522&lt;&gt;'Povolené hodnoty'!$B$4,F522=7),I522+L522+O522+R522,"")</f>
        <v/>
      </c>
      <c r="AH522" s="39" t="str">
        <f>IF(AND(E522&lt;&gt;'Povolené hodnoty'!$B$4,F522=10),J522+M522+P522+S522,"")</f>
        <v/>
      </c>
      <c r="AI522" s="40" t="str">
        <f>IF(AND(E522&lt;&gt;'Povolené hodnoty'!$B$4,F522=11),J522+M522+P522+S522,"")</f>
        <v/>
      </c>
      <c r="AJ522" s="40" t="str">
        <f>IF(AND(E522&lt;&gt;'Povolené hodnoty'!$B$4,F522=12),J522+M522+P522+S522,"")</f>
        <v/>
      </c>
      <c r="AK522" s="41" t="str">
        <f>IF(AND(E522&lt;&gt;'Povolené hodnoty'!$B$4,F522=13),J522+M522+P522+S522,"")</f>
        <v/>
      </c>
      <c r="AL522" s="39" t="str">
        <f>IF(AND($G522='Povolené hodnoty'!$B$13,$H522=AL$4),SUM($I522,$L522,$O522,$R522),"")</f>
        <v/>
      </c>
      <c r="AM522" s="458" t="str">
        <f>IF(AND($G522='Povolené hodnoty'!$B$13,$H522=AM$4),SUM($I522,$L522,$O522,$R522),"")</f>
        <v/>
      </c>
      <c r="AN522" s="458" t="str">
        <f>IF(AND($G522='Povolené hodnoty'!$B$13,$H522=AN$4),SUM($I522,$L522,$O522,$R522),"")</f>
        <v/>
      </c>
      <c r="AO522" s="458" t="str">
        <f>IF(AND($G522='Povolené hodnoty'!$B$13,$H522=AO$4),SUM($I522,$L522,$O522,$R522),"")</f>
        <v/>
      </c>
      <c r="AP522" s="458" t="str">
        <f>IF(AND($G522='Povolené hodnoty'!$B$13,$H522=AP$4),SUM($I522,$L522,$O522,$R522),"")</f>
        <v/>
      </c>
      <c r="AQ522" s="40" t="str">
        <f>IF(AND($G522='Povolené hodnoty'!$B$13,OR($H522=AQ$4,$H522='Povolené hodnoty'!$E$36)),SUM($I522,-$J522,$L522,-$M522,$O522,-$P522,$R522,-$S522),"")</f>
        <v/>
      </c>
      <c r="AR522" s="40" t="str">
        <f>IF(AND($G522='Povolené hodnoty'!$B$13,$H522=AR$4),SUM($I522,$L522,$O522,$R522),"")</f>
        <v/>
      </c>
      <c r="AS522" s="41" t="str">
        <f>IF(AND($G522='Povolené hodnoty'!$B$13,$H522=AS$4),SUM($I522,$L522,$O522,$R522),"")</f>
        <v/>
      </c>
      <c r="AT522" s="39" t="str">
        <f>IF(AND($G522='Povolené hodnoty'!$B$14,$H522=AT$4),SUM($I522,$L522,$O522,$R522),"")</f>
        <v/>
      </c>
      <c r="AU522" s="458" t="str">
        <f>IF(AND($G522='Povolené hodnoty'!$B$14,$H522=AU$4),SUM($I522,$L522,$O522,$R522),"")</f>
        <v/>
      </c>
      <c r="AV522" s="41" t="str">
        <f>IF(AND($G522='Povolené hodnoty'!$B$14,$H522=AV$4),SUM($I522,$L522,$O522,$R522),"")</f>
        <v/>
      </c>
      <c r="AW522" s="39" t="str">
        <f>IF(AND($G522='Povolené hodnoty'!$B$13,$H522=AW$4),SUM($J522,$M522,$P522,$S522),"")</f>
        <v/>
      </c>
      <c r="AX522" s="458" t="str">
        <f>IF(AND($G522='Povolené hodnoty'!$B$13,$H522=AX$4),SUM($J522,$M522,$P522,$S522),"")</f>
        <v/>
      </c>
      <c r="AY522" s="458" t="str">
        <f>IF(AND($G522='Povolené hodnoty'!$B$13,$H522=AY$4),SUM($J522,$M522,$P522,$S522),"")</f>
        <v/>
      </c>
      <c r="AZ522" s="458" t="str">
        <f>IF(AND($G522='Povolené hodnoty'!$B$13,$H522=AZ$4),SUM($J522,$M522,$P522,$S522),"")</f>
        <v/>
      </c>
      <c r="BA522" s="458" t="str">
        <f>IF(AND($G522='Povolené hodnoty'!$B$13,$H522=BA$4),SUM($J522,$M522,$P522,$S522),"")</f>
        <v/>
      </c>
      <c r="BB522" s="40" t="str">
        <f>IF(AND($G522='Povolené hodnoty'!$B$13,$H522=BB$4),SUM($J522,$M522,$P522,$S522),"")</f>
        <v/>
      </c>
      <c r="BC522" s="40" t="str">
        <f>IF(AND($G522='Povolené hodnoty'!$B$13,$H522=BC$4),SUM($J522,$M522,$P522,$S522),"")</f>
        <v/>
      </c>
      <c r="BD522" s="40" t="str">
        <f>IF(AND($G522='Povolené hodnoty'!$B$13,$H522=BD$4),SUM($J522,$M522,$P522,$S522),"")</f>
        <v/>
      </c>
      <c r="BE522" s="41" t="str">
        <f>IF(AND($G522='Povolené hodnoty'!$B$13,$H522=BE$4),SUM($J522,$M522,$P522,$S522),"")</f>
        <v/>
      </c>
      <c r="BF522" s="39" t="str">
        <f>IF(AND($G522='Povolené hodnoty'!$B$14,$H522=BF$4),SUM($J522,$M522,$P522,$S522),"")</f>
        <v/>
      </c>
      <c r="BG522" s="458" t="str">
        <f>IF(AND($G522='Povolené hodnoty'!$B$14,$H522=BG$4),SUM($J522,$M522,$P522,$S522),"")</f>
        <v/>
      </c>
      <c r="BH522" s="458" t="str">
        <f>IF(AND($G522='Povolené hodnoty'!$B$14,$H522=BH$4),SUM($J522,$M522,$P522,$S522),"")</f>
        <v/>
      </c>
      <c r="BI522" s="458" t="str">
        <f>IF(AND($G522='Povolené hodnoty'!$B$14,$H522=BI$4),SUM($J522,$M522,$P522,$S522),"")</f>
        <v/>
      </c>
      <c r="BJ522" s="458" t="str">
        <f>IF(AND($G522='Povolené hodnoty'!$B$14,$H522=BJ$4),SUM($J522,$M522,$P522,$S522),"")</f>
        <v/>
      </c>
      <c r="BK522" s="40" t="str">
        <f>IF(AND($G522='Povolené hodnoty'!$B$14,$H522=BK$4),SUM($J522,$M522,$P522,$S522),"")</f>
        <v/>
      </c>
      <c r="BL522" s="40" t="str">
        <f>IF(AND($G522='Povolené hodnoty'!$B$14,$H522=BL$4),SUM($J522,$M522,$P522,$S522),"")</f>
        <v/>
      </c>
      <c r="BM522" s="41" t="str">
        <f>IF(AND($G522='Povolené hodnoty'!$B$14,$H522=BM$4),SUM($J522,$M522,$P522,$S522),"")</f>
        <v/>
      </c>
      <c r="BO522" s="18" t="b">
        <f t="shared" si="316"/>
        <v>0</v>
      </c>
      <c r="BP522" s="18" t="b">
        <f t="shared" si="287"/>
        <v>0</v>
      </c>
      <c r="BQ522" s="18" t="b">
        <f>AND(E522&lt;&gt;'Povolené hodnoty'!$B$6,F522&lt;&gt;'Povolené hodnoty'!$D$7,F522&lt;&gt;'Povolené hodnoty'!$D$8,OR(SUM(I522,L522,O522,R522)&lt;&gt;SUM(W522:X522,AA522:AG522),SUM(J522,M522,P522,S522)&lt;&gt;SUM(Y522:Z522,AH522:AK522),COUNT(I522:J522,L522:M522,O522:P522,R522:S522)&lt;&gt;COUNT(W522:AK522)))</f>
        <v>0</v>
      </c>
      <c r="BR522" s="18" t="b">
        <f>OR(AND(E522='Povolené hodnoty'!$B$6,$BR$5),AND(E522='Povolené hodnoty'!$B$6,H522&lt;&gt;'Povolené hodnoty'!$E$26,H522&lt;&gt;'Povolené hodnoty'!$E$35),AND(E522&lt;&gt;'Povolené hodnoty'!$B$6,OR(H522='Povolené hodnoty'!$E$26,H522='Povolené hodnoty'!$E$35)))</f>
        <v>0</v>
      </c>
      <c r="BS522" s="18" t="b">
        <f>OR(AND(G522&lt;&gt;'Povolené hodnoty'!$B$13,OR(H522='Povolené hodnoty'!$E$21,H522='Povolené hodnoty'!$E$22,H522='Povolené hodnoty'!$E$23,H522='Povolené hodnoty'!$E$24,H522='Povolené hodnoty'!$E$26,H522='Povolené hodnoty'!$E$36)),COUNT(I522:J522,L522:M522,O522:P522,R522:S522)&lt;&gt;COUNT(AL522:BM522))</f>
        <v>0</v>
      </c>
      <c r="BT522" s="18" t="b">
        <f t="shared" si="288"/>
        <v>0</v>
      </c>
      <c r="BV522" s="39" t="str">
        <f t="shared" si="289"/>
        <v/>
      </c>
      <c r="BW522" s="458" t="str">
        <f t="shared" si="290"/>
        <v/>
      </c>
      <c r="BX522" s="458" t="str">
        <f t="shared" si="291"/>
        <v/>
      </c>
      <c r="BY522" s="458" t="str">
        <f t="shared" si="292"/>
        <v/>
      </c>
      <c r="BZ522" s="458" t="str">
        <f t="shared" si="293"/>
        <v/>
      </c>
      <c r="CA522" s="40" t="str">
        <f t="shared" si="294"/>
        <v/>
      </c>
      <c r="CB522" s="40" t="str">
        <f t="shared" si="295"/>
        <v/>
      </c>
      <c r="CC522" s="39" t="str">
        <f t="shared" si="296"/>
        <v/>
      </c>
      <c r="CD522" s="458" t="str">
        <f t="shared" si="297"/>
        <v/>
      </c>
      <c r="CE522" s="41" t="str">
        <f t="shared" si="298"/>
        <v/>
      </c>
      <c r="CF522" s="39" t="str">
        <f t="shared" si="299"/>
        <v/>
      </c>
      <c r="CG522" s="458" t="str">
        <f t="shared" si="300"/>
        <v/>
      </c>
      <c r="CH522" s="458" t="str">
        <f t="shared" si="301"/>
        <v/>
      </c>
      <c r="CI522" s="458" t="str">
        <f t="shared" si="302"/>
        <v/>
      </c>
      <c r="CJ522" s="458" t="str">
        <f t="shared" si="303"/>
        <v/>
      </c>
      <c r="CK522" s="40" t="str">
        <f t="shared" si="304"/>
        <v/>
      </c>
      <c r="CL522" s="40" t="str">
        <f t="shared" si="305"/>
        <v/>
      </c>
      <c r="CM522" s="40" t="str">
        <f t="shared" si="306"/>
        <v/>
      </c>
      <c r="CN522" s="39" t="str">
        <f t="shared" si="307"/>
        <v/>
      </c>
      <c r="CO522" s="458" t="str">
        <f t="shared" si="308"/>
        <v/>
      </c>
      <c r="CP522" s="458" t="str">
        <f t="shared" si="309"/>
        <v/>
      </c>
      <c r="CQ522" s="458" t="str">
        <f t="shared" si="310"/>
        <v/>
      </c>
      <c r="CR522" s="458" t="str">
        <f t="shared" si="311"/>
        <v/>
      </c>
      <c r="CS522" s="40" t="str">
        <f t="shared" si="312"/>
        <v/>
      </c>
      <c r="CT522" s="40" t="str">
        <f t="shared" si="313"/>
        <v/>
      </c>
      <c r="CU522" s="41" t="str">
        <f t="shared" si="314"/>
        <v/>
      </c>
    </row>
    <row r="523" spans="1:99" x14ac:dyDescent="0.2">
      <c r="A523" s="77">
        <f t="shared" si="315"/>
        <v>518</v>
      </c>
      <c r="B523" s="81"/>
      <c r="C523" s="82"/>
      <c r="D523" s="71"/>
      <c r="E523" s="72"/>
      <c r="F523" s="73"/>
      <c r="G523" s="443"/>
      <c r="H523" s="443"/>
      <c r="I523" s="74"/>
      <c r="J523" s="75"/>
      <c r="K523" s="41">
        <f t="shared" si="284"/>
        <v>3625</v>
      </c>
      <c r="L523" s="104"/>
      <c r="M523" s="105"/>
      <c r="N523" s="106">
        <f t="shared" si="285"/>
        <v>537.05999999999995</v>
      </c>
      <c r="O523" s="104"/>
      <c r="P523" s="105"/>
      <c r="Q523" s="106">
        <f t="shared" si="317"/>
        <v>10045.83</v>
      </c>
      <c r="R523" s="104"/>
      <c r="S523" s="105"/>
      <c r="T523" s="106">
        <f t="shared" si="318"/>
        <v>0</v>
      </c>
      <c r="U523" s="439"/>
      <c r="V523" s="42">
        <f t="shared" si="286"/>
        <v>518</v>
      </c>
      <c r="W523" s="39" t="str">
        <f>IF(AND(E523='Povolené hodnoty'!$B$4,F523=2),I523+L523+O523+R523,"")</f>
        <v/>
      </c>
      <c r="X523" s="41" t="str">
        <f>IF(AND(E523='Povolené hodnoty'!$B$4,F523=1),I523+L523+O523+R523,"")</f>
        <v/>
      </c>
      <c r="Y523" s="39" t="str">
        <f>IF(AND(E523='Povolené hodnoty'!$B$4,F523=10),J523+M523+P523+S523,"")</f>
        <v/>
      </c>
      <c r="Z523" s="41" t="str">
        <f>IF(AND(E523='Povolené hodnoty'!$B$4,F523=9),J523+M523+P523+S523,"")</f>
        <v/>
      </c>
      <c r="AA523" s="39" t="str">
        <f>IF(AND(E523&lt;&gt;'Povolené hodnoty'!$B$4,F523=2),I523+L523+O523+R523,"")</f>
        <v/>
      </c>
      <c r="AB523" s="40" t="str">
        <f>IF(AND(E523&lt;&gt;'Povolené hodnoty'!$B$4,F523=3),I523+L523+O523+R523,"")</f>
        <v/>
      </c>
      <c r="AC523" s="40" t="str">
        <f>IF(AND(E523&lt;&gt;'Povolené hodnoty'!$B$4,F523=4),I523+L523+O523+R523,"")</f>
        <v/>
      </c>
      <c r="AD523" s="40" t="str">
        <f>IF(AND(E523&lt;&gt;'Povolené hodnoty'!$B$4,F523="5a"),I523-J523+L523-M523+O523-P523+R523-S523,"")</f>
        <v/>
      </c>
      <c r="AE523" s="40" t="str">
        <f>IF(AND(E523&lt;&gt;'Povolené hodnoty'!$B$4,F523="5b"),I523-J523+L523-M523+O523-P523+R523-S523,"")</f>
        <v/>
      </c>
      <c r="AF523" s="40" t="str">
        <f>IF(AND(E523&lt;&gt;'Povolené hodnoty'!$B$4,F523=6),I523+L523+O523+R523,"")</f>
        <v/>
      </c>
      <c r="AG523" s="41" t="str">
        <f>IF(AND(E523&lt;&gt;'Povolené hodnoty'!$B$4,F523=7),I523+L523+O523+R523,"")</f>
        <v/>
      </c>
      <c r="AH523" s="39" t="str">
        <f>IF(AND(E523&lt;&gt;'Povolené hodnoty'!$B$4,F523=10),J523+M523+P523+S523,"")</f>
        <v/>
      </c>
      <c r="AI523" s="40" t="str">
        <f>IF(AND(E523&lt;&gt;'Povolené hodnoty'!$B$4,F523=11),J523+M523+P523+S523,"")</f>
        <v/>
      </c>
      <c r="AJ523" s="40" t="str">
        <f>IF(AND(E523&lt;&gt;'Povolené hodnoty'!$B$4,F523=12),J523+M523+P523+S523,"")</f>
        <v/>
      </c>
      <c r="AK523" s="41" t="str">
        <f>IF(AND(E523&lt;&gt;'Povolené hodnoty'!$B$4,F523=13),J523+M523+P523+S523,"")</f>
        <v/>
      </c>
      <c r="AL523" s="39" t="str">
        <f>IF(AND($G523='Povolené hodnoty'!$B$13,$H523=AL$4),SUM($I523,$L523,$O523,$R523),"")</f>
        <v/>
      </c>
      <c r="AM523" s="458" t="str">
        <f>IF(AND($G523='Povolené hodnoty'!$B$13,$H523=AM$4),SUM($I523,$L523,$O523,$R523),"")</f>
        <v/>
      </c>
      <c r="AN523" s="458" t="str">
        <f>IF(AND($G523='Povolené hodnoty'!$B$13,$H523=AN$4),SUM($I523,$L523,$O523,$R523),"")</f>
        <v/>
      </c>
      <c r="AO523" s="458" t="str">
        <f>IF(AND($G523='Povolené hodnoty'!$B$13,$H523=AO$4),SUM($I523,$L523,$O523,$R523),"")</f>
        <v/>
      </c>
      <c r="AP523" s="458" t="str">
        <f>IF(AND($G523='Povolené hodnoty'!$B$13,$H523=AP$4),SUM($I523,$L523,$O523,$R523),"")</f>
        <v/>
      </c>
      <c r="AQ523" s="40" t="str">
        <f>IF(AND($G523='Povolené hodnoty'!$B$13,OR($H523=AQ$4,$H523='Povolené hodnoty'!$E$36)),SUM($I523,-$J523,$L523,-$M523,$O523,-$P523,$R523,-$S523),"")</f>
        <v/>
      </c>
      <c r="AR523" s="40" t="str">
        <f>IF(AND($G523='Povolené hodnoty'!$B$13,$H523=AR$4),SUM($I523,$L523,$O523,$R523),"")</f>
        <v/>
      </c>
      <c r="AS523" s="41" t="str">
        <f>IF(AND($G523='Povolené hodnoty'!$B$13,$H523=AS$4),SUM($I523,$L523,$O523,$R523),"")</f>
        <v/>
      </c>
      <c r="AT523" s="39" t="str">
        <f>IF(AND($G523='Povolené hodnoty'!$B$14,$H523=AT$4),SUM($I523,$L523,$O523,$R523),"")</f>
        <v/>
      </c>
      <c r="AU523" s="458" t="str">
        <f>IF(AND($G523='Povolené hodnoty'!$B$14,$H523=AU$4),SUM($I523,$L523,$O523,$R523),"")</f>
        <v/>
      </c>
      <c r="AV523" s="41" t="str">
        <f>IF(AND($G523='Povolené hodnoty'!$B$14,$H523=AV$4),SUM($I523,$L523,$O523,$R523),"")</f>
        <v/>
      </c>
      <c r="AW523" s="39" t="str">
        <f>IF(AND($G523='Povolené hodnoty'!$B$13,$H523=AW$4),SUM($J523,$M523,$P523,$S523),"")</f>
        <v/>
      </c>
      <c r="AX523" s="458" t="str">
        <f>IF(AND($G523='Povolené hodnoty'!$B$13,$H523=AX$4),SUM($J523,$M523,$P523,$S523),"")</f>
        <v/>
      </c>
      <c r="AY523" s="458" t="str">
        <f>IF(AND($G523='Povolené hodnoty'!$B$13,$H523=AY$4),SUM($J523,$M523,$P523,$S523),"")</f>
        <v/>
      </c>
      <c r="AZ523" s="458" t="str">
        <f>IF(AND($G523='Povolené hodnoty'!$B$13,$H523=AZ$4),SUM($J523,$M523,$P523,$S523),"")</f>
        <v/>
      </c>
      <c r="BA523" s="458" t="str">
        <f>IF(AND($G523='Povolené hodnoty'!$B$13,$H523=BA$4),SUM($J523,$M523,$P523,$S523),"")</f>
        <v/>
      </c>
      <c r="BB523" s="40" t="str">
        <f>IF(AND($G523='Povolené hodnoty'!$B$13,$H523=BB$4),SUM($J523,$M523,$P523,$S523),"")</f>
        <v/>
      </c>
      <c r="BC523" s="40" t="str">
        <f>IF(AND($G523='Povolené hodnoty'!$B$13,$H523=BC$4),SUM($J523,$M523,$P523,$S523),"")</f>
        <v/>
      </c>
      <c r="BD523" s="40" t="str">
        <f>IF(AND($G523='Povolené hodnoty'!$B$13,$H523=BD$4),SUM($J523,$M523,$P523,$S523),"")</f>
        <v/>
      </c>
      <c r="BE523" s="41" t="str">
        <f>IF(AND($G523='Povolené hodnoty'!$B$13,$H523=BE$4),SUM($J523,$M523,$P523,$S523),"")</f>
        <v/>
      </c>
      <c r="BF523" s="39" t="str">
        <f>IF(AND($G523='Povolené hodnoty'!$B$14,$H523=BF$4),SUM($J523,$M523,$P523,$S523),"")</f>
        <v/>
      </c>
      <c r="BG523" s="458" t="str">
        <f>IF(AND($G523='Povolené hodnoty'!$B$14,$H523=BG$4),SUM($J523,$M523,$P523,$S523),"")</f>
        <v/>
      </c>
      <c r="BH523" s="458" t="str">
        <f>IF(AND($G523='Povolené hodnoty'!$B$14,$H523=BH$4),SUM($J523,$M523,$P523,$S523),"")</f>
        <v/>
      </c>
      <c r="BI523" s="458" t="str">
        <f>IF(AND($G523='Povolené hodnoty'!$B$14,$H523=BI$4),SUM($J523,$M523,$P523,$S523),"")</f>
        <v/>
      </c>
      <c r="BJ523" s="458" t="str">
        <f>IF(AND($G523='Povolené hodnoty'!$B$14,$H523=BJ$4),SUM($J523,$M523,$P523,$S523),"")</f>
        <v/>
      </c>
      <c r="BK523" s="40" t="str">
        <f>IF(AND($G523='Povolené hodnoty'!$B$14,$H523=BK$4),SUM($J523,$M523,$P523,$S523),"")</f>
        <v/>
      </c>
      <c r="BL523" s="40" t="str">
        <f>IF(AND($G523='Povolené hodnoty'!$B$14,$H523=BL$4),SUM($J523,$M523,$P523,$S523),"")</f>
        <v/>
      </c>
      <c r="BM523" s="41" t="str">
        <f>IF(AND($G523='Povolené hodnoty'!$B$14,$H523=BM$4),SUM($J523,$M523,$P523,$S523),"")</f>
        <v/>
      </c>
      <c r="BO523" s="18" t="b">
        <f t="shared" si="316"/>
        <v>0</v>
      </c>
      <c r="BP523" s="18" t="b">
        <f t="shared" si="287"/>
        <v>0</v>
      </c>
      <c r="BQ523" s="18" t="b">
        <f>AND(E523&lt;&gt;'Povolené hodnoty'!$B$6,F523&lt;&gt;'Povolené hodnoty'!$D$7,F523&lt;&gt;'Povolené hodnoty'!$D$8,OR(SUM(I523,L523,O523,R523)&lt;&gt;SUM(W523:X523,AA523:AG523),SUM(J523,M523,P523,S523)&lt;&gt;SUM(Y523:Z523,AH523:AK523),COUNT(I523:J523,L523:M523,O523:P523,R523:S523)&lt;&gt;COUNT(W523:AK523)))</f>
        <v>0</v>
      </c>
      <c r="BR523" s="18" t="b">
        <f>OR(AND(E523='Povolené hodnoty'!$B$6,$BR$5),AND(E523='Povolené hodnoty'!$B$6,H523&lt;&gt;'Povolené hodnoty'!$E$26,H523&lt;&gt;'Povolené hodnoty'!$E$35),AND(E523&lt;&gt;'Povolené hodnoty'!$B$6,OR(H523='Povolené hodnoty'!$E$26,H523='Povolené hodnoty'!$E$35)))</f>
        <v>0</v>
      </c>
      <c r="BS523" s="18" t="b">
        <f>OR(AND(G523&lt;&gt;'Povolené hodnoty'!$B$13,OR(H523='Povolené hodnoty'!$E$21,H523='Povolené hodnoty'!$E$22,H523='Povolené hodnoty'!$E$23,H523='Povolené hodnoty'!$E$24,H523='Povolené hodnoty'!$E$26,H523='Povolené hodnoty'!$E$36)),COUNT(I523:J523,L523:M523,O523:P523,R523:S523)&lt;&gt;COUNT(AL523:BM523))</f>
        <v>0</v>
      </c>
      <c r="BT523" s="18" t="b">
        <f t="shared" si="288"/>
        <v>0</v>
      </c>
      <c r="BV523" s="39" t="str">
        <f t="shared" si="289"/>
        <v/>
      </c>
      <c r="BW523" s="458" t="str">
        <f t="shared" si="290"/>
        <v/>
      </c>
      <c r="BX523" s="458" t="str">
        <f t="shared" si="291"/>
        <v/>
      </c>
      <c r="BY523" s="458" t="str">
        <f t="shared" si="292"/>
        <v/>
      </c>
      <c r="BZ523" s="458" t="str">
        <f t="shared" si="293"/>
        <v/>
      </c>
      <c r="CA523" s="40" t="str">
        <f t="shared" si="294"/>
        <v/>
      </c>
      <c r="CB523" s="40" t="str">
        <f t="shared" si="295"/>
        <v/>
      </c>
      <c r="CC523" s="39" t="str">
        <f t="shared" si="296"/>
        <v/>
      </c>
      <c r="CD523" s="458" t="str">
        <f t="shared" si="297"/>
        <v/>
      </c>
      <c r="CE523" s="41" t="str">
        <f t="shared" si="298"/>
        <v/>
      </c>
      <c r="CF523" s="39" t="str">
        <f t="shared" si="299"/>
        <v/>
      </c>
      <c r="CG523" s="458" t="str">
        <f t="shared" si="300"/>
        <v/>
      </c>
      <c r="CH523" s="458" t="str">
        <f t="shared" si="301"/>
        <v/>
      </c>
      <c r="CI523" s="458" t="str">
        <f t="shared" si="302"/>
        <v/>
      </c>
      <c r="CJ523" s="458" t="str">
        <f t="shared" si="303"/>
        <v/>
      </c>
      <c r="CK523" s="40" t="str">
        <f t="shared" si="304"/>
        <v/>
      </c>
      <c r="CL523" s="40" t="str">
        <f t="shared" si="305"/>
        <v/>
      </c>
      <c r="CM523" s="40" t="str">
        <f t="shared" si="306"/>
        <v/>
      </c>
      <c r="CN523" s="39" t="str">
        <f t="shared" si="307"/>
        <v/>
      </c>
      <c r="CO523" s="458" t="str">
        <f t="shared" si="308"/>
        <v/>
      </c>
      <c r="CP523" s="458" t="str">
        <f t="shared" si="309"/>
        <v/>
      </c>
      <c r="CQ523" s="458" t="str">
        <f t="shared" si="310"/>
        <v/>
      </c>
      <c r="CR523" s="458" t="str">
        <f t="shared" si="311"/>
        <v/>
      </c>
      <c r="CS523" s="40" t="str">
        <f t="shared" si="312"/>
        <v/>
      </c>
      <c r="CT523" s="40" t="str">
        <f t="shared" si="313"/>
        <v/>
      </c>
      <c r="CU523" s="41" t="str">
        <f t="shared" si="314"/>
        <v/>
      </c>
    </row>
    <row r="524" spans="1:99" x14ac:dyDescent="0.2">
      <c r="A524" s="77">
        <f t="shared" si="315"/>
        <v>519</v>
      </c>
      <c r="B524" s="81"/>
      <c r="C524" s="82"/>
      <c r="D524" s="71"/>
      <c r="E524" s="72"/>
      <c r="F524" s="73"/>
      <c r="G524" s="443"/>
      <c r="H524" s="443"/>
      <c r="I524" s="74"/>
      <c r="J524" s="75"/>
      <c r="K524" s="41">
        <f t="shared" si="284"/>
        <v>3625</v>
      </c>
      <c r="L524" s="104"/>
      <c r="M524" s="105"/>
      <c r="N524" s="106">
        <f t="shared" si="285"/>
        <v>537.05999999999995</v>
      </c>
      <c r="O524" s="104"/>
      <c r="P524" s="105"/>
      <c r="Q524" s="106">
        <f t="shared" si="317"/>
        <v>10045.83</v>
      </c>
      <c r="R524" s="104"/>
      <c r="S524" s="105"/>
      <c r="T524" s="106">
        <f t="shared" si="318"/>
        <v>0</v>
      </c>
      <c r="U524" s="439"/>
      <c r="V524" s="42">
        <f t="shared" si="286"/>
        <v>519</v>
      </c>
      <c r="W524" s="39" t="str">
        <f>IF(AND(E524='Povolené hodnoty'!$B$4,F524=2),I524+L524+O524+R524,"")</f>
        <v/>
      </c>
      <c r="X524" s="41" t="str">
        <f>IF(AND(E524='Povolené hodnoty'!$B$4,F524=1),I524+L524+O524+R524,"")</f>
        <v/>
      </c>
      <c r="Y524" s="39" t="str">
        <f>IF(AND(E524='Povolené hodnoty'!$B$4,F524=10),J524+M524+P524+S524,"")</f>
        <v/>
      </c>
      <c r="Z524" s="41" t="str">
        <f>IF(AND(E524='Povolené hodnoty'!$B$4,F524=9),J524+M524+P524+S524,"")</f>
        <v/>
      </c>
      <c r="AA524" s="39" t="str">
        <f>IF(AND(E524&lt;&gt;'Povolené hodnoty'!$B$4,F524=2),I524+L524+O524+R524,"")</f>
        <v/>
      </c>
      <c r="AB524" s="40" t="str">
        <f>IF(AND(E524&lt;&gt;'Povolené hodnoty'!$B$4,F524=3),I524+L524+O524+R524,"")</f>
        <v/>
      </c>
      <c r="AC524" s="40" t="str">
        <f>IF(AND(E524&lt;&gt;'Povolené hodnoty'!$B$4,F524=4),I524+L524+O524+R524,"")</f>
        <v/>
      </c>
      <c r="AD524" s="40" t="str">
        <f>IF(AND(E524&lt;&gt;'Povolené hodnoty'!$B$4,F524="5a"),I524-J524+L524-M524+O524-P524+R524-S524,"")</f>
        <v/>
      </c>
      <c r="AE524" s="40" t="str">
        <f>IF(AND(E524&lt;&gt;'Povolené hodnoty'!$B$4,F524="5b"),I524-J524+L524-M524+O524-P524+R524-S524,"")</f>
        <v/>
      </c>
      <c r="AF524" s="40" t="str">
        <f>IF(AND(E524&lt;&gt;'Povolené hodnoty'!$B$4,F524=6),I524+L524+O524+R524,"")</f>
        <v/>
      </c>
      <c r="AG524" s="41" t="str">
        <f>IF(AND(E524&lt;&gt;'Povolené hodnoty'!$B$4,F524=7),I524+L524+O524+R524,"")</f>
        <v/>
      </c>
      <c r="AH524" s="39" t="str">
        <f>IF(AND(E524&lt;&gt;'Povolené hodnoty'!$B$4,F524=10),J524+M524+P524+S524,"")</f>
        <v/>
      </c>
      <c r="AI524" s="40" t="str">
        <f>IF(AND(E524&lt;&gt;'Povolené hodnoty'!$B$4,F524=11),J524+M524+P524+S524,"")</f>
        <v/>
      </c>
      <c r="AJ524" s="40" t="str">
        <f>IF(AND(E524&lt;&gt;'Povolené hodnoty'!$B$4,F524=12),J524+M524+P524+S524,"")</f>
        <v/>
      </c>
      <c r="AK524" s="41" t="str">
        <f>IF(AND(E524&lt;&gt;'Povolené hodnoty'!$B$4,F524=13),J524+M524+P524+S524,"")</f>
        <v/>
      </c>
      <c r="AL524" s="39" t="str">
        <f>IF(AND($G524='Povolené hodnoty'!$B$13,$H524=AL$4),SUM($I524,$L524,$O524,$R524),"")</f>
        <v/>
      </c>
      <c r="AM524" s="458" t="str">
        <f>IF(AND($G524='Povolené hodnoty'!$B$13,$H524=AM$4),SUM($I524,$L524,$O524,$R524),"")</f>
        <v/>
      </c>
      <c r="AN524" s="458" t="str">
        <f>IF(AND($G524='Povolené hodnoty'!$B$13,$H524=AN$4),SUM($I524,$L524,$O524,$R524),"")</f>
        <v/>
      </c>
      <c r="AO524" s="458" t="str">
        <f>IF(AND($G524='Povolené hodnoty'!$B$13,$H524=AO$4),SUM($I524,$L524,$O524,$R524),"")</f>
        <v/>
      </c>
      <c r="AP524" s="458" t="str">
        <f>IF(AND($G524='Povolené hodnoty'!$B$13,$H524=AP$4),SUM($I524,$L524,$O524,$R524),"")</f>
        <v/>
      </c>
      <c r="AQ524" s="40" t="str">
        <f>IF(AND($G524='Povolené hodnoty'!$B$13,OR($H524=AQ$4,$H524='Povolené hodnoty'!$E$36)),SUM($I524,-$J524,$L524,-$M524,$O524,-$P524,$R524,-$S524),"")</f>
        <v/>
      </c>
      <c r="AR524" s="40" t="str">
        <f>IF(AND($G524='Povolené hodnoty'!$B$13,$H524=AR$4),SUM($I524,$L524,$O524,$R524),"")</f>
        <v/>
      </c>
      <c r="AS524" s="41" t="str">
        <f>IF(AND($G524='Povolené hodnoty'!$B$13,$H524=AS$4),SUM($I524,$L524,$O524,$R524),"")</f>
        <v/>
      </c>
      <c r="AT524" s="39" t="str">
        <f>IF(AND($G524='Povolené hodnoty'!$B$14,$H524=AT$4),SUM($I524,$L524,$O524,$R524),"")</f>
        <v/>
      </c>
      <c r="AU524" s="458" t="str">
        <f>IF(AND($G524='Povolené hodnoty'!$B$14,$H524=AU$4),SUM($I524,$L524,$O524,$R524),"")</f>
        <v/>
      </c>
      <c r="AV524" s="41" t="str">
        <f>IF(AND($G524='Povolené hodnoty'!$B$14,$H524=AV$4),SUM($I524,$L524,$O524,$R524),"")</f>
        <v/>
      </c>
      <c r="AW524" s="39" t="str">
        <f>IF(AND($G524='Povolené hodnoty'!$B$13,$H524=AW$4),SUM($J524,$M524,$P524,$S524),"")</f>
        <v/>
      </c>
      <c r="AX524" s="458" t="str">
        <f>IF(AND($G524='Povolené hodnoty'!$B$13,$H524=AX$4),SUM($J524,$M524,$P524,$S524),"")</f>
        <v/>
      </c>
      <c r="AY524" s="458" t="str">
        <f>IF(AND($G524='Povolené hodnoty'!$B$13,$H524=AY$4),SUM($J524,$M524,$P524,$S524),"")</f>
        <v/>
      </c>
      <c r="AZ524" s="458" t="str">
        <f>IF(AND($G524='Povolené hodnoty'!$B$13,$H524=AZ$4),SUM($J524,$M524,$P524,$S524),"")</f>
        <v/>
      </c>
      <c r="BA524" s="458" t="str">
        <f>IF(AND($G524='Povolené hodnoty'!$B$13,$H524=BA$4),SUM($J524,$M524,$P524,$S524),"")</f>
        <v/>
      </c>
      <c r="BB524" s="40" t="str">
        <f>IF(AND($G524='Povolené hodnoty'!$B$13,$H524=BB$4),SUM($J524,$M524,$P524,$S524),"")</f>
        <v/>
      </c>
      <c r="BC524" s="40" t="str">
        <f>IF(AND($G524='Povolené hodnoty'!$B$13,$H524=BC$4),SUM($J524,$M524,$P524,$S524),"")</f>
        <v/>
      </c>
      <c r="BD524" s="40" t="str">
        <f>IF(AND($G524='Povolené hodnoty'!$B$13,$H524=BD$4),SUM($J524,$M524,$P524,$S524),"")</f>
        <v/>
      </c>
      <c r="BE524" s="41" t="str">
        <f>IF(AND($G524='Povolené hodnoty'!$B$13,$H524=BE$4),SUM($J524,$M524,$P524,$S524),"")</f>
        <v/>
      </c>
      <c r="BF524" s="39" t="str">
        <f>IF(AND($G524='Povolené hodnoty'!$B$14,$H524=BF$4),SUM($J524,$M524,$P524,$S524),"")</f>
        <v/>
      </c>
      <c r="BG524" s="458" t="str">
        <f>IF(AND($G524='Povolené hodnoty'!$B$14,$H524=BG$4),SUM($J524,$M524,$P524,$S524),"")</f>
        <v/>
      </c>
      <c r="BH524" s="458" t="str">
        <f>IF(AND($G524='Povolené hodnoty'!$B$14,$H524=BH$4),SUM($J524,$M524,$P524,$S524),"")</f>
        <v/>
      </c>
      <c r="BI524" s="458" t="str">
        <f>IF(AND($G524='Povolené hodnoty'!$B$14,$H524=BI$4),SUM($J524,$M524,$P524,$S524),"")</f>
        <v/>
      </c>
      <c r="BJ524" s="458" t="str">
        <f>IF(AND($G524='Povolené hodnoty'!$B$14,$H524=BJ$4),SUM($J524,$M524,$P524,$S524),"")</f>
        <v/>
      </c>
      <c r="BK524" s="40" t="str">
        <f>IF(AND($G524='Povolené hodnoty'!$B$14,$H524=BK$4),SUM($J524,$M524,$P524,$S524),"")</f>
        <v/>
      </c>
      <c r="BL524" s="40" t="str">
        <f>IF(AND($G524='Povolené hodnoty'!$B$14,$H524=BL$4),SUM($J524,$M524,$P524,$S524),"")</f>
        <v/>
      </c>
      <c r="BM524" s="41" t="str">
        <f>IF(AND($G524='Povolené hodnoty'!$B$14,$H524=BM$4),SUM($J524,$M524,$P524,$S524),"")</f>
        <v/>
      </c>
      <c r="BO524" s="18" t="b">
        <f t="shared" si="316"/>
        <v>0</v>
      </c>
      <c r="BP524" s="18" t="b">
        <f t="shared" si="287"/>
        <v>0</v>
      </c>
      <c r="BQ524" s="18" t="b">
        <f>AND(E524&lt;&gt;'Povolené hodnoty'!$B$6,F524&lt;&gt;'Povolené hodnoty'!$D$7,F524&lt;&gt;'Povolené hodnoty'!$D$8,OR(SUM(I524,L524,O524,R524)&lt;&gt;SUM(W524:X524,AA524:AG524),SUM(J524,M524,P524,S524)&lt;&gt;SUM(Y524:Z524,AH524:AK524),COUNT(I524:J524,L524:M524,O524:P524,R524:S524)&lt;&gt;COUNT(W524:AK524)))</f>
        <v>0</v>
      </c>
      <c r="BR524" s="18" t="b">
        <f>OR(AND(E524='Povolené hodnoty'!$B$6,$BR$5),AND(E524='Povolené hodnoty'!$B$6,H524&lt;&gt;'Povolené hodnoty'!$E$26,H524&lt;&gt;'Povolené hodnoty'!$E$35),AND(E524&lt;&gt;'Povolené hodnoty'!$B$6,OR(H524='Povolené hodnoty'!$E$26,H524='Povolené hodnoty'!$E$35)))</f>
        <v>0</v>
      </c>
      <c r="BS524" s="18" t="b">
        <f>OR(AND(G524&lt;&gt;'Povolené hodnoty'!$B$13,OR(H524='Povolené hodnoty'!$E$21,H524='Povolené hodnoty'!$E$22,H524='Povolené hodnoty'!$E$23,H524='Povolené hodnoty'!$E$24,H524='Povolené hodnoty'!$E$26,H524='Povolené hodnoty'!$E$36)),COUNT(I524:J524,L524:M524,O524:P524,R524:S524)&lt;&gt;COUNT(AL524:BM524))</f>
        <v>0</v>
      </c>
      <c r="BT524" s="18" t="b">
        <f t="shared" si="288"/>
        <v>0</v>
      </c>
      <c r="BV524" s="39" t="str">
        <f t="shared" si="289"/>
        <v/>
      </c>
      <c r="BW524" s="458" t="str">
        <f t="shared" si="290"/>
        <v/>
      </c>
      <c r="BX524" s="458" t="str">
        <f t="shared" si="291"/>
        <v/>
      </c>
      <c r="BY524" s="458" t="str">
        <f t="shared" si="292"/>
        <v/>
      </c>
      <c r="BZ524" s="458" t="str">
        <f t="shared" si="293"/>
        <v/>
      </c>
      <c r="CA524" s="40" t="str">
        <f t="shared" si="294"/>
        <v/>
      </c>
      <c r="CB524" s="40" t="str">
        <f t="shared" si="295"/>
        <v/>
      </c>
      <c r="CC524" s="39" t="str">
        <f t="shared" si="296"/>
        <v/>
      </c>
      <c r="CD524" s="458" t="str">
        <f t="shared" si="297"/>
        <v/>
      </c>
      <c r="CE524" s="41" t="str">
        <f t="shared" si="298"/>
        <v/>
      </c>
      <c r="CF524" s="39" t="str">
        <f t="shared" si="299"/>
        <v/>
      </c>
      <c r="CG524" s="458" t="str">
        <f t="shared" si="300"/>
        <v/>
      </c>
      <c r="CH524" s="458" t="str">
        <f t="shared" si="301"/>
        <v/>
      </c>
      <c r="CI524" s="458" t="str">
        <f t="shared" si="302"/>
        <v/>
      </c>
      <c r="CJ524" s="458" t="str">
        <f t="shared" si="303"/>
        <v/>
      </c>
      <c r="CK524" s="40" t="str">
        <f t="shared" si="304"/>
        <v/>
      </c>
      <c r="CL524" s="40" t="str">
        <f t="shared" si="305"/>
        <v/>
      </c>
      <c r="CM524" s="40" t="str">
        <f t="shared" si="306"/>
        <v/>
      </c>
      <c r="CN524" s="39" t="str">
        <f t="shared" si="307"/>
        <v/>
      </c>
      <c r="CO524" s="458" t="str">
        <f t="shared" si="308"/>
        <v/>
      </c>
      <c r="CP524" s="458" t="str">
        <f t="shared" si="309"/>
        <v/>
      </c>
      <c r="CQ524" s="458" t="str">
        <f t="shared" si="310"/>
        <v/>
      </c>
      <c r="CR524" s="458" t="str">
        <f t="shared" si="311"/>
        <v/>
      </c>
      <c r="CS524" s="40" t="str">
        <f t="shared" si="312"/>
        <v/>
      </c>
      <c r="CT524" s="40" t="str">
        <f t="shared" si="313"/>
        <v/>
      </c>
      <c r="CU524" s="41" t="str">
        <f t="shared" si="314"/>
        <v/>
      </c>
    </row>
    <row r="525" spans="1:99" x14ac:dyDescent="0.2">
      <c r="A525" s="77">
        <f t="shared" si="315"/>
        <v>520</v>
      </c>
      <c r="B525" s="81"/>
      <c r="C525" s="82"/>
      <c r="D525" s="71"/>
      <c r="E525" s="72"/>
      <c r="F525" s="73"/>
      <c r="G525" s="443"/>
      <c r="H525" s="443"/>
      <c r="I525" s="74"/>
      <c r="J525" s="75"/>
      <c r="K525" s="41">
        <f t="shared" si="284"/>
        <v>3625</v>
      </c>
      <c r="L525" s="104"/>
      <c r="M525" s="105"/>
      <c r="N525" s="106">
        <f t="shared" si="285"/>
        <v>537.05999999999995</v>
      </c>
      <c r="O525" s="104"/>
      <c r="P525" s="105"/>
      <c r="Q525" s="106">
        <f t="shared" si="317"/>
        <v>10045.83</v>
      </c>
      <c r="R525" s="104"/>
      <c r="S525" s="105"/>
      <c r="T525" s="106">
        <f t="shared" si="318"/>
        <v>0</v>
      </c>
      <c r="U525" s="439"/>
      <c r="V525" s="42">
        <f t="shared" si="286"/>
        <v>520</v>
      </c>
      <c r="W525" s="39" t="str">
        <f>IF(AND(E525='Povolené hodnoty'!$B$4,F525=2),I525+L525+O525+R525,"")</f>
        <v/>
      </c>
      <c r="X525" s="41" t="str">
        <f>IF(AND(E525='Povolené hodnoty'!$B$4,F525=1),I525+L525+O525+R525,"")</f>
        <v/>
      </c>
      <c r="Y525" s="39" t="str">
        <f>IF(AND(E525='Povolené hodnoty'!$B$4,F525=10),J525+M525+P525+S525,"")</f>
        <v/>
      </c>
      <c r="Z525" s="41" t="str">
        <f>IF(AND(E525='Povolené hodnoty'!$B$4,F525=9),J525+M525+P525+S525,"")</f>
        <v/>
      </c>
      <c r="AA525" s="39" t="str">
        <f>IF(AND(E525&lt;&gt;'Povolené hodnoty'!$B$4,F525=2),I525+L525+O525+R525,"")</f>
        <v/>
      </c>
      <c r="AB525" s="40" t="str">
        <f>IF(AND(E525&lt;&gt;'Povolené hodnoty'!$B$4,F525=3),I525+L525+O525+R525,"")</f>
        <v/>
      </c>
      <c r="AC525" s="40" t="str">
        <f>IF(AND(E525&lt;&gt;'Povolené hodnoty'!$B$4,F525=4),I525+L525+O525+R525,"")</f>
        <v/>
      </c>
      <c r="AD525" s="40" t="str">
        <f>IF(AND(E525&lt;&gt;'Povolené hodnoty'!$B$4,F525="5a"),I525-J525+L525-M525+O525-P525+R525-S525,"")</f>
        <v/>
      </c>
      <c r="AE525" s="40" t="str">
        <f>IF(AND(E525&lt;&gt;'Povolené hodnoty'!$B$4,F525="5b"),I525-J525+L525-M525+O525-P525+R525-S525,"")</f>
        <v/>
      </c>
      <c r="AF525" s="40" t="str">
        <f>IF(AND(E525&lt;&gt;'Povolené hodnoty'!$B$4,F525=6),I525+L525+O525+R525,"")</f>
        <v/>
      </c>
      <c r="AG525" s="41" t="str">
        <f>IF(AND(E525&lt;&gt;'Povolené hodnoty'!$B$4,F525=7),I525+L525+O525+R525,"")</f>
        <v/>
      </c>
      <c r="AH525" s="39" t="str">
        <f>IF(AND(E525&lt;&gt;'Povolené hodnoty'!$B$4,F525=10),J525+M525+P525+S525,"")</f>
        <v/>
      </c>
      <c r="AI525" s="40" t="str">
        <f>IF(AND(E525&lt;&gt;'Povolené hodnoty'!$B$4,F525=11),J525+M525+P525+S525,"")</f>
        <v/>
      </c>
      <c r="AJ525" s="40" t="str">
        <f>IF(AND(E525&lt;&gt;'Povolené hodnoty'!$B$4,F525=12),J525+M525+P525+S525,"")</f>
        <v/>
      </c>
      <c r="AK525" s="41" t="str">
        <f>IF(AND(E525&lt;&gt;'Povolené hodnoty'!$B$4,F525=13),J525+M525+P525+S525,"")</f>
        <v/>
      </c>
      <c r="AL525" s="39" t="str">
        <f>IF(AND($G525='Povolené hodnoty'!$B$13,$H525=AL$4),SUM($I525,$L525,$O525,$R525),"")</f>
        <v/>
      </c>
      <c r="AM525" s="458" t="str">
        <f>IF(AND($G525='Povolené hodnoty'!$B$13,$H525=AM$4),SUM($I525,$L525,$O525,$R525),"")</f>
        <v/>
      </c>
      <c r="AN525" s="458" t="str">
        <f>IF(AND($G525='Povolené hodnoty'!$B$13,$H525=AN$4),SUM($I525,$L525,$O525,$R525),"")</f>
        <v/>
      </c>
      <c r="AO525" s="458" t="str">
        <f>IF(AND($G525='Povolené hodnoty'!$B$13,$H525=AO$4),SUM($I525,$L525,$O525,$R525),"")</f>
        <v/>
      </c>
      <c r="AP525" s="458" t="str">
        <f>IF(AND($G525='Povolené hodnoty'!$B$13,$H525=AP$4),SUM($I525,$L525,$O525,$R525),"")</f>
        <v/>
      </c>
      <c r="AQ525" s="40" t="str">
        <f>IF(AND($G525='Povolené hodnoty'!$B$13,OR($H525=AQ$4,$H525='Povolené hodnoty'!$E$36)),SUM($I525,-$J525,$L525,-$M525,$O525,-$P525,$R525,-$S525),"")</f>
        <v/>
      </c>
      <c r="AR525" s="40" t="str">
        <f>IF(AND($G525='Povolené hodnoty'!$B$13,$H525=AR$4),SUM($I525,$L525,$O525,$R525),"")</f>
        <v/>
      </c>
      <c r="AS525" s="41" t="str">
        <f>IF(AND($G525='Povolené hodnoty'!$B$13,$H525=AS$4),SUM($I525,$L525,$O525,$R525),"")</f>
        <v/>
      </c>
      <c r="AT525" s="39" t="str">
        <f>IF(AND($G525='Povolené hodnoty'!$B$14,$H525=AT$4),SUM($I525,$L525,$O525,$R525),"")</f>
        <v/>
      </c>
      <c r="AU525" s="458" t="str">
        <f>IF(AND($G525='Povolené hodnoty'!$B$14,$H525=AU$4),SUM($I525,$L525,$O525,$R525),"")</f>
        <v/>
      </c>
      <c r="AV525" s="41" t="str">
        <f>IF(AND($G525='Povolené hodnoty'!$B$14,$H525=AV$4),SUM($I525,$L525,$O525,$R525),"")</f>
        <v/>
      </c>
      <c r="AW525" s="39" t="str">
        <f>IF(AND($G525='Povolené hodnoty'!$B$13,$H525=AW$4),SUM($J525,$M525,$P525,$S525),"")</f>
        <v/>
      </c>
      <c r="AX525" s="458" t="str">
        <f>IF(AND($G525='Povolené hodnoty'!$B$13,$H525=AX$4),SUM($J525,$M525,$P525,$S525),"")</f>
        <v/>
      </c>
      <c r="AY525" s="458" t="str">
        <f>IF(AND($G525='Povolené hodnoty'!$B$13,$H525=AY$4),SUM($J525,$M525,$P525,$S525),"")</f>
        <v/>
      </c>
      <c r="AZ525" s="458" t="str">
        <f>IF(AND($G525='Povolené hodnoty'!$B$13,$H525=AZ$4),SUM($J525,$M525,$P525,$S525),"")</f>
        <v/>
      </c>
      <c r="BA525" s="458" t="str">
        <f>IF(AND($G525='Povolené hodnoty'!$B$13,$H525=BA$4),SUM($J525,$M525,$P525,$S525),"")</f>
        <v/>
      </c>
      <c r="BB525" s="40" t="str">
        <f>IF(AND($G525='Povolené hodnoty'!$B$13,$H525=BB$4),SUM($J525,$M525,$P525,$S525),"")</f>
        <v/>
      </c>
      <c r="BC525" s="40" t="str">
        <f>IF(AND($G525='Povolené hodnoty'!$B$13,$H525=BC$4),SUM($J525,$M525,$P525,$S525),"")</f>
        <v/>
      </c>
      <c r="BD525" s="40" t="str">
        <f>IF(AND($G525='Povolené hodnoty'!$B$13,$H525=BD$4),SUM($J525,$M525,$P525,$S525),"")</f>
        <v/>
      </c>
      <c r="BE525" s="41" t="str">
        <f>IF(AND($G525='Povolené hodnoty'!$B$13,$H525=BE$4),SUM($J525,$M525,$P525,$S525),"")</f>
        <v/>
      </c>
      <c r="BF525" s="39" t="str">
        <f>IF(AND($G525='Povolené hodnoty'!$B$14,$H525=BF$4),SUM($J525,$M525,$P525,$S525),"")</f>
        <v/>
      </c>
      <c r="BG525" s="458" t="str">
        <f>IF(AND($G525='Povolené hodnoty'!$B$14,$H525=BG$4),SUM($J525,$M525,$P525,$S525),"")</f>
        <v/>
      </c>
      <c r="BH525" s="458" t="str">
        <f>IF(AND($G525='Povolené hodnoty'!$B$14,$H525=BH$4),SUM($J525,$M525,$P525,$S525),"")</f>
        <v/>
      </c>
      <c r="BI525" s="458" t="str">
        <f>IF(AND($G525='Povolené hodnoty'!$B$14,$H525=BI$4),SUM($J525,$M525,$P525,$S525),"")</f>
        <v/>
      </c>
      <c r="BJ525" s="458" t="str">
        <f>IF(AND($G525='Povolené hodnoty'!$B$14,$H525=BJ$4),SUM($J525,$M525,$P525,$S525),"")</f>
        <v/>
      </c>
      <c r="BK525" s="40" t="str">
        <f>IF(AND($G525='Povolené hodnoty'!$B$14,$H525=BK$4),SUM($J525,$M525,$P525,$S525),"")</f>
        <v/>
      </c>
      <c r="BL525" s="40" t="str">
        <f>IF(AND($G525='Povolené hodnoty'!$B$14,$H525=BL$4),SUM($J525,$M525,$P525,$S525),"")</f>
        <v/>
      </c>
      <c r="BM525" s="41" t="str">
        <f>IF(AND($G525='Povolené hodnoty'!$B$14,$H525=BM$4),SUM($J525,$M525,$P525,$S525),"")</f>
        <v/>
      </c>
      <c r="BO525" s="18" t="b">
        <f t="shared" si="316"/>
        <v>0</v>
      </c>
      <c r="BP525" s="18" t="b">
        <f t="shared" si="287"/>
        <v>0</v>
      </c>
      <c r="BQ525" s="18" t="b">
        <f>AND(E525&lt;&gt;'Povolené hodnoty'!$B$6,F525&lt;&gt;'Povolené hodnoty'!$D$7,F525&lt;&gt;'Povolené hodnoty'!$D$8,OR(SUM(I525,L525,O525,R525)&lt;&gt;SUM(W525:X525,AA525:AG525),SUM(J525,M525,P525,S525)&lt;&gt;SUM(Y525:Z525,AH525:AK525),COUNT(I525:J525,L525:M525,O525:P525,R525:S525)&lt;&gt;COUNT(W525:AK525)))</f>
        <v>0</v>
      </c>
      <c r="BR525" s="18" t="b">
        <f>OR(AND(E525='Povolené hodnoty'!$B$6,$BR$5),AND(E525='Povolené hodnoty'!$B$6,H525&lt;&gt;'Povolené hodnoty'!$E$26,H525&lt;&gt;'Povolené hodnoty'!$E$35),AND(E525&lt;&gt;'Povolené hodnoty'!$B$6,OR(H525='Povolené hodnoty'!$E$26,H525='Povolené hodnoty'!$E$35)))</f>
        <v>0</v>
      </c>
      <c r="BS525" s="18" t="b">
        <f>OR(AND(G525&lt;&gt;'Povolené hodnoty'!$B$13,OR(H525='Povolené hodnoty'!$E$21,H525='Povolené hodnoty'!$E$22,H525='Povolené hodnoty'!$E$23,H525='Povolené hodnoty'!$E$24,H525='Povolené hodnoty'!$E$26,H525='Povolené hodnoty'!$E$36)),COUNT(I525:J525,L525:M525,O525:P525,R525:S525)&lt;&gt;COUNT(AL525:BM525))</f>
        <v>0</v>
      </c>
      <c r="BT525" s="18" t="b">
        <f t="shared" si="288"/>
        <v>0</v>
      </c>
      <c r="BV525" s="39" t="str">
        <f t="shared" si="289"/>
        <v/>
      </c>
      <c r="BW525" s="458" t="str">
        <f t="shared" si="290"/>
        <v/>
      </c>
      <c r="BX525" s="458" t="str">
        <f t="shared" si="291"/>
        <v/>
      </c>
      <c r="BY525" s="458" t="str">
        <f t="shared" si="292"/>
        <v/>
      </c>
      <c r="BZ525" s="458" t="str">
        <f t="shared" si="293"/>
        <v/>
      </c>
      <c r="CA525" s="40" t="str">
        <f t="shared" si="294"/>
        <v/>
      </c>
      <c r="CB525" s="40" t="str">
        <f t="shared" si="295"/>
        <v/>
      </c>
      <c r="CC525" s="39" t="str">
        <f t="shared" si="296"/>
        <v/>
      </c>
      <c r="CD525" s="458" t="str">
        <f t="shared" si="297"/>
        <v/>
      </c>
      <c r="CE525" s="41" t="str">
        <f t="shared" si="298"/>
        <v/>
      </c>
      <c r="CF525" s="39" t="str">
        <f t="shared" si="299"/>
        <v/>
      </c>
      <c r="CG525" s="458" t="str">
        <f t="shared" si="300"/>
        <v/>
      </c>
      <c r="CH525" s="458" t="str">
        <f t="shared" si="301"/>
        <v/>
      </c>
      <c r="CI525" s="458" t="str">
        <f t="shared" si="302"/>
        <v/>
      </c>
      <c r="CJ525" s="458" t="str">
        <f t="shared" si="303"/>
        <v/>
      </c>
      <c r="CK525" s="40" t="str">
        <f t="shared" si="304"/>
        <v/>
      </c>
      <c r="CL525" s="40" t="str">
        <f t="shared" si="305"/>
        <v/>
      </c>
      <c r="CM525" s="40" t="str">
        <f t="shared" si="306"/>
        <v/>
      </c>
      <c r="CN525" s="39" t="str">
        <f t="shared" si="307"/>
        <v/>
      </c>
      <c r="CO525" s="458" t="str">
        <f t="shared" si="308"/>
        <v/>
      </c>
      <c r="CP525" s="458" t="str">
        <f t="shared" si="309"/>
        <v/>
      </c>
      <c r="CQ525" s="458" t="str">
        <f t="shared" si="310"/>
        <v/>
      </c>
      <c r="CR525" s="458" t="str">
        <f t="shared" si="311"/>
        <v/>
      </c>
      <c r="CS525" s="40" t="str">
        <f t="shared" si="312"/>
        <v/>
      </c>
      <c r="CT525" s="40" t="str">
        <f t="shared" si="313"/>
        <v/>
      </c>
      <c r="CU525" s="41" t="str">
        <f t="shared" si="314"/>
        <v/>
      </c>
    </row>
    <row r="526" spans="1:99" x14ac:dyDescent="0.2">
      <c r="A526" s="77">
        <f t="shared" si="315"/>
        <v>521</v>
      </c>
      <c r="B526" s="81"/>
      <c r="C526" s="82"/>
      <c r="D526" s="71"/>
      <c r="E526" s="72"/>
      <c r="F526" s="73"/>
      <c r="G526" s="443"/>
      <c r="H526" s="443"/>
      <c r="I526" s="74"/>
      <c r="J526" s="75"/>
      <c r="K526" s="41">
        <f t="shared" si="284"/>
        <v>3625</v>
      </c>
      <c r="L526" s="104"/>
      <c r="M526" s="105"/>
      <c r="N526" s="106">
        <f t="shared" si="285"/>
        <v>537.05999999999995</v>
      </c>
      <c r="O526" s="104"/>
      <c r="P526" s="105"/>
      <c r="Q526" s="106">
        <f t="shared" si="317"/>
        <v>10045.83</v>
      </c>
      <c r="R526" s="104"/>
      <c r="S526" s="105"/>
      <c r="T526" s="106">
        <f t="shared" si="318"/>
        <v>0</v>
      </c>
      <c r="U526" s="439"/>
      <c r="V526" s="42">
        <f t="shared" si="286"/>
        <v>521</v>
      </c>
      <c r="W526" s="39" t="str">
        <f>IF(AND(E526='Povolené hodnoty'!$B$4,F526=2),I526+L526+O526+R526,"")</f>
        <v/>
      </c>
      <c r="X526" s="41" t="str">
        <f>IF(AND(E526='Povolené hodnoty'!$B$4,F526=1),I526+L526+O526+R526,"")</f>
        <v/>
      </c>
      <c r="Y526" s="39" t="str">
        <f>IF(AND(E526='Povolené hodnoty'!$B$4,F526=10),J526+M526+P526+S526,"")</f>
        <v/>
      </c>
      <c r="Z526" s="41" t="str">
        <f>IF(AND(E526='Povolené hodnoty'!$B$4,F526=9),J526+M526+P526+S526,"")</f>
        <v/>
      </c>
      <c r="AA526" s="39" t="str">
        <f>IF(AND(E526&lt;&gt;'Povolené hodnoty'!$B$4,F526=2),I526+L526+O526+R526,"")</f>
        <v/>
      </c>
      <c r="AB526" s="40" t="str">
        <f>IF(AND(E526&lt;&gt;'Povolené hodnoty'!$B$4,F526=3),I526+L526+O526+R526,"")</f>
        <v/>
      </c>
      <c r="AC526" s="40" t="str">
        <f>IF(AND(E526&lt;&gt;'Povolené hodnoty'!$B$4,F526=4),I526+L526+O526+R526,"")</f>
        <v/>
      </c>
      <c r="AD526" s="40" t="str">
        <f>IF(AND(E526&lt;&gt;'Povolené hodnoty'!$B$4,F526="5a"),I526-J526+L526-M526+O526-P526+R526-S526,"")</f>
        <v/>
      </c>
      <c r="AE526" s="40" t="str">
        <f>IF(AND(E526&lt;&gt;'Povolené hodnoty'!$B$4,F526="5b"),I526-J526+L526-M526+O526-P526+R526-S526,"")</f>
        <v/>
      </c>
      <c r="AF526" s="40" t="str">
        <f>IF(AND(E526&lt;&gt;'Povolené hodnoty'!$B$4,F526=6),I526+L526+O526+R526,"")</f>
        <v/>
      </c>
      <c r="AG526" s="41" t="str">
        <f>IF(AND(E526&lt;&gt;'Povolené hodnoty'!$B$4,F526=7),I526+L526+O526+R526,"")</f>
        <v/>
      </c>
      <c r="AH526" s="39" t="str">
        <f>IF(AND(E526&lt;&gt;'Povolené hodnoty'!$B$4,F526=10),J526+M526+P526+S526,"")</f>
        <v/>
      </c>
      <c r="AI526" s="40" t="str">
        <f>IF(AND(E526&lt;&gt;'Povolené hodnoty'!$B$4,F526=11),J526+M526+P526+S526,"")</f>
        <v/>
      </c>
      <c r="AJ526" s="40" t="str">
        <f>IF(AND(E526&lt;&gt;'Povolené hodnoty'!$B$4,F526=12),J526+M526+P526+S526,"")</f>
        <v/>
      </c>
      <c r="AK526" s="41" t="str">
        <f>IF(AND(E526&lt;&gt;'Povolené hodnoty'!$B$4,F526=13),J526+M526+P526+S526,"")</f>
        <v/>
      </c>
      <c r="AL526" s="39" t="str">
        <f>IF(AND($G526='Povolené hodnoty'!$B$13,$H526=AL$4),SUM($I526,$L526,$O526,$R526),"")</f>
        <v/>
      </c>
      <c r="AM526" s="458" t="str">
        <f>IF(AND($G526='Povolené hodnoty'!$B$13,$H526=AM$4),SUM($I526,$L526,$O526,$R526),"")</f>
        <v/>
      </c>
      <c r="AN526" s="458" t="str">
        <f>IF(AND($G526='Povolené hodnoty'!$B$13,$H526=AN$4),SUM($I526,$L526,$O526,$R526),"")</f>
        <v/>
      </c>
      <c r="AO526" s="458" t="str">
        <f>IF(AND($G526='Povolené hodnoty'!$B$13,$H526=AO$4),SUM($I526,$L526,$O526,$R526),"")</f>
        <v/>
      </c>
      <c r="AP526" s="458" t="str">
        <f>IF(AND($G526='Povolené hodnoty'!$B$13,$H526=AP$4),SUM($I526,$L526,$O526,$R526),"")</f>
        <v/>
      </c>
      <c r="AQ526" s="40" t="str">
        <f>IF(AND($G526='Povolené hodnoty'!$B$13,OR($H526=AQ$4,$H526='Povolené hodnoty'!$E$36)),SUM($I526,-$J526,$L526,-$M526,$O526,-$P526,$R526,-$S526),"")</f>
        <v/>
      </c>
      <c r="AR526" s="40" t="str">
        <f>IF(AND($G526='Povolené hodnoty'!$B$13,$H526=AR$4),SUM($I526,$L526,$O526,$R526),"")</f>
        <v/>
      </c>
      <c r="AS526" s="41" t="str">
        <f>IF(AND($G526='Povolené hodnoty'!$B$13,$H526=AS$4),SUM($I526,$L526,$O526,$R526),"")</f>
        <v/>
      </c>
      <c r="AT526" s="39" t="str">
        <f>IF(AND($G526='Povolené hodnoty'!$B$14,$H526=AT$4),SUM($I526,$L526,$O526,$R526),"")</f>
        <v/>
      </c>
      <c r="AU526" s="458" t="str">
        <f>IF(AND($G526='Povolené hodnoty'!$B$14,$H526=AU$4),SUM($I526,$L526,$O526,$R526),"")</f>
        <v/>
      </c>
      <c r="AV526" s="41" t="str">
        <f>IF(AND($G526='Povolené hodnoty'!$B$14,$H526=AV$4),SUM($I526,$L526,$O526,$R526),"")</f>
        <v/>
      </c>
      <c r="AW526" s="39" t="str">
        <f>IF(AND($G526='Povolené hodnoty'!$B$13,$H526=AW$4),SUM($J526,$M526,$P526,$S526),"")</f>
        <v/>
      </c>
      <c r="AX526" s="458" t="str">
        <f>IF(AND($G526='Povolené hodnoty'!$B$13,$H526=AX$4),SUM($J526,$M526,$P526,$S526),"")</f>
        <v/>
      </c>
      <c r="AY526" s="458" t="str">
        <f>IF(AND($G526='Povolené hodnoty'!$B$13,$H526=AY$4),SUM($J526,$M526,$P526,$S526),"")</f>
        <v/>
      </c>
      <c r="AZ526" s="458" t="str">
        <f>IF(AND($G526='Povolené hodnoty'!$B$13,$H526=AZ$4),SUM($J526,$M526,$P526,$S526),"")</f>
        <v/>
      </c>
      <c r="BA526" s="458" t="str">
        <f>IF(AND($G526='Povolené hodnoty'!$B$13,$H526=BA$4),SUM($J526,$M526,$P526,$S526),"")</f>
        <v/>
      </c>
      <c r="BB526" s="40" t="str">
        <f>IF(AND($G526='Povolené hodnoty'!$B$13,$H526=BB$4),SUM($J526,$M526,$P526,$S526),"")</f>
        <v/>
      </c>
      <c r="BC526" s="40" t="str">
        <f>IF(AND($G526='Povolené hodnoty'!$B$13,$H526=BC$4),SUM($J526,$M526,$P526,$S526),"")</f>
        <v/>
      </c>
      <c r="BD526" s="40" t="str">
        <f>IF(AND($G526='Povolené hodnoty'!$B$13,$H526=BD$4),SUM($J526,$M526,$P526,$S526),"")</f>
        <v/>
      </c>
      <c r="BE526" s="41" t="str">
        <f>IF(AND($G526='Povolené hodnoty'!$B$13,$H526=BE$4),SUM($J526,$M526,$P526,$S526),"")</f>
        <v/>
      </c>
      <c r="BF526" s="39" t="str">
        <f>IF(AND($G526='Povolené hodnoty'!$B$14,$H526=BF$4),SUM($J526,$M526,$P526,$S526),"")</f>
        <v/>
      </c>
      <c r="BG526" s="458" t="str">
        <f>IF(AND($G526='Povolené hodnoty'!$B$14,$H526=BG$4),SUM($J526,$M526,$P526,$S526),"")</f>
        <v/>
      </c>
      <c r="BH526" s="458" t="str">
        <f>IF(AND($G526='Povolené hodnoty'!$B$14,$H526=BH$4),SUM($J526,$M526,$P526,$S526),"")</f>
        <v/>
      </c>
      <c r="BI526" s="458" t="str">
        <f>IF(AND($G526='Povolené hodnoty'!$B$14,$H526=BI$4),SUM($J526,$M526,$P526,$S526),"")</f>
        <v/>
      </c>
      <c r="BJ526" s="458" t="str">
        <f>IF(AND($G526='Povolené hodnoty'!$B$14,$H526=BJ$4),SUM($J526,$M526,$P526,$S526),"")</f>
        <v/>
      </c>
      <c r="BK526" s="40" t="str">
        <f>IF(AND($G526='Povolené hodnoty'!$B$14,$H526=BK$4),SUM($J526,$M526,$P526,$S526),"")</f>
        <v/>
      </c>
      <c r="BL526" s="40" t="str">
        <f>IF(AND($G526='Povolené hodnoty'!$B$14,$H526=BL$4),SUM($J526,$M526,$P526,$S526),"")</f>
        <v/>
      </c>
      <c r="BM526" s="41" t="str">
        <f>IF(AND($G526='Povolené hodnoty'!$B$14,$H526=BM$4),SUM($J526,$M526,$P526,$S526),"")</f>
        <v/>
      </c>
      <c r="BO526" s="18" t="b">
        <f t="shared" si="316"/>
        <v>0</v>
      </c>
      <c r="BP526" s="18" t="b">
        <f t="shared" si="287"/>
        <v>0</v>
      </c>
      <c r="BQ526" s="18" t="b">
        <f>AND(E526&lt;&gt;'Povolené hodnoty'!$B$6,F526&lt;&gt;'Povolené hodnoty'!$D$7,F526&lt;&gt;'Povolené hodnoty'!$D$8,OR(SUM(I526,L526,O526,R526)&lt;&gt;SUM(W526:X526,AA526:AG526),SUM(J526,M526,P526,S526)&lt;&gt;SUM(Y526:Z526,AH526:AK526),COUNT(I526:J526,L526:M526,O526:P526,R526:S526)&lt;&gt;COUNT(W526:AK526)))</f>
        <v>0</v>
      </c>
      <c r="BR526" s="18" t="b">
        <f>OR(AND(E526='Povolené hodnoty'!$B$6,$BR$5),AND(E526='Povolené hodnoty'!$B$6,H526&lt;&gt;'Povolené hodnoty'!$E$26,H526&lt;&gt;'Povolené hodnoty'!$E$35),AND(E526&lt;&gt;'Povolené hodnoty'!$B$6,OR(H526='Povolené hodnoty'!$E$26,H526='Povolené hodnoty'!$E$35)))</f>
        <v>0</v>
      </c>
      <c r="BS526" s="18" t="b">
        <f>OR(AND(G526&lt;&gt;'Povolené hodnoty'!$B$13,OR(H526='Povolené hodnoty'!$E$21,H526='Povolené hodnoty'!$E$22,H526='Povolené hodnoty'!$E$23,H526='Povolené hodnoty'!$E$24,H526='Povolené hodnoty'!$E$26,H526='Povolené hodnoty'!$E$36)),COUNT(I526:J526,L526:M526,O526:P526,R526:S526)&lt;&gt;COUNT(AL526:BM526))</f>
        <v>0</v>
      </c>
      <c r="BT526" s="18" t="b">
        <f t="shared" si="288"/>
        <v>0</v>
      </c>
      <c r="BV526" s="39" t="str">
        <f t="shared" si="289"/>
        <v/>
      </c>
      <c r="BW526" s="458" t="str">
        <f t="shared" si="290"/>
        <v/>
      </c>
      <c r="BX526" s="458" t="str">
        <f t="shared" si="291"/>
        <v/>
      </c>
      <c r="BY526" s="458" t="str">
        <f t="shared" si="292"/>
        <v/>
      </c>
      <c r="BZ526" s="458" t="str">
        <f t="shared" si="293"/>
        <v/>
      </c>
      <c r="CA526" s="40" t="str">
        <f t="shared" si="294"/>
        <v/>
      </c>
      <c r="CB526" s="40" t="str">
        <f t="shared" si="295"/>
        <v/>
      </c>
      <c r="CC526" s="39" t="str">
        <f t="shared" si="296"/>
        <v/>
      </c>
      <c r="CD526" s="458" t="str">
        <f t="shared" si="297"/>
        <v/>
      </c>
      <c r="CE526" s="41" t="str">
        <f t="shared" si="298"/>
        <v/>
      </c>
      <c r="CF526" s="39" t="str">
        <f t="shared" si="299"/>
        <v/>
      </c>
      <c r="CG526" s="458" t="str">
        <f t="shared" si="300"/>
        <v/>
      </c>
      <c r="CH526" s="458" t="str">
        <f t="shared" si="301"/>
        <v/>
      </c>
      <c r="CI526" s="458" t="str">
        <f t="shared" si="302"/>
        <v/>
      </c>
      <c r="CJ526" s="458" t="str">
        <f t="shared" si="303"/>
        <v/>
      </c>
      <c r="CK526" s="40" t="str">
        <f t="shared" si="304"/>
        <v/>
      </c>
      <c r="CL526" s="40" t="str">
        <f t="shared" si="305"/>
        <v/>
      </c>
      <c r="CM526" s="40" t="str">
        <f t="shared" si="306"/>
        <v/>
      </c>
      <c r="CN526" s="39" t="str">
        <f t="shared" si="307"/>
        <v/>
      </c>
      <c r="CO526" s="458" t="str">
        <f t="shared" si="308"/>
        <v/>
      </c>
      <c r="CP526" s="458" t="str">
        <f t="shared" si="309"/>
        <v/>
      </c>
      <c r="CQ526" s="458" t="str">
        <f t="shared" si="310"/>
        <v/>
      </c>
      <c r="CR526" s="458" t="str">
        <f t="shared" si="311"/>
        <v/>
      </c>
      <c r="CS526" s="40" t="str">
        <f t="shared" si="312"/>
        <v/>
      </c>
      <c r="CT526" s="40" t="str">
        <f t="shared" si="313"/>
        <v/>
      </c>
      <c r="CU526" s="41" t="str">
        <f t="shared" si="314"/>
        <v/>
      </c>
    </row>
    <row r="527" spans="1:99" x14ac:dyDescent="0.2">
      <c r="A527" s="77">
        <f t="shared" si="315"/>
        <v>522</v>
      </c>
      <c r="B527" s="81"/>
      <c r="C527" s="82"/>
      <c r="D527" s="71"/>
      <c r="E527" s="72"/>
      <c r="F527" s="73"/>
      <c r="G527" s="443"/>
      <c r="H527" s="443"/>
      <c r="I527" s="74"/>
      <c r="J527" s="75"/>
      <c r="K527" s="41">
        <f t="shared" si="284"/>
        <v>3625</v>
      </c>
      <c r="L527" s="104"/>
      <c r="M527" s="105"/>
      <c r="N527" s="106">
        <f t="shared" si="285"/>
        <v>537.05999999999995</v>
      </c>
      <c r="O527" s="104"/>
      <c r="P527" s="105"/>
      <c r="Q527" s="106">
        <f t="shared" si="317"/>
        <v>10045.83</v>
      </c>
      <c r="R527" s="104"/>
      <c r="S527" s="105"/>
      <c r="T527" s="106">
        <f t="shared" si="318"/>
        <v>0</v>
      </c>
      <c r="U527" s="439"/>
      <c r="V527" s="42">
        <f t="shared" si="286"/>
        <v>522</v>
      </c>
      <c r="W527" s="39" t="str">
        <f>IF(AND(E527='Povolené hodnoty'!$B$4,F527=2),I527+L527+O527+R527,"")</f>
        <v/>
      </c>
      <c r="X527" s="41" t="str">
        <f>IF(AND(E527='Povolené hodnoty'!$B$4,F527=1),I527+L527+O527+R527,"")</f>
        <v/>
      </c>
      <c r="Y527" s="39" t="str">
        <f>IF(AND(E527='Povolené hodnoty'!$B$4,F527=10),J527+M527+P527+S527,"")</f>
        <v/>
      </c>
      <c r="Z527" s="41" t="str">
        <f>IF(AND(E527='Povolené hodnoty'!$B$4,F527=9),J527+M527+P527+S527,"")</f>
        <v/>
      </c>
      <c r="AA527" s="39" t="str">
        <f>IF(AND(E527&lt;&gt;'Povolené hodnoty'!$B$4,F527=2),I527+L527+O527+R527,"")</f>
        <v/>
      </c>
      <c r="AB527" s="40" t="str">
        <f>IF(AND(E527&lt;&gt;'Povolené hodnoty'!$B$4,F527=3),I527+L527+O527+R527,"")</f>
        <v/>
      </c>
      <c r="AC527" s="40" t="str">
        <f>IF(AND(E527&lt;&gt;'Povolené hodnoty'!$B$4,F527=4),I527+L527+O527+R527,"")</f>
        <v/>
      </c>
      <c r="AD527" s="40" t="str">
        <f>IF(AND(E527&lt;&gt;'Povolené hodnoty'!$B$4,F527="5a"),I527-J527+L527-M527+O527-P527+R527-S527,"")</f>
        <v/>
      </c>
      <c r="AE527" s="40" t="str">
        <f>IF(AND(E527&lt;&gt;'Povolené hodnoty'!$B$4,F527="5b"),I527-J527+L527-M527+O527-P527+R527-S527,"")</f>
        <v/>
      </c>
      <c r="AF527" s="40" t="str">
        <f>IF(AND(E527&lt;&gt;'Povolené hodnoty'!$B$4,F527=6),I527+L527+O527+R527,"")</f>
        <v/>
      </c>
      <c r="AG527" s="41" t="str">
        <f>IF(AND(E527&lt;&gt;'Povolené hodnoty'!$B$4,F527=7),I527+L527+O527+R527,"")</f>
        <v/>
      </c>
      <c r="AH527" s="39" t="str">
        <f>IF(AND(E527&lt;&gt;'Povolené hodnoty'!$B$4,F527=10),J527+M527+P527+S527,"")</f>
        <v/>
      </c>
      <c r="AI527" s="40" t="str">
        <f>IF(AND(E527&lt;&gt;'Povolené hodnoty'!$B$4,F527=11),J527+M527+P527+S527,"")</f>
        <v/>
      </c>
      <c r="AJ527" s="40" t="str">
        <f>IF(AND(E527&lt;&gt;'Povolené hodnoty'!$B$4,F527=12),J527+M527+P527+S527,"")</f>
        <v/>
      </c>
      <c r="AK527" s="41" t="str">
        <f>IF(AND(E527&lt;&gt;'Povolené hodnoty'!$B$4,F527=13),J527+M527+P527+S527,"")</f>
        <v/>
      </c>
      <c r="AL527" s="39" t="str">
        <f>IF(AND($G527='Povolené hodnoty'!$B$13,$H527=AL$4),SUM($I527,$L527,$O527,$R527),"")</f>
        <v/>
      </c>
      <c r="AM527" s="458" t="str">
        <f>IF(AND($G527='Povolené hodnoty'!$B$13,$H527=AM$4),SUM($I527,$L527,$O527,$R527),"")</f>
        <v/>
      </c>
      <c r="AN527" s="458" t="str">
        <f>IF(AND($G527='Povolené hodnoty'!$B$13,$H527=AN$4),SUM($I527,$L527,$O527,$R527),"")</f>
        <v/>
      </c>
      <c r="AO527" s="458" t="str">
        <f>IF(AND($G527='Povolené hodnoty'!$B$13,$H527=AO$4),SUM($I527,$L527,$O527,$R527),"")</f>
        <v/>
      </c>
      <c r="AP527" s="458" t="str">
        <f>IF(AND($G527='Povolené hodnoty'!$B$13,$H527=AP$4),SUM($I527,$L527,$O527,$R527),"")</f>
        <v/>
      </c>
      <c r="AQ527" s="40" t="str">
        <f>IF(AND($G527='Povolené hodnoty'!$B$13,OR($H527=AQ$4,$H527='Povolené hodnoty'!$E$36)),SUM($I527,-$J527,$L527,-$M527,$O527,-$P527,$R527,-$S527),"")</f>
        <v/>
      </c>
      <c r="AR527" s="40" t="str">
        <f>IF(AND($G527='Povolené hodnoty'!$B$13,$H527=AR$4),SUM($I527,$L527,$O527,$R527),"")</f>
        <v/>
      </c>
      <c r="AS527" s="41" t="str">
        <f>IF(AND($G527='Povolené hodnoty'!$B$13,$H527=AS$4),SUM($I527,$L527,$O527,$R527),"")</f>
        <v/>
      </c>
      <c r="AT527" s="39" t="str">
        <f>IF(AND($G527='Povolené hodnoty'!$B$14,$H527=AT$4),SUM($I527,$L527,$O527,$R527),"")</f>
        <v/>
      </c>
      <c r="AU527" s="458" t="str">
        <f>IF(AND($G527='Povolené hodnoty'!$B$14,$H527=AU$4),SUM($I527,$L527,$O527,$R527),"")</f>
        <v/>
      </c>
      <c r="AV527" s="41" t="str">
        <f>IF(AND($G527='Povolené hodnoty'!$B$14,$H527=AV$4),SUM($I527,$L527,$O527,$R527),"")</f>
        <v/>
      </c>
      <c r="AW527" s="39" t="str">
        <f>IF(AND($G527='Povolené hodnoty'!$B$13,$H527=AW$4),SUM($J527,$M527,$P527,$S527),"")</f>
        <v/>
      </c>
      <c r="AX527" s="458" t="str">
        <f>IF(AND($G527='Povolené hodnoty'!$B$13,$H527=AX$4),SUM($J527,$M527,$P527,$S527),"")</f>
        <v/>
      </c>
      <c r="AY527" s="458" t="str">
        <f>IF(AND($G527='Povolené hodnoty'!$B$13,$H527=AY$4),SUM($J527,$M527,$P527,$S527),"")</f>
        <v/>
      </c>
      <c r="AZ527" s="458" t="str">
        <f>IF(AND($G527='Povolené hodnoty'!$B$13,$H527=AZ$4),SUM($J527,$M527,$P527,$S527),"")</f>
        <v/>
      </c>
      <c r="BA527" s="458" t="str">
        <f>IF(AND($G527='Povolené hodnoty'!$B$13,$H527=BA$4),SUM($J527,$M527,$P527,$S527),"")</f>
        <v/>
      </c>
      <c r="BB527" s="40" t="str">
        <f>IF(AND($G527='Povolené hodnoty'!$B$13,$H527=BB$4),SUM($J527,$M527,$P527,$S527),"")</f>
        <v/>
      </c>
      <c r="BC527" s="40" t="str">
        <f>IF(AND($G527='Povolené hodnoty'!$B$13,$H527=BC$4),SUM($J527,$M527,$P527,$S527),"")</f>
        <v/>
      </c>
      <c r="BD527" s="40" t="str">
        <f>IF(AND($G527='Povolené hodnoty'!$B$13,$H527=BD$4),SUM($J527,$M527,$P527,$S527),"")</f>
        <v/>
      </c>
      <c r="BE527" s="41" t="str">
        <f>IF(AND($G527='Povolené hodnoty'!$B$13,$H527=BE$4),SUM($J527,$M527,$P527,$S527),"")</f>
        <v/>
      </c>
      <c r="BF527" s="39" t="str">
        <f>IF(AND($G527='Povolené hodnoty'!$B$14,$H527=BF$4),SUM($J527,$M527,$P527,$S527),"")</f>
        <v/>
      </c>
      <c r="BG527" s="458" t="str">
        <f>IF(AND($G527='Povolené hodnoty'!$B$14,$H527=BG$4),SUM($J527,$M527,$P527,$S527),"")</f>
        <v/>
      </c>
      <c r="BH527" s="458" t="str">
        <f>IF(AND($G527='Povolené hodnoty'!$B$14,$H527=BH$4),SUM($J527,$M527,$P527,$S527),"")</f>
        <v/>
      </c>
      <c r="BI527" s="458" t="str">
        <f>IF(AND($G527='Povolené hodnoty'!$B$14,$H527=BI$4),SUM($J527,$M527,$P527,$S527),"")</f>
        <v/>
      </c>
      <c r="BJ527" s="458" t="str">
        <f>IF(AND($G527='Povolené hodnoty'!$B$14,$H527=BJ$4),SUM($J527,$M527,$P527,$S527),"")</f>
        <v/>
      </c>
      <c r="BK527" s="40" t="str">
        <f>IF(AND($G527='Povolené hodnoty'!$B$14,$H527=BK$4),SUM($J527,$M527,$P527,$S527),"")</f>
        <v/>
      </c>
      <c r="BL527" s="40" t="str">
        <f>IF(AND($G527='Povolené hodnoty'!$B$14,$H527=BL$4),SUM($J527,$M527,$P527,$S527),"")</f>
        <v/>
      </c>
      <c r="BM527" s="41" t="str">
        <f>IF(AND($G527='Povolené hodnoty'!$B$14,$H527=BM$4),SUM($J527,$M527,$P527,$S527),"")</f>
        <v/>
      </c>
      <c r="BO527" s="18" t="b">
        <f t="shared" si="316"/>
        <v>0</v>
      </c>
      <c r="BP527" s="18" t="b">
        <f t="shared" si="287"/>
        <v>0</v>
      </c>
      <c r="BQ527" s="18" t="b">
        <f>AND(E527&lt;&gt;'Povolené hodnoty'!$B$6,F527&lt;&gt;'Povolené hodnoty'!$D$7,F527&lt;&gt;'Povolené hodnoty'!$D$8,OR(SUM(I527,L527,O527,R527)&lt;&gt;SUM(W527:X527,AA527:AG527),SUM(J527,M527,P527,S527)&lt;&gt;SUM(Y527:Z527,AH527:AK527),COUNT(I527:J527,L527:M527,O527:P527,R527:S527)&lt;&gt;COUNT(W527:AK527)))</f>
        <v>0</v>
      </c>
      <c r="BR527" s="18" t="b">
        <f>OR(AND(E527='Povolené hodnoty'!$B$6,$BR$5),AND(E527='Povolené hodnoty'!$B$6,H527&lt;&gt;'Povolené hodnoty'!$E$26,H527&lt;&gt;'Povolené hodnoty'!$E$35),AND(E527&lt;&gt;'Povolené hodnoty'!$B$6,OR(H527='Povolené hodnoty'!$E$26,H527='Povolené hodnoty'!$E$35)))</f>
        <v>0</v>
      </c>
      <c r="BS527" s="18" t="b">
        <f>OR(AND(G527&lt;&gt;'Povolené hodnoty'!$B$13,OR(H527='Povolené hodnoty'!$E$21,H527='Povolené hodnoty'!$E$22,H527='Povolené hodnoty'!$E$23,H527='Povolené hodnoty'!$E$24,H527='Povolené hodnoty'!$E$26,H527='Povolené hodnoty'!$E$36)),COUNT(I527:J527,L527:M527,O527:P527,R527:S527)&lt;&gt;COUNT(AL527:BM527))</f>
        <v>0</v>
      </c>
      <c r="BT527" s="18" t="b">
        <f t="shared" si="288"/>
        <v>0</v>
      </c>
      <c r="BV527" s="39" t="str">
        <f t="shared" si="289"/>
        <v/>
      </c>
      <c r="BW527" s="458" t="str">
        <f t="shared" si="290"/>
        <v/>
      </c>
      <c r="BX527" s="458" t="str">
        <f t="shared" si="291"/>
        <v/>
      </c>
      <c r="BY527" s="458" t="str">
        <f t="shared" si="292"/>
        <v/>
      </c>
      <c r="BZ527" s="458" t="str">
        <f t="shared" si="293"/>
        <v/>
      </c>
      <c r="CA527" s="40" t="str">
        <f t="shared" si="294"/>
        <v/>
      </c>
      <c r="CB527" s="40" t="str">
        <f t="shared" si="295"/>
        <v/>
      </c>
      <c r="CC527" s="39" t="str">
        <f t="shared" si="296"/>
        <v/>
      </c>
      <c r="CD527" s="458" t="str">
        <f t="shared" si="297"/>
        <v/>
      </c>
      <c r="CE527" s="41" t="str">
        <f t="shared" si="298"/>
        <v/>
      </c>
      <c r="CF527" s="39" t="str">
        <f t="shared" si="299"/>
        <v/>
      </c>
      <c r="CG527" s="458" t="str">
        <f t="shared" si="300"/>
        <v/>
      </c>
      <c r="CH527" s="458" t="str">
        <f t="shared" si="301"/>
        <v/>
      </c>
      <c r="CI527" s="458" t="str">
        <f t="shared" si="302"/>
        <v/>
      </c>
      <c r="CJ527" s="458" t="str">
        <f t="shared" si="303"/>
        <v/>
      </c>
      <c r="CK527" s="40" t="str">
        <f t="shared" si="304"/>
        <v/>
      </c>
      <c r="CL527" s="40" t="str">
        <f t="shared" si="305"/>
        <v/>
      </c>
      <c r="CM527" s="40" t="str">
        <f t="shared" si="306"/>
        <v/>
      </c>
      <c r="CN527" s="39" t="str">
        <f t="shared" si="307"/>
        <v/>
      </c>
      <c r="CO527" s="458" t="str">
        <f t="shared" si="308"/>
        <v/>
      </c>
      <c r="CP527" s="458" t="str">
        <f t="shared" si="309"/>
        <v/>
      </c>
      <c r="CQ527" s="458" t="str">
        <f t="shared" si="310"/>
        <v/>
      </c>
      <c r="CR527" s="458" t="str">
        <f t="shared" si="311"/>
        <v/>
      </c>
      <c r="CS527" s="40" t="str">
        <f t="shared" si="312"/>
        <v/>
      </c>
      <c r="CT527" s="40" t="str">
        <f t="shared" si="313"/>
        <v/>
      </c>
      <c r="CU527" s="41" t="str">
        <f t="shared" si="314"/>
        <v/>
      </c>
    </row>
    <row r="528" spans="1:99" x14ac:dyDescent="0.2">
      <c r="A528" s="77">
        <f t="shared" si="315"/>
        <v>523</v>
      </c>
      <c r="B528" s="81"/>
      <c r="C528" s="82"/>
      <c r="D528" s="71"/>
      <c r="E528" s="72"/>
      <c r="F528" s="73"/>
      <c r="G528" s="443"/>
      <c r="H528" s="443"/>
      <c r="I528" s="74"/>
      <c r="J528" s="75"/>
      <c r="K528" s="41">
        <f t="shared" si="284"/>
        <v>3625</v>
      </c>
      <c r="L528" s="104"/>
      <c r="M528" s="105"/>
      <c r="N528" s="106">
        <f t="shared" si="285"/>
        <v>537.05999999999995</v>
      </c>
      <c r="O528" s="104"/>
      <c r="P528" s="105"/>
      <c r="Q528" s="106">
        <f t="shared" si="317"/>
        <v>10045.83</v>
      </c>
      <c r="R528" s="104"/>
      <c r="S528" s="105"/>
      <c r="T528" s="106">
        <f t="shared" si="318"/>
        <v>0</v>
      </c>
      <c r="U528" s="439"/>
      <c r="V528" s="42">
        <f t="shared" si="286"/>
        <v>523</v>
      </c>
      <c r="W528" s="39" t="str">
        <f>IF(AND(E528='Povolené hodnoty'!$B$4,F528=2),I528+L528+O528+R528,"")</f>
        <v/>
      </c>
      <c r="X528" s="41" t="str">
        <f>IF(AND(E528='Povolené hodnoty'!$B$4,F528=1),I528+L528+O528+R528,"")</f>
        <v/>
      </c>
      <c r="Y528" s="39" t="str">
        <f>IF(AND(E528='Povolené hodnoty'!$B$4,F528=10),J528+M528+P528+S528,"")</f>
        <v/>
      </c>
      <c r="Z528" s="41" t="str">
        <f>IF(AND(E528='Povolené hodnoty'!$B$4,F528=9),J528+M528+P528+S528,"")</f>
        <v/>
      </c>
      <c r="AA528" s="39" t="str">
        <f>IF(AND(E528&lt;&gt;'Povolené hodnoty'!$B$4,F528=2),I528+L528+O528+R528,"")</f>
        <v/>
      </c>
      <c r="AB528" s="40" t="str">
        <f>IF(AND(E528&lt;&gt;'Povolené hodnoty'!$B$4,F528=3),I528+L528+O528+R528,"")</f>
        <v/>
      </c>
      <c r="AC528" s="40" t="str">
        <f>IF(AND(E528&lt;&gt;'Povolené hodnoty'!$B$4,F528=4),I528+L528+O528+R528,"")</f>
        <v/>
      </c>
      <c r="AD528" s="40" t="str">
        <f>IF(AND(E528&lt;&gt;'Povolené hodnoty'!$B$4,F528="5a"),I528-J528+L528-M528+O528-P528+R528-S528,"")</f>
        <v/>
      </c>
      <c r="AE528" s="40" t="str">
        <f>IF(AND(E528&lt;&gt;'Povolené hodnoty'!$B$4,F528="5b"),I528-J528+L528-M528+O528-P528+R528-S528,"")</f>
        <v/>
      </c>
      <c r="AF528" s="40" t="str">
        <f>IF(AND(E528&lt;&gt;'Povolené hodnoty'!$B$4,F528=6),I528+L528+O528+R528,"")</f>
        <v/>
      </c>
      <c r="AG528" s="41" t="str">
        <f>IF(AND(E528&lt;&gt;'Povolené hodnoty'!$B$4,F528=7),I528+L528+O528+R528,"")</f>
        <v/>
      </c>
      <c r="AH528" s="39" t="str">
        <f>IF(AND(E528&lt;&gt;'Povolené hodnoty'!$B$4,F528=10),J528+M528+P528+S528,"")</f>
        <v/>
      </c>
      <c r="AI528" s="40" t="str">
        <f>IF(AND(E528&lt;&gt;'Povolené hodnoty'!$B$4,F528=11),J528+M528+P528+S528,"")</f>
        <v/>
      </c>
      <c r="AJ528" s="40" t="str">
        <f>IF(AND(E528&lt;&gt;'Povolené hodnoty'!$B$4,F528=12),J528+M528+P528+S528,"")</f>
        <v/>
      </c>
      <c r="AK528" s="41" t="str">
        <f>IF(AND(E528&lt;&gt;'Povolené hodnoty'!$B$4,F528=13),J528+M528+P528+S528,"")</f>
        <v/>
      </c>
      <c r="AL528" s="39" t="str">
        <f>IF(AND($G528='Povolené hodnoty'!$B$13,$H528=AL$4),SUM($I528,$L528,$O528,$R528),"")</f>
        <v/>
      </c>
      <c r="AM528" s="458" t="str">
        <f>IF(AND($G528='Povolené hodnoty'!$B$13,$H528=AM$4),SUM($I528,$L528,$O528,$R528),"")</f>
        <v/>
      </c>
      <c r="AN528" s="458" t="str">
        <f>IF(AND($G528='Povolené hodnoty'!$B$13,$H528=AN$4),SUM($I528,$L528,$O528,$R528),"")</f>
        <v/>
      </c>
      <c r="AO528" s="458" t="str">
        <f>IF(AND($G528='Povolené hodnoty'!$B$13,$H528=AO$4),SUM($I528,$L528,$O528,$R528),"")</f>
        <v/>
      </c>
      <c r="AP528" s="458" t="str">
        <f>IF(AND($G528='Povolené hodnoty'!$B$13,$H528=AP$4),SUM($I528,$L528,$O528,$R528),"")</f>
        <v/>
      </c>
      <c r="AQ528" s="40" t="str">
        <f>IF(AND($G528='Povolené hodnoty'!$B$13,OR($H528=AQ$4,$H528='Povolené hodnoty'!$E$36)),SUM($I528,-$J528,$L528,-$M528,$O528,-$P528,$R528,-$S528),"")</f>
        <v/>
      </c>
      <c r="AR528" s="40" t="str">
        <f>IF(AND($G528='Povolené hodnoty'!$B$13,$H528=AR$4),SUM($I528,$L528,$O528,$R528),"")</f>
        <v/>
      </c>
      <c r="AS528" s="41" t="str">
        <f>IF(AND($G528='Povolené hodnoty'!$B$13,$H528=AS$4),SUM($I528,$L528,$O528,$R528),"")</f>
        <v/>
      </c>
      <c r="AT528" s="39" t="str">
        <f>IF(AND($G528='Povolené hodnoty'!$B$14,$H528=AT$4),SUM($I528,$L528,$O528,$R528),"")</f>
        <v/>
      </c>
      <c r="AU528" s="458" t="str">
        <f>IF(AND($G528='Povolené hodnoty'!$B$14,$H528=AU$4),SUM($I528,$L528,$O528,$R528),"")</f>
        <v/>
      </c>
      <c r="AV528" s="41" t="str">
        <f>IF(AND($G528='Povolené hodnoty'!$B$14,$H528=AV$4),SUM($I528,$L528,$O528,$R528),"")</f>
        <v/>
      </c>
      <c r="AW528" s="39" t="str">
        <f>IF(AND($G528='Povolené hodnoty'!$B$13,$H528=AW$4),SUM($J528,$M528,$P528,$S528),"")</f>
        <v/>
      </c>
      <c r="AX528" s="458" t="str">
        <f>IF(AND($G528='Povolené hodnoty'!$B$13,$H528=AX$4),SUM($J528,$M528,$P528,$S528),"")</f>
        <v/>
      </c>
      <c r="AY528" s="458" t="str">
        <f>IF(AND($G528='Povolené hodnoty'!$B$13,$H528=AY$4),SUM($J528,$M528,$P528,$S528),"")</f>
        <v/>
      </c>
      <c r="AZ528" s="458" t="str">
        <f>IF(AND($G528='Povolené hodnoty'!$B$13,$H528=AZ$4),SUM($J528,$M528,$P528,$S528),"")</f>
        <v/>
      </c>
      <c r="BA528" s="458" t="str">
        <f>IF(AND($G528='Povolené hodnoty'!$B$13,$H528=BA$4),SUM($J528,$M528,$P528,$S528),"")</f>
        <v/>
      </c>
      <c r="BB528" s="40" t="str">
        <f>IF(AND($G528='Povolené hodnoty'!$B$13,$H528=BB$4),SUM($J528,$M528,$P528,$S528),"")</f>
        <v/>
      </c>
      <c r="BC528" s="40" t="str">
        <f>IF(AND($G528='Povolené hodnoty'!$B$13,$H528=BC$4),SUM($J528,$M528,$P528,$S528),"")</f>
        <v/>
      </c>
      <c r="BD528" s="40" t="str">
        <f>IF(AND($G528='Povolené hodnoty'!$B$13,$H528=BD$4),SUM($J528,$M528,$P528,$S528),"")</f>
        <v/>
      </c>
      <c r="BE528" s="41" t="str">
        <f>IF(AND($G528='Povolené hodnoty'!$B$13,$H528=BE$4),SUM($J528,$M528,$P528,$S528),"")</f>
        <v/>
      </c>
      <c r="BF528" s="39" t="str">
        <f>IF(AND($G528='Povolené hodnoty'!$B$14,$H528=BF$4),SUM($J528,$M528,$P528,$S528),"")</f>
        <v/>
      </c>
      <c r="BG528" s="458" t="str">
        <f>IF(AND($G528='Povolené hodnoty'!$B$14,$H528=BG$4),SUM($J528,$M528,$P528,$S528),"")</f>
        <v/>
      </c>
      <c r="BH528" s="458" t="str">
        <f>IF(AND($G528='Povolené hodnoty'!$B$14,$H528=BH$4),SUM($J528,$M528,$P528,$S528),"")</f>
        <v/>
      </c>
      <c r="BI528" s="458" t="str">
        <f>IF(AND($G528='Povolené hodnoty'!$B$14,$H528=BI$4),SUM($J528,$M528,$P528,$S528),"")</f>
        <v/>
      </c>
      <c r="BJ528" s="458" t="str">
        <f>IF(AND($G528='Povolené hodnoty'!$B$14,$H528=BJ$4),SUM($J528,$M528,$P528,$S528),"")</f>
        <v/>
      </c>
      <c r="BK528" s="40" t="str">
        <f>IF(AND($G528='Povolené hodnoty'!$B$14,$H528=BK$4),SUM($J528,$M528,$P528,$S528),"")</f>
        <v/>
      </c>
      <c r="BL528" s="40" t="str">
        <f>IF(AND($G528='Povolené hodnoty'!$B$14,$H528=BL$4),SUM($J528,$M528,$P528,$S528),"")</f>
        <v/>
      </c>
      <c r="BM528" s="41" t="str">
        <f>IF(AND($G528='Povolené hodnoty'!$B$14,$H528=BM$4),SUM($J528,$M528,$P528,$S528),"")</f>
        <v/>
      </c>
      <c r="BO528" s="18" t="b">
        <f t="shared" si="316"/>
        <v>0</v>
      </c>
      <c r="BP528" s="18" t="b">
        <f t="shared" si="287"/>
        <v>0</v>
      </c>
      <c r="BQ528" s="18" t="b">
        <f>AND(E528&lt;&gt;'Povolené hodnoty'!$B$6,F528&lt;&gt;'Povolené hodnoty'!$D$7,F528&lt;&gt;'Povolené hodnoty'!$D$8,OR(SUM(I528,L528,O528,R528)&lt;&gt;SUM(W528:X528,AA528:AG528),SUM(J528,M528,P528,S528)&lt;&gt;SUM(Y528:Z528,AH528:AK528),COUNT(I528:J528,L528:M528,O528:P528,R528:S528)&lt;&gt;COUNT(W528:AK528)))</f>
        <v>0</v>
      </c>
      <c r="BR528" s="18" t="b">
        <f>OR(AND(E528='Povolené hodnoty'!$B$6,$BR$5),AND(E528='Povolené hodnoty'!$B$6,H528&lt;&gt;'Povolené hodnoty'!$E$26,H528&lt;&gt;'Povolené hodnoty'!$E$35),AND(E528&lt;&gt;'Povolené hodnoty'!$B$6,OR(H528='Povolené hodnoty'!$E$26,H528='Povolené hodnoty'!$E$35)))</f>
        <v>0</v>
      </c>
      <c r="BS528" s="18" t="b">
        <f>OR(AND(G528&lt;&gt;'Povolené hodnoty'!$B$13,OR(H528='Povolené hodnoty'!$E$21,H528='Povolené hodnoty'!$E$22,H528='Povolené hodnoty'!$E$23,H528='Povolené hodnoty'!$E$24,H528='Povolené hodnoty'!$E$26,H528='Povolené hodnoty'!$E$36)),COUNT(I528:J528,L528:M528,O528:P528,R528:S528)&lt;&gt;COUNT(AL528:BM528))</f>
        <v>0</v>
      </c>
      <c r="BT528" s="18" t="b">
        <f t="shared" si="288"/>
        <v>0</v>
      </c>
      <c r="BV528" s="39" t="str">
        <f t="shared" si="289"/>
        <v/>
      </c>
      <c r="BW528" s="458" t="str">
        <f t="shared" si="290"/>
        <v/>
      </c>
      <c r="BX528" s="458" t="str">
        <f t="shared" si="291"/>
        <v/>
      </c>
      <c r="BY528" s="458" t="str">
        <f t="shared" si="292"/>
        <v/>
      </c>
      <c r="BZ528" s="458" t="str">
        <f t="shared" si="293"/>
        <v/>
      </c>
      <c r="CA528" s="40" t="str">
        <f t="shared" si="294"/>
        <v/>
      </c>
      <c r="CB528" s="40" t="str">
        <f t="shared" si="295"/>
        <v/>
      </c>
      <c r="CC528" s="39" t="str">
        <f t="shared" si="296"/>
        <v/>
      </c>
      <c r="CD528" s="458" t="str">
        <f t="shared" si="297"/>
        <v/>
      </c>
      <c r="CE528" s="41" t="str">
        <f t="shared" si="298"/>
        <v/>
      </c>
      <c r="CF528" s="39" t="str">
        <f t="shared" si="299"/>
        <v/>
      </c>
      <c r="CG528" s="458" t="str">
        <f t="shared" si="300"/>
        <v/>
      </c>
      <c r="CH528" s="458" t="str">
        <f t="shared" si="301"/>
        <v/>
      </c>
      <c r="CI528" s="458" t="str">
        <f t="shared" si="302"/>
        <v/>
      </c>
      <c r="CJ528" s="458" t="str">
        <f t="shared" si="303"/>
        <v/>
      </c>
      <c r="CK528" s="40" t="str">
        <f t="shared" si="304"/>
        <v/>
      </c>
      <c r="CL528" s="40" t="str">
        <f t="shared" si="305"/>
        <v/>
      </c>
      <c r="CM528" s="40" t="str">
        <f t="shared" si="306"/>
        <v/>
      </c>
      <c r="CN528" s="39" t="str">
        <f t="shared" si="307"/>
        <v/>
      </c>
      <c r="CO528" s="458" t="str">
        <f t="shared" si="308"/>
        <v/>
      </c>
      <c r="CP528" s="458" t="str">
        <f t="shared" si="309"/>
        <v/>
      </c>
      <c r="CQ528" s="458" t="str">
        <f t="shared" si="310"/>
        <v/>
      </c>
      <c r="CR528" s="458" t="str">
        <f t="shared" si="311"/>
        <v/>
      </c>
      <c r="CS528" s="40" t="str">
        <f t="shared" si="312"/>
        <v/>
      </c>
      <c r="CT528" s="40" t="str">
        <f t="shared" si="313"/>
        <v/>
      </c>
      <c r="CU528" s="41" t="str">
        <f t="shared" si="314"/>
        <v/>
      </c>
    </row>
    <row r="529" spans="1:99" x14ac:dyDescent="0.2">
      <c r="A529" s="77">
        <f t="shared" si="315"/>
        <v>524</v>
      </c>
      <c r="B529" s="81"/>
      <c r="C529" s="82"/>
      <c r="D529" s="71"/>
      <c r="E529" s="72"/>
      <c r="F529" s="73"/>
      <c r="G529" s="443"/>
      <c r="H529" s="443"/>
      <c r="I529" s="74"/>
      <c r="J529" s="75"/>
      <c r="K529" s="41">
        <f t="shared" si="284"/>
        <v>3625</v>
      </c>
      <c r="L529" s="104"/>
      <c r="M529" s="105"/>
      <c r="N529" s="106">
        <f t="shared" si="285"/>
        <v>537.05999999999995</v>
      </c>
      <c r="O529" s="104"/>
      <c r="P529" s="105"/>
      <c r="Q529" s="106">
        <f t="shared" si="317"/>
        <v>10045.83</v>
      </c>
      <c r="R529" s="104"/>
      <c r="S529" s="105"/>
      <c r="T529" s="106">
        <f t="shared" si="318"/>
        <v>0</v>
      </c>
      <c r="U529" s="439"/>
      <c r="V529" s="42">
        <f t="shared" si="286"/>
        <v>524</v>
      </c>
      <c r="W529" s="39" t="str">
        <f>IF(AND(E529='Povolené hodnoty'!$B$4,F529=2),I529+L529+O529+R529,"")</f>
        <v/>
      </c>
      <c r="X529" s="41" t="str">
        <f>IF(AND(E529='Povolené hodnoty'!$B$4,F529=1),I529+L529+O529+R529,"")</f>
        <v/>
      </c>
      <c r="Y529" s="39" t="str">
        <f>IF(AND(E529='Povolené hodnoty'!$B$4,F529=10),J529+M529+P529+S529,"")</f>
        <v/>
      </c>
      <c r="Z529" s="41" t="str">
        <f>IF(AND(E529='Povolené hodnoty'!$B$4,F529=9),J529+M529+P529+S529,"")</f>
        <v/>
      </c>
      <c r="AA529" s="39" t="str">
        <f>IF(AND(E529&lt;&gt;'Povolené hodnoty'!$B$4,F529=2),I529+L529+O529+R529,"")</f>
        <v/>
      </c>
      <c r="AB529" s="40" t="str">
        <f>IF(AND(E529&lt;&gt;'Povolené hodnoty'!$B$4,F529=3),I529+L529+O529+R529,"")</f>
        <v/>
      </c>
      <c r="AC529" s="40" t="str">
        <f>IF(AND(E529&lt;&gt;'Povolené hodnoty'!$B$4,F529=4),I529+L529+O529+R529,"")</f>
        <v/>
      </c>
      <c r="AD529" s="40" t="str">
        <f>IF(AND(E529&lt;&gt;'Povolené hodnoty'!$B$4,F529="5a"),I529-J529+L529-M529+O529-P529+R529-S529,"")</f>
        <v/>
      </c>
      <c r="AE529" s="40" t="str">
        <f>IF(AND(E529&lt;&gt;'Povolené hodnoty'!$B$4,F529="5b"),I529-J529+L529-M529+O529-P529+R529-S529,"")</f>
        <v/>
      </c>
      <c r="AF529" s="40" t="str">
        <f>IF(AND(E529&lt;&gt;'Povolené hodnoty'!$B$4,F529=6),I529+L529+O529+R529,"")</f>
        <v/>
      </c>
      <c r="AG529" s="41" t="str">
        <f>IF(AND(E529&lt;&gt;'Povolené hodnoty'!$B$4,F529=7),I529+L529+O529+R529,"")</f>
        <v/>
      </c>
      <c r="AH529" s="39" t="str">
        <f>IF(AND(E529&lt;&gt;'Povolené hodnoty'!$B$4,F529=10),J529+M529+P529+S529,"")</f>
        <v/>
      </c>
      <c r="AI529" s="40" t="str">
        <f>IF(AND(E529&lt;&gt;'Povolené hodnoty'!$B$4,F529=11),J529+M529+P529+S529,"")</f>
        <v/>
      </c>
      <c r="AJ529" s="40" t="str">
        <f>IF(AND(E529&lt;&gt;'Povolené hodnoty'!$B$4,F529=12),J529+M529+P529+S529,"")</f>
        <v/>
      </c>
      <c r="AK529" s="41" t="str">
        <f>IF(AND(E529&lt;&gt;'Povolené hodnoty'!$B$4,F529=13),J529+M529+P529+S529,"")</f>
        <v/>
      </c>
      <c r="AL529" s="39" t="str">
        <f>IF(AND($G529='Povolené hodnoty'!$B$13,$H529=AL$4),SUM($I529,$L529,$O529,$R529),"")</f>
        <v/>
      </c>
      <c r="AM529" s="458" t="str">
        <f>IF(AND($G529='Povolené hodnoty'!$B$13,$H529=AM$4),SUM($I529,$L529,$O529,$R529),"")</f>
        <v/>
      </c>
      <c r="AN529" s="458" t="str">
        <f>IF(AND($G529='Povolené hodnoty'!$B$13,$H529=AN$4),SUM($I529,$L529,$O529,$R529),"")</f>
        <v/>
      </c>
      <c r="AO529" s="458" t="str">
        <f>IF(AND($G529='Povolené hodnoty'!$B$13,$H529=AO$4),SUM($I529,$L529,$O529,$R529),"")</f>
        <v/>
      </c>
      <c r="AP529" s="458" t="str">
        <f>IF(AND($G529='Povolené hodnoty'!$B$13,$H529=AP$4),SUM($I529,$L529,$O529,$R529),"")</f>
        <v/>
      </c>
      <c r="AQ529" s="40" t="str">
        <f>IF(AND($G529='Povolené hodnoty'!$B$13,OR($H529=AQ$4,$H529='Povolené hodnoty'!$E$36)),SUM($I529,-$J529,$L529,-$M529,$O529,-$P529,$R529,-$S529),"")</f>
        <v/>
      </c>
      <c r="AR529" s="40" t="str">
        <f>IF(AND($G529='Povolené hodnoty'!$B$13,$H529=AR$4),SUM($I529,$L529,$O529,$R529),"")</f>
        <v/>
      </c>
      <c r="AS529" s="41" t="str">
        <f>IF(AND($G529='Povolené hodnoty'!$B$13,$H529=AS$4),SUM($I529,$L529,$O529,$R529),"")</f>
        <v/>
      </c>
      <c r="AT529" s="39" t="str">
        <f>IF(AND($G529='Povolené hodnoty'!$B$14,$H529=AT$4),SUM($I529,$L529,$O529,$R529),"")</f>
        <v/>
      </c>
      <c r="AU529" s="458" t="str">
        <f>IF(AND($G529='Povolené hodnoty'!$B$14,$H529=AU$4),SUM($I529,$L529,$O529,$R529),"")</f>
        <v/>
      </c>
      <c r="AV529" s="41" t="str">
        <f>IF(AND($G529='Povolené hodnoty'!$B$14,$H529=AV$4),SUM($I529,$L529,$O529,$R529),"")</f>
        <v/>
      </c>
      <c r="AW529" s="39" t="str">
        <f>IF(AND($G529='Povolené hodnoty'!$B$13,$H529=AW$4),SUM($J529,$M529,$P529,$S529),"")</f>
        <v/>
      </c>
      <c r="AX529" s="458" t="str">
        <f>IF(AND($G529='Povolené hodnoty'!$B$13,$H529=AX$4),SUM($J529,$M529,$P529,$S529),"")</f>
        <v/>
      </c>
      <c r="AY529" s="458" t="str">
        <f>IF(AND($G529='Povolené hodnoty'!$B$13,$H529=AY$4),SUM($J529,$M529,$P529,$S529),"")</f>
        <v/>
      </c>
      <c r="AZ529" s="458" t="str">
        <f>IF(AND($G529='Povolené hodnoty'!$B$13,$H529=AZ$4),SUM($J529,$M529,$P529,$S529),"")</f>
        <v/>
      </c>
      <c r="BA529" s="458" t="str">
        <f>IF(AND($G529='Povolené hodnoty'!$B$13,$H529=BA$4),SUM($J529,$M529,$P529,$S529),"")</f>
        <v/>
      </c>
      <c r="BB529" s="40" t="str">
        <f>IF(AND($G529='Povolené hodnoty'!$B$13,$H529=BB$4),SUM($J529,$M529,$P529,$S529),"")</f>
        <v/>
      </c>
      <c r="BC529" s="40" t="str">
        <f>IF(AND($G529='Povolené hodnoty'!$B$13,$H529=BC$4),SUM($J529,$M529,$P529,$S529),"")</f>
        <v/>
      </c>
      <c r="BD529" s="40" t="str">
        <f>IF(AND($G529='Povolené hodnoty'!$B$13,$H529=BD$4),SUM($J529,$M529,$P529,$S529),"")</f>
        <v/>
      </c>
      <c r="BE529" s="41" t="str">
        <f>IF(AND($G529='Povolené hodnoty'!$B$13,$H529=BE$4),SUM($J529,$M529,$P529,$S529),"")</f>
        <v/>
      </c>
      <c r="BF529" s="39" t="str">
        <f>IF(AND($G529='Povolené hodnoty'!$B$14,$H529=BF$4),SUM($J529,$M529,$P529,$S529),"")</f>
        <v/>
      </c>
      <c r="BG529" s="458" t="str">
        <f>IF(AND($G529='Povolené hodnoty'!$B$14,$H529=BG$4),SUM($J529,$M529,$P529,$S529),"")</f>
        <v/>
      </c>
      <c r="BH529" s="458" t="str">
        <f>IF(AND($G529='Povolené hodnoty'!$B$14,$H529=BH$4),SUM($J529,$M529,$P529,$S529),"")</f>
        <v/>
      </c>
      <c r="BI529" s="458" t="str">
        <f>IF(AND($G529='Povolené hodnoty'!$B$14,$H529=BI$4),SUM($J529,$M529,$P529,$S529),"")</f>
        <v/>
      </c>
      <c r="BJ529" s="458" t="str">
        <f>IF(AND($G529='Povolené hodnoty'!$B$14,$H529=BJ$4),SUM($J529,$M529,$P529,$S529),"")</f>
        <v/>
      </c>
      <c r="BK529" s="40" t="str">
        <f>IF(AND($G529='Povolené hodnoty'!$B$14,$H529=BK$4),SUM($J529,$M529,$P529,$S529),"")</f>
        <v/>
      </c>
      <c r="BL529" s="40" t="str">
        <f>IF(AND($G529='Povolené hodnoty'!$B$14,$H529=BL$4),SUM($J529,$M529,$P529,$S529),"")</f>
        <v/>
      </c>
      <c r="BM529" s="41" t="str">
        <f>IF(AND($G529='Povolené hodnoty'!$B$14,$H529=BM$4),SUM($J529,$M529,$P529,$S529),"")</f>
        <v/>
      </c>
      <c r="BO529" s="18" t="b">
        <f t="shared" si="316"/>
        <v>0</v>
      </c>
      <c r="BP529" s="18" t="b">
        <f t="shared" si="287"/>
        <v>0</v>
      </c>
      <c r="BQ529" s="18" t="b">
        <f>AND(E529&lt;&gt;'Povolené hodnoty'!$B$6,F529&lt;&gt;'Povolené hodnoty'!$D$7,F529&lt;&gt;'Povolené hodnoty'!$D$8,OR(SUM(I529,L529,O529,R529)&lt;&gt;SUM(W529:X529,AA529:AG529),SUM(J529,M529,P529,S529)&lt;&gt;SUM(Y529:Z529,AH529:AK529),COUNT(I529:J529,L529:M529,O529:P529,R529:S529)&lt;&gt;COUNT(W529:AK529)))</f>
        <v>0</v>
      </c>
      <c r="BR529" s="18" t="b">
        <f>OR(AND(E529='Povolené hodnoty'!$B$6,$BR$5),AND(E529='Povolené hodnoty'!$B$6,H529&lt;&gt;'Povolené hodnoty'!$E$26,H529&lt;&gt;'Povolené hodnoty'!$E$35),AND(E529&lt;&gt;'Povolené hodnoty'!$B$6,OR(H529='Povolené hodnoty'!$E$26,H529='Povolené hodnoty'!$E$35)))</f>
        <v>0</v>
      </c>
      <c r="BS529" s="18" t="b">
        <f>OR(AND(G529&lt;&gt;'Povolené hodnoty'!$B$13,OR(H529='Povolené hodnoty'!$E$21,H529='Povolené hodnoty'!$E$22,H529='Povolené hodnoty'!$E$23,H529='Povolené hodnoty'!$E$24,H529='Povolené hodnoty'!$E$26,H529='Povolené hodnoty'!$E$36)),COUNT(I529:J529,L529:M529,O529:P529,R529:S529)&lt;&gt;COUNT(AL529:BM529))</f>
        <v>0</v>
      </c>
      <c r="BT529" s="18" t="b">
        <f t="shared" si="288"/>
        <v>0</v>
      </c>
      <c r="BV529" s="39" t="str">
        <f t="shared" si="289"/>
        <v/>
      </c>
      <c r="BW529" s="458" t="str">
        <f t="shared" si="290"/>
        <v/>
      </c>
      <c r="BX529" s="458" t="str">
        <f t="shared" si="291"/>
        <v/>
      </c>
      <c r="BY529" s="458" t="str">
        <f t="shared" si="292"/>
        <v/>
      </c>
      <c r="BZ529" s="458" t="str">
        <f t="shared" si="293"/>
        <v/>
      </c>
      <c r="CA529" s="40" t="str">
        <f t="shared" si="294"/>
        <v/>
      </c>
      <c r="CB529" s="40" t="str">
        <f t="shared" si="295"/>
        <v/>
      </c>
      <c r="CC529" s="39" t="str">
        <f t="shared" si="296"/>
        <v/>
      </c>
      <c r="CD529" s="458" t="str">
        <f t="shared" si="297"/>
        <v/>
      </c>
      <c r="CE529" s="41" t="str">
        <f t="shared" si="298"/>
        <v/>
      </c>
      <c r="CF529" s="39" t="str">
        <f t="shared" si="299"/>
        <v/>
      </c>
      <c r="CG529" s="458" t="str">
        <f t="shared" si="300"/>
        <v/>
      </c>
      <c r="CH529" s="458" t="str">
        <f t="shared" si="301"/>
        <v/>
      </c>
      <c r="CI529" s="458" t="str">
        <f t="shared" si="302"/>
        <v/>
      </c>
      <c r="CJ529" s="458" t="str">
        <f t="shared" si="303"/>
        <v/>
      </c>
      <c r="CK529" s="40" t="str">
        <f t="shared" si="304"/>
        <v/>
      </c>
      <c r="CL529" s="40" t="str">
        <f t="shared" si="305"/>
        <v/>
      </c>
      <c r="CM529" s="40" t="str">
        <f t="shared" si="306"/>
        <v/>
      </c>
      <c r="CN529" s="39" t="str">
        <f t="shared" si="307"/>
        <v/>
      </c>
      <c r="CO529" s="458" t="str">
        <f t="shared" si="308"/>
        <v/>
      </c>
      <c r="CP529" s="458" t="str">
        <f t="shared" si="309"/>
        <v/>
      </c>
      <c r="CQ529" s="458" t="str">
        <f t="shared" si="310"/>
        <v/>
      </c>
      <c r="CR529" s="458" t="str">
        <f t="shared" si="311"/>
        <v/>
      </c>
      <c r="CS529" s="40" t="str">
        <f t="shared" si="312"/>
        <v/>
      </c>
      <c r="CT529" s="40" t="str">
        <f t="shared" si="313"/>
        <v/>
      </c>
      <c r="CU529" s="41" t="str">
        <f t="shared" si="314"/>
        <v/>
      </c>
    </row>
    <row r="530" spans="1:99" x14ac:dyDescent="0.2">
      <c r="A530" s="77">
        <f t="shared" si="315"/>
        <v>525</v>
      </c>
      <c r="B530" s="81"/>
      <c r="C530" s="82"/>
      <c r="D530" s="71"/>
      <c r="E530" s="72"/>
      <c r="F530" s="73"/>
      <c r="G530" s="443"/>
      <c r="H530" s="443"/>
      <c r="I530" s="74"/>
      <c r="J530" s="75"/>
      <c r="K530" s="41">
        <f t="shared" si="284"/>
        <v>3625</v>
      </c>
      <c r="L530" s="104"/>
      <c r="M530" s="105"/>
      <c r="N530" s="106">
        <f t="shared" si="285"/>
        <v>537.05999999999995</v>
      </c>
      <c r="O530" s="104"/>
      <c r="P530" s="105"/>
      <c r="Q530" s="106">
        <f t="shared" si="317"/>
        <v>10045.83</v>
      </c>
      <c r="R530" s="104"/>
      <c r="S530" s="105"/>
      <c r="T530" s="106">
        <f t="shared" si="318"/>
        <v>0</v>
      </c>
      <c r="U530" s="439"/>
      <c r="V530" s="42">
        <f t="shared" si="286"/>
        <v>525</v>
      </c>
      <c r="W530" s="39" t="str">
        <f>IF(AND(E530='Povolené hodnoty'!$B$4,F530=2),I530+L530+O530+R530,"")</f>
        <v/>
      </c>
      <c r="X530" s="41" t="str">
        <f>IF(AND(E530='Povolené hodnoty'!$B$4,F530=1),I530+L530+O530+R530,"")</f>
        <v/>
      </c>
      <c r="Y530" s="39" t="str">
        <f>IF(AND(E530='Povolené hodnoty'!$B$4,F530=10),J530+M530+P530+S530,"")</f>
        <v/>
      </c>
      <c r="Z530" s="41" t="str">
        <f>IF(AND(E530='Povolené hodnoty'!$B$4,F530=9),J530+M530+P530+S530,"")</f>
        <v/>
      </c>
      <c r="AA530" s="39" t="str">
        <f>IF(AND(E530&lt;&gt;'Povolené hodnoty'!$B$4,F530=2),I530+L530+O530+R530,"")</f>
        <v/>
      </c>
      <c r="AB530" s="40" t="str">
        <f>IF(AND(E530&lt;&gt;'Povolené hodnoty'!$B$4,F530=3),I530+L530+O530+R530,"")</f>
        <v/>
      </c>
      <c r="AC530" s="40" t="str">
        <f>IF(AND(E530&lt;&gt;'Povolené hodnoty'!$B$4,F530=4),I530+L530+O530+R530,"")</f>
        <v/>
      </c>
      <c r="AD530" s="40" t="str">
        <f>IF(AND(E530&lt;&gt;'Povolené hodnoty'!$B$4,F530="5a"),I530-J530+L530-M530+O530-P530+R530-S530,"")</f>
        <v/>
      </c>
      <c r="AE530" s="40" t="str">
        <f>IF(AND(E530&lt;&gt;'Povolené hodnoty'!$B$4,F530="5b"),I530-J530+L530-M530+O530-P530+R530-S530,"")</f>
        <v/>
      </c>
      <c r="AF530" s="40" t="str">
        <f>IF(AND(E530&lt;&gt;'Povolené hodnoty'!$B$4,F530=6),I530+L530+O530+R530,"")</f>
        <v/>
      </c>
      <c r="AG530" s="41" t="str">
        <f>IF(AND(E530&lt;&gt;'Povolené hodnoty'!$B$4,F530=7),I530+L530+O530+R530,"")</f>
        <v/>
      </c>
      <c r="AH530" s="39" t="str">
        <f>IF(AND(E530&lt;&gt;'Povolené hodnoty'!$B$4,F530=10),J530+M530+P530+S530,"")</f>
        <v/>
      </c>
      <c r="AI530" s="40" t="str">
        <f>IF(AND(E530&lt;&gt;'Povolené hodnoty'!$B$4,F530=11),J530+M530+P530+S530,"")</f>
        <v/>
      </c>
      <c r="AJ530" s="40" t="str">
        <f>IF(AND(E530&lt;&gt;'Povolené hodnoty'!$B$4,F530=12),J530+M530+P530+S530,"")</f>
        <v/>
      </c>
      <c r="AK530" s="41" t="str">
        <f>IF(AND(E530&lt;&gt;'Povolené hodnoty'!$B$4,F530=13),J530+M530+P530+S530,"")</f>
        <v/>
      </c>
      <c r="AL530" s="39" t="str">
        <f>IF(AND($G530='Povolené hodnoty'!$B$13,$H530=AL$4),SUM($I530,$L530,$O530,$R530),"")</f>
        <v/>
      </c>
      <c r="AM530" s="458" t="str">
        <f>IF(AND($G530='Povolené hodnoty'!$B$13,$H530=AM$4),SUM($I530,$L530,$O530,$R530),"")</f>
        <v/>
      </c>
      <c r="AN530" s="458" t="str">
        <f>IF(AND($G530='Povolené hodnoty'!$B$13,$H530=AN$4),SUM($I530,$L530,$O530,$R530),"")</f>
        <v/>
      </c>
      <c r="AO530" s="458" t="str">
        <f>IF(AND($G530='Povolené hodnoty'!$B$13,$H530=AO$4),SUM($I530,$L530,$O530,$R530),"")</f>
        <v/>
      </c>
      <c r="AP530" s="458" t="str">
        <f>IF(AND($G530='Povolené hodnoty'!$B$13,$H530=AP$4),SUM($I530,$L530,$O530,$R530),"")</f>
        <v/>
      </c>
      <c r="AQ530" s="40" t="str">
        <f>IF(AND($G530='Povolené hodnoty'!$B$13,OR($H530=AQ$4,$H530='Povolené hodnoty'!$E$36)),SUM($I530,-$J530,$L530,-$M530,$O530,-$P530,$R530,-$S530),"")</f>
        <v/>
      </c>
      <c r="AR530" s="40" t="str">
        <f>IF(AND($G530='Povolené hodnoty'!$B$13,$H530=AR$4),SUM($I530,$L530,$O530,$R530),"")</f>
        <v/>
      </c>
      <c r="AS530" s="41" t="str">
        <f>IF(AND($G530='Povolené hodnoty'!$B$13,$H530=AS$4),SUM($I530,$L530,$O530,$R530),"")</f>
        <v/>
      </c>
      <c r="AT530" s="39" t="str">
        <f>IF(AND($G530='Povolené hodnoty'!$B$14,$H530=AT$4),SUM($I530,$L530,$O530,$R530),"")</f>
        <v/>
      </c>
      <c r="AU530" s="458" t="str">
        <f>IF(AND($G530='Povolené hodnoty'!$B$14,$H530=AU$4),SUM($I530,$L530,$O530,$R530),"")</f>
        <v/>
      </c>
      <c r="AV530" s="41" t="str">
        <f>IF(AND($G530='Povolené hodnoty'!$B$14,$H530=AV$4),SUM($I530,$L530,$O530,$R530),"")</f>
        <v/>
      </c>
      <c r="AW530" s="39" t="str">
        <f>IF(AND($G530='Povolené hodnoty'!$B$13,$H530=AW$4),SUM($J530,$M530,$P530,$S530),"")</f>
        <v/>
      </c>
      <c r="AX530" s="458" t="str">
        <f>IF(AND($G530='Povolené hodnoty'!$B$13,$H530=AX$4),SUM($J530,$M530,$P530,$S530),"")</f>
        <v/>
      </c>
      <c r="AY530" s="458" t="str">
        <f>IF(AND($G530='Povolené hodnoty'!$B$13,$H530=AY$4),SUM($J530,$M530,$P530,$S530),"")</f>
        <v/>
      </c>
      <c r="AZ530" s="458" t="str">
        <f>IF(AND($G530='Povolené hodnoty'!$B$13,$H530=AZ$4),SUM($J530,$M530,$P530,$S530),"")</f>
        <v/>
      </c>
      <c r="BA530" s="458" t="str">
        <f>IF(AND($G530='Povolené hodnoty'!$B$13,$H530=BA$4),SUM($J530,$M530,$P530,$S530),"")</f>
        <v/>
      </c>
      <c r="BB530" s="40" t="str">
        <f>IF(AND($G530='Povolené hodnoty'!$B$13,$H530=BB$4),SUM($J530,$M530,$P530,$S530),"")</f>
        <v/>
      </c>
      <c r="BC530" s="40" t="str">
        <f>IF(AND($G530='Povolené hodnoty'!$B$13,$H530=BC$4),SUM($J530,$M530,$P530,$S530),"")</f>
        <v/>
      </c>
      <c r="BD530" s="40" t="str">
        <f>IF(AND($G530='Povolené hodnoty'!$B$13,$H530=BD$4),SUM($J530,$M530,$P530,$S530),"")</f>
        <v/>
      </c>
      <c r="BE530" s="41" t="str">
        <f>IF(AND($G530='Povolené hodnoty'!$B$13,$H530=BE$4),SUM($J530,$M530,$P530,$S530),"")</f>
        <v/>
      </c>
      <c r="BF530" s="39" t="str">
        <f>IF(AND($G530='Povolené hodnoty'!$B$14,$H530=BF$4),SUM($J530,$M530,$P530,$S530),"")</f>
        <v/>
      </c>
      <c r="BG530" s="458" t="str">
        <f>IF(AND($G530='Povolené hodnoty'!$B$14,$H530=BG$4),SUM($J530,$M530,$P530,$S530),"")</f>
        <v/>
      </c>
      <c r="BH530" s="458" t="str">
        <f>IF(AND($G530='Povolené hodnoty'!$B$14,$H530=BH$4),SUM($J530,$M530,$P530,$S530),"")</f>
        <v/>
      </c>
      <c r="BI530" s="458" t="str">
        <f>IF(AND($G530='Povolené hodnoty'!$B$14,$H530=BI$4),SUM($J530,$M530,$P530,$S530),"")</f>
        <v/>
      </c>
      <c r="BJ530" s="458" t="str">
        <f>IF(AND($G530='Povolené hodnoty'!$B$14,$H530=BJ$4),SUM($J530,$M530,$P530,$S530),"")</f>
        <v/>
      </c>
      <c r="BK530" s="40" t="str">
        <f>IF(AND($G530='Povolené hodnoty'!$B$14,$H530=BK$4),SUM($J530,$M530,$P530,$S530),"")</f>
        <v/>
      </c>
      <c r="BL530" s="40" t="str">
        <f>IF(AND($G530='Povolené hodnoty'!$B$14,$H530=BL$4),SUM($J530,$M530,$P530,$S530),"")</f>
        <v/>
      </c>
      <c r="BM530" s="41" t="str">
        <f>IF(AND($G530='Povolené hodnoty'!$B$14,$H530=BM$4),SUM($J530,$M530,$P530,$S530),"")</f>
        <v/>
      </c>
      <c r="BO530" s="18" t="b">
        <f t="shared" si="316"/>
        <v>0</v>
      </c>
      <c r="BP530" s="18" t="b">
        <f t="shared" si="287"/>
        <v>0</v>
      </c>
      <c r="BQ530" s="18" t="b">
        <f>AND(E530&lt;&gt;'Povolené hodnoty'!$B$6,F530&lt;&gt;'Povolené hodnoty'!$D$7,F530&lt;&gt;'Povolené hodnoty'!$D$8,OR(SUM(I530,L530,O530,R530)&lt;&gt;SUM(W530:X530,AA530:AG530),SUM(J530,M530,P530,S530)&lt;&gt;SUM(Y530:Z530,AH530:AK530),COUNT(I530:J530,L530:M530,O530:P530,R530:S530)&lt;&gt;COUNT(W530:AK530)))</f>
        <v>0</v>
      </c>
      <c r="BR530" s="18" t="b">
        <f>OR(AND(E530='Povolené hodnoty'!$B$6,$BR$5),AND(E530='Povolené hodnoty'!$B$6,H530&lt;&gt;'Povolené hodnoty'!$E$26,H530&lt;&gt;'Povolené hodnoty'!$E$35),AND(E530&lt;&gt;'Povolené hodnoty'!$B$6,OR(H530='Povolené hodnoty'!$E$26,H530='Povolené hodnoty'!$E$35)))</f>
        <v>0</v>
      </c>
      <c r="BS530" s="18" t="b">
        <f>OR(AND(G530&lt;&gt;'Povolené hodnoty'!$B$13,OR(H530='Povolené hodnoty'!$E$21,H530='Povolené hodnoty'!$E$22,H530='Povolené hodnoty'!$E$23,H530='Povolené hodnoty'!$E$24,H530='Povolené hodnoty'!$E$26,H530='Povolené hodnoty'!$E$36)),COUNT(I530:J530,L530:M530,O530:P530,R530:S530)&lt;&gt;COUNT(AL530:BM530))</f>
        <v>0</v>
      </c>
      <c r="BT530" s="18" t="b">
        <f t="shared" si="288"/>
        <v>0</v>
      </c>
      <c r="BV530" s="39" t="str">
        <f t="shared" si="289"/>
        <v/>
      </c>
      <c r="BW530" s="458" t="str">
        <f t="shared" si="290"/>
        <v/>
      </c>
      <c r="BX530" s="458" t="str">
        <f t="shared" si="291"/>
        <v/>
      </c>
      <c r="BY530" s="458" t="str">
        <f t="shared" si="292"/>
        <v/>
      </c>
      <c r="BZ530" s="458" t="str">
        <f t="shared" si="293"/>
        <v/>
      </c>
      <c r="CA530" s="40" t="str">
        <f t="shared" si="294"/>
        <v/>
      </c>
      <c r="CB530" s="40" t="str">
        <f t="shared" si="295"/>
        <v/>
      </c>
      <c r="CC530" s="39" t="str">
        <f t="shared" si="296"/>
        <v/>
      </c>
      <c r="CD530" s="458" t="str">
        <f t="shared" si="297"/>
        <v/>
      </c>
      <c r="CE530" s="41" t="str">
        <f t="shared" si="298"/>
        <v/>
      </c>
      <c r="CF530" s="39" t="str">
        <f t="shared" si="299"/>
        <v/>
      </c>
      <c r="CG530" s="458" t="str">
        <f t="shared" si="300"/>
        <v/>
      </c>
      <c r="CH530" s="458" t="str">
        <f t="shared" si="301"/>
        <v/>
      </c>
      <c r="CI530" s="458" t="str">
        <f t="shared" si="302"/>
        <v/>
      </c>
      <c r="CJ530" s="458" t="str">
        <f t="shared" si="303"/>
        <v/>
      </c>
      <c r="CK530" s="40" t="str">
        <f t="shared" si="304"/>
        <v/>
      </c>
      <c r="CL530" s="40" t="str">
        <f t="shared" si="305"/>
        <v/>
      </c>
      <c r="CM530" s="40" t="str">
        <f t="shared" si="306"/>
        <v/>
      </c>
      <c r="CN530" s="39" t="str">
        <f t="shared" si="307"/>
        <v/>
      </c>
      <c r="CO530" s="458" t="str">
        <f t="shared" si="308"/>
        <v/>
      </c>
      <c r="CP530" s="458" t="str">
        <f t="shared" si="309"/>
        <v/>
      </c>
      <c r="CQ530" s="458" t="str">
        <f t="shared" si="310"/>
        <v/>
      </c>
      <c r="CR530" s="458" t="str">
        <f t="shared" si="311"/>
        <v/>
      </c>
      <c r="CS530" s="40" t="str">
        <f t="shared" si="312"/>
        <v/>
      </c>
      <c r="CT530" s="40" t="str">
        <f t="shared" si="313"/>
        <v/>
      </c>
      <c r="CU530" s="41" t="str">
        <f t="shared" si="314"/>
        <v/>
      </c>
    </row>
    <row r="531" spans="1:99" x14ac:dyDescent="0.2">
      <c r="A531" s="77">
        <f t="shared" si="315"/>
        <v>526</v>
      </c>
      <c r="B531" s="81"/>
      <c r="C531" s="82"/>
      <c r="D531" s="71"/>
      <c r="E531" s="72"/>
      <c r="F531" s="73"/>
      <c r="G531" s="443"/>
      <c r="H531" s="443"/>
      <c r="I531" s="74"/>
      <c r="J531" s="75"/>
      <c r="K531" s="41">
        <f t="shared" si="284"/>
        <v>3625</v>
      </c>
      <c r="L531" s="104"/>
      <c r="M531" s="105"/>
      <c r="N531" s="106">
        <f t="shared" si="285"/>
        <v>537.05999999999995</v>
      </c>
      <c r="O531" s="104"/>
      <c r="P531" s="105"/>
      <c r="Q531" s="106">
        <f t="shared" si="317"/>
        <v>10045.83</v>
      </c>
      <c r="R531" s="104"/>
      <c r="S531" s="105"/>
      <c r="T531" s="106">
        <f t="shared" si="318"/>
        <v>0</v>
      </c>
      <c r="U531" s="439"/>
      <c r="V531" s="42">
        <f t="shared" si="286"/>
        <v>526</v>
      </c>
      <c r="W531" s="39" t="str">
        <f>IF(AND(E531='Povolené hodnoty'!$B$4,F531=2),I531+L531+O531+R531,"")</f>
        <v/>
      </c>
      <c r="X531" s="41" t="str">
        <f>IF(AND(E531='Povolené hodnoty'!$B$4,F531=1),I531+L531+O531+R531,"")</f>
        <v/>
      </c>
      <c r="Y531" s="39" t="str">
        <f>IF(AND(E531='Povolené hodnoty'!$B$4,F531=10),J531+M531+P531+S531,"")</f>
        <v/>
      </c>
      <c r="Z531" s="41" t="str">
        <f>IF(AND(E531='Povolené hodnoty'!$B$4,F531=9),J531+M531+P531+S531,"")</f>
        <v/>
      </c>
      <c r="AA531" s="39" t="str">
        <f>IF(AND(E531&lt;&gt;'Povolené hodnoty'!$B$4,F531=2),I531+L531+O531+R531,"")</f>
        <v/>
      </c>
      <c r="AB531" s="40" t="str">
        <f>IF(AND(E531&lt;&gt;'Povolené hodnoty'!$B$4,F531=3),I531+L531+O531+R531,"")</f>
        <v/>
      </c>
      <c r="AC531" s="40" t="str">
        <f>IF(AND(E531&lt;&gt;'Povolené hodnoty'!$B$4,F531=4),I531+L531+O531+R531,"")</f>
        <v/>
      </c>
      <c r="AD531" s="40" t="str">
        <f>IF(AND(E531&lt;&gt;'Povolené hodnoty'!$B$4,F531="5a"),I531-J531+L531-M531+O531-P531+R531-S531,"")</f>
        <v/>
      </c>
      <c r="AE531" s="40" t="str">
        <f>IF(AND(E531&lt;&gt;'Povolené hodnoty'!$B$4,F531="5b"),I531-J531+L531-M531+O531-P531+R531-S531,"")</f>
        <v/>
      </c>
      <c r="AF531" s="40" t="str">
        <f>IF(AND(E531&lt;&gt;'Povolené hodnoty'!$B$4,F531=6),I531+L531+O531+R531,"")</f>
        <v/>
      </c>
      <c r="AG531" s="41" t="str">
        <f>IF(AND(E531&lt;&gt;'Povolené hodnoty'!$B$4,F531=7),I531+L531+O531+R531,"")</f>
        <v/>
      </c>
      <c r="AH531" s="39" t="str">
        <f>IF(AND(E531&lt;&gt;'Povolené hodnoty'!$B$4,F531=10),J531+M531+P531+S531,"")</f>
        <v/>
      </c>
      <c r="AI531" s="40" t="str">
        <f>IF(AND(E531&lt;&gt;'Povolené hodnoty'!$B$4,F531=11),J531+M531+P531+S531,"")</f>
        <v/>
      </c>
      <c r="AJ531" s="40" t="str">
        <f>IF(AND(E531&lt;&gt;'Povolené hodnoty'!$B$4,F531=12),J531+M531+P531+S531,"")</f>
        <v/>
      </c>
      <c r="AK531" s="41" t="str">
        <f>IF(AND(E531&lt;&gt;'Povolené hodnoty'!$B$4,F531=13),J531+M531+P531+S531,"")</f>
        <v/>
      </c>
      <c r="AL531" s="39" t="str">
        <f>IF(AND($G531='Povolené hodnoty'!$B$13,$H531=AL$4),SUM($I531,$L531,$O531,$R531),"")</f>
        <v/>
      </c>
      <c r="AM531" s="458" t="str">
        <f>IF(AND($G531='Povolené hodnoty'!$B$13,$H531=AM$4),SUM($I531,$L531,$O531,$R531),"")</f>
        <v/>
      </c>
      <c r="AN531" s="458" t="str">
        <f>IF(AND($G531='Povolené hodnoty'!$B$13,$H531=AN$4),SUM($I531,$L531,$O531,$R531),"")</f>
        <v/>
      </c>
      <c r="AO531" s="458" t="str">
        <f>IF(AND($G531='Povolené hodnoty'!$B$13,$H531=AO$4),SUM($I531,$L531,$O531,$R531),"")</f>
        <v/>
      </c>
      <c r="AP531" s="458" t="str">
        <f>IF(AND($G531='Povolené hodnoty'!$B$13,$H531=AP$4),SUM($I531,$L531,$O531,$R531),"")</f>
        <v/>
      </c>
      <c r="AQ531" s="40" t="str">
        <f>IF(AND($G531='Povolené hodnoty'!$B$13,OR($H531=AQ$4,$H531='Povolené hodnoty'!$E$36)),SUM($I531,-$J531,$L531,-$M531,$O531,-$P531,$R531,-$S531),"")</f>
        <v/>
      </c>
      <c r="AR531" s="40" t="str">
        <f>IF(AND($G531='Povolené hodnoty'!$B$13,$H531=AR$4),SUM($I531,$L531,$O531,$R531),"")</f>
        <v/>
      </c>
      <c r="AS531" s="41" t="str">
        <f>IF(AND($G531='Povolené hodnoty'!$B$13,$H531=AS$4),SUM($I531,$L531,$O531,$R531),"")</f>
        <v/>
      </c>
      <c r="AT531" s="39" t="str">
        <f>IF(AND($G531='Povolené hodnoty'!$B$14,$H531=AT$4),SUM($I531,$L531,$O531,$R531),"")</f>
        <v/>
      </c>
      <c r="AU531" s="458" t="str">
        <f>IF(AND($G531='Povolené hodnoty'!$B$14,$H531=AU$4),SUM($I531,$L531,$O531,$R531),"")</f>
        <v/>
      </c>
      <c r="AV531" s="41" t="str">
        <f>IF(AND($G531='Povolené hodnoty'!$B$14,$H531=AV$4),SUM($I531,$L531,$O531,$R531),"")</f>
        <v/>
      </c>
      <c r="AW531" s="39" t="str">
        <f>IF(AND($G531='Povolené hodnoty'!$B$13,$H531=AW$4),SUM($J531,$M531,$P531,$S531),"")</f>
        <v/>
      </c>
      <c r="AX531" s="458" t="str">
        <f>IF(AND($G531='Povolené hodnoty'!$B$13,$H531=AX$4),SUM($J531,$M531,$P531,$S531),"")</f>
        <v/>
      </c>
      <c r="AY531" s="458" t="str">
        <f>IF(AND($G531='Povolené hodnoty'!$B$13,$H531=AY$4),SUM($J531,$M531,$P531,$S531),"")</f>
        <v/>
      </c>
      <c r="AZ531" s="458" t="str">
        <f>IF(AND($G531='Povolené hodnoty'!$B$13,$H531=AZ$4),SUM($J531,$M531,$P531,$S531),"")</f>
        <v/>
      </c>
      <c r="BA531" s="458" t="str">
        <f>IF(AND($G531='Povolené hodnoty'!$B$13,$H531=BA$4),SUM($J531,$M531,$P531,$S531),"")</f>
        <v/>
      </c>
      <c r="BB531" s="40" t="str">
        <f>IF(AND($G531='Povolené hodnoty'!$B$13,$H531=BB$4),SUM($J531,$M531,$P531,$S531),"")</f>
        <v/>
      </c>
      <c r="BC531" s="40" t="str">
        <f>IF(AND($G531='Povolené hodnoty'!$B$13,$H531=BC$4),SUM($J531,$M531,$P531,$S531),"")</f>
        <v/>
      </c>
      <c r="BD531" s="40" t="str">
        <f>IF(AND($G531='Povolené hodnoty'!$B$13,$H531=BD$4),SUM($J531,$M531,$P531,$S531),"")</f>
        <v/>
      </c>
      <c r="BE531" s="41" t="str">
        <f>IF(AND($G531='Povolené hodnoty'!$B$13,$H531=BE$4),SUM($J531,$M531,$P531,$S531),"")</f>
        <v/>
      </c>
      <c r="BF531" s="39" t="str">
        <f>IF(AND($G531='Povolené hodnoty'!$B$14,$H531=BF$4),SUM($J531,$M531,$P531,$S531),"")</f>
        <v/>
      </c>
      <c r="BG531" s="458" t="str">
        <f>IF(AND($G531='Povolené hodnoty'!$B$14,$H531=BG$4),SUM($J531,$M531,$P531,$S531),"")</f>
        <v/>
      </c>
      <c r="BH531" s="458" t="str">
        <f>IF(AND($G531='Povolené hodnoty'!$B$14,$H531=BH$4),SUM($J531,$M531,$P531,$S531),"")</f>
        <v/>
      </c>
      <c r="BI531" s="458" t="str">
        <f>IF(AND($G531='Povolené hodnoty'!$B$14,$H531=BI$4),SUM($J531,$M531,$P531,$S531),"")</f>
        <v/>
      </c>
      <c r="BJ531" s="458" t="str">
        <f>IF(AND($G531='Povolené hodnoty'!$B$14,$H531=BJ$4),SUM($J531,$M531,$P531,$S531),"")</f>
        <v/>
      </c>
      <c r="BK531" s="40" t="str">
        <f>IF(AND($G531='Povolené hodnoty'!$B$14,$H531=BK$4),SUM($J531,$M531,$P531,$S531),"")</f>
        <v/>
      </c>
      <c r="BL531" s="40" t="str">
        <f>IF(AND($G531='Povolené hodnoty'!$B$14,$H531=BL$4),SUM($J531,$M531,$P531,$S531),"")</f>
        <v/>
      </c>
      <c r="BM531" s="41" t="str">
        <f>IF(AND($G531='Povolené hodnoty'!$B$14,$H531=BM$4),SUM($J531,$M531,$P531,$S531),"")</f>
        <v/>
      </c>
      <c r="BO531" s="18" t="b">
        <f t="shared" si="316"/>
        <v>0</v>
      </c>
      <c r="BP531" s="18" t="b">
        <f t="shared" si="287"/>
        <v>0</v>
      </c>
      <c r="BQ531" s="18" t="b">
        <f>AND(E531&lt;&gt;'Povolené hodnoty'!$B$6,F531&lt;&gt;'Povolené hodnoty'!$D$7,F531&lt;&gt;'Povolené hodnoty'!$D$8,OR(SUM(I531,L531,O531,R531)&lt;&gt;SUM(W531:X531,AA531:AG531),SUM(J531,M531,P531,S531)&lt;&gt;SUM(Y531:Z531,AH531:AK531),COUNT(I531:J531,L531:M531,O531:P531,R531:S531)&lt;&gt;COUNT(W531:AK531)))</f>
        <v>0</v>
      </c>
      <c r="BR531" s="18" t="b">
        <f>OR(AND(E531='Povolené hodnoty'!$B$6,$BR$5),AND(E531='Povolené hodnoty'!$B$6,H531&lt;&gt;'Povolené hodnoty'!$E$26,H531&lt;&gt;'Povolené hodnoty'!$E$35),AND(E531&lt;&gt;'Povolené hodnoty'!$B$6,OR(H531='Povolené hodnoty'!$E$26,H531='Povolené hodnoty'!$E$35)))</f>
        <v>0</v>
      </c>
      <c r="BS531" s="18" t="b">
        <f>OR(AND(G531&lt;&gt;'Povolené hodnoty'!$B$13,OR(H531='Povolené hodnoty'!$E$21,H531='Povolené hodnoty'!$E$22,H531='Povolené hodnoty'!$E$23,H531='Povolené hodnoty'!$E$24,H531='Povolené hodnoty'!$E$26,H531='Povolené hodnoty'!$E$36)),COUNT(I531:J531,L531:M531,O531:P531,R531:S531)&lt;&gt;COUNT(AL531:BM531))</f>
        <v>0</v>
      </c>
      <c r="BT531" s="18" t="b">
        <f t="shared" si="288"/>
        <v>0</v>
      </c>
      <c r="BV531" s="39" t="str">
        <f t="shared" si="289"/>
        <v/>
      </c>
      <c r="BW531" s="458" t="str">
        <f t="shared" si="290"/>
        <v/>
      </c>
      <c r="BX531" s="458" t="str">
        <f t="shared" si="291"/>
        <v/>
      </c>
      <c r="BY531" s="458" t="str">
        <f t="shared" si="292"/>
        <v/>
      </c>
      <c r="BZ531" s="458" t="str">
        <f t="shared" si="293"/>
        <v/>
      </c>
      <c r="CA531" s="40" t="str">
        <f t="shared" si="294"/>
        <v/>
      </c>
      <c r="CB531" s="40" t="str">
        <f t="shared" si="295"/>
        <v/>
      </c>
      <c r="CC531" s="39" t="str">
        <f t="shared" si="296"/>
        <v/>
      </c>
      <c r="CD531" s="458" t="str">
        <f t="shared" si="297"/>
        <v/>
      </c>
      <c r="CE531" s="41" t="str">
        <f t="shared" si="298"/>
        <v/>
      </c>
      <c r="CF531" s="39" t="str">
        <f t="shared" si="299"/>
        <v/>
      </c>
      <c r="CG531" s="458" t="str">
        <f t="shared" si="300"/>
        <v/>
      </c>
      <c r="CH531" s="458" t="str">
        <f t="shared" si="301"/>
        <v/>
      </c>
      <c r="CI531" s="458" t="str">
        <f t="shared" si="302"/>
        <v/>
      </c>
      <c r="CJ531" s="458" t="str">
        <f t="shared" si="303"/>
        <v/>
      </c>
      <c r="CK531" s="40" t="str">
        <f t="shared" si="304"/>
        <v/>
      </c>
      <c r="CL531" s="40" t="str">
        <f t="shared" si="305"/>
        <v/>
      </c>
      <c r="CM531" s="40" t="str">
        <f t="shared" si="306"/>
        <v/>
      </c>
      <c r="CN531" s="39" t="str">
        <f t="shared" si="307"/>
        <v/>
      </c>
      <c r="CO531" s="458" t="str">
        <f t="shared" si="308"/>
        <v/>
      </c>
      <c r="CP531" s="458" t="str">
        <f t="shared" si="309"/>
        <v/>
      </c>
      <c r="CQ531" s="458" t="str">
        <f t="shared" si="310"/>
        <v/>
      </c>
      <c r="CR531" s="458" t="str">
        <f t="shared" si="311"/>
        <v/>
      </c>
      <c r="CS531" s="40" t="str">
        <f t="shared" si="312"/>
        <v/>
      </c>
      <c r="CT531" s="40" t="str">
        <f t="shared" si="313"/>
        <v/>
      </c>
      <c r="CU531" s="41" t="str">
        <f t="shared" si="314"/>
        <v/>
      </c>
    </row>
    <row r="532" spans="1:99" x14ac:dyDescent="0.2">
      <c r="A532" s="77">
        <f t="shared" si="315"/>
        <v>527</v>
      </c>
      <c r="B532" s="81"/>
      <c r="C532" s="82"/>
      <c r="D532" s="71"/>
      <c r="E532" s="72"/>
      <c r="F532" s="73"/>
      <c r="G532" s="443"/>
      <c r="H532" s="443"/>
      <c r="I532" s="74"/>
      <c r="J532" s="75"/>
      <c r="K532" s="41">
        <f t="shared" si="284"/>
        <v>3625</v>
      </c>
      <c r="L532" s="104"/>
      <c r="M532" s="105"/>
      <c r="N532" s="106">
        <f t="shared" si="285"/>
        <v>537.05999999999995</v>
      </c>
      <c r="O532" s="104"/>
      <c r="P532" s="105"/>
      <c r="Q532" s="106">
        <f t="shared" si="317"/>
        <v>10045.83</v>
      </c>
      <c r="R532" s="104"/>
      <c r="S532" s="105"/>
      <c r="T532" s="106">
        <f t="shared" si="318"/>
        <v>0</v>
      </c>
      <c r="U532" s="439"/>
      <c r="V532" s="42">
        <f t="shared" si="286"/>
        <v>527</v>
      </c>
      <c r="W532" s="39" t="str">
        <f>IF(AND(E532='Povolené hodnoty'!$B$4,F532=2),I532+L532+O532+R532,"")</f>
        <v/>
      </c>
      <c r="X532" s="41" t="str">
        <f>IF(AND(E532='Povolené hodnoty'!$B$4,F532=1),I532+L532+O532+R532,"")</f>
        <v/>
      </c>
      <c r="Y532" s="39" t="str">
        <f>IF(AND(E532='Povolené hodnoty'!$B$4,F532=10),J532+M532+P532+S532,"")</f>
        <v/>
      </c>
      <c r="Z532" s="41" t="str">
        <f>IF(AND(E532='Povolené hodnoty'!$B$4,F532=9),J532+M532+P532+S532,"")</f>
        <v/>
      </c>
      <c r="AA532" s="39" t="str">
        <f>IF(AND(E532&lt;&gt;'Povolené hodnoty'!$B$4,F532=2),I532+L532+O532+R532,"")</f>
        <v/>
      </c>
      <c r="AB532" s="40" t="str">
        <f>IF(AND(E532&lt;&gt;'Povolené hodnoty'!$B$4,F532=3),I532+L532+O532+R532,"")</f>
        <v/>
      </c>
      <c r="AC532" s="40" t="str">
        <f>IF(AND(E532&lt;&gt;'Povolené hodnoty'!$B$4,F532=4),I532+L532+O532+R532,"")</f>
        <v/>
      </c>
      <c r="AD532" s="40" t="str">
        <f>IF(AND(E532&lt;&gt;'Povolené hodnoty'!$B$4,F532="5a"),I532-J532+L532-M532+O532-P532+R532-S532,"")</f>
        <v/>
      </c>
      <c r="AE532" s="40" t="str">
        <f>IF(AND(E532&lt;&gt;'Povolené hodnoty'!$B$4,F532="5b"),I532-J532+L532-M532+O532-P532+R532-S532,"")</f>
        <v/>
      </c>
      <c r="AF532" s="40" t="str">
        <f>IF(AND(E532&lt;&gt;'Povolené hodnoty'!$B$4,F532=6),I532+L532+O532+R532,"")</f>
        <v/>
      </c>
      <c r="AG532" s="41" t="str">
        <f>IF(AND(E532&lt;&gt;'Povolené hodnoty'!$B$4,F532=7),I532+L532+O532+R532,"")</f>
        <v/>
      </c>
      <c r="AH532" s="39" t="str">
        <f>IF(AND(E532&lt;&gt;'Povolené hodnoty'!$B$4,F532=10),J532+M532+P532+S532,"")</f>
        <v/>
      </c>
      <c r="AI532" s="40" t="str">
        <f>IF(AND(E532&lt;&gt;'Povolené hodnoty'!$B$4,F532=11),J532+M532+P532+S532,"")</f>
        <v/>
      </c>
      <c r="AJ532" s="40" t="str">
        <f>IF(AND(E532&lt;&gt;'Povolené hodnoty'!$B$4,F532=12),J532+M532+P532+S532,"")</f>
        <v/>
      </c>
      <c r="AK532" s="41" t="str">
        <f>IF(AND(E532&lt;&gt;'Povolené hodnoty'!$B$4,F532=13),J532+M532+P532+S532,"")</f>
        <v/>
      </c>
      <c r="AL532" s="39" t="str">
        <f>IF(AND($G532='Povolené hodnoty'!$B$13,$H532=AL$4),SUM($I532,$L532,$O532,$R532),"")</f>
        <v/>
      </c>
      <c r="AM532" s="458" t="str">
        <f>IF(AND($G532='Povolené hodnoty'!$B$13,$H532=AM$4),SUM($I532,$L532,$O532,$R532),"")</f>
        <v/>
      </c>
      <c r="AN532" s="458" t="str">
        <f>IF(AND($G532='Povolené hodnoty'!$B$13,$H532=AN$4),SUM($I532,$L532,$O532,$R532),"")</f>
        <v/>
      </c>
      <c r="AO532" s="458" t="str">
        <f>IF(AND($G532='Povolené hodnoty'!$B$13,$H532=AO$4),SUM($I532,$L532,$O532,$R532),"")</f>
        <v/>
      </c>
      <c r="AP532" s="458" t="str">
        <f>IF(AND($G532='Povolené hodnoty'!$B$13,$H532=AP$4),SUM($I532,$L532,$O532,$R532),"")</f>
        <v/>
      </c>
      <c r="AQ532" s="40" t="str">
        <f>IF(AND($G532='Povolené hodnoty'!$B$13,OR($H532=AQ$4,$H532='Povolené hodnoty'!$E$36)),SUM($I532,-$J532,$L532,-$M532,$O532,-$P532,$R532,-$S532),"")</f>
        <v/>
      </c>
      <c r="AR532" s="40" t="str">
        <f>IF(AND($G532='Povolené hodnoty'!$B$13,$H532=AR$4),SUM($I532,$L532,$O532,$R532),"")</f>
        <v/>
      </c>
      <c r="AS532" s="41" t="str">
        <f>IF(AND($G532='Povolené hodnoty'!$B$13,$H532=AS$4),SUM($I532,$L532,$O532,$R532),"")</f>
        <v/>
      </c>
      <c r="AT532" s="39" t="str">
        <f>IF(AND($G532='Povolené hodnoty'!$B$14,$H532=AT$4),SUM($I532,$L532,$O532,$R532),"")</f>
        <v/>
      </c>
      <c r="AU532" s="458" t="str">
        <f>IF(AND($G532='Povolené hodnoty'!$B$14,$H532=AU$4),SUM($I532,$L532,$O532,$R532),"")</f>
        <v/>
      </c>
      <c r="AV532" s="41" t="str">
        <f>IF(AND($G532='Povolené hodnoty'!$B$14,$H532=AV$4),SUM($I532,$L532,$O532,$R532),"")</f>
        <v/>
      </c>
      <c r="AW532" s="39" t="str">
        <f>IF(AND($G532='Povolené hodnoty'!$B$13,$H532=AW$4),SUM($J532,$M532,$P532,$S532),"")</f>
        <v/>
      </c>
      <c r="AX532" s="458" t="str">
        <f>IF(AND($G532='Povolené hodnoty'!$B$13,$H532=AX$4),SUM($J532,$M532,$P532,$S532),"")</f>
        <v/>
      </c>
      <c r="AY532" s="458" t="str">
        <f>IF(AND($G532='Povolené hodnoty'!$B$13,$H532=AY$4),SUM($J532,$M532,$P532,$S532),"")</f>
        <v/>
      </c>
      <c r="AZ532" s="458" t="str">
        <f>IF(AND($G532='Povolené hodnoty'!$B$13,$H532=AZ$4),SUM($J532,$M532,$P532,$S532),"")</f>
        <v/>
      </c>
      <c r="BA532" s="458" t="str">
        <f>IF(AND($G532='Povolené hodnoty'!$B$13,$H532=BA$4),SUM($J532,$M532,$P532,$S532),"")</f>
        <v/>
      </c>
      <c r="BB532" s="40" t="str">
        <f>IF(AND($G532='Povolené hodnoty'!$B$13,$H532=BB$4),SUM($J532,$M532,$P532,$S532),"")</f>
        <v/>
      </c>
      <c r="BC532" s="40" t="str">
        <f>IF(AND($G532='Povolené hodnoty'!$B$13,$H532=BC$4),SUM($J532,$M532,$P532,$S532),"")</f>
        <v/>
      </c>
      <c r="BD532" s="40" t="str">
        <f>IF(AND($G532='Povolené hodnoty'!$B$13,$H532=BD$4),SUM($J532,$M532,$P532,$S532),"")</f>
        <v/>
      </c>
      <c r="BE532" s="41" t="str">
        <f>IF(AND($G532='Povolené hodnoty'!$B$13,$H532=BE$4),SUM($J532,$M532,$P532,$S532),"")</f>
        <v/>
      </c>
      <c r="BF532" s="39" t="str">
        <f>IF(AND($G532='Povolené hodnoty'!$B$14,$H532=BF$4),SUM($J532,$M532,$P532,$S532),"")</f>
        <v/>
      </c>
      <c r="BG532" s="458" t="str">
        <f>IF(AND($G532='Povolené hodnoty'!$B$14,$H532=BG$4),SUM($J532,$M532,$P532,$S532),"")</f>
        <v/>
      </c>
      <c r="BH532" s="458" t="str">
        <f>IF(AND($G532='Povolené hodnoty'!$B$14,$H532=BH$4),SUM($J532,$M532,$P532,$S532),"")</f>
        <v/>
      </c>
      <c r="BI532" s="458" t="str">
        <f>IF(AND($G532='Povolené hodnoty'!$B$14,$H532=BI$4),SUM($J532,$M532,$P532,$S532),"")</f>
        <v/>
      </c>
      <c r="BJ532" s="458" t="str">
        <f>IF(AND($G532='Povolené hodnoty'!$B$14,$H532=BJ$4),SUM($J532,$M532,$P532,$S532),"")</f>
        <v/>
      </c>
      <c r="BK532" s="40" t="str">
        <f>IF(AND($G532='Povolené hodnoty'!$B$14,$H532=BK$4),SUM($J532,$M532,$P532,$S532),"")</f>
        <v/>
      </c>
      <c r="BL532" s="40" t="str">
        <f>IF(AND($G532='Povolené hodnoty'!$B$14,$H532=BL$4),SUM($J532,$M532,$P532,$S532),"")</f>
        <v/>
      </c>
      <c r="BM532" s="41" t="str">
        <f>IF(AND($G532='Povolené hodnoty'!$B$14,$H532=BM$4),SUM($J532,$M532,$P532,$S532),"")</f>
        <v/>
      </c>
      <c r="BO532" s="18" t="b">
        <f t="shared" si="316"/>
        <v>0</v>
      </c>
      <c r="BP532" s="18" t="b">
        <f t="shared" si="287"/>
        <v>0</v>
      </c>
      <c r="BQ532" s="18" t="b">
        <f>AND(E532&lt;&gt;'Povolené hodnoty'!$B$6,F532&lt;&gt;'Povolené hodnoty'!$D$7,F532&lt;&gt;'Povolené hodnoty'!$D$8,OR(SUM(I532,L532,O532,R532)&lt;&gt;SUM(W532:X532,AA532:AG532),SUM(J532,M532,P532,S532)&lt;&gt;SUM(Y532:Z532,AH532:AK532),COUNT(I532:J532,L532:M532,O532:P532,R532:S532)&lt;&gt;COUNT(W532:AK532)))</f>
        <v>0</v>
      </c>
      <c r="BR532" s="18" t="b">
        <f>OR(AND(E532='Povolené hodnoty'!$B$6,$BR$5),AND(E532='Povolené hodnoty'!$B$6,H532&lt;&gt;'Povolené hodnoty'!$E$26,H532&lt;&gt;'Povolené hodnoty'!$E$35),AND(E532&lt;&gt;'Povolené hodnoty'!$B$6,OR(H532='Povolené hodnoty'!$E$26,H532='Povolené hodnoty'!$E$35)))</f>
        <v>0</v>
      </c>
      <c r="BS532" s="18" t="b">
        <f>OR(AND(G532&lt;&gt;'Povolené hodnoty'!$B$13,OR(H532='Povolené hodnoty'!$E$21,H532='Povolené hodnoty'!$E$22,H532='Povolené hodnoty'!$E$23,H532='Povolené hodnoty'!$E$24,H532='Povolené hodnoty'!$E$26,H532='Povolené hodnoty'!$E$36)),COUNT(I532:J532,L532:M532,O532:P532,R532:S532)&lt;&gt;COUNT(AL532:BM532))</f>
        <v>0</v>
      </c>
      <c r="BT532" s="18" t="b">
        <f t="shared" si="288"/>
        <v>0</v>
      </c>
      <c r="BV532" s="39" t="str">
        <f t="shared" si="289"/>
        <v/>
      </c>
      <c r="BW532" s="458" t="str">
        <f t="shared" si="290"/>
        <v/>
      </c>
      <c r="BX532" s="458" t="str">
        <f t="shared" si="291"/>
        <v/>
      </c>
      <c r="BY532" s="458" t="str">
        <f t="shared" si="292"/>
        <v/>
      </c>
      <c r="BZ532" s="458" t="str">
        <f t="shared" si="293"/>
        <v/>
      </c>
      <c r="CA532" s="40" t="str">
        <f t="shared" si="294"/>
        <v/>
      </c>
      <c r="CB532" s="40" t="str">
        <f t="shared" si="295"/>
        <v/>
      </c>
      <c r="CC532" s="39" t="str">
        <f t="shared" si="296"/>
        <v/>
      </c>
      <c r="CD532" s="458" t="str">
        <f t="shared" si="297"/>
        <v/>
      </c>
      <c r="CE532" s="41" t="str">
        <f t="shared" si="298"/>
        <v/>
      </c>
      <c r="CF532" s="39" t="str">
        <f t="shared" si="299"/>
        <v/>
      </c>
      <c r="CG532" s="458" t="str">
        <f t="shared" si="300"/>
        <v/>
      </c>
      <c r="CH532" s="458" t="str">
        <f t="shared" si="301"/>
        <v/>
      </c>
      <c r="CI532" s="458" t="str">
        <f t="shared" si="302"/>
        <v/>
      </c>
      <c r="CJ532" s="458" t="str">
        <f t="shared" si="303"/>
        <v/>
      </c>
      <c r="CK532" s="40" t="str">
        <f t="shared" si="304"/>
        <v/>
      </c>
      <c r="CL532" s="40" t="str">
        <f t="shared" si="305"/>
        <v/>
      </c>
      <c r="CM532" s="40" t="str">
        <f t="shared" si="306"/>
        <v/>
      </c>
      <c r="CN532" s="39" t="str">
        <f t="shared" si="307"/>
        <v/>
      </c>
      <c r="CO532" s="458" t="str">
        <f t="shared" si="308"/>
        <v/>
      </c>
      <c r="CP532" s="458" t="str">
        <f t="shared" si="309"/>
        <v/>
      </c>
      <c r="CQ532" s="458" t="str">
        <f t="shared" si="310"/>
        <v/>
      </c>
      <c r="CR532" s="458" t="str">
        <f t="shared" si="311"/>
        <v/>
      </c>
      <c r="CS532" s="40" t="str">
        <f t="shared" si="312"/>
        <v/>
      </c>
      <c r="CT532" s="40" t="str">
        <f t="shared" si="313"/>
        <v/>
      </c>
      <c r="CU532" s="41" t="str">
        <f t="shared" si="314"/>
        <v/>
      </c>
    </row>
    <row r="533" spans="1:99" x14ac:dyDescent="0.2">
      <c r="A533" s="77">
        <f t="shared" si="315"/>
        <v>528</v>
      </c>
      <c r="B533" s="81"/>
      <c r="C533" s="82"/>
      <c r="D533" s="71"/>
      <c r="E533" s="72"/>
      <c r="F533" s="73"/>
      <c r="G533" s="443"/>
      <c r="H533" s="443"/>
      <c r="I533" s="74"/>
      <c r="J533" s="75"/>
      <c r="K533" s="41">
        <f t="shared" si="284"/>
        <v>3625</v>
      </c>
      <c r="L533" s="104"/>
      <c r="M533" s="105"/>
      <c r="N533" s="106">
        <f t="shared" si="285"/>
        <v>537.05999999999995</v>
      </c>
      <c r="O533" s="104"/>
      <c r="P533" s="105"/>
      <c r="Q533" s="106">
        <f t="shared" si="317"/>
        <v>10045.83</v>
      </c>
      <c r="R533" s="104"/>
      <c r="S533" s="105"/>
      <c r="T533" s="106">
        <f t="shared" si="318"/>
        <v>0</v>
      </c>
      <c r="U533" s="439"/>
      <c r="V533" s="42">
        <f t="shared" si="286"/>
        <v>528</v>
      </c>
      <c r="W533" s="39" t="str">
        <f>IF(AND(E533='Povolené hodnoty'!$B$4,F533=2),I533+L533+O533+R533,"")</f>
        <v/>
      </c>
      <c r="X533" s="41" t="str">
        <f>IF(AND(E533='Povolené hodnoty'!$B$4,F533=1),I533+L533+O533+R533,"")</f>
        <v/>
      </c>
      <c r="Y533" s="39" t="str">
        <f>IF(AND(E533='Povolené hodnoty'!$B$4,F533=10),J533+M533+P533+S533,"")</f>
        <v/>
      </c>
      <c r="Z533" s="41" t="str">
        <f>IF(AND(E533='Povolené hodnoty'!$B$4,F533=9),J533+M533+P533+S533,"")</f>
        <v/>
      </c>
      <c r="AA533" s="39" t="str">
        <f>IF(AND(E533&lt;&gt;'Povolené hodnoty'!$B$4,F533=2),I533+L533+O533+R533,"")</f>
        <v/>
      </c>
      <c r="AB533" s="40" t="str">
        <f>IF(AND(E533&lt;&gt;'Povolené hodnoty'!$B$4,F533=3),I533+L533+O533+R533,"")</f>
        <v/>
      </c>
      <c r="AC533" s="40" t="str">
        <f>IF(AND(E533&lt;&gt;'Povolené hodnoty'!$B$4,F533=4),I533+L533+O533+R533,"")</f>
        <v/>
      </c>
      <c r="AD533" s="40" t="str">
        <f>IF(AND(E533&lt;&gt;'Povolené hodnoty'!$B$4,F533="5a"),I533-J533+L533-M533+O533-P533+R533-S533,"")</f>
        <v/>
      </c>
      <c r="AE533" s="40" t="str">
        <f>IF(AND(E533&lt;&gt;'Povolené hodnoty'!$B$4,F533="5b"),I533-J533+L533-M533+O533-P533+R533-S533,"")</f>
        <v/>
      </c>
      <c r="AF533" s="40" t="str">
        <f>IF(AND(E533&lt;&gt;'Povolené hodnoty'!$B$4,F533=6),I533+L533+O533+R533,"")</f>
        <v/>
      </c>
      <c r="AG533" s="41" t="str">
        <f>IF(AND(E533&lt;&gt;'Povolené hodnoty'!$B$4,F533=7),I533+L533+O533+R533,"")</f>
        <v/>
      </c>
      <c r="AH533" s="39" t="str">
        <f>IF(AND(E533&lt;&gt;'Povolené hodnoty'!$B$4,F533=10),J533+M533+P533+S533,"")</f>
        <v/>
      </c>
      <c r="AI533" s="40" t="str">
        <f>IF(AND(E533&lt;&gt;'Povolené hodnoty'!$B$4,F533=11),J533+M533+P533+S533,"")</f>
        <v/>
      </c>
      <c r="AJ533" s="40" t="str">
        <f>IF(AND(E533&lt;&gt;'Povolené hodnoty'!$B$4,F533=12),J533+M533+P533+S533,"")</f>
        <v/>
      </c>
      <c r="AK533" s="41" t="str">
        <f>IF(AND(E533&lt;&gt;'Povolené hodnoty'!$B$4,F533=13),J533+M533+P533+S533,"")</f>
        <v/>
      </c>
      <c r="AL533" s="39" t="str">
        <f>IF(AND($G533='Povolené hodnoty'!$B$13,$H533=AL$4),SUM($I533,$L533,$O533,$R533),"")</f>
        <v/>
      </c>
      <c r="AM533" s="458" t="str">
        <f>IF(AND($G533='Povolené hodnoty'!$B$13,$H533=AM$4),SUM($I533,$L533,$O533,$R533),"")</f>
        <v/>
      </c>
      <c r="AN533" s="458" t="str">
        <f>IF(AND($G533='Povolené hodnoty'!$B$13,$H533=AN$4),SUM($I533,$L533,$O533,$R533),"")</f>
        <v/>
      </c>
      <c r="AO533" s="458" t="str">
        <f>IF(AND($G533='Povolené hodnoty'!$B$13,$H533=AO$4),SUM($I533,$L533,$O533,$R533),"")</f>
        <v/>
      </c>
      <c r="AP533" s="458" t="str">
        <f>IF(AND($G533='Povolené hodnoty'!$B$13,$H533=AP$4),SUM($I533,$L533,$O533,$R533),"")</f>
        <v/>
      </c>
      <c r="AQ533" s="40" t="str">
        <f>IF(AND($G533='Povolené hodnoty'!$B$13,OR($H533=AQ$4,$H533='Povolené hodnoty'!$E$36)),SUM($I533,-$J533,$L533,-$M533,$O533,-$P533,$R533,-$S533),"")</f>
        <v/>
      </c>
      <c r="AR533" s="40" t="str">
        <f>IF(AND($G533='Povolené hodnoty'!$B$13,$H533=AR$4),SUM($I533,$L533,$O533,$R533),"")</f>
        <v/>
      </c>
      <c r="AS533" s="41" t="str">
        <f>IF(AND($G533='Povolené hodnoty'!$B$13,$H533=AS$4),SUM($I533,$L533,$O533,$R533),"")</f>
        <v/>
      </c>
      <c r="AT533" s="39" t="str">
        <f>IF(AND($G533='Povolené hodnoty'!$B$14,$H533=AT$4),SUM($I533,$L533,$O533,$R533),"")</f>
        <v/>
      </c>
      <c r="AU533" s="458" t="str">
        <f>IF(AND($G533='Povolené hodnoty'!$B$14,$H533=AU$4),SUM($I533,$L533,$O533,$R533),"")</f>
        <v/>
      </c>
      <c r="AV533" s="41" t="str">
        <f>IF(AND($G533='Povolené hodnoty'!$B$14,$H533=AV$4),SUM($I533,$L533,$O533,$R533),"")</f>
        <v/>
      </c>
      <c r="AW533" s="39" t="str">
        <f>IF(AND($G533='Povolené hodnoty'!$B$13,$H533=AW$4),SUM($J533,$M533,$P533,$S533),"")</f>
        <v/>
      </c>
      <c r="AX533" s="458" t="str">
        <f>IF(AND($G533='Povolené hodnoty'!$B$13,$H533=AX$4),SUM($J533,$M533,$P533,$S533),"")</f>
        <v/>
      </c>
      <c r="AY533" s="458" t="str">
        <f>IF(AND($G533='Povolené hodnoty'!$B$13,$H533=AY$4),SUM($J533,$M533,$P533,$S533),"")</f>
        <v/>
      </c>
      <c r="AZ533" s="458" t="str">
        <f>IF(AND($G533='Povolené hodnoty'!$B$13,$H533=AZ$4),SUM($J533,$M533,$P533,$S533),"")</f>
        <v/>
      </c>
      <c r="BA533" s="458" t="str">
        <f>IF(AND($G533='Povolené hodnoty'!$B$13,$H533=BA$4),SUM($J533,$M533,$P533,$S533),"")</f>
        <v/>
      </c>
      <c r="BB533" s="40" t="str">
        <f>IF(AND($G533='Povolené hodnoty'!$B$13,$H533=BB$4),SUM($J533,$M533,$P533,$S533),"")</f>
        <v/>
      </c>
      <c r="BC533" s="40" t="str">
        <f>IF(AND($G533='Povolené hodnoty'!$B$13,$H533=BC$4),SUM($J533,$M533,$P533,$S533),"")</f>
        <v/>
      </c>
      <c r="BD533" s="40" t="str">
        <f>IF(AND($G533='Povolené hodnoty'!$B$13,$H533=BD$4),SUM($J533,$M533,$P533,$S533),"")</f>
        <v/>
      </c>
      <c r="BE533" s="41" t="str">
        <f>IF(AND($G533='Povolené hodnoty'!$B$13,$H533=BE$4),SUM($J533,$M533,$P533,$S533),"")</f>
        <v/>
      </c>
      <c r="BF533" s="39" t="str">
        <f>IF(AND($G533='Povolené hodnoty'!$B$14,$H533=BF$4),SUM($J533,$M533,$P533,$S533),"")</f>
        <v/>
      </c>
      <c r="BG533" s="458" t="str">
        <f>IF(AND($G533='Povolené hodnoty'!$B$14,$H533=BG$4),SUM($J533,$M533,$P533,$S533),"")</f>
        <v/>
      </c>
      <c r="BH533" s="458" t="str">
        <f>IF(AND($G533='Povolené hodnoty'!$B$14,$H533=BH$4),SUM($J533,$M533,$P533,$S533),"")</f>
        <v/>
      </c>
      <c r="BI533" s="458" t="str">
        <f>IF(AND($G533='Povolené hodnoty'!$B$14,$H533=BI$4),SUM($J533,$M533,$P533,$S533),"")</f>
        <v/>
      </c>
      <c r="BJ533" s="458" t="str">
        <f>IF(AND($G533='Povolené hodnoty'!$B$14,$H533=BJ$4),SUM($J533,$M533,$P533,$S533),"")</f>
        <v/>
      </c>
      <c r="BK533" s="40" t="str">
        <f>IF(AND($G533='Povolené hodnoty'!$B$14,$H533=BK$4),SUM($J533,$M533,$P533,$S533),"")</f>
        <v/>
      </c>
      <c r="BL533" s="40" t="str">
        <f>IF(AND($G533='Povolené hodnoty'!$B$14,$H533=BL$4),SUM($J533,$M533,$P533,$S533),"")</f>
        <v/>
      </c>
      <c r="BM533" s="41" t="str">
        <f>IF(AND($G533='Povolené hodnoty'!$B$14,$H533=BM$4),SUM($J533,$M533,$P533,$S533),"")</f>
        <v/>
      </c>
      <c r="BO533" s="18" t="b">
        <f t="shared" si="316"/>
        <v>0</v>
      </c>
      <c r="BP533" s="18" t="b">
        <f t="shared" si="287"/>
        <v>0</v>
      </c>
      <c r="BQ533" s="18" t="b">
        <f>AND(E533&lt;&gt;'Povolené hodnoty'!$B$6,F533&lt;&gt;'Povolené hodnoty'!$D$7,F533&lt;&gt;'Povolené hodnoty'!$D$8,OR(SUM(I533,L533,O533,R533)&lt;&gt;SUM(W533:X533,AA533:AG533),SUM(J533,M533,P533,S533)&lt;&gt;SUM(Y533:Z533,AH533:AK533),COUNT(I533:J533,L533:M533,O533:P533,R533:S533)&lt;&gt;COUNT(W533:AK533)))</f>
        <v>0</v>
      </c>
      <c r="BR533" s="18" t="b">
        <f>OR(AND(E533='Povolené hodnoty'!$B$6,$BR$5),AND(E533='Povolené hodnoty'!$B$6,H533&lt;&gt;'Povolené hodnoty'!$E$26,H533&lt;&gt;'Povolené hodnoty'!$E$35),AND(E533&lt;&gt;'Povolené hodnoty'!$B$6,OR(H533='Povolené hodnoty'!$E$26,H533='Povolené hodnoty'!$E$35)))</f>
        <v>0</v>
      </c>
      <c r="BS533" s="18" t="b">
        <f>OR(AND(G533&lt;&gt;'Povolené hodnoty'!$B$13,OR(H533='Povolené hodnoty'!$E$21,H533='Povolené hodnoty'!$E$22,H533='Povolené hodnoty'!$E$23,H533='Povolené hodnoty'!$E$24,H533='Povolené hodnoty'!$E$26,H533='Povolené hodnoty'!$E$36)),COUNT(I533:J533,L533:M533,O533:P533,R533:S533)&lt;&gt;COUNT(AL533:BM533))</f>
        <v>0</v>
      </c>
      <c r="BT533" s="18" t="b">
        <f t="shared" si="288"/>
        <v>0</v>
      </c>
      <c r="BV533" s="39" t="str">
        <f t="shared" si="289"/>
        <v/>
      </c>
      <c r="BW533" s="458" t="str">
        <f t="shared" si="290"/>
        <v/>
      </c>
      <c r="BX533" s="458" t="str">
        <f t="shared" si="291"/>
        <v/>
      </c>
      <c r="BY533" s="458" t="str">
        <f t="shared" si="292"/>
        <v/>
      </c>
      <c r="BZ533" s="458" t="str">
        <f t="shared" si="293"/>
        <v/>
      </c>
      <c r="CA533" s="40" t="str">
        <f t="shared" si="294"/>
        <v/>
      </c>
      <c r="CB533" s="40" t="str">
        <f t="shared" si="295"/>
        <v/>
      </c>
      <c r="CC533" s="39" t="str">
        <f t="shared" si="296"/>
        <v/>
      </c>
      <c r="CD533" s="458" t="str">
        <f t="shared" si="297"/>
        <v/>
      </c>
      <c r="CE533" s="41" t="str">
        <f t="shared" si="298"/>
        <v/>
      </c>
      <c r="CF533" s="39" t="str">
        <f t="shared" si="299"/>
        <v/>
      </c>
      <c r="CG533" s="458" t="str">
        <f t="shared" si="300"/>
        <v/>
      </c>
      <c r="CH533" s="458" t="str">
        <f t="shared" si="301"/>
        <v/>
      </c>
      <c r="CI533" s="458" t="str">
        <f t="shared" si="302"/>
        <v/>
      </c>
      <c r="CJ533" s="458" t="str">
        <f t="shared" si="303"/>
        <v/>
      </c>
      <c r="CK533" s="40" t="str">
        <f t="shared" si="304"/>
        <v/>
      </c>
      <c r="CL533" s="40" t="str">
        <f t="shared" si="305"/>
        <v/>
      </c>
      <c r="CM533" s="40" t="str">
        <f t="shared" si="306"/>
        <v/>
      </c>
      <c r="CN533" s="39" t="str">
        <f t="shared" si="307"/>
        <v/>
      </c>
      <c r="CO533" s="458" t="str">
        <f t="shared" si="308"/>
        <v/>
      </c>
      <c r="CP533" s="458" t="str">
        <f t="shared" si="309"/>
        <v/>
      </c>
      <c r="CQ533" s="458" t="str">
        <f t="shared" si="310"/>
        <v/>
      </c>
      <c r="CR533" s="458" t="str">
        <f t="shared" si="311"/>
        <v/>
      </c>
      <c r="CS533" s="40" t="str">
        <f t="shared" si="312"/>
        <v/>
      </c>
      <c r="CT533" s="40" t="str">
        <f t="shared" si="313"/>
        <v/>
      </c>
      <c r="CU533" s="41" t="str">
        <f t="shared" si="314"/>
        <v/>
      </c>
    </row>
    <row r="534" spans="1:99" x14ac:dyDescent="0.2">
      <c r="A534" s="77">
        <f t="shared" si="315"/>
        <v>529</v>
      </c>
      <c r="B534" s="81"/>
      <c r="C534" s="82"/>
      <c r="D534" s="71"/>
      <c r="E534" s="72"/>
      <c r="F534" s="73"/>
      <c r="G534" s="443"/>
      <c r="H534" s="443"/>
      <c r="I534" s="74"/>
      <c r="J534" s="75"/>
      <c r="K534" s="41">
        <f t="shared" si="284"/>
        <v>3625</v>
      </c>
      <c r="L534" s="104"/>
      <c r="M534" s="105"/>
      <c r="N534" s="106">
        <f t="shared" si="285"/>
        <v>537.05999999999995</v>
      </c>
      <c r="O534" s="104"/>
      <c r="P534" s="105"/>
      <c r="Q534" s="106">
        <f t="shared" si="317"/>
        <v>10045.83</v>
      </c>
      <c r="R534" s="104"/>
      <c r="S534" s="105"/>
      <c r="T534" s="106">
        <f t="shared" si="318"/>
        <v>0</v>
      </c>
      <c r="U534" s="439"/>
      <c r="V534" s="42">
        <f t="shared" si="286"/>
        <v>529</v>
      </c>
      <c r="W534" s="39" t="str">
        <f>IF(AND(E534='Povolené hodnoty'!$B$4,F534=2),I534+L534+O534+R534,"")</f>
        <v/>
      </c>
      <c r="X534" s="41" t="str">
        <f>IF(AND(E534='Povolené hodnoty'!$B$4,F534=1),I534+L534+O534+R534,"")</f>
        <v/>
      </c>
      <c r="Y534" s="39" t="str">
        <f>IF(AND(E534='Povolené hodnoty'!$B$4,F534=10),J534+M534+P534+S534,"")</f>
        <v/>
      </c>
      <c r="Z534" s="41" t="str">
        <f>IF(AND(E534='Povolené hodnoty'!$B$4,F534=9),J534+M534+P534+S534,"")</f>
        <v/>
      </c>
      <c r="AA534" s="39" t="str">
        <f>IF(AND(E534&lt;&gt;'Povolené hodnoty'!$B$4,F534=2),I534+L534+O534+R534,"")</f>
        <v/>
      </c>
      <c r="AB534" s="40" t="str">
        <f>IF(AND(E534&lt;&gt;'Povolené hodnoty'!$B$4,F534=3),I534+L534+O534+R534,"")</f>
        <v/>
      </c>
      <c r="AC534" s="40" t="str">
        <f>IF(AND(E534&lt;&gt;'Povolené hodnoty'!$B$4,F534=4),I534+L534+O534+R534,"")</f>
        <v/>
      </c>
      <c r="AD534" s="40" t="str">
        <f>IF(AND(E534&lt;&gt;'Povolené hodnoty'!$B$4,F534="5a"),I534-J534+L534-M534+O534-P534+R534-S534,"")</f>
        <v/>
      </c>
      <c r="AE534" s="40" t="str">
        <f>IF(AND(E534&lt;&gt;'Povolené hodnoty'!$B$4,F534="5b"),I534-J534+L534-M534+O534-P534+R534-S534,"")</f>
        <v/>
      </c>
      <c r="AF534" s="40" t="str">
        <f>IF(AND(E534&lt;&gt;'Povolené hodnoty'!$B$4,F534=6),I534+L534+O534+R534,"")</f>
        <v/>
      </c>
      <c r="AG534" s="41" t="str">
        <f>IF(AND(E534&lt;&gt;'Povolené hodnoty'!$B$4,F534=7),I534+L534+O534+R534,"")</f>
        <v/>
      </c>
      <c r="AH534" s="39" t="str">
        <f>IF(AND(E534&lt;&gt;'Povolené hodnoty'!$B$4,F534=10),J534+M534+P534+S534,"")</f>
        <v/>
      </c>
      <c r="AI534" s="40" t="str">
        <f>IF(AND(E534&lt;&gt;'Povolené hodnoty'!$B$4,F534=11),J534+M534+P534+S534,"")</f>
        <v/>
      </c>
      <c r="AJ534" s="40" t="str">
        <f>IF(AND(E534&lt;&gt;'Povolené hodnoty'!$B$4,F534=12),J534+M534+P534+S534,"")</f>
        <v/>
      </c>
      <c r="AK534" s="41" t="str">
        <f>IF(AND(E534&lt;&gt;'Povolené hodnoty'!$B$4,F534=13),J534+M534+P534+S534,"")</f>
        <v/>
      </c>
      <c r="AL534" s="39" t="str">
        <f>IF(AND($G534='Povolené hodnoty'!$B$13,$H534=AL$4),SUM($I534,$L534,$O534,$R534),"")</f>
        <v/>
      </c>
      <c r="AM534" s="458" t="str">
        <f>IF(AND($G534='Povolené hodnoty'!$B$13,$H534=AM$4),SUM($I534,$L534,$O534,$R534),"")</f>
        <v/>
      </c>
      <c r="AN534" s="458" t="str">
        <f>IF(AND($G534='Povolené hodnoty'!$B$13,$H534=AN$4),SUM($I534,$L534,$O534,$R534),"")</f>
        <v/>
      </c>
      <c r="AO534" s="458" t="str">
        <f>IF(AND($G534='Povolené hodnoty'!$B$13,$H534=AO$4),SUM($I534,$L534,$O534,$R534),"")</f>
        <v/>
      </c>
      <c r="AP534" s="458" t="str">
        <f>IF(AND($G534='Povolené hodnoty'!$B$13,$H534=AP$4),SUM($I534,$L534,$O534,$R534),"")</f>
        <v/>
      </c>
      <c r="AQ534" s="40" t="str">
        <f>IF(AND($G534='Povolené hodnoty'!$B$13,OR($H534=AQ$4,$H534='Povolené hodnoty'!$E$36)),SUM($I534,-$J534,$L534,-$M534,$O534,-$P534,$R534,-$S534),"")</f>
        <v/>
      </c>
      <c r="AR534" s="40" t="str">
        <f>IF(AND($G534='Povolené hodnoty'!$B$13,$H534=AR$4),SUM($I534,$L534,$O534,$R534),"")</f>
        <v/>
      </c>
      <c r="AS534" s="41" t="str">
        <f>IF(AND($G534='Povolené hodnoty'!$B$13,$H534=AS$4),SUM($I534,$L534,$O534,$R534),"")</f>
        <v/>
      </c>
      <c r="AT534" s="39" t="str">
        <f>IF(AND($G534='Povolené hodnoty'!$B$14,$H534=AT$4),SUM($I534,$L534,$O534,$R534),"")</f>
        <v/>
      </c>
      <c r="AU534" s="458" t="str">
        <f>IF(AND($G534='Povolené hodnoty'!$B$14,$H534=AU$4),SUM($I534,$L534,$O534,$R534),"")</f>
        <v/>
      </c>
      <c r="AV534" s="41" t="str">
        <f>IF(AND($G534='Povolené hodnoty'!$B$14,$H534=AV$4),SUM($I534,$L534,$O534,$R534),"")</f>
        <v/>
      </c>
      <c r="AW534" s="39" t="str">
        <f>IF(AND($G534='Povolené hodnoty'!$B$13,$H534=AW$4),SUM($J534,$M534,$P534,$S534),"")</f>
        <v/>
      </c>
      <c r="AX534" s="458" t="str">
        <f>IF(AND($G534='Povolené hodnoty'!$B$13,$H534=AX$4),SUM($J534,$M534,$P534,$S534),"")</f>
        <v/>
      </c>
      <c r="AY534" s="458" t="str">
        <f>IF(AND($G534='Povolené hodnoty'!$B$13,$H534=AY$4),SUM($J534,$M534,$P534,$S534),"")</f>
        <v/>
      </c>
      <c r="AZ534" s="458" t="str">
        <f>IF(AND($G534='Povolené hodnoty'!$B$13,$H534=AZ$4),SUM($J534,$M534,$P534,$S534),"")</f>
        <v/>
      </c>
      <c r="BA534" s="458" t="str">
        <f>IF(AND($G534='Povolené hodnoty'!$B$13,$H534=BA$4),SUM($J534,$M534,$P534,$S534),"")</f>
        <v/>
      </c>
      <c r="BB534" s="40" t="str">
        <f>IF(AND($G534='Povolené hodnoty'!$B$13,$H534=BB$4),SUM($J534,$M534,$P534,$S534),"")</f>
        <v/>
      </c>
      <c r="BC534" s="40" t="str">
        <f>IF(AND($G534='Povolené hodnoty'!$B$13,$H534=BC$4),SUM($J534,$M534,$P534,$S534),"")</f>
        <v/>
      </c>
      <c r="BD534" s="40" t="str">
        <f>IF(AND($G534='Povolené hodnoty'!$B$13,$H534=BD$4),SUM($J534,$M534,$P534,$S534),"")</f>
        <v/>
      </c>
      <c r="BE534" s="41" t="str">
        <f>IF(AND($G534='Povolené hodnoty'!$B$13,$H534=BE$4),SUM($J534,$M534,$P534,$S534),"")</f>
        <v/>
      </c>
      <c r="BF534" s="39" t="str">
        <f>IF(AND($G534='Povolené hodnoty'!$B$14,$H534=BF$4),SUM($J534,$M534,$P534,$S534),"")</f>
        <v/>
      </c>
      <c r="BG534" s="458" t="str">
        <f>IF(AND($G534='Povolené hodnoty'!$B$14,$H534=BG$4),SUM($J534,$M534,$P534,$S534),"")</f>
        <v/>
      </c>
      <c r="BH534" s="458" t="str">
        <f>IF(AND($G534='Povolené hodnoty'!$B$14,$H534=BH$4),SUM($J534,$M534,$P534,$S534),"")</f>
        <v/>
      </c>
      <c r="BI534" s="458" t="str">
        <f>IF(AND($G534='Povolené hodnoty'!$B$14,$H534=BI$4),SUM($J534,$M534,$P534,$S534),"")</f>
        <v/>
      </c>
      <c r="BJ534" s="458" t="str">
        <f>IF(AND($G534='Povolené hodnoty'!$B$14,$H534=BJ$4),SUM($J534,$M534,$P534,$S534),"")</f>
        <v/>
      </c>
      <c r="BK534" s="40" t="str">
        <f>IF(AND($G534='Povolené hodnoty'!$B$14,$H534=BK$4),SUM($J534,$M534,$P534,$S534),"")</f>
        <v/>
      </c>
      <c r="BL534" s="40" t="str">
        <f>IF(AND($G534='Povolené hodnoty'!$B$14,$H534=BL$4),SUM($J534,$M534,$P534,$S534),"")</f>
        <v/>
      </c>
      <c r="BM534" s="41" t="str">
        <f>IF(AND($G534='Povolené hodnoty'!$B$14,$H534=BM$4),SUM($J534,$M534,$P534,$S534),"")</f>
        <v/>
      </c>
      <c r="BO534" s="18" t="b">
        <f t="shared" si="316"/>
        <v>0</v>
      </c>
      <c r="BP534" s="18" t="b">
        <f t="shared" si="287"/>
        <v>0</v>
      </c>
      <c r="BQ534" s="18" t="b">
        <f>AND(E534&lt;&gt;'Povolené hodnoty'!$B$6,F534&lt;&gt;'Povolené hodnoty'!$D$7,F534&lt;&gt;'Povolené hodnoty'!$D$8,OR(SUM(I534,L534,O534,R534)&lt;&gt;SUM(W534:X534,AA534:AG534),SUM(J534,M534,P534,S534)&lt;&gt;SUM(Y534:Z534,AH534:AK534),COUNT(I534:J534,L534:M534,O534:P534,R534:S534)&lt;&gt;COUNT(W534:AK534)))</f>
        <v>0</v>
      </c>
      <c r="BR534" s="18" t="b">
        <f>OR(AND(E534='Povolené hodnoty'!$B$6,$BR$5),AND(E534='Povolené hodnoty'!$B$6,H534&lt;&gt;'Povolené hodnoty'!$E$26,H534&lt;&gt;'Povolené hodnoty'!$E$35),AND(E534&lt;&gt;'Povolené hodnoty'!$B$6,OR(H534='Povolené hodnoty'!$E$26,H534='Povolené hodnoty'!$E$35)))</f>
        <v>0</v>
      </c>
      <c r="BS534" s="18" t="b">
        <f>OR(AND(G534&lt;&gt;'Povolené hodnoty'!$B$13,OR(H534='Povolené hodnoty'!$E$21,H534='Povolené hodnoty'!$E$22,H534='Povolené hodnoty'!$E$23,H534='Povolené hodnoty'!$E$24,H534='Povolené hodnoty'!$E$26,H534='Povolené hodnoty'!$E$36)),COUNT(I534:J534,L534:M534,O534:P534,R534:S534)&lt;&gt;COUNT(AL534:BM534))</f>
        <v>0</v>
      </c>
      <c r="BT534" s="18" t="b">
        <f t="shared" si="288"/>
        <v>0</v>
      </c>
      <c r="BV534" s="39" t="str">
        <f t="shared" si="289"/>
        <v/>
      </c>
      <c r="BW534" s="458" t="str">
        <f t="shared" si="290"/>
        <v/>
      </c>
      <c r="BX534" s="458" t="str">
        <f t="shared" si="291"/>
        <v/>
      </c>
      <c r="BY534" s="458" t="str">
        <f t="shared" si="292"/>
        <v/>
      </c>
      <c r="BZ534" s="458" t="str">
        <f t="shared" si="293"/>
        <v/>
      </c>
      <c r="CA534" s="40" t="str">
        <f t="shared" si="294"/>
        <v/>
      </c>
      <c r="CB534" s="40" t="str">
        <f t="shared" si="295"/>
        <v/>
      </c>
      <c r="CC534" s="39" t="str">
        <f t="shared" si="296"/>
        <v/>
      </c>
      <c r="CD534" s="458" t="str">
        <f t="shared" si="297"/>
        <v/>
      </c>
      <c r="CE534" s="41" t="str">
        <f t="shared" si="298"/>
        <v/>
      </c>
      <c r="CF534" s="39" t="str">
        <f t="shared" si="299"/>
        <v/>
      </c>
      <c r="CG534" s="458" t="str">
        <f t="shared" si="300"/>
        <v/>
      </c>
      <c r="CH534" s="458" t="str">
        <f t="shared" si="301"/>
        <v/>
      </c>
      <c r="CI534" s="458" t="str">
        <f t="shared" si="302"/>
        <v/>
      </c>
      <c r="CJ534" s="458" t="str">
        <f t="shared" si="303"/>
        <v/>
      </c>
      <c r="CK534" s="40" t="str">
        <f t="shared" si="304"/>
        <v/>
      </c>
      <c r="CL534" s="40" t="str">
        <f t="shared" si="305"/>
        <v/>
      </c>
      <c r="CM534" s="40" t="str">
        <f t="shared" si="306"/>
        <v/>
      </c>
      <c r="CN534" s="39" t="str">
        <f t="shared" si="307"/>
        <v/>
      </c>
      <c r="CO534" s="458" t="str">
        <f t="shared" si="308"/>
        <v/>
      </c>
      <c r="CP534" s="458" t="str">
        <f t="shared" si="309"/>
        <v/>
      </c>
      <c r="CQ534" s="458" t="str">
        <f t="shared" si="310"/>
        <v/>
      </c>
      <c r="CR534" s="458" t="str">
        <f t="shared" si="311"/>
        <v/>
      </c>
      <c r="CS534" s="40" t="str">
        <f t="shared" si="312"/>
        <v/>
      </c>
      <c r="CT534" s="40" t="str">
        <f t="shared" si="313"/>
        <v/>
      </c>
      <c r="CU534" s="41" t="str">
        <f t="shared" si="314"/>
        <v/>
      </c>
    </row>
    <row r="535" spans="1:99" x14ac:dyDescent="0.2">
      <c r="A535" s="77">
        <f t="shared" si="315"/>
        <v>530</v>
      </c>
      <c r="B535" s="81"/>
      <c r="C535" s="82"/>
      <c r="D535" s="71"/>
      <c r="E535" s="72"/>
      <c r="F535" s="73"/>
      <c r="G535" s="443"/>
      <c r="H535" s="443"/>
      <c r="I535" s="74"/>
      <c r="J535" s="75"/>
      <c r="K535" s="41">
        <f t="shared" si="284"/>
        <v>3625</v>
      </c>
      <c r="L535" s="104"/>
      <c r="M535" s="105"/>
      <c r="N535" s="106">
        <f t="shared" si="285"/>
        <v>537.05999999999995</v>
      </c>
      <c r="O535" s="104"/>
      <c r="P535" s="105"/>
      <c r="Q535" s="106">
        <f t="shared" si="317"/>
        <v>10045.83</v>
      </c>
      <c r="R535" s="104"/>
      <c r="S535" s="105"/>
      <c r="T535" s="106">
        <f t="shared" si="318"/>
        <v>0</v>
      </c>
      <c r="U535" s="439"/>
      <c r="V535" s="42">
        <f t="shared" si="286"/>
        <v>530</v>
      </c>
      <c r="W535" s="39" t="str">
        <f>IF(AND(E535='Povolené hodnoty'!$B$4,F535=2),I535+L535+O535+R535,"")</f>
        <v/>
      </c>
      <c r="X535" s="41" t="str">
        <f>IF(AND(E535='Povolené hodnoty'!$B$4,F535=1),I535+L535+O535+R535,"")</f>
        <v/>
      </c>
      <c r="Y535" s="39" t="str">
        <f>IF(AND(E535='Povolené hodnoty'!$B$4,F535=10),J535+M535+P535+S535,"")</f>
        <v/>
      </c>
      <c r="Z535" s="41" t="str">
        <f>IF(AND(E535='Povolené hodnoty'!$B$4,F535=9),J535+M535+P535+S535,"")</f>
        <v/>
      </c>
      <c r="AA535" s="39" t="str">
        <f>IF(AND(E535&lt;&gt;'Povolené hodnoty'!$B$4,F535=2),I535+L535+O535+R535,"")</f>
        <v/>
      </c>
      <c r="AB535" s="40" t="str">
        <f>IF(AND(E535&lt;&gt;'Povolené hodnoty'!$B$4,F535=3),I535+L535+O535+R535,"")</f>
        <v/>
      </c>
      <c r="AC535" s="40" t="str">
        <f>IF(AND(E535&lt;&gt;'Povolené hodnoty'!$B$4,F535=4),I535+L535+O535+R535,"")</f>
        <v/>
      </c>
      <c r="AD535" s="40" t="str">
        <f>IF(AND(E535&lt;&gt;'Povolené hodnoty'!$B$4,F535="5a"),I535-J535+L535-M535+O535-P535+R535-S535,"")</f>
        <v/>
      </c>
      <c r="AE535" s="40" t="str">
        <f>IF(AND(E535&lt;&gt;'Povolené hodnoty'!$B$4,F535="5b"),I535-J535+L535-M535+O535-P535+R535-S535,"")</f>
        <v/>
      </c>
      <c r="AF535" s="40" t="str">
        <f>IF(AND(E535&lt;&gt;'Povolené hodnoty'!$B$4,F535=6),I535+L535+O535+R535,"")</f>
        <v/>
      </c>
      <c r="AG535" s="41" t="str">
        <f>IF(AND(E535&lt;&gt;'Povolené hodnoty'!$B$4,F535=7),I535+L535+O535+R535,"")</f>
        <v/>
      </c>
      <c r="AH535" s="39" t="str">
        <f>IF(AND(E535&lt;&gt;'Povolené hodnoty'!$B$4,F535=10),J535+M535+P535+S535,"")</f>
        <v/>
      </c>
      <c r="AI535" s="40" t="str">
        <f>IF(AND(E535&lt;&gt;'Povolené hodnoty'!$B$4,F535=11),J535+M535+P535+S535,"")</f>
        <v/>
      </c>
      <c r="AJ535" s="40" t="str">
        <f>IF(AND(E535&lt;&gt;'Povolené hodnoty'!$B$4,F535=12),J535+M535+P535+S535,"")</f>
        <v/>
      </c>
      <c r="AK535" s="41" t="str">
        <f>IF(AND(E535&lt;&gt;'Povolené hodnoty'!$B$4,F535=13),J535+M535+P535+S535,"")</f>
        <v/>
      </c>
      <c r="AL535" s="39" t="str">
        <f>IF(AND($G535='Povolené hodnoty'!$B$13,$H535=AL$4),SUM($I535,$L535,$O535,$R535),"")</f>
        <v/>
      </c>
      <c r="AM535" s="458" t="str">
        <f>IF(AND($G535='Povolené hodnoty'!$B$13,$H535=AM$4),SUM($I535,$L535,$O535,$R535),"")</f>
        <v/>
      </c>
      <c r="AN535" s="458" t="str">
        <f>IF(AND($G535='Povolené hodnoty'!$B$13,$H535=AN$4),SUM($I535,$L535,$O535,$R535),"")</f>
        <v/>
      </c>
      <c r="AO535" s="458" t="str">
        <f>IF(AND($G535='Povolené hodnoty'!$B$13,$H535=AO$4),SUM($I535,$L535,$O535,$R535),"")</f>
        <v/>
      </c>
      <c r="AP535" s="458" t="str">
        <f>IF(AND($G535='Povolené hodnoty'!$B$13,$H535=AP$4),SUM($I535,$L535,$O535,$R535),"")</f>
        <v/>
      </c>
      <c r="AQ535" s="40" t="str">
        <f>IF(AND($G535='Povolené hodnoty'!$B$13,OR($H535=AQ$4,$H535='Povolené hodnoty'!$E$36)),SUM($I535,-$J535,$L535,-$M535,$O535,-$P535,$R535,-$S535),"")</f>
        <v/>
      </c>
      <c r="AR535" s="40" t="str">
        <f>IF(AND($G535='Povolené hodnoty'!$B$13,$H535=AR$4),SUM($I535,$L535,$O535,$R535),"")</f>
        <v/>
      </c>
      <c r="AS535" s="41" t="str">
        <f>IF(AND($G535='Povolené hodnoty'!$B$13,$H535=AS$4),SUM($I535,$L535,$O535,$R535),"")</f>
        <v/>
      </c>
      <c r="AT535" s="39" t="str">
        <f>IF(AND($G535='Povolené hodnoty'!$B$14,$H535=AT$4),SUM($I535,$L535,$O535,$R535),"")</f>
        <v/>
      </c>
      <c r="AU535" s="458" t="str">
        <f>IF(AND($G535='Povolené hodnoty'!$B$14,$H535=AU$4),SUM($I535,$L535,$O535,$R535),"")</f>
        <v/>
      </c>
      <c r="AV535" s="41" t="str">
        <f>IF(AND($G535='Povolené hodnoty'!$B$14,$H535=AV$4),SUM($I535,$L535,$O535,$R535),"")</f>
        <v/>
      </c>
      <c r="AW535" s="39" t="str">
        <f>IF(AND($G535='Povolené hodnoty'!$B$13,$H535=AW$4),SUM($J535,$M535,$P535,$S535),"")</f>
        <v/>
      </c>
      <c r="AX535" s="458" t="str">
        <f>IF(AND($G535='Povolené hodnoty'!$B$13,$H535=AX$4),SUM($J535,$M535,$P535,$S535),"")</f>
        <v/>
      </c>
      <c r="AY535" s="458" t="str">
        <f>IF(AND($G535='Povolené hodnoty'!$B$13,$H535=AY$4),SUM($J535,$M535,$P535,$S535),"")</f>
        <v/>
      </c>
      <c r="AZ535" s="458" t="str">
        <f>IF(AND($G535='Povolené hodnoty'!$B$13,$H535=AZ$4),SUM($J535,$M535,$P535,$S535),"")</f>
        <v/>
      </c>
      <c r="BA535" s="458" t="str">
        <f>IF(AND($G535='Povolené hodnoty'!$B$13,$H535=BA$4),SUM($J535,$M535,$P535,$S535),"")</f>
        <v/>
      </c>
      <c r="BB535" s="40" t="str">
        <f>IF(AND($G535='Povolené hodnoty'!$B$13,$H535=BB$4),SUM($J535,$M535,$P535,$S535),"")</f>
        <v/>
      </c>
      <c r="BC535" s="40" t="str">
        <f>IF(AND($G535='Povolené hodnoty'!$B$13,$H535=BC$4),SUM($J535,$M535,$P535,$S535),"")</f>
        <v/>
      </c>
      <c r="BD535" s="40" t="str">
        <f>IF(AND($G535='Povolené hodnoty'!$B$13,$H535=BD$4),SUM($J535,$M535,$P535,$S535),"")</f>
        <v/>
      </c>
      <c r="BE535" s="41" t="str">
        <f>IF(AND($G535='Povolené hodnoty'!$B$13,$H535=BE$4),SUM($J535,$M535,$P535,$S535),"")</f>
        <v/>
      </c>
      <c r="BF535" s="39" t="str">
        <f>IF(AND($G535='Povolené hodnoty'!$B$14,$H535=BF$4),SUM($J535,$M535,$P535,$S535),"")</f>
        <v/>
      </c>
      <c r="BG535" s="458" t="str">
        <f>IF(AND($G535='Povolené hodnoty'!$B$14,$H535=BG$4),SUM($J535,$M535,$P535,$S535),"")</f>
        <v/>
      </c>
      <c r="BH535" s="458" t="str">
        <f>IF(AND($G535='Povolené hodnoty'!$B$14,$H535=BH$4),SUM($J535,$M535,$P535,$S535),"")</f>
        <v/>
      </c>
      <c r="BI535" s="458" t="str">
        <f>IF(AND($G535='Povolené hodnoty'!$B$14,$H535=BI$4),SUM($J535,$M535,$P535,$S535),"")</f>
        <v/>
      </c>
      <c r="BJ535" s="458" t="str">
        <f>IF(AND($G535='Povolené hodnoty'!$B$14,$H535=BJ$4),SUM($J535,$M535,$P535,$S535),"")</f>
        <v/>
      </c>
      <c r="BK535" s="40" t="str">
        <f>IF(AND($G535='Povolené hodnoty'!$B$14,$H535=BK$4),SUM($J535,$M535,$P535,$S535),"")</f>
        <v/>
      </c>
      <c r="BL535" s="40" t="str">
        <f>IF(AND($G535='Povolené hodnoty'!$B$14,$H535=BL$4),SUM($J535,$M535,$P535,$S535),"")</f>
        <v/>
      </c>
      <c r="BM535" s="41" t="str">
        <f>IF(AND($G535='Povolené hodnoty'!$B$14,$H535=BM$4),SUM($J535,$M535,$P535,$S535),"")</f>
        <v/>
      </c>
      <c r="BO535" s="18" t="b">
        <f t="shared" si="316"/>
        <v>0</v>
      </c>
      <c r="BP535" s="18" t="b">
        <f t="shared" si="287"/>
        <v>0</v>
      </c>
      <c r="BQ535" s="18" t="b">
        <f>AND(E535&lt;&gt;'Povolené hodnoty'!$B$6,F535&lt;&gt;'Povolené hodnoty'!$D$7,F535&lt;&gt;'Povolené hodnoty'!$D$8,OR(SUM(I535,L535,O535,R535)&lt;&gt;SUM(W535:X535,AA535:AG535),SUM(J535,M535,P535,S535)&lt;&gt;SUM(Y535:Z535,AH535:AK535),COUNT(I535:J535,L535:M535,O535:P535,R535:S535)&lt;&gt;COUNT(W535:AK535)))</f>
        <v>0</v>
      </c>
      <c r="BR535" s="18" t="b">
        <f>OR(AND(E535='Povolené hodnoty'!$B$6,$BR$5),AND(E535='Povolené hodnoty'!$B$6,H535&lt;&gt;'Povolené hodnoty'!$E$26,H535&lt;&gt;'Povolené hodnoty'!$E$35),AND(E535&lt;&gt;'Povolené hodnoty'!$B$6,OR(H535='Povolené hodnoty'!$E$26,H535='Povolené hodnoty'!$E$35)))</f>
        <v>0</v>
      </c>
      <c r="BS535" s="18" t="b">
        <f>OR(AND(G535&lt;&gt;'Povolené hodnoty'!$B$13,OR(H535='Povolené hodnoty'!$E$21,H535='Povolené hodnoty'!$E$22,H535='Povolené hodnoty'!$E$23,H535='Povolené hodnoty'!$E$24,H535='Povolené hodnoty'!$E$26,H535='Povolené hodnoty'!$E$36)),COUNT(I535:J535,L535:M535,O535:P535,R535:S535)&lt;&gt;COUNT(AL535:BM535))</f>
        <v>0</v>
      </c>
      <c r="BT535" s="18" t="b">
        <f t="shared" si="288"/>
        <v>0</v>
      </c>
      <c r="BV535" s="39" t="str">
        <f t="shared" si="289"/>
        <v/>
      </c>
      <c r="BW535" s="458" t="str">
        <f t="shared" si="290"/>
        <v/>
      </c>
      <c r="BX535" s="458" t="str">
        <f t="shared" si="291"/>
        <v/>
      </c>
      <c r="BY535" s="458" t="str">
        <f t="shared" si="292"/>
        <v/>
      </c>
      <c r="BZ535" s="458" t="str">
        <f t="shared" si="293"/>
        <v/>
      </c>
      <c r="CA535" s="40" t="str">
        <f t="shared" si="294"/>
        <v/>
      </c>
      <c r="CB535" s="40" t="str">
        <f t="shared" si="295"/>
        <v/>
      </c>
      <c r="CC535" s="39" t="str">
        <f t="shared" si="296"/>
        <v/>
      </c>
      <c r="CD535" s="458" t="str">
        <f t="shared" si="297"/>
        <v/>
      </c>
      <c r="CE535" s="41" t="str">
        <f t="shared" si="298"/>
        <v/>
      </c>
      <c r="CF535" s="39" t="str">
        <f t="shared" si="299"/>
        <v/>
      </c>
      <c r="CG535" s="458" t="str">
        <f t="shared" si="300"/>
        <v/>
      </c>
      <c r="CH535" s="458" t="str">
        <f t="shared" si="301"/>
        <v/>
      </c>
      <c r="CI535" s="458" t="str">
        <f t="shared" si="302"/>
        <v/>
      </c>
      <c r="CJ535" s="458" t="str">
        <f t="shared" si="303"/>
        <v/>
      </c>
      <c r="CK535" s="40" t="str">
        <f t="shared" si="304"/>
        <v/>
      </c>
      <c r="CL535" s="40" t="str">
        <f t="shared" si="305"/>
        <v/>
      </c>
      <c r="CM535" s="40" t="str">
        <f t="shared" si="306"/>
        <v/>
      </c>
      <c r="CN535" s="39" t="str">
        <f t="shared" si="307"/>
        <v/>
      </c>
      <c r="CO535" s="458" t="str">
        <f t="shared" si="308"/>
        <v/>
      </c>
      <c r="CP535" s="458" t="str">
        <f t="shared" si="309"/>
        <v/>
      </c>
      <c r="CQ535" s="458" t="str">
        <f t="shared" si="310"/>
        <v/>
      </c>
      <c r="CR535" s="458" t="str">
        <f t="shared" si="311"/>
        <v/>
      </c>
      <c r="CS535" s="40" t="str">
        <f t="shared" si="312"/>
        <v/>
      </c>
      <c r="CT535" s="40" t="str">
        <f t="shared" si="313"/>
        <v/>
      </c>
      <c r="CU535" s="41" t="str">
        <f t="shared" si="314"/>
        <v/>
      </c>
    </row>
    <row r="536" spans="1:99" x14ac:dyDescent="0.2">
      <c r="A536" s="77">
        <f t="shared" si="315"/>
        <v>531</v>
      </c>
      <c r="B536" s="81"/>
      <c r="C536" s="82"/>
      <c r="D536" s="71"/>
      <c r="E536" s="72"/>
      <c r="F536" s="73"/>
      <c r="G536" s="443"/>
      <c r="H536" s="443"/>
      <c r="I536" s="74"/>
      <c r="J536" s="75"/>
      <c r="K536" s="41">
        <f t="shared" si="284"/>
        <v>3625</v>
      </c>
      <c r="L536" s="104"/>
      <c r="M536" s="105"/>
      <c r="N536" s="106">
        <f t="shared" si="285"/>
        <v>537.05999999999995</v>
      </c>
      <c r="O536" s="104"/>
      <c r="P536" s="105"/>
      <c r="Q536" s="106">
        <f t="shared" si="317"/>
        <v>10045.83</v>
      </c>
      <c r="R536" s="104"/>
      <c r="S536" s="105"/>
      <c r="T536" s="106">
        <f t="shared" si="318"/>
        <v>0</v>
      </c>
      <c r="U536" s="439"/>
      <c r="V536" s="42">
        <f t="shared" si="286"/>
        <v>531</v>
      </c>
      <c r="W536" s="39" t="str">
        <f>IF(AND(E536='Povolené hodnoty'!$B$4,F536=2),I536+L536+O536+R536,"")</f>
        <v/>
      </c>
      <c r="X536" s="41" t="str">
        <f>IF(AND(E536='Povolené hodnoty'!$B$4,F536=1),I536+L536+O536+R536,"")</f>
        <v/>
      </c>
      <c r="Y536" s="39" t="str">
        <f>IF(AND(E536='Povolené hodnoty'!$B$4,F536=10),J536+M536+P536+S536,"")</f>
        <v/>
      </c>
      <c r="Z536" s="41" t="str">
        <f>IF(AND(E536='Povolené hodnoty'!$B$4,F536=9),J536+M536+P536+S536,"")</f>
        <v/>
      </c>
      <c r="AA536" s="39" t="str">
        <f>IF(AND(E536&lt;&gt;'Povolené hodnoty'!$B$4,F536=2),I536+L536+O536+R536,"")</f>
        <v/>
      </c>
      <c r="AB536" s="40" t="str">
        <f>IF(AND(E536&lt;&gt;'Povolené hodnoty'!$B$4,F536=3),I536+L536+O536+R536,"")</f>
        <v/>
      </c>
      <c r="AC536" s="40" t="str">
        <f>IF(AND(E536&lt;&gt;'Povolené hodnoty'!$B$4,F536=4),I536+L536+O536+R536,"")</f>
        <v/>
      </c>
      <c r="AD536" s="40" t="str">
        <f>IF(AND(E536&lt;&gt;'Povolené hodnoty'!$B$4,F536="5a"),I536-J536+L536-M536+O536-P536+R536-S536,"")</f>
        <v/>
      </c>
      <c r="AE536" s="40" t="str">
        <f>IF(AND(E536&lt;&gt;'Povolené hodnoty'!$B$4,F536="5b"),I536-J536+L536-M536+O536-P536+R536-S536,"")</f>
        <v/>
      </c>
      <c r="AF536" s="40" t="str">
        <f>IF(AND(E536&lt;&gt;'Povolené hodnoty'!$B$4,F536=6),I536+L536+O536+R536,"")</f>
        <v/>
      </c>
      <c r="AG536" s="41" t="str">
        <f>IF(AND(E536&lt;&gt;'Povolené hodnoty'!$B$4,F536=7),I536+L536+O536+R536,"")</f>
        <v/>
      </c>
      <c r="AH536" s="39" t="str">
        <f>IF(AND(E536&lt;&gt;'Povolené hodnoty'!$B$4,F536=10),J536+M536+P536+S536,"")</f>
        <v/>
      </c>
      <c r="AI536" s="40" t="str">
        <f>IF(AND(E536&lt;&gt;'Povolené hodnoty'!$B$4,F536=11),J536+M536+P536+S536,"")</f>
        <v/>
      </c>
      <c r="AJ536" s="40" t="str">
        <f>IF(AND(E536&lt;&gt;'Povolené hodnoty'!$B$4,F536=12),J536+M536+P536+S536,"")</f>
        <v/>
      </c>
      <c r="AK536" s="41" t="str">
        <f>IF(AND(E536&lt;&gt;'Povolené hodnoty'!$B$4,F536=13),J536+M536+P536+S536,"")</f>
        <v/>
      </c>
      <c r="AL536" s="39" t="str">
        <f>IF(AND($G536='Povolené hodnoty'!$B$13,$H536=AL$4),SUM($I536,$L536,$O536,$R536),"")</f>
        <v/>
      </c>
      <c r="AM536" s="458" t="str">
        <f>IF(AND($G536='Povolené hodnoty'!$B$13,$H536=AM$4),SUM($I536,$L536,$O536,$R536),"")</f>
        <v/>
      </c>
      <c r="AN536" s="458" t="str">
        <f>IF(AND($G536='Povolené hodnoty'!$B$13,$H536=AN$4),SUM($I536,$L536,$O536,$R536),"")</f>
        <v/>
      </c>
      <c r="AO536" s="458" t="str">
        <f>IF(AND($G536='Povolené hodnoty'!$B$13,$H536=AO$4),SUM($I536,$L536,$O536,$R536),"")</f>
        <v/>
      </c>
      <c r="AP536" s="458" t="str">
        <f>IF(AND($G536='Povolené hodnoty'!$B$13,$H536=AP$4),SUM($I536,$L536,$O536,$R536),"")</f>
        <v/>
      </c>
      <c r="AQ536" s="40" t="str">
        <f>IF(AND($G536='Povolené hodnoty'!$B$13,OR($H536=AQ$4,$H536='Povolené hodnoty'!$E$36)),SUM($I536,-$J536,$L536,-$M536,$O536,-$P536,$R536,-$S536),"")</f>
        <v/>
      </c>
      <c r="AR536" s="40" t="str">
        <f>IF(AND($G536='Povolené hodnoty'!$B$13,$H536=AR$4),SUM($I536,$L536,$O536,$R536),"")</f>
        <v/>
      </c>
      <c r="AS536" s="41" t="str">
        <f>IF(AND($G536='Povolené hodnoty'!$B$13,$H536=AS$4),SUM($I536,$L536,$O536,$R536),"")</f>
        <v/>
      </c>
      <c r="AT536" s="39" t="str">
        <f>IF(AND($G536='Povolené hodnoty'!$B$14,$H536=AT$4),SUM($I536,$L536,$O536,$R536),"")</f>
        <v/>
      </c>
      <c r="AU536" s="458" t="str">
        <f>IF(AND($G536='Povolené hodnoty'!$B$14,$H536=AU$4),SUM($I536,$L536,$O536,$R536),"")</f>
        <v/>
      </c>
      <c r="AV536" s="41" t="str">
        <f>IF(AND($G536='Povolené hodnoty'!$B$14,$H536=AV$4),SUM($I536,$L536,$O536,$R536),"")</f>
        <v/>
      </c>
      <c r="AW536" s="39" t="str">
        <f>IF(AND($G536='Povolené hodnoty'!$B$13,$H536=AW$4),SUM($J536,$M536,$P536,$S536),"")</f>
        <v/>
      </c>
      <c r="AX536" s="458" t="str">
        <f>IF(AND($G536='Povolené hodnoty'!$B$13,$H536=AX$4),SUM($J536,$M536,$P536,$S536),"")</f>
        <v/>
      </c>
      <c r="AY536" s="458" t="str">
        <f>IF(AND($G536='Povolené hodnoty'!$B$13,$H536=AY$4),SUM($J536,$M536,$P536,$S536),"")</f>
        <v/>
      </c>
      <c r="AZ536" s="458" t="str">
        <f>IF(AND($G536='Povolené hodnoty'!$B$13,$H536=AZ$4),SUM($J536,$M536,$P536,$S536),"")</f>
        <v/>
      </c>
      <c r="BA536" s="458" t="str">
        <f>IF(AND($G536='Povolené hodnoty'!$B$13,$H536=BA$4),SUM($J536,$M536,$P536,$S536),"")</f>
        <v/>
      </c>
      <c r="BB536" s="40" t="str">
        <f>IF(AND($G536='Povolené hodnoty'!$B$13,$H536=BB$4),SUM($J536,$M536,$P536,$S536),"")</f>
        <v/>
      </c>
      <c r="BC536" s="40" t="str">
        <f>IF(AND($G536='Povolené hodnoty'!$B$13,$H536=BC$4),SUM($J536,$M536,$P536,$S536),"")</f>
        <v/>
      </c>
      <c r="BD536" s="40" t="str">
        <f>IF(AND($G536='Povolené hodnoty'!$B$13,$H536=BD$4),SUM($J536,$M536,$P536,$S536),"")</f>
        <v/>
      </c>
      <c r="BE536" s="41" t="str">
        <f>IF(AND($G536='Povolené hodnoty'!$B$13,$H536=BE$4),SUM($J536,$M536,$P536,$S536),"")</f>
        <v/>
      </c>
      <c r="BF536" s="39" t="str">
        <f>IF(AND($G536='Povolené hodnoty'!$B$14,$H536=BF$4),SUM($J536,$M536,$P536,$S536),"")</f>
        <v/>
      </c>
      <c r="BG536" s="458" t="str">
        <f>IF(AND($G536='Povolené hodnoty'!$B$14,$H536=BG$4),SUM($J536,$M536,$P536,$S536),"")</f>
        <v/>
      </c>
      <c r="BH536" s="458" t="str">
        <f>IF(AND($G536='Povolené hodnoty'!$B$14,$H536=BH$4),SUM($J536,$M536,$P536,$S536),"")</f>
        <v/>
      </c>
      <c r="BI536" s="458" t="str">
        <f>IF(AND($G536='Povolené hodnoty'!$B$14,$H536=BI$4),SUM($J536,$M536,$P536,$S536),"")</f>
        <v/>
      </c>
      <c r="BJ536" s="458" t="str">
        <f>IF(AND($G536='Povolené hodnoty'!$B$14,$H536=BJ$4),SUM($J536,$M536,$P536,$S536),"")</f>
        <v/>
      </c>
      <c r="BK536" s="40" t="str">
        <f>IF(AND($G536='Povolené hodnoty'!$B$14,$H536=BK$4),SUM($J536,$M536,$P536,$S536),"")</f>
        <v/>
      </c>
      <c r="BL536" s="40" t="str">
        <f>IF(AND($G536='Povolené hodnoty'!$B$14,$H536=BL$4),SUM($J536,$M536,$P536,$S536),"")</f>
        <v/>
      </c>
      <c r="BM536" s="41" t="str">
        <f>IF(AND($G536='Povolené hodnoty'!$B$14,$H536=BM$4),SUM($J536,$M536,$P536,$S536),"")</f>
        <v/>
      </c>
      <c r="BO536" s="18" t="b">
        <f t="shared" si="316"/>
        <v>0</v>
      </c>
      <c r="BP536" s="18" t="b">
        <f t="shared" si="287"/>
        <v>0</v>
      </c>
      <c r="BQ536" s="18" t="b">
        <f>AND(E536&lt;&gt;'Povolené hodnoty'!$B$6,F536&lt;&gt;'Povolené hodnoty'!$D$7,F536&lt;&gt;'Povolené hodnoty'!$D$8,OR(SUM(I536,L536,O536,R536)&lt;&gt;SUM(W536:X536,AA536:AG536),SUM(J536,M536,P536,S536)&lt;&gt;SUM(Y536:Z536,AH536:AK536),COUNT(I536:J536,L536:M536,O536:P536,R536:S536)&lt;&gt;COUNT(W536:AK536)))</f>
        <v>0</v>
      </c>
      <c r="BR536" s="18" t="b">
        <f>OR(AND(E536='Povolené hodnoty'!$B$6,$BR$5),AND(E536='Povolené hodnoty'!$B$6,H536&lt;&gt;'Povolené hodnoty'!$E$26,H536&lt;&gt;'Povolené hodnoty'!$E$35),AND(E536&lt;&gt;'Povolené hodnoty'!$B$6,OR(H536='Povolené hodnoty'!$E$26,H536='Povolené hodnoty'!$E$35)))</f>
        <v>0</v>
      </c>
      <c r="BS536" s="18" t="b">
        <f>OR(AND(G536&lt;&gt;'Povolené hodnoty'!$B$13,OR(H536='Povolené hodnoty'!$E$21,H536='Povolené hodnoty'!$E$22,H536='Povolené hodnoty'!$E$23,H536='Povolené hodnoty'!$E$24,H536='Povolené hodnoty'!$E$26,H536='Povolené hodnoty'!$E$36)),COUNT(I536:J536,L536:M536,O536:P536,R536:S536)&lt;&gt;COUNT(AL536:BM536))</f>
        <v>0</v>
      </c>
      <c r="BT536" s="18" t="b">
        <f t="shared" si="288"/>
        <v>0</v>
      </c>
      <c r="BV536" s="39" t="str">
        <f t="shared" si="289"/>
        <v/>
      </c>
      <c r="BW536" s="458" t="str">
        <f t="shared" si="290"/>
        <v/>
      </c>
      <c r="BX536" s="458" t="str">
        <f t="shared" si="291"/>
        <v/>
      </c>
      <c r="BY536" s="458" t="str">
        <f t="shared" si="292"/>
        <v/>
      </c>
      <c r="BZ536" s="458" t="str">
        <f t="shared" si="293"/>
        <v/>
      </c>
      <c r="CA536" s="40" t="str">
        <f t="shared" si="294"/>
        <v/>
      </c>
      <c r="CB536" s="40" t="str">
        <f t="shared" si="295"/>
        <v/>
      </c>
      <c r="CC536" s="39" t="str">
        <f t="shared" si="296"/>
        <v/>
      </c>
      <c r="CD536" s="458" t="str">
        <f t="shared" si="297"/>
        <v/>
      </c>
      <c r="CE536" s="41" t="str">
        <f t="shared" si="298"/>
        <v/>
      </c>
      <c r="CF536" s="39" t="str">
        <f t="shared" si="299"/>
        <v/>
      </c>
      <c r="CG536" s="458" t="str">
        <f t="shared" si="300"/>
        <v/>
      </c>
      <c r="CH536" s="458" t="str">
        <f t="shared" si="301"/>
        <v/>
      </c>
      <c r="CI536" s="458" t="str">
        <f t="shared" si="302"/>
        <v/>
      </c>
      <c r="CJ536" s="458" t="str">
        <f t="shared" si="303"/>
        <v/>
      </c>
      <c r="CK536" s="40" t="str">
        <f t="shared" si="304"/>
        <v/>
      </c>
      <c r="CL536" s="40" t="str">
        <f t="shared" si="305"/>
        <v/>
      </c>
      <c r="CM536" s="40" t="str">
        <f t="shared" si="306"/>
        <v/>
      </c>
      <c r="CN536" s="39" t="str">
        <f t="shared" si="307"/>
        <v/>
      </c>
      <c r="CO536" s="458" t="str">
        <f t="shared" si="308"/>
        <v/>
      </c>
      <c r="CP536" s="458" t="str">
        <f t="shared" si="309"/>
        <v/>
      </c>
      <c r="CQ536" s="458" t="str">
        <f t="shared" si="310"/>
        <v/>
      </c>
      <c r="CR536" s="458" t="str">
        <f t="shared" si="311"/>
        <v/>
      </c>
      <c r="CS536" s="40" t="str">
        <f t="shared" si="312"/>
        <v/>
      </c>
      <c r="CT536" s="40" t="str">
        <f t="shared" si="313"/>
        <v/>
      </c>
      <c r="CU536" s="41" t="str">
        <f t="shared" si="314"/>
        <v/>
      </c>
    </row>
    <row r="537" spans="1:99" x14ac:dyDescent="0.2">
      <c r="A537" s="77">
        <f t="shared" si="315"/>
        <v>532</v>
      </c>
      <c r="B537" s="81"/>
      <c r="C537" s="82"/>
      <c r="D537" s="71"/>
      <c r="E537" s="72"/>
      <c r="F537" s="73"/>
      <c r="G537" s="443"/>
      <c r="H537" s="443"/>
      <c r="I537" s="74"/>
      <c r="J537" s="75"/>
      <c r="K537" s="41">
        <f t="shared" si="284"/>
        <v>3625</v>
      </c>
      <c r="L537" s="104"/>
      <c r="M537" s="105"/>
      <c r="N537" s="106">
        <f t="shared" si="285"/>
        <v>537.05999999999995</v>
      </c>
      <c r="O537" s="104"/>
      <c r="P537" s="105"/>
      <c r="Q537" s="106">
        <f t="shared" si="317"/>
        <v>10045.83</v>
      </c>
      <c r="R537" s="104"/>
      <c r="S537" s="105"/>
      <c r="T537" s="106">
        <f t="shared" si="318"/>
        <v>0</v>
      </c>
      <c r="U537" s="439"/>
      <c r="V537" s="42">
        <f t="shared" si="286"/>
        <v>532</v>
      </c>
      <c r="W537" s="39" t="str">
        <f>IF(AND(E537='Povolené hodnoty'!$B$4,F537=2),I537+L537+O537+R537,"")</f>
        <v/>
      </c>
      <c r="X537" s="41" t="str">
        <f>IF(AND(E537='Povolené hodnoty'!$B$4,F537=1),I537+L537+O537+R537,"")</f>
        <v/>
      </c>
      <c r="Y537" s="39" t="str">
        <f>IF(AND(E537='Povolené hodnoty'!$B$4,F537=10),J537+M537+P537+S537,"")</f>
        <v/>
      </c>
      <c r="Z537" s="41" t="str">
        <f>IF(AND(E537='Povolené hodnoty'!$B$4,F537=9),J537+M537+P537+S537,"")</f>
        <v/>
      </c>
      <c r="AA537" s="39" t="str">
        <f>IF(AND(E537&lt;&gt;'Povolené hodnoty'!$B$4,F537=2),I537+L537+O537+R537,"")</f>
        <v/>
      </c>
      <c r="AB537" s="40" t="str">
        <f>IF(AND(E537&lt;&gt;'Povolené hodnoty'!$B$4,F537=3),I537+L537+O537+R537,"")</f>
        <v/>
      </c>
      <c r="AC537" s="40" t="str">
        <f>IF(AND(E537&lt;&gt;'Povolené hodnoty'!$B$4,F537=4),I537+L537+O537+R537,"")</f>
        <v/>
      </c>
      <c r="AD537" s="40" t="str">
        <f>IF(AND(E537&lt;&gt;'Povolené hodnoty'!$B$4,F537="5a"),I537-J537+L537-M537+O537-P537+R537-S537,"")</f>
        <v/>
      </c>
      <c r="AE537" s="40" t="str">
        <f>IF(AND(E537&lt;&gt;'Povolené hodnoty'!$B$4,F537="5b"),I537-J537+L537-M537+O537-P537+R537-S537,"")</f>
        <v/>
      </c>
      <c r="AF537" s="40" t="str">
        <f>IF(AND(E537&lt;&gt;'Povolené hodnoty'!$B$4,F537=6),I537+L537+O537+R537,"")</f>
        <v/>
      </c>
      <c r="AG537" s="41" t="str">
        <f>IF(AND(E537&lt;&gt;'Povolené hodnoty'!$B$4,F537=7),I537+L537+O537+R537,"")</f>
        <v/>
      </c>
      <c r="AH537" s="39" t="str">
        <f>IF(AND(E537&lt;&gt;'Povolené hodnoty'!$B$4,F537=10),J537+M537+P537+S537,"")</f>
        <v/>
      </c>
      <c r="AI537" s="40" t="str">
        <f>IF(AND(E537&lt;&gt;'Povolené hodnoty'!$B$4,F537=11),J537+M537+P537+S537,"")</f>
        <v/>
      </c>
      <c r="AJ537" s="40" t="str">
        <f>IF(AND(E537&lt;&gt;'Povolené hodnoty'!$B$4,F537=12),J537+M537+P537+S537,"")</f>
        <v/>
      </c>
      <c r="AK537" s="41" t="str">
        <f>IF(AND(E537&lt;&gt;'Povolené hodnoty'!$B$4,F537=13),J537+M537+P537+S537,"")</f>
        <v/>
      </c>
      <c r="AL537" s="39" t="str">
        <f>IF(AND($G537='Povolené hodnoty'!$B$13,$H537=AL$4),SUM($I537,$L537,$O537,$R537),"")</f>
        <v/>
      </c>
      <c r="AM537" s="458" t="str">
        <f>IF(AND($G537='Povolené hodnoty'!$B$13,$H537=AM$4),SUM($I537,$L537,$O537,$R537),"")</f>
        <v/>
      </c>
      <c r="AN537" s="458" t="str">
        <f>IF(AND($G537='Povolené hodnoty'!$B$13,$H537=AN$4),SUM($I537,$L537,$O537,$R537),"")</f>
        <v/>
      </c>
      <c r="AO537" s="458" t="str">
        <f>IF(AND($G537='Povolené hodnoty'!$B$13,$H537=AO$4),SUM($I537,$L537,$O537,$R537),"")</f>
        <v/>
      </c>
      <c r="AP537" s="458" t="str">
        <f>IF(AND($G537='Povolené hodnoty'!$B$13,$H537=AP$4),SUM($I537,$L537,$O537,$R537),"")</f>
        <v/>
      </c>
      <c r="AQ537" s="40" t="str">
        <f>IF(AND($G537='Povolené hodnoty'!$B$13,OR($H537=AQ$4,$H537='Povolené hodnoty'!$E$36)),SUM($I537,-$J537,$L537,-$M537,$O537,-$P537,$R537,-$S537),"")</f>
        <v/>
      </c>
      <c r="AR537" s="40" t="str">
        <f>IF(AND($G537='Povolené hodnoty'!$B$13,$H537=AR$4),SUM($I537,$L537,$O537,$R537),"")</f>
        <v/>
      </c>
      <c r="AS537" s="41" t="str">
        <f>IF(AND($G537='Povolené hodnoty'!$B$13,$H537=AS$4),SUM($I537,$L537,$O537,$R537),"")</f>
        <v/>
      </c>
      <c r="AT537" s="39" t="str">
        <f>IF(AND($G537='Povolené hodnoty'!$B$14,$H537=AT$4),SUM($I537,$L537,$O537,$R537),"")</f>
        <v/>
      </c>
      <c r="AU537" s="458" t="str">
        <f>IF(AND($G537='Povolené hodnoty'!$B$14,$H537=AU$4),SUM($I537,$L537,$O537,$R537),"")</f>
        <v/>
      </c>
      <c r="AV537" s="41" t="str">
        <f>IF(AND($G537='Povolené hodnoty'!$B$14,$H537=AV$4),SUM($I537,$L537,$O537,$R537),"")</f>
        <v/>
      </c>
      <c r="AW537" s="39" t="str">
        <f>IF(AND($G537='Povolené hodnoty'!$B$13,$H537=AW$4),SUM($J537,$M537,$P537,$S537),"")</f>
        <v/>
      </c>
      <c r="AX537" s="458" t="str">
        <f>IF(AND($G537='Povolené hodnoty'!$B$13,$H537=AX$4),SUM($J537,$M537,$P537,$S537),"")</f>
        <v/>
      </c>
      <c r="AY537" s="458" t="str">
        <f>IF(AND($G537='Povolené hodnoty'!$B$13,$H537=AY$4),SUM($J537,$M537,$P537,$S537),"")</f>
        <v/>
      </c>
      <c r="AZ537" s="458" t="str">
        <f>IF(AND($G537='Povolené hodnoty'!$B$13,$H537=AZ$4),SUM($J537,$M537,$P537,$S537),"")</f>
        <v/>
      </c>
      <c r="BA537" s="458" t="str">
        <f>IF(AND($G537='Povolené hodnoty'!$B$13,$H537=BA$4),SUM($J537,$M537,$P537,$S537),"")</f>
        <v/>
      </c>
      <c r="BB537" s="40" t="str">
        <f>IF(AND($G537='Povolené hodnoty'!$B$13,$H537=BB$4),SUM($J537,$M537,$P537,$S537),"")</f>
        <v/>
      </c>
      <c r="BC537" s="40" t="str">
        <f>IF(AND($G537='Povolené hodnoty'!$B$13,$H537=BC$4),SUM($J537,$M537,$P537,$S537),"")</f>
        <v/>
      </c>
      <c r="BD537" s="40" t="str">
        <f>IF(AND($G537='Povolené hodnoty'!$B$13,$H537=BD$4),SUM($J537,$M537,$P537,$S537),"")</f>
        <v/>
      </c>
      <c r="BE537" s="41" t="str">
        <f>IF(AND($G537='Povolené hodnoty'!$B$13,$H537=BE$4),SUM($J537,$M537,$P537,$S537),"")</f>
        <v/>
      </c>
      <c r="BF537" s="39" t="str">
        <f>IF(AND($G537='Povolené hodnoty'!$B$14,$H537=BF$4),SUM($J537,$M537,$P537,$S537),"")</f>
        <v/>
      </c>
      <c r="BG537" s="458" t="str">
        <f>IF(AND($G537='Povolené hodnoty'!$B$14,$H537=BG$4),SUM($J537,$M537,$P537,$S537),"")</f>
        <v/>
      </c>
      <c r="BH537" s="458" t="str">
        <f>IF(AND($G537='Povolené hodnoty'!$B$14,$H537=BH$4),SUM($J537,$M537,$P537,$S537),"")</f>
        <v/>
      </c>
      <c r="BI537" s="458" t="str">
        <f>IF(AND($G537='Povolené hodnoty'!$B$14,$H537=BI$4),SUM($J537,$M537,$P537,$S537),"")</f>
        <v/>
      </c>
      <c r="BJ537" s="458" t="str">
        <f>IF(AND($G537='Povolené hodnoty'!$B$14,$H537=BJ$4),SUM($J537,$M537,$P537,$S537),"")</f>
        <v/>
      </c>
      <c r="BK537" s="40" t="str">
        <f>IF(AND($G537='Povolené hodnoty'!$B$14,$H537=BK$4),SUM($J537,$M537,$P537,$S537),"")</f>
        <v/>
      </c>
      <c r="BL537" s="40" t="str">
        <f>IF(AND($G537='Povolené hodnoty'!$B$14,$H537=BL$4),SUM($J537,$M537,$P537,$S537),"")</f>
        <v/>
      </c>
      <c r="BM537" s="41" t="str">
        <f>IF(AND($G537='Povolené hodnoty'!$B$14,$H537=BM$4),SUM($J537,$M537,$P537,$S537),"")</f>
        <v/>
      </c>
      <c r="BO537" s="18" t="b">
        <f t="shared" si="316"/>
        <v>0</v>
      </c>
      <c r="BP537" s="18" t="b">
        <f t="shared" si="287"/>
        <v>0</v>
      </c>
      <c r="BQ537" s="18" t="b">
        <f>AND(E537&lt;&gt;'Povolené hodnoty'!$B$6,F537&lt;&gt;'Povolené hodnoty'!$D$7,F537&lt;&gt;'Povolené hodnoty'!$D$8,OR(SUM(I537,L537,O537,R537)&lt;&gt;SUM(W537:X537,AA537:AG537),SUM(J537,M537,P537,S537)&lt;&gt;SUM(Y537:Z537,AH537:AK537),COUNT(I537:J537,L537:M537,O537:P537,R537:S537)&lt;&gt;COUNT(W537:AK537)))</f>
        <v>0</v>
      </c>
      <c r="BR537" s="18" t="b">
        <f>OR(AND(E537='Povolené hodnoty'!$B$6,$BR$5),AND(E537='Povolené hodnoty'!$B$6,H537&lt;&gt;'Povolené hodnoty'!$E$26,H537&lt;&gt;'Povolené hodnoty'!$E$35),AND(E537&lt;&gt;'Povolené hodnoty'!$B$6,OR(H537='Povolené hodnoty'!$E$26,H537='Povolené hodnoty'!$E$35)))</f>
        <v>0</v>
      </c>
      <c r="BS537" s="18" t="b">
        <f>OR(AND(G537&lt;&gt;'Povolené hodnoty'!$B$13,OR(H537='Povolené hodnoty'!$E$21,H537='Povolené hodnoty'!$E$22,H537='Povolené hodnoty'!$E$23,H537='Povolené hodnoty'!$E$24,H537='Povolené hodnoty'!$E$26,H537='Povolené hodnoty'!$E$36)),COUNT(I537:J537,L537:M537,O537:P537,R537:S537)&lt;&gt;COUNT(AL537:BM537))</f>
        <v>0</v>
      </c>
      <c r="BT537" s="18" t="b">
        <f t="shared" si="288"/>
        <v>0</v>
      </c>
      <c r="BV537" s="39" t="str">
        <f t="shared" si="289"/>
        <v/>
      </c>
      <c r="BW537" s="458" t="str">
        <f t="shared" si="290"/>
        <v/>
      </c>
      <c r="BX537" s="458" t="str">
        <f t="shared" si="291"/>
        <v/>
      </c>
      <c r="BY537" s="458" t="str">
        <f t="shared" si="292"/>
        <v/>
      </c>
      <c r="BZ537" s="458" t="str">
        <f t="shared" si="293"/>
        <v/>
      </c>
      <c r="CA537" s="40" t="str">
        <f t="shared" si="294"/>
        <v/>
      </c>
      <c r="CB537" s="40" t="str">
        <f t="shared" si="295"/>
        <v/>
      </c>
      <c r="CC537" s="39" t="str">
        <f t="shared" si="296"/>
        <v/>
      </c>
      <c r="CD537" s="458" t="str">
        <f t="shared" si="297"/>
        <v/>
      </c>
      <c r="CE537" s="41" t="str">
        <f t="shared" si="298"/>
        <v/>
      </c>
      <c r="CF537" s="39" t="str">
        <f t="shared" si="299"/>
        <v/>
      </c>
      <c r="CG537" s="458" t="str">
        <f t="shared" si="300"/>
        <v/>
      </c>
      <c r="CH537" s="458" t="str">
        <f t="shared" si="301"/>
        <v/>
      </c>
      <c r="CI537" s="458" t="str">
        <f t="shared" si="302"/>
        <v/>
      </c>
      <c r="CJ537" s="458" t="str">
        <f t="shared" si="303"/>
        <v/>
      </c>
      <c r="CK537" s="40" t="str">
        <f t="shared" si="304"/>
        <v/>
      </c>
      <c r="CL537" s="40" t="str">
        <f t="shared" si="305"/>
        <v/>
      </c>
      <c r="CM537" s="40" t="str">
        <f t="shared" si="306"/>
        <v/>
      </c>
      <c r="CN537" s="39" t="str">
        <f t="shared" si="307"/>
        <v/>
      </c>
      <c r="CO537" s="458" t="str">
        <f t="shared" si="308"/>
        <v/>
      </c>
      <c r="CP537" s="458" t="str">
        <f t="shared" si="309"/>
        <v/>
      </c>
      <c r="CQ537" s="458" t="str">
        <f t="shared" si="310"/>
        <v/>
      </c>
      <c r="CR537" s="458" t="str">
        <f t="shared" si="311"/>
        <v/>
      </c>
      <c r="CS537" s="40" t="str">
        <f t="shared" si="312"/>
        <v/>
      </c>
      <c r="CT537" s="40" t="str">
        <f t="shared" si="313"/>
        <v/>
      </c>
      <c r="CU537" s="41" t="str">
        <f t="shared" si="314"/>
        <v/>
      </c>
    </row>
    <row r="538" spans="1:99" x14ac:dyDescent="0.2">
      <c r="A538" s="77">
        <f t="shared" si="315"/>
        <v>533</v>
      </c>
      <c r="B538" s="81"/>
      <c r="C538" s="82"/>
      <c r="D538" s="71"/>
      <c r="E538" s="72"/>
      <c r="F538" s="73"/>
      <c r="G538" s="443"/>
      <c r="H538" s="443"/>
      <c r="I538" s="74"/>
      <c r="J538" s="75"/>
      <c r="K538" s="41">
        <f t="shared" si="284"/>
        <v>3625</v>
      </c>
      <c r="L538" s="104"/>
      <c r="M538" s="105"/>
      <c r="N538" s="106">
        <f t="shared" si="285"/>
        <v>537.05999999999995</v>
      </c>
      <c r="O538" s="104"/>
      <c r="P538" s="105"/>
      <c r="Q538" s="106">
        <f t="shared" si="317"/>
        <v>10045.83</v>
      </c>
      <c r="R538" s="104"/>
      <c r="S538" s="105"/>
      <c r="T538" s="106">
        <f t="shared" si="318"/>
        <v>0</v>
      </c>
      <c r="U538" s="439"/>
      <c r="V538" s="42">
        <f t="shared" si="286"/>
        <v>533</v>
      </c>
      <c r="W538" s="39" t="str">
        <f>IF(AND(E538='Povolené hodnoty'!$B$4,F538=2),I538+L538+O538+R538,"")</f>
        <v/>
      </c>
      <c r="X538" s="41" t="str">
        <f>IF(AND(E538='Povolené hodnoty'!$B$4,F538=1),I538+L538+O538+R538,"")</f>
        <v/>
      </c>
      <c r="Y538" s="39" t="str">
        <f>IF(AND(E538='Povolené hodnoty'!$B$4,F538=10),J538+M538+P538+S538,"")</f>
        <v/>
      </c>
      <c r="Z538" s="41" t="str">
        <f>IF(AND(E538='Povolené hodnoty'!$B$4,F538=9),J538+M538+P538+S538,"")</f>
        <v/>
      </c>
      <c r="AA538" s="39" t="str">
        <f>IF(AND(E538&lt;&gt;'Povolené hodnoty'!$B$4,F538=2),I538+L538+O538+R538,"")</f>
        <v/>
      </c>
      <c r="AB538" s="40" t="str">
        <f>IF(AND(E538&lt;&gt;'Povolené hodnoty'!$B$4,F538=3),I538+L538+O538+R538,"")</f>
        <v/>
      </c>
      <c r="AC538" s="40" t="str">
        <f>IF(AND(E538&lt;&gt;'Povolené hodnoty'!$B$4,F538=4),I538+L538+O538+R538,"")</f>
        <v/>
      </c>
      <c r="AD538" s="40" t="str">
        <f>IF(AND(E538&lt;&gt;'Povolené hodnoty'!$B$4,F538="5a"),I538-J538+L538-M538+O538-P538+R538-S538,"")</f>
        <v/>
      </c>
      <c r="AE538" s="40" t="str">
        <f>IF(AND(E538&lt;&gt;'Povolené hodnoty'!$B$4,F538="5b"),I538-J538+L538-M538+O538-P538+R538-S538,"")</f>
        <v/>
      </c>
      <c r="AF538" s="40" t="str">
        <f>IF(AND(E538&lt;&gt;'Povolené hodnoty'!$B$4,F538=6),I538+L538+O538+R538,"")</f>
        <v/>
      </c>
      <c r="AG538" s="41" t="str">
        <f>IF(AND(E538&lt;&gt;'Povolené hodnoty'!$B$4,F538=7),I538+L538+O538+R538,"")</f>
        <v/>
      </c>
      <c r="AH538" s="39" t="str">
        <f>IF(AND(E538&lt;&gt;'Povolené hodnoty'!$B$4,F538=10),J538+M538+P538+S538,"")</f>
        <v/>
      </c>
      <c r="AI538" s="40" t="str">
        <f>IF(AND(E538&lt;&gt;'Povolené hodnoty'!$B$4,F538=11),J538+M538+P538+S538,"")</f>
        <v/>
      </c>
      <c r="AJ538" s="40" t="str">
        <f>IF(AND(E538&lt;&gt;'Povolené hodnoty'!$B$4,F538=12),J538+M538+P538+S538,"")</f>
        <v/>
      </c>
      <c r="AK538" s="41" t="str">
        <f>IF(AND(E538&lt;&gt;'Povolené hodnoty'!$B$4,F538=13),J538+M538+P538+S538,"")</f>
        <v/>
      </c>
      <c r="AL538" s="39" t="str">
        <f>IF(AND($G538='Povolené hodnoty'!$B$13,$H538=AL$4),SUM($I538,$L538,$O538,$R538),"")</f>
        <v/>
      </c>
      <c r="AM538" s="458" t="str">
        <f>IF(AND($G538='Povolené hodnoty'!$B$13,$H538=AM$4),SUM($I538,$L538,$O538,$R538),"")</f>
        <v/>
      </c>
      <c r="AN538" s="458" t="str">
        <f>IF(AND($G538='Povolené hodnoty'!$B$13,$H538=AN$4),SUM($I538,$L538,$O538,$R538),"")</f>
        <v/>
      </c>
      <c r="AO538" s="458" t="str">
        <f>IF(AND($G538='Povolené hodnoty'!$B$13,$H538=AO$4),SUM($I538,$L538,$O538,$R538),"")</f>
        <v/>
      </c>
      <c r="AP538" s="458" t="str">
        <f>IF(AND($G538='Povolené hodnoty'!$B$13,$H538=AP$4),SUM($I538,$L538,$O538,$R538),"")</f>
        <v/>
      </c>
      <c r="AQ538" s="40" t="str">
        <f>IF(AND($G538='Povolené hodnoty'!$B$13,OR($H538=AQ$4,$H538='Povolené hodnoty'!$E$36)),SUM($I538,-$J538,$L538,-$M538,$O538,-$P538,$R538,-$S538),"")</f>
        <v/>
      </c>
      <c r="AR538" s="40" t="str">
        <f>IF(AND($G538='Povolené hodnoty'!$B$13,$H538=AR$4),SUM($I538,$L538,$O538,$R538),"")</f>
        <v/>
      </c>
      <c r="AS538" s="41" t="str">
        <f>IF(AND($G538='Povolené hodnoty'!$B$13,$H538=AS$4),SUM($I538,$L538,$O538,$R538),"")</f>
        <v/>
      </c>
      <c r="AT538" s="39" t="str">
        <f>IF(AND($G538='Povolené hodnoty'!$B$14,$H538=AT$4),SUM($I538,$L538,$O538,$R538),"")</f>
        <v/>
      </c>
      <c r="AU538" s="458" t="str">
        <f>IF(AND($G538='Povolené hodnoty'!$B$14,$H538=AU$4),SUM($I538,$L538,$O538,$R538),"")</f>
        <v/>
      </c>
      <c r="AV538" s="41" t="str">
        <f>IF(AND($G538='Povolené hodnoty'!$B$14,$H538=AV$4),SUM($I538,$L538,$O538,$R538),"")</f>
        <v/>
      </c>
      <c r="AW538" s="39" t="str">
        <f>IF(AND($G538='Povolené hodnoty'!$B$13,$H538=AW$4),SUM($J538,$M538,$P538,$S538),"")</f>
        <v/>
      </c>
      <c r="AX538" s="458" t="str">
        <f>IF(AND($G538='Povolené hodnoty'!$B$13,$H538=AX$4),SUM($J538,$M538,$P538,$S538),"")</f>
        <v/>
      </c>
      <c r="AY538" s="458" t="str">
        <f>IF(AND($G538='Povolené hodnoty'!$B$13,$H538=AY$4),SUM($J538,$M538,$P538,$S538),"")</f>
        <v/>
      </c>
      <c r="AZ538" s="458" t="str">
        <f>IF(AND($G538='Povolené hodnoty'!$B$13,$H538=AZ$4),SUM($J538,$M538,$P538,$S538),"")</f>
        <v/>
      </c>
      <c r="BA538" s="458" t="str">
        <f>IF(AND($G538='Povolené hodnoty'!$B$13,$H538=BA$4),SUM($J538,$M538,$P538,$S538),"")</f>
        <v/>
      </c>
      <c r="BB538" s="40" t="str">
        <f>IF(AND($G538='Povolené hodnoty'!$B$13,$H538=BB$4),SUM($J538,$M538,$P538,$S538),"")</f>
        <v/>
      </c>
      <c r="BC538" s="40" t="str">
        <f>IF(AND($G538='Povolené hodnoty'!$B$13,$H538=BC$4),SUM($J538,$M538,$P538,$S538),"")</f>
        <v/>
      </c>
      <c r="BD538" s="40" t="str">
        <f>IF(AND($G538='Povolené hodnoty'!$B$13,$H538=BD$4),SUM($J538,$M538,$P538,$S538),"")</f>
        <v/>
      </c>
      <c r="BE538" s="41" t="str">
        <f>IF(AND($G538='Povolené hodnoty'!$B$13,$H538=BE$4),SUM($J538,$M538,$P538,$S538),"")</f>
        <v/>
      </c>
      <c r="BF538" s="39" t="str">
        <f>IF(AND($G538='Povolené hodnoty'!$B$14,$H538=BF$4),SUM($J538,$M538,$P538,$S538),"")</f>
        <v/>
      </c>
      <c r="BG538" s="458" t="str">
        <f>IF(AND($G538='Povolené hodnoty'!$B$14,$H538=BG$4),SUM($J538,$M538,$P538,$S538),"")</f>
        <v/>
      </c>
      <c r="BH538" s="458" t="str">
        <f>IF(AND($G538='Povolené hodnoty'!$B$14,$H538=BH$4),SUM($J538,$M538,$P538,$S538),"")</f>
        <v/>
      </c>
      <c r="BI538" s="458" t="str">
        <f>IF(AND($G538='Povolené hodnoty'!$B$14,$H538=BI$4),SUM($J538,$M538,$P538,$S538),"")</f>
        <v/>
      </c>
      <c r="BJ538" s="458" t="str">
        <f>IF(AND($G538='Povolené hodnoty'!$B$14,$H538=BJ$4),SUM($J538,$M538,$P538,$S538),"")</f>
        <v/>
      </c>
      <c r="BK538" s="40" t="str">
        <f>IF(AND($G538='Povolené hodnoty'!$B$14,$H538=BK$4),SUM($J538,$M538,$P538,$S538),"")</f>
        <v/>
      </c>
      <c r="BL538" s="40" t="str">
        <f>IF(AND($G538='Povolené hodnoty'!$B$14,$H538=BL$4),SUM($J538,$M538,$P538,$S538),"")</f>
        <v/>
      </c>
      <c r="BM538" s="41" t="str">
        <f>IF(AND($G538='Povolené hodnoty'!$B$14,$H538=BM$4),SUM($J538,$M538,$P538,$S538),"")</f>
        <v/>
      </c>
      <c r="BO538" s="18" t="b">
        <f t="shared" si="316"/>
        <v>0</v>
      </c>
      <c r="BP538" s="18" t="b">
        <f t="shared" si="287"/>
        <v>0</v>
      </c>
      <c r="BQ538" s="18" t="b">
        <f>AND(E538&lt;&gt;'Povolené hodnoty'!$B$6,F538&lt;&gt;'Povolené hodnoty'!$D$7,F538&lt;&gt;'Povolené hodnoty'!$D$8,OR(SUM(I538,L538,O538,R538)&lt;&gt;SUM(W538:X538,AA538:AG538),SUM(J538,M538,P538,S538)&lt;&gt;SUM(Y538:Z538,AH538:AK538),COUNT(I538:J538,L538:M538,O538:P538,R538:S538)&lt;&gt;COUNT(W538:AK538)))</f>
        <v>0</v>
      </c>
      <c r="BR538" s="18" t="b">
        <f>OR(AND(E538='Povolené hodnoty'!$B$6,$BR$5),AND(E538='Povolené hodnoty'!$B$6,H538&lt;&gt;'Povolené hodnoty'!$E$26,H538&lt;&gt;'Povolené hodnoty'!$E$35),AND(E538&lt;&gt;'Povolené hodnoty'!$B$6,OR(H538='Povolené hodnoty'!$E$26,H538='Povolené hodnoty'!$E$35)))</f>
        <v>0</v>
      </c>
      <c r="BS538" s="18" t="b">
        <f>OR(AND(G538&lt;&gt;'Povolené hodnoty'!$B$13,OR(H538='Povolené hodnoty'!$E$21,H538='Povolené hodnoty'!$E$22,H538='Povolené hodnoty'!$E$23,H538='Povolené hodnoty'!$E$24,H538='Povolené hodnoty'!$E$26,H538='Povolené hodnoty'!$E$36)),COUNT(I538:J538,L538:M538,O538:P538,R538:S538)&lt;&gt;COUNT(AL538:BM538))</f>
        <v>0</v>
      </c>
      <c r="BT538" s="18" t="b">
        <f t="shared" si="288"/>
        <v>0</v>
      </c>
      <c r="BV538" s="39" t="str">
        <f t="shared" si="289"/>
        <v/>
      </c>
      <c r="BW538" s="458" t="str">
        <f t="shared" si="290"/>
        <v/>
      </c>
      <c r="BX538" s="458" t="str">
        <f t="shared" si="291"/>
        <v/>
      </c>
      <c r="BY538" s="458" t="str">
        <f t="shared" si="292"/>
        <v/>
      </c>
      <c r="BZ538" s="458" t="str">
        <f t="shared" si="293"/>
        <v/>
      </c>
      <c r="CA538" s="40" t="str">
        <f t="shared" si="294"/>
        <v/>
      </c>
      <c r="CB538" s="40" t="str">
        <f t="shared" si="295"/>
        <v/>
      </c>
      <c r="CC538" s="39" t="str">
        <f t="shared" si="296"/>
        <v/>
      </c>
      <c r="CD538" s="458" t="str">
        <f t="shared" si="297"/>
        <v/>
      </c>
      <c r="CE538" s="41" t="str">
        <f t="shared" si="298"/>
        <v/>
      </c>
      <c r="CF538" s="39" t="str">
        <f t="shared" si="299"/>
        <v/>
      </c>
      <c r="CG538" s="458" t="str">
        <f t="shared" si="300"/>
        <v/>
      </c>
      <c r="CH538" s="458" t="str">
        <f t="shared" si="301"/>
        <v/>
      </c>
      <c r="CI538" s="458" t="str">
        <f t="shared" si="302"/>
        <v/>
      </c>
      <c r="CJ538" s="458" t="str">
        <f t="shared" si="303"/>
        <v/>
      </c>
      <c r="CK538" s="40" t="str">
        <f t="shared" si="304"/>
        <v/>
      </c>
      <c r="CL538" s="40" t="str">
        <f t="shared" si="305"/>
        <v/>
      </c>
      <c r="CM538" s="40" t="str">
        <f t="shared" si="306"/>
        <v/>
      </c>
      <c r="CN538" s="39" t="str">
        <f t="shared" si="307"/>
        <v/>
      </c>
      <c r="CO538" s="458" t="str">
        <f t="shared" si="308"/>
        <v/>
      </c>
      <c r="CP538" s="458" t="str">
        <f t="shared" si="309"/>
        <v/>
      </c>
      <c r="CQ538" s="458" t="str">
        <f t="shared" si="310"/>
        <v/>
      </c>
      <c r="CR538" s="458" t="str">
        <f t="shared" si="311"/>
        <v/>
      </c>
      <c r="CS538" s="40" t="str">
        <f t="shared" si="312"/>
        <v/>
      </c>
      <c r="CT538" s="40" t="str">
        <f t="shared" si="313"/>
        <v/>
      </c>
      <c r="CU538" s="41" t="str">
        <f t="shared" si="314"/>
        <v/>
      </c>
    </row>
    <row r="539" spans="1:99" x14ac:dyDescent="0.2">
      <c r="A539" s="77">
        <f t="shared" si="315"/>
        <v>534</v>
      </c>
      <c r="B539" s="81"/>
      <c r="C539" s="82"/>
      <c r="D539" s="71"/>
      <c r="E539" s="72"/>
      <c r="F539" s="73"/>
      <c r="G539" s="443"/>
      <c r="H539" s="443"/>
      <c r="I539" s="74"/>
      <c r="J539" s="75"/>
      <c r="K539" s="41">
        <f t="shared" si="284"/>
        <v>3625</v>
      </c>
      <c r="L539" s="104"/>
      <c r="M539" s="105"/>
      <c r="N539" s="106">
        <f t="shared" si="285"/>
        <v>537.05999999999995</v>
      </c>
      <c r="O539" s="104"/>
      <c r="P539" s="105"/>
      <c r="Q539" s="106">
        <f t="shared" si="317"/>
        <v>10045.83</v>
      </c>
      <c r="R539" s="104"/>
      <c r="S539" s="105"/>
      <c r="T539" s="106">
        <f t="shared" si="318"/>
        <v>0</v>
      </c>
      <c r="U539" s="439"/>
      <c r="V539" s="42">
        <f t="shared" si="286"/>
        <v>534</v>
      </c>
      <c r="W539" s="39" t="str">
        <f>IF(AND(E539='Povolené hodnoty'!$B$4,F539=2),I539+L539+O539+R539,"")</f>
        <v/>
      </c>
      <c r="X539" s="41" t="str">
        <f>IF(AND(E539='Povolené hodnoty'!$B$4,F539=1),I539+L539+O539+R539,"")</f>
        <v/>
      </c>
      <c r="Y539" s="39" t="str">
        <f>IF(AND(E539='Povolené hodnoty'!$B$4,F539=10),J539+M539+P539+S539,"")</f>
        <v/>
      </c>
      <c r="Z539" s="41" t="str">
        <f>IF(AND(E539='Povolené hodnoty'!$B$4,F539=9),J539+M539+P539+S539,"")</f>
        <v/>
      </c>
      <c r="AA539" s="39" t="str">
        <f>IF(AND(E539&lt;&gt;'Povolené hodnoty'!$B$4,F539=2),I539+L539+O539+R539,"")</f>
        <v/>
      </c>
      <c r="AB539" s="40" t="str">
        <f>IF(AND(E539&lt;&gt;'Povolené hodnoty'!$B$4,F539=3),I539+L539+O539+R539,"")</f>
        <v/>
      </c>
      <c r="AC539" s="40" t="str">
        <f>IF(AND(E539&lt;&gt;'Povolené hodnoty'!$B$4,F539=4),I539+L539+O539+R539,"")</f>
        <v/>
      </c>
      <c r="AD539" s="40" t="str">
        <f>IF(AND(E539&lt;&gt;'Povolené hodnoty'!$B$4,F539="5a"),I539-J539+L539-M539+O539-P539+R539-S539,"")</f>
        <v/>
      </c>
      <c r="AE539" s="40" t="str">
        <f>IF(AND(E539&lt;&gt;'Povolené hodnoty'!$B$4,F539="5b"),I539-J539+L539-M539+O539-P539+R539-S539,"")</f>
        <v/>
      </c>
      <c r="AF539" s="40" t="str">
        <f>IF(AND(E539&lt;&gt;'Povolené hodnoty'!$B$4,F539=6),I539+L539+O539+R539,"")</f>
        <v/>
      </c>
      <c r="AG539" s="41" t="str">
        <f>IF(AND(E539&lt;&gt;'Povolené hodnoty'!$B$4,F539=7),I539+L539+O539+R539,"")</f>
        <v/>
      </c>
      <c r="AH539" s="39" t="str">
        <f>IF(AND(E539&lt;&gt;'Povolené hodnoty'!$B$4,F539=10),J539+M539+P539+S539,"")</f>
        <v/>
      </c>
      <c r="AI539" s="40" t="str">
        <f>IF(AND(E539&lt;&gt;'Povolené hodnoty'!$B$4,F539=11),J539+M539+P539+S539,"")</f>
        <v/>
      </c>
      <c r="AJ539" s="40" t="str">
        <f>IF(AND(E539&lt;&gt;'Povolené hodnoty'!$B$4,F539=12),J539+M539+P539+S539,"")</f>
        <v/>
      </c>
      <c r="AK539" s="41" t="str">
        <f>IF(AND(E539&lt;&gt;'Povolené hodnoty'!$B$4,F539=13),J539+M539+P539+S539,"")</f>
        <v/>
      </c>
      <c r="AL539" s="39" t="str">
        <f>IF(AND($G539='Povolené hodnoty'!$B$13,$H539=AL$4),SUM($I539,$L539,$O539,$R539),"")</f>
        <v/>
      </c>
      <c r="AM539" s="458" t="str">
        <f>IF(AND($G539='Povolené hodnoty'!$B$13,$H539=AM$4),SUM($I539,$L539,$O539,$R539),"")</f>
        <v/>
      </c>
      <c r="AN539" s="458" t="str">
        <f>IF(AND($G539='Povolené hodnoty'!$B$13,$H539=AN$4),SUM($I539,$L539,$O539,$R539),"")</f>
        <v/>
      </c>
      <c r="AO539" s="458" t="str">
        <f>IF(AND($G539='Povolené hodnoty'!$B$13,$H539=AO$4),SUM($I539,$L539,$O539,$R539),"")</f>
        <v/>
      </c>
      <c r="AP539" s="458" t="str">
        <f>IF(AND($G539='Povolené hodnoty'!$B$13,$H539=AP$4),SUM($I539,$L539,$O539,$R539),"")</f>
        <v/>
      </c>
      <c r="AQ539" s="40" t="str">
        <f>IF(AND($G539='Povolené hodnoty'!$B$13,OR($H539=AQ$4,$H539='Povolené hodnoty'!$E$36)),SUM($I539,-$J539,$L539,-$M539,$O539,-$P539,$R539,-$S539),"")</f>
        <v/>
      </c>
      <c r="AR539" s="40" t="str">
        <f>IF(AND($G539='Povolené hodnoty'!$B$13,$H539=AR$4),SUM($I539,$L539,$O539,$R539),"")</f>
        <v/>
      </c>
      <c r="AS539" s="41" t="str">
        <f>IF(AND($G539='Povolené hodnoty'!$B$13,$H539=AS$4),SUM($I539,$L539,$O539,$R539),"")</f>
        <v/>
      </c>
      <c r="AT539" s="39" t="str">
        <f>IF(AND($G539='Povolené hodnoty'!$B$14,$H539=AT$4),SUM($I539,$L539,$O539,$R539),"")</f>
        <v/>
      </c>
      <c r="AU539" s="458" t="str">
        <f>IF(AND($G539='Povolené hodnoty'!$B$14,$H539=AU$4),SUM($I539,$L539,$O539,$R539),"")</f>
        <v/>
      </c>
      <c r="AV539" s="41" t="str">
        <f>IF(AND($G539='Povolené hodnoty'!$B$14,$H539=AV$4),SUM($I539,$L539,$O539,$R539),"")</f>
        <v/>
      </c>
      <c r="AW539" s="39" t="str">
        <f>IF(AND($G539='Povolené hodnoty'!$B$13,$H539=AW$4),SUM($J539,$M539,$P539,$S539),"")</f>
        <v/>
      </c>
      <c r="AX539" s="458" t="str">
        <f>IF(AND($G539='Povolené hodnoty'!$B$13,$H539=AX$4),SUM($J539,$M539,$P539,$S539),"")</f>
        <v/>
      </c>
      <c r="AY539" s="458" t="str">
        <f>IF(AND($G539='Povolené hodnoty'!$B$13,$H539=AY$4),SUM($J539,$M539,$P539,$S539),"")</f>
        <v/>
      </c>
      <c r="AZ539" s="458" t="str">
        <f>IF(AND($G539='Povolené hodnoty'!$B$13,$H539=AZ$4),SUM($J539,$M539,$P539,$S539),"")</f>
        <v/>
      </c>
      <c r="BA539" s="458" t="str">
        <f>IF(AND($G539='Povolené hodnoty'!$B$13,$H539=BA$4),SUM($J539,$M539,$P539,$S539),"")</f>
        <v/>
      </c>
      <c r="BB539" s="40" t="str">
        <f>IF(AND($G539='Povolené hodnoty'!$B$13,$H539=BB$4),SUM($J539,$M539,$P539,$S539),"")</f>
        <v/>
      </c>
      <c r="BC539" s="40" t="str">
        <f>IF(AND($G539='Povolené hodnoty'!$B$13,$H539=BC$4),SUM($J539,$M539,$P539,$S539),"")</f>
        <v/>
      </c>
      <c r="BD539" s="40" t="str">
        <f>IF(AND($G539='Povolené hodnoty'!$B$13,$H539=BD$4),SUM($J539,$M539,$P539,$S539),"")</f>
        <v/>
      </c>
      <c r="BE539" s="41" t="str">
        <f>IF(AND($G539='Povolené hodnoty'!$B$13,$H539=BE$4),SUM($J539,$M539,$P539,$S539),"")</f>
        <v/>
      </c>
      <c r="BF539" s="39" t="str">
        <f>IF(AND($G539='Povolené hodnoty'!$B$14,$H539=BF$4),SUM($J539,$M539,$P539,$S539),"")</f>
        <v/>
      </c>
      <c r="BG539" s="458" t="str">
        <f>IF(AND($G539='Povolené hodnoty'!$B$14,$H539=BG$4),SUM($J539,$M539,$P539,$S539),"")</f>
        <v/>
      </c>
      <c r="BH539" s="458" t="str">
        <f>IF(AND($G539='Povolené hodnoty'!$B$14,$H539=BH$4),SUM($J539,$M539,$P539,$S539),"")</f>
        <v/>
      </c>
      <c r="BI539" s="458" t="str">
        <f>IF(AND($G539='Povolené hodnoty'!$B$14,$H539=BI$4),SUM($J539,$M539,$P539,$S539),"")</f>
        <v/>
      </c>
      <c r="BJ539" s="458" t="str">
        <f>IF(AND($G539='Povolené hodnoty'!$B$14,$H539=BJ$4),SUM($J539,$M539,$P539,$S539),"")</f>
        <v/>
      </c>
      <c r="BK539" s="40" t="str">
        <f>IF(AND($G539='Povolené hodnoty'!$B$14,$H539=BK$4),SUM($J539,$M539,$P539,$S539),"")</f>
        <v/>
      </c>
      <c r="BL539" s="40" t="str">
        <f>IF(AND($G539='Povolené hodnoty'!$B$14,$H539=BL$4),SUM($J539,$M539,$P539,$S539),"")</f>
        <v/>
      </c>
      <c r="BM539" s="41" t="str">
        <f>IF(AND($G539='Povolené hodnoty'!$B$14,$H539=BM$4),SUM($J539,$M539,$P539,$S539),"")</f>
        <v/>
      </c>
      <c r="BO539" s="18" t="b">
        <f t="shared" si="316"/>
        <v>0</v>
      </c>
      <c r="BP539" s="18" t="b">
        <f t="shared" si="287"/>
        <v>0</v>
      </c>
      <c r="BQ539" s="18" t="b">
        <f>AND(E539&lt;&gt;'Povolené hodnoty'!$B$6,F539&lt;&gt;'Povolené hodnoty'!$D$7,F539&lt;&gt;'Povolené hodnoty'!$D$8,OR(SUM(I539,L539,O539,R539)&lt;&gt;SUM(W539:X539,AA539:AG539),SUM(J539,M539,P539,S539)&lt;&gt;SUM(Y539:Z539,AH539:AK539),COUNT(I539:J539,L539:M539,O539:P539,R539:S539)&lt;&gt;COUNT(W539:AK539)))</f>
        <v>0</v>
      </c>
      <c r="BR539" s="18" t="b">
        <f>OR(AND(E539='Povolené hodnoty'!$B$6,$BR$5),AND(E539='Povolené hodnoty'!$B$6,H539&lt;&gt;'Povolené hodnoty'!$E$26,H539&lt;&gt;'Povolené hodnoty'!$E$35),AND(E539&lt;&gt;'Povolené hodnoty'!$B$6,OR(H539='Povolené hodnoty'!$E$26,H539='Povolené hodnoty'!$E$35)))</f>
        <v>0</v>
      </c>
      <c r="BS539" s="18" t="b">
        <f>OR(AND(G539&lt;&gt;'Povolené hodnoty'!$B$13,OR(H539='Povolené hodnoty'!$E$21,H539='Povolené hodnoty'!$E$22,H539='Povolené hodnoty'!$E$23,H539='Povolené hodnoty'!$E$24,H539='Povolené hodnoty'!$E$26,H539='Povolené hodnoty'!$E$36)),COUNT(I539:J539,L539:M539,O539:P539,R539:S539)&lt;&gt;COUNT(AL539:BM539))</f>
        <v>0</v>
      </c>
      <c r="BT539" s="18" t="b">
        <f t="shared" si="288"/>
        <v>0</v>
      </c>
      <c r="BV539" s="39" t="str">
        <f t="shared" si="289"/>
        <v/>
      </c>
      <c r="BW539" s="458" t="str">
        <f t="shared" si="290"/>
        <v/>
      </c>
      <c r="BX539" s="458" t="str">
        <f t="shared" si="291"/>
        <v/>
      </c>
      <c r="BY539" s="458" t="str">
        <f t="shared" si="292"/>
        <v/>
      </c>
      <c r="BZ539" s="458" t="str">
        <f t="shared" si="293"/>
        <v/>
      </c>
      <c r="CA539" s="40" t="str">
        <f t="shared" si="294"/>
        <v/>
      </c>
      <c r="CB539" s="40" t="str">
        <f t="shared" si="295"/>
        <v/>
      </c>
      <c r="CC539" s="39" t="str">
        <f t="shared" si="296"/>
        <v/>
      </c>
      <c r="CD539" s="458" t="str">
        <f t="shared" si="297"/>
        <v/>
      </c>
      <c r="CE539" s="41" t="str">
        <f t="shared" si="298"/>
        <v/>
      </c>
      <c r="CF539" s="39" t="str">
        <f t="shared" si="299"/>
        <v/>
      </c>
      <c r="CG539" s="458" t="str">
        <f t="shared" si="300"/>
        <v/>
      </c>
      <c r="CH539" s="458" t="str">
        <f t="shared" si="301"/>
        <v/>
      </c>
      <c r="CI539" s="458" t="str">
        <f t="shared" si="302"/>
        <v/>
      </c>
      <c r="CJ539" s="458" t="str">
        <f t="shared" si="303"/>
        <v/>
      </c>
      <c r="CK539" s="40" t="str">
        <f t="shared" si="304"/>
        <v/>
      </c>
      <c r="CL539" s="40" t="str">
        <f t="shared" si="305"/>
        <v/>
      </c>
      <c r="CM539" s="40" t="str">
        <f t="shared" si="306"/>
        <v/>
      </c>
      <c r="CN539" s="39" t="str">
        <f t="shared" si="307"/>
        <v/>
      </c>
      <c r="CO539" s="458" t="str">
        <f t="shared" si="308"/>
        <v/>
      </c>
      <c r="CP539" s="458" t="str">
        <f t="shared" si="309"/>
        <v/>
      </c>
      <c r="CQ539" s="458" t="str">
        <f t="shared" si="310"/>
        <v/>
      </c>
      <c r="CR539" s="458" t="str">
        <f t="shared" si="311"/>
        <v/>
      </c>
      <c r="CS539" s="40" t="str">
        <f t="shared" si="312"/>
        <v/>
      </c>
      <c r="CT539" s="40" t="str">
        <f t="shared" si="313"/>
        <v/>
      </c>
      <c r="CU539" s="41" t="str">
        <f t="shared" si="314"/>
        <v/>
      </c>
    </row>
    <row r="540" spans="1:99" x14ac:dyDescent="0.2">
      <c r="A540" s="77">
        <f t="shared" si="315"/>
        <v>535</v>
      </c>
      <c r="B540" s="81"/>
      <c r="C540" s="82"/>
      <c r="D540" s="71"/>
      <c r="E540" s="72"/>
      <c r="F540" s="73"/>
      <c r="G540" s="443"/>
      <c r="H540" s="443"/>
      <c r="I540" s="74"/>
      <c r="J540" s="75"/>
      <c r="K540" s="41">
        <f t="shared" si="284"/>
        <v>3625</v>
      </c>
      <c r="L540" s="104"/>
      <c r="M540" s="105"/>
      <c r="N540" s="106">
        <f t="shared" si="285"/>
        <v>537.05999999999995</v>
      </c>
      <c r="O540" s="104"/>
      <c r="P540" s="105"/>
      <c r="Q540" s="106">
        <f t="shared" si="317"/>
        <v>10045.83</v>
      </c>
      <c r="R540" s="104"/>
      <c r="S540" s="105"/>
      <c r="T540" s="106">
        <f t="shared" si="318"/>
        <v>0</v>
      </c>
      <c r="U540" s="439"/>
      <c r="V540" s="42">
        <f t="shared" si="286"/>
        <v>535</v>
      </c>
      <c r="W540" s="39" t="str">
        <f>IF(AND(E540='Povolené hodnoty'!$B$4,F540=2),I540+L540+O540+R540,"")</f>
        <v/>
      </c>
      <c r="X540" s="41" t="str">
        <f>IF(AND(E540='Povolené hodnoty'!$B$4,F540=1),I540+L540+O540+R540,"")</f>
        <v/>
      </c>
      <c r="Y540" s="39" t="str">
        <f>IF(AND(E540='Povolené hodnoty'!$B$4,F540=10),J540+M540+P540+S540,"")</f>
        <v/>
      </c>
      <c r="Z540" s="41" t="str">
        <f>IF(AND(E540='Povolené hodnoty'!$B$4,F540=9),J540+M540+P540+S540,"")</f>
        <v/>
      </c>
      <c r="AA540" s="39" t="str">
        <f>IF(AND(E540&lt;&gt;'Povolené hodnoty'!$B$4,F540=2),I540+L540+O540+R540,"")</f>
        <v/>
      </c>
      <c r="AB540" s="40" t="str">
        <f>IF(AND(E540&lt;&gt;'Povolené hodnoty'!$B$4,F540=3),I540+L540+O540+R540,"")</f>
        <v/>
      </c>
      <c r="AC540" s="40" t="str">
        <f>IF(AND(E540&lt;&gt;'Povolené hodnoty'!$B$4,F540=4),I540+L540+O540+R540,"")</f>
        <v/>
      </c>
      <c r="AD540" s="40" t="str">
        <f>IF(AND(E540&lt;&gt;'Povolené hodnoty'!$B$4,F540="5a"),I540-J540+L540-M540+O540-P540+R540-S540,"")</f>
        <v/>
      </c>
      <c r="AE540" s="40" t="str">
        <f>IF(AND(E540&lt;&gt;'Povolené hodnoty'!$B$4,F540="5b"),I540-J540+L540-M540+O540-P540+R540-S540,"")</f>
        <v/>
      </c>
      <c r="AF540" s="40" t="str">
        <f>IF(AND(E540&lt;&gt;'Povolené hodnoty'!$B$4,F540=6),I540+L540+O540+R540,"")</f>
        <v/>
      </c>
      <c r="AG540" s="41" t="str">
        <f>IF(AND(E540&lt;&gt;'Povolené hodnoty'!$B$4,F540=7),I540+L540+O540+R540,"")</f>
        <v/>
      </c>
      <c r="AH540" s="39" t="str">
        <f>IF(AND(E540&lt;&gt;'Povolené hodnoty'!$B$4,F540=10),J540+M540+P540+S540,"")</f>
        <v/>
      </c>
      <c r="AI540" s="40" t="str">
        <f>IF(AND(E540&lt;&gt;'Povolené hodnoty'!$B$4,F540=11),J540+M540+P540+S540,"")</f>
        <v/>
      </c>
      <c r="AJ540" s="40" t="str">
        <f>IF(AND(E540&lt;&gt;'Povolené hodnoty'!$B$4,F540=12),J540+M540+P540+S540,"")</f>
        <v/>
      </c>
      <c r="AK540" s="41" t="str">
        <f>IF(AND(E540&lt;&gt;'Povolené hodnoty'!$B$4,F540=13),J540+M540+P540+S540,"")</f>
        <v/>
      </c>
      <c r="AL540" s="39" t="str">
        <f>IF(AND($G540='Povolené hodnoty'!$B$13,$H540=AL$4),SUM($I540,$L540,$O540,$R540),"")</f>
        <v/>
      </c>
      <c r="AM540" s="458" t="str">
        <f>IF(AND($G540='Povolené hodnoty'!$B$13,$H540=AM$4),SUM($I540,$L540,$O540,$R540),"")</f>
        <v/>
      </c>
      <c r="AN540" s="458" t="str">
        <f>IF(AND($G540='Povolené hodnoty'!$B$13,$H540=AN$4),SUM($I540,$L540,$O540,$R540),"")</f>
        <v/>
      </c>
      <c r="AO540" s="458" t="str">
        <f>IF(AND($G540='Povolené hodnoty'!$B$13,$H540=AO$4),SUM($I540,$L540,$O540,$R540),"")</f>
        <v/>
      </c>
      <c r="AP540" s="458" t="str">
        <f>IF(AND($G540='Povolené hodnoty'!$B$13,$H540=AP$4),SUM($I540,$L540,$O540,$R540),"")</f>
        <v/>
      </c>
      <c r="AQ540" s="40" t="str">
        <f>IF(AND($G540='Povolené hodnoty'!$B$13,OR($H540=AQ$4,$H540='Povolené hodnoty'!$E$36)),SUM($I540,-$J540,$L540,-$M540,$O540,-$P540,$R540,-$S540),"")</f>
        <v/>
      </c>
      <c r="AR540" s="40" t="str">
        <f>IF(AND($G540='Povolené hodnoty'!$B$13,$H540=AR$4),SUM($I540,$L540,$O540,$R540),"")</f>
        <v/>
      </c>
      <c r="AS540" s="41" t="str">
        <f>IF(AND($G540='Povolené hodnoty'!$B$13,$H540=AS$4),SUM($I540,$L540,$O540,$R540),"")</f>
        <v/>
      </c>
      <c r="AT540" s="39" t="str">
        <f>IF(AND($G540='Povolené hodnoty'!$B$14,$H540=AT$4),SUM($I540,$L540,$O540,$R540),"")</f>
        <v/>
      </c>
      <c r="AU540" s="458" t="str">
        <f>IF(AND($G540='Povolené hodnoty'!$B$14,$H540=AU$4),SUM($I540,$L540,$O540,$R540),"")</f>
        <v/>
      </c>
      <c r="AV540" s="41" t="str">
        <f>IF(AND($G540='Povolené hodnoty'!$B$14,$H540=AV$4),SUM($I540,$L540,$O540,$R540),"")</f>
        <v/>
      </c>
      <c r="AW540" s="39" t="str">
        <f>IF(AND($G540='Povolené hodnoty'!$B$13,$H540=AW$4),SUM($J540,$M540,$P540,$S540),"")</f>
        <v/>
      </c>
      <c r="AX540" s="458" t="str">
        <f>IF(AND($G540='Povolené hodnoty'!$B$13,$H540=AX$4),SUM($J540,$M540,$P540,$S540),"")</f>
        <v/>
      </c>
      <c r="AY540" s="458" t="str">
        <f>IF(AND($G540='Povolené hodnoty'!$B$13,$H540=AY$4),SUM($J540,$M540,$P540,$S540),"")</f>
        <v/>
      </c>
      <c r="AZ540" s="458" t="str">
        <f>IF(AND($G540='Povolené hodnoty'!$B$13,$H540=AZ$4),SUM($J540,$M540,$P540,$S540),"")</f>
        <v/>
      </c>
      <c r="BA540" s="458" t="str">
        <f>IF(AND($G540='Povolené hodnoty'!$B$13,$H540=BA$4),SUM($J540,$M540,$P540,$S540),"")</f>
        <v/>
      </c>
      <c r="BB540" s="40" t="str">
        <f>IF(AND($G540='Povolené hodnoty'!$B$13,$H540=BB$4),SUM($J540,$M540,$P540,$S540),"")</f>
        <v/>
      </c>
      <c r="BC540" s="40" t="str">
        <f>IF(AND($G540='Povolené hodnoty'!$B$13,$H540=BC$4),SUM($J540,$M540,$P540,$S540),"")</f>
        <v/>
      </c>
      <c r="BD540" s="40" t="str">
        <f>IF(AND($G540='Povolené hodnoty'!$B$13,$H540=BD$4),SUM($J540,$M540,$P540,$S540),"")</f>
        <v/>
      </c>
      <c r="BE540" s="41" t="str">
        <f>IF(AND($G540='Povolené hodnoty'!$B$13,$H540=BE$4),SUM($J540,$M540,$P540,$S540),"")</f>
        <v/>
      </c>
      <c r="BF540" s="39" t="str">
        <f>IF(AND($G540='Povolené hodnoty'!$B$14,$H540=BF$4),SUM($J540,$M540,$P540,$S540),"")</f>
        <v/>
      </c>
      <c r="BG540" s="458" t="str">
        <f>IF(AND($G540='Povolené hodnoty'!$B$14,$H540=BG$4),SUM($J540,$M540,$P540,$S540),"")</f>
        <v/>
      </c>
      <c r="BH540" s="458" t="str">
        <f>IF(AND($G540='Povolené hodnoty'!$B$14,$H540=BH$4),SUM($J540,$M540,$P540,$S540),"")</f>
        <v/>
      </c>
      <c r="BI540" s="458" t="str">
        <f>IF(AND($G540='Povolené hodnoty'!$B$14,$H540=BI$4),SUM($J540,$M540,$P540,$S540),"")</f>
        <v/>
      </c>
      <c r="BJ540" s="458" t="str">
        <f>IF(AND($G540='Povolené hodnoty'!$B$14,$H540=BJ$4),SUM($J540,$M540,$P540,$S540),"")</f>
        <v/>
      </c>
      <c r="BK540" s="40" t="str">
        <f>IF(AND($G540='Povolené hodnoty'!$B$14,$H540=BK$4),SUM($J540,$M540,$P540,$S540),"")</f>
        <v/>
      </c>
      <c r="BL540" s="40" t="str">
        <f>IF(AND($G540='Povolené hodnoty'!$B$14,$H540=BL$4),SUM($J540,$M540,$P540,$S540),"")</f>
        <v/>
      </c>
      <c r="BM540" s="41" t="str">
        <f>IF(AND($G540='Povolené hodnoty'!$B$14,$H540=BM$4),SUM($J540,$M540,$P540,$S540),"")</f>
        <v/>
      </c>
      <c r="BO540" s="18" t="b">
        <f t="shared" si="316"/>
        <v>0</v>
      </c>
      <c r="BP540" s="18" t="b">
        <f t="shared" si="287"/>
        <v>0</v>
      </c>
      <c r="BQ540" s="18" t="b">
        <f>AND(E540&lt;&gt;'Povolené hodnoty'!$B$6,F540&lt;&gt;'Povolené hodnoty'!$D$7,F540&lt;&gt;'Povolené hodnoty'!$D$8,OR(SUM(I540,L540,O540,R540)&lt;&gt;SUM(W540:X540,AA540:AG540),SUM(J540,M540,P540,S540)&lt;&gt;SUM(Y540:Z540,AH540:AK540),COUNT(I540:J540,L540:M540,O540:P540,R540:S540)&lt;&gt;COUNT(W540:AK540)))</f>
        <v>0</v>
      </c>
      <c r="BR540" s="18" t="b">
        <f>OR(AND(E540='Povolené hodnoty'!$B$6,$BR$5),AND(E540='Povolené hodnoty'!$B$6,H540&lt;&gt;'Povolené hodnoty'!$E$26,H540&lt;&gt;'Povolené hodnoty'!$E$35),AND(E540&lt;&gt;'Povolené hodnoty'!$B$6,OR(H540='Povolené hodnoty'!$E$26,H540='Povolené hodnoty'!$E$35)))</f>
        <v>0</v>
      </c>
      <c r="BS540" s="18" t="b">
        <f>OR(AND(G540&lt;&gt;'Povolené hodnoty'!$B$13,OR(H540='Povolené hodnoty'!$E$21,H540='Povolené hodnoty'!$E$22,H540='Povolené hodnoty'!$E$23,H540='Povolené hodnoty'!$E$24,H540='Povolené hodnoty'!$E$26,H540='Povolené hodnoty'!$E$36)),COUNT(I540:J540,L540:M540,O540:P540,R540:S540)&lt;&gt;COUNT(AL540:BM540))</f>
        <v>0</v>
      </c>
      <c r="BT540" s="18" t="b">
        <f t="shared" si="288"/>
        <v>0</v>
      </c>
      <c r="BV540" s="39" t="str">
        <f t="shared" si="289"/>
        <v/>
      </c>
      <c r="BW540" s="458" t="str">
        <f t="shared" si="290"/>
        <v/>
      </c>
      <c r="BX540" s="458" t="str">
        <f t="shared" si="291"/>
        <v/>
      </c>
      <c r="BY540" s="458" t="str">
        <f t="shared" si="292"/>
        <v/>
      </c>
      <c r="BZ540" s="458" t="str">
        <f t="shared" si="293"/>
        <v/>
      </c>
      <c r="CA540" s="40" t="str">
        <f t="shared" si="294"/>
        <v/>
      </c>
      <c r="CB540" s="40" t="str">
        <f t="shared" si="295"/>
        <v/>
      </c>
      <c r="CC540" s="39" t="str">
        <f t="shared" si="296"/>
        <v/>
      </c>
      <c r="CD540" s="458" t="str">
        <f t="shared" si="297"/>
        <v/>
      </c>
      <c r="CE540" s="41" t="str">
        <f t="shared" si="298"/>
        <v/>
      </c>
      <c r="CF540" s="39" t="str">
        <f t="shared" si="299"/>
        <v/>
      </c>
      <c r="CG540" s="458" t="str">
        <f t="shared" si="300"/>
        <v/>
      </c>
      <c r="CH540" s="458" t="str">
        <f t="shared" si="301"/>
        <v/>
      </c>
      <c r="CI540" s="458" t="str">
        <f t="shared" si="302"/>
        <v/>
      </c>
      <c r="CJ540" s="458" t="str">
        <f t="shared" si="303"/>
        <v/>
      </c>
      <c r="CK540" s="40" t="str">
        <f t="shared" si="304"/>
        <v/>
      </c>
      <c r="CL540" s="40" t="str">
        <f t="shared" si="305"/>
        <v/>
      </c>
      <c r="CM540" s="40" t="str">
        <f t="shared" si="306"/>
        <v/>
      </c>
      <c r="CN540" s="39" t="str">
        <f t="shared" si="307"/>
        <v/>
      </c>
      <c r="CO540" s="458" t="str">
        <f t="shared" si="308"/>
        <v/>
      </c>
      <c r="CP540" s="458" t="str">
        <f t="shared" si="309"/>
        <v/>
      </c>
      <c r="CQ540" s="458" t="str">
        <f t="shared" si="310"/>
        <v/>
      </c>
      <c r="CR540" s="458" t="str">
        <f t="shared" si="311"/>
        <v/>
      </c>
      <c r="CS540" s="40" t="str">
        <f t="shared" si="312"/>
        <v/>
      </c>
      <c r="CT540" s="40" t="str">
        <f t="shared" si="313"/>
        <v/>
      </c>
      <c r="CU540" s="41" t="str">
        <f t="shared" si="314"/>
        <v/>
      </c>
    </row>
    <row r="541" spans="1:99" x14ac:dyDescent="0.2">
      <c r="A541" s="77">
        <f t="shared" si="315"/>
        <v>536</v>
      </c>
      <c r="B541" s="81"/>
      <c r="C541" s="82"/>
      <c r="D541" s="71"/>
      <c r="E541" s="72"/>
      <c r="F541" s="73"/>
      <c r="G541" s="443"/>
      <c r="H541" s="443"/>
      <c r="I541" s="74"/>
      <c r="J541" s="75"/>
      <c r="K541" s="41">
        <f t="shared" si="284"/>
        <v>3625</v>
      </c>
      <c r="L541" s="104"/>
      <c r="M541" s="105"/>
      <c r="N541" s="106">
        <f t="shared" si="285"/>
        <v>537.05999999999995</v>
      </c>
      <c r="O541" s="104"/>
      <c r="P541" s="105"/>
      <c r="Q541" s="106">
        <f t="shared" si="317"/>
        <v>10045.83</v>
      </c>
      <c r="R541" s="104"/>
      <c r="S541" s="105"/>
      <c r="T541" s="106">
        <f t="shared" si="318"/>
        <v>0</v>
      </c>
      <c r="U541" s="439"/>
      <c r="V541" s="42">
        <f t="shared" si="286"/>
        <v>536</v>
      </c>
      <c r="W541" s="39" t="str">
        <f>IF(AND(E541='Povolené hodnoty'!$B$4,F541=2),I541+L541+O541+R541,"")</f>
        <v/>
      </c>
      <c r="X541" s="41" t="str">
        <f>IF(AND(E541='Povolené hodnoty'!$B$4,F541=1),I541+L541+O541+R541,"")</f>
        <v/>
      </c>
      <c r="Y541" s="39" t="str">
        <f>IF(AND(E541='Povolené hodnoty'!$B$4,F541=10),J541+M541+P541+S541,"")</f>
        <v/>
      </c>
      <c r="Z541" s="41" t="str">
        <f>IF(AND(E541='Povolené hodnoty'!$B$4,F541=9),J541+M541+P541+S541,"")</f>
        <v/>
      </c>
      <c r="AA541" s="39" t="str">
        <f>IF(AND(E541&lt;&gt;'Povolené hodnoty'!$B$4,F541=2),I541+L541+O541+R541,"")</f>
        <v/>
      </c>
      <c r="AB541" s="40" t="str">
        <f>IF(AND(E541&lt;&gt;'Povolené hodnoty'!$B$4,F541=3),I541+L541+O541+R541,"")</f>
        <v/>
      </c>
      <c r="AC541" s="40" t="str">
        <f>IF(AND(E541&lt;&gt;'Povolené hodnoty'!$B$4,F541=4),I541+L541+O541+R541,"")</f>
        <v/>
      </c>
      <c r="AD541" s="40" t="str">
        <f>IF(AND(E541&lt;&gt;'Povolené hodnoty'!$B$4,F541="5a"),I541-J541+L541-M541+O541-P541+R541-S541,"")</f>
        <v/>
      </c>
      <c r="AE541" s="40" t="str">
        <f>IF(AND(E541&lt;&gt;'Povolené hodnoty'!$B$4,F541="5b"),I541-J541+L541-M541+O541-P541+R541-S541,"")</f>
        <v/>
      </c>
      <c r="AF541" s="40" t="str">
        <f>IF(AND(E541&lt;&gt;'Povolené hodnoty'!$B$4,F541=6),I541+L541+O541+R541,"")</f>
        <v/>
      </c>
      <c r="AG541" s="41" t="str">
        <f>IF(AND(E541&lt;&gt;'Povolené hodnoty'!$B$4,F541=7),I541+L541+O541+R541,"")</f>
        <v/>
      </c>
      <c r="AH541" s="39" t="str">
        <f>IF(AND(E541&lt;&gt;'Povolené hodnoty'!$B$4,F541=10),J541+M541+P541+S541,"")</f>
        <v/>
      </c>
      <c r="AI541" s="40" t="str">
        <f>IF(AND(E541&lt;&gt;'Povolené hodnoty'!$B$4,F541=11),J541+M541+P541+S541,"")</f>
        <v/>
      </c>
      <c r="AJ541" s="40" t="str">
        <f>IF(AND(E541&lt;&gt;'Povolené hodnoty'!$B$4,F541=12),J541+M541+P541+S541,"")</f>
        <v/>
      </c>
      <c r="AK541" s="41" t="str">
        <f>IF(AND(E541&lt;&gt;'Povolené hodnoty'!$B$4,F541=13),J541+M541+P541+S541,"")</f>
        <v/>
      </c>
      <c r="AL541" s="39" t="str">
        <f>IF(AND($G541='Povolené hodnoty'!$B$13,$H541=AL$4),SUM($I541,$L541,$O541,$R541),"")</f>
        <v/>
      </c>
      <c r="AM541" s="458" t="str">
        <f>IF(AND($G541='Povolené hodnoty'!$B$13,$H541=AM$4),SUM($I541,$L541,$O541,$R541),"")</f>
        <v/>
      </c>
      <c r="AN541" s="458" t="str">
        <f>IF(AND($G541='Povolené hodnoty'!$B$13,$H541=AN$4),SUM($I541,$L541,$O541,$R541),"")</f>
        <v/>
      </c>
      <c r="AO541" s="458" t="str">
        <f>IF(AND($G541='Povolené hodnoty'!$B$13,$H541=AO$4),SUM($I541,$L541,$O541,$R541),"")</f>
        <v/>
      </c>
      <c r="AP541" s="458" t="str">
        <f>IF(AND($G541='Povolené hodnoty'!$B$13,$H541=AP$4),SUM($I541,$L541,$O541,$R541),"")</f>
        <v/>
      </c>
      <c r="AQ541" s="40" t="str">
        <f>IF(AND($G541='Povolené hodnoty'!$B$13,OR($H541=AQ$4,$H541='Povolené hodnoty'!$E$36)),SUM($I541,-$J541,$L541,-$M541,$O541,-$P541,$R541,-$S541),"")</f>
        <v/>
      </c>
      <c r="AR541" s="40" t="str">
        <f>IF(AND($G541='Povolené hodnoty'!$B$13,$H541=AR$4),SUM($I541,$L541,$O541,$R541),"")</f>
        <v/>
      </c>
      <c r="AS541" s="41" t="str">
        <f>IF(AND($G541='Povolené hodnoty'!$B$13,$H541=AS$4),SUM($I541,$L541,$O541,$R541),"")</f>
        <v/>
      </c>
      <c r="AT541" s="39" t="str">
        <f>IF(AND($G541='Povolené hodnoty'!$B$14,$H541=AT$4),SUM($I541,$L541,$O541,$R541),"")</f>
        <v/>
      </c>
      <c r="AU541" s="458" t="str">
        <f>IF(AND($G541='Povolené hodnoty'!$B$14,$H541=AU$4),SUM($I541,$L541,$O541,$R541),"")</f>
        <v/>
      </c>
      <c r="AV541" s="41" t="str">
        <f>IF(AND($G541='Povolené hodnoty'!$B$14,$H541=AV$4),SUM($I541,$L541,$O541,$R541),"")</f>
        <v/>
      </c>
      <c r="AW541" s="39" t="str">
        <f>IF(AND($G541='Povolené hodnoty'!$B$13,$H541=AW$4),SUM($J541,$M541,$P541,$S541),"")</f>
        <v/>
      </c>
      <c r="AX541" s="458" t="str">
        <f>IF(AND($G541='Povolené hodnoty'!$B$13,$H541=AX$4),SUM($J541,$M541,$P541,$S541),"")</f>
        <v/>
      </c>
      <c r="AY541" s="458" t="str">
        <f>IF(AND($G541='Povolené hodnoty'!$B$13,$H541=AY$4),SUM($J541,$M541,$P541,$S541),"")</f>
        <v/>
      </c>
      <c r="AZ541" s="458" t="str">
        <f>IF(AND($G541='Povolené hodnoty'!$B$13,$H541=AZ$4),SUM($J541,$M541,$P541,$S541),"")</f>
        <v/>
      </c>
      <c r="BA541" s="458" t="str">
        <f>IF(AND($G541='Povolené hodnoty'!$B$13,$H541=BA$4),SUM($J541,$M541,$P541,$S541),"")</f>
        <v/>
      </c>
      <c r="BB541" s="40" t="str">
        <f>IF(AND($G541='Povolené hodnoty'!$B$13,$H541=BB$4),SUM($J541,$M541,$P541,$S541),"")</f>
        <v/>
      </c>
      <c r="BC541" s="40" t="str">
        <f>IF(AND($G541='Povolené hodnoty'!$B$13,$H541=BC$4),SUM($J541,$M541,$P541,$S541),"")</f>
        <v/>
      </c>
      <c r="BD541" s="40" t="str">
        <f>IF(AND($G541='Povolené hodnoty'!$B$13,$H541=BD$4),SUM($J541,$M541,$P541,$S541),"")</f>
        <v/>
      </c>
      <c r="BE541" s="41" t="str">
        <f>IF(AND($G541='Povolené hodnoty'!$B$13,$H541=BE$4),SUM($J541,$M541,$P541,$S541),"")</f>
        <v/>
      </c>
      <c r="BF541" s="39" t="str">
        <f>IF(AND($G541='Povolené hodnoty'!$B$14,$H541=BF$4),SUM($J541,$M541,$P541,$S541),"")</f>
        <v/>
      </c>
      <c r="BG541" s="458" t="str">
        <f>IF(AND($G541='Povolené hodnoty'!$B$14,$H541=BG$4),SUM($J541,$M541,$P541,$S541),"")</f>
        <v/>
      </c>
      <c r="BH541" s="458" t="str">
        <f>IF(AND($G541='Povolené hodnoty'!$B$14,$H541=BH$4),SUM($J541,$M541,$P541,$S541),"")</f>
        <v/>
      </c>
      <c r="BI541" s="458" t="str">
        <f>IF(AND($G541='Povolené hodnoty'!$B$14,$H541=BI$4),SUM($J541,$M541,$P541,$S541),"")</f>
        <v/>
      </c>
      <c r="BJ541" s="458" t="str">
        <f>IF(AND($G541='Povolené hodnoty'!$B$14,$H541=BJ$4),SUM($J541,$M541,$P541,$S541),"")</f>
        <v/>
      </c>
      <c r="BK541" s="40" t="str">
        <f>IF(AND($G541='Povolené hodnoty'!$B$14,$H541=BK$4),SUM($J541,$M541,$P541,$S541),"")</f>
        <v/>
      </c>
      <c r="BL541" s="40" t="str">
        <f>IF(AND($G541='Povolené hodnoty'!$B$14,$H541=BL$4),SUM($J541,$M541,$P541,$S541),"")</f>
        <v/>
      </c>
      <c r="BM541" s="41" t="str">
        <f>IF(AND($G541='Povolené hodnoty'!$B$14,$H541=BM$4),SUM($J541,$M541,$P541,$S541),"")</f>
        <v/>
      </c>
      <c r="BO541" s="18" t="b">
        <f t="shared" si="316"/>
        <v>0</v>
      </c>
      <c r="BP541" s="18" t="b">
        <f t="shared" si="287"/>
        <v>0</v>
      </c>
      <c r="BQ541" s="18" t="b">
        <f>AND(E541&lt;&gt;'Povolené hodnoty'!$B$6,F541&lt;&gt;'Povolené hodnoty'!$D$7,F541&lt;&gt;'Povolené hodnoty'!$D$8,OR(SUM(I541,L541,O541,R541)&lt;&gt;SUM(W541:X541,AA541:AG541),SUM(J541,M541,P541,S541)&lt;&gt;SUM(Y541:Z541,AH541:AK541),COUNT(I541:J541,L541:M541,O541:P541,R541:S541)&lt;&gt;COUNT(W541:AK541)))</f>
        <v>0</v>
      </c>
      <c r="BR541" s="18" t="b">
        <f>OR(AND(E541='Povolené hodnoty'!$B$6,$BR$5),AND(E541='Povolené hodnoty'!$B$6,H541&lt;&gt;'Povolené hodnoty'!$E$26,H541&lt;&gt;'Povolené hodnoty'!$E$35),AND(E541&lt;&gt;'Povolené hodnoty'!$B$6,OR(H541='Povolené hodnoty'!$E$26,H541='Povolené hodnoty'!$E$35)))</f>
        <v>0</v>
      </c>
      <c r="BS541" s="18" t="b">
        <f>OR(AND(G541&lt;&gt;'Povolené hodnoty'!$B$13,OR(H541='Povolené hodnoty'!$E$21,H541='Povolené hodnoty'!$E$22,H541='Povolené hodnoty'!$E$23,H541='Povolené hodnoty'!$E$24,H541='Povolené hodnoty'!$E$26,H541='Povolené hodnoty'!$E$36)),COUNT(I541:J541,L541:M541,O541:P541,R541:S541)&lt;&gt;COUNT(AL541:BM541))</f>
        <v>0</v>
      </c>
      <c r="BT541" s="18" t="b">
        <f t="shared" si="288"/>
        <v>0</v>
      </c>
      <c r="BV541" s="39" t="str">
        <f t="shared" si="289"/>
        <v/>
      </c>
      <c r="BW541" s="458" t="str">
        <f t="shared" si="290"/>
        <v/>
      </c>
      <c r="BX541" s="458" t="str">
        <f t="shared" si="291"/>
        <v/>
      </c>
      <c r="BY541" s="458" t="str">
        <f t="shared" si="292"/>
        <v/>
      </c>
      <c r="BZ541" s="458" t="str">
        <f t="shared" si="293"/>
        <v/>
      </c>
      <c r="CA541" s="40" t="str">
        <f t="shared" si="294"/>
        <v/>
      </c>
      <c r="CB541" s="40" t="str">
        <f t="shared" si="295"/>
        <v/>
      </c>
      <c r="CC541" s="39" t="str">
        <f t="shared" si="296"/>
        <v/>
      </c>
      <c r="CD541" s="458" t="str">
        <f t="shared" si="297"/>
        <v/>
      </c>
      <c r="CE541" s="41" t="str">
        <f t="shared" si="298"/>
        <v/>
      </c>
      <c r="CF541" s="39" t="str">
        <f t="shared" si="299"/>
        <v/>
      </c>
      <c r="CG541" s="458" t="str">
        <f t="shared" si="300"/>
        <v/>
      </c>
      <c r="CH541" s="458" t="str">
        <f t="shared" si="301"/>
        <v/>
      </c>
      <c r="CI541" s="458" t="str">
        <f t="shared" si="302"/>
        <v/>
      </c>
      <c r="CJ541" s="458" t="str">
        <f t="shared" si="303"/>
        <v/>
      </c>
      <c r="CK541" s="40" t="str">
        <f t="shared" si="304"/>
        <v/>
      </c>
      <c r="CL541" s="40" t="str">
        <f t="shared" si="305"/>
        <v/>
      </c>
      <c r="CM541" s="40" t="str">
        <f t="shared" si="306"/>
        <v/>
      </c>
      <c r="CN541" s="39" t="str">
        <f t="shared" si="307"/>
        <v/>
      </c>
      <c r="CO541" s="458" t="str">
        <f t="shared" si="308"/>
        <v/>
      </c>
      <c r="CP541" s="458" t="str">
        <f t="shared" si="309"/>
        <v/>
      </c>
      <c r="CQ541" s="458" t="str">
        <f t="shared" si="310"/>
        <v/>
      </c>
      <c r="CR541" s="458" t="str">
        <f t="shared" si="311"/>
        <v/>
      </c>
      <c r="CS541" s="40" t="str">
        <f t="shared" si="312"/>
        <v/>
      </c>
      <c r="CT541" s="40" t="str">
        <f t="shared" si="313"/>
        <v/>
      </c>
      <c r="CU541" s="41" t="str">
        <f t="shared" si="314"/>
        <v/>
      </c>
    </row>
    <row r="542" spans="1:99" x14ac:dyDescent="0.2">
      <c r="A542" s="77">
        <f t="shared" si="315"/>
        <v>537</v>
      </c>
      <c r="B542" s="81"/>
      <c r="C542" s="82"/>
      <c r="D542" s="71"/>
      <c r="E542" s="72"/>
      <c r="F542" s="73"/>
      <c r="G542" s="443"/>
      <c r="H542" s="443"/>
      <c r="I542" s="74"/>
      <c r="J542" s="75"/>
      <c r="K542" s="41">
        <f t="shared" si="284"/>
        <v>3625</v>
      </c>
      <c r="L542" s="104"/>
      <c r="M542" s="105"/>
      <c r="N542" s="106">
        <f t="shared" si="285"/>
        <v>537.05999999999995</v>
      </c>
      <c r="O542" s="104"/>
      <c r="P542" s="105"/>
      <c r="Q542" s="106">
        <f t="shared" si="317"/>
        <v>10045.83</v>
      </c>
      <c r="R542" s="104"/>
      <c r="S542" s="105"/>
      <c r="T542" s="106">
        <f t="shared" si="318"/>
        <v>0</v>
      </c>
      <c r="U542" s="439"/>
      <c r="V542" s="42">
        <f t="shared" si="286"/>
        <v>537</v>
      </c>
      <c r="W542" s="39" t="str">
        <f>IF(AND(E542='Povolené hodnoty'!$B$4,F542=2),I542+L542+O542+R542,"")</f>
        <v/>
      </c>
      <c r="X542" s="41" t="str">
        <f>IF(AND(E542='Povolené hodnoty'!$B$4,F542=1),I542+L542+O542+R542,"")</f>
        <v/>
      </c>
      <c r="Y542" s="39" t="str">
        <f>IF(AND(E542='Povolené hodnoty'!$B$4,F542=10),J542+M542+P542+S542,"")</f>
        <v/>
      </c>
      <c r="Z542" s="41" t="str">
        <f>IF(AND(E542='Povolené hodnoty'!$B$4,F542=9),J542+M542+P542+S542,"")</f>
        <v/>
      </c>
      <c r="AA542" s="39" t="str">
        <f>IF(AND(E542&lt;&gt;'Povolené hodnoty'!$B$4,F542=2),I542+L542+O542+R542,"")</f>
        <v/>
      </c>
      <c r="AB542" s="40" t="str">
        <f>IF(AND(E542&lt;&gt;'Povolené hodnoty'!$B$4,F542=3),I542+L542+O542+R542,"")</f>
        <v/>
      </c>
      <c r="AC542" s="40" t="str">
        <f>IF(AND(E542&lt;&gt;'Povolené hodnoty'!$B$4,F542=4),I542+L542+O542+R542,"")</f>
        <v/>
      </c>
      <c r="AD542" s="40" t="str">
        <f>IF(AND(E542&lt;&gt;'Povolené hodnoty'!$B$4,F542="5a"),I542-J542+L542-M542+O542-P542+R542-S542,"")</f>
        <v/>
      </c>
      <c r="AE542" s="40" t="str">
        <f>IF(AND(E542&lt;&gt;'Povolené hodnoty'!$B$4,F542="5b"),I542-J542+L542-M542+O542-P542+R542-S542,"")</f>
        <v/>
      </c>
      <c r="AF542" s="40" t="str">
        <f>IF(AND(E542&lt;&gt;'Povolené hodnoty'!$B$4,F542=6),I542+L542+O542+R542,"")</f>
        <v/>
      </c>
      <c r="AG542" s="41" t="str">
        <f>IF(AND(E542&lt;&gt;'Povolené hodnoty'!$B$4,F542=7),I542+L542+O542+R542,"")</f>
        <v/>
      </c>
      <c r="AH542" s="39" t="str">
        <f>IF(AND(E542&lt;&gt;'Povolené hodnoty'!$B$4,F542=10),J542+M542+P542+S542,"")</f>
        <v/>
      </c>
      <c r="AI542" s="40" t="str">
        <f>IF(AND(E542&lt;&gt;'Povolené hodnoty'!$B$4,F542=11),J542+M542+P542+S542,"")</f>
        <v/>
      </c>
      <c r="AJ542" s="40" t="str">
        <f>IF(AND(E542&lt;&gt;'Povolené hodnoty'!$B$4,F542=12),J542+M542+P542+S542,"")</f>
        <v/>
      </c>
      <c r="AK542" s="41" t="str">
        <f>IF(AND(E542&lt;&gt;'Povolené hodnoty'!$B$4,F542=13),J542+M542+P542+S542,"")</f>
        <v/>
      </c>
      <c r="AL542" s="39" t="str">
        <f>IF(AND($G542='Povolené hodnoty'!$B$13,$H542=AL$4),SUM($I542,$L542,$O542,$R542),"")</f>
        <v/>
      </c>
      <c r="AM542" s="458" t="str">
        <f>IF(AND($G542='Povolené hodnoty'!$B$13,$H542=AM$4),SUM($I542,$L542,$O542,$R542),"")</f>
        <v/>
      </c>
      <c r="AN542" s="458" t="str">
        <f>IF(AND($G542='Povolené hodnoty'!$B$13,$H542=AN$4),SUM($I542,$L542,$O542,$R542),"")</f>
        <v/>
      </c>
      <c r="AO542" s="458" t="str">
        <f>IF(AND($G542='Povolené hodnoty'!$B$13,$H542=AO$4),SUM($I542,$L542,$O542,$R542),"")</f>
        <v/>
      </c>
      <c r="AP542" s="458" t="str">
        <f>IF(AND($G542='Povolené hodnoty'!$B$13,$H542=AP$4),SUM($I542,$L542,$O542,$R542),"")</f>
        <v/>
      </c>
      <c r="AQ542" s="40" t="str">
        <f>IF(AND($G542='Povolené hodnoty'!$B$13,OR($H542=AQ$4,$H542='Povolené hodnoty'!$E$36)),SUM($I542,-$J542,$L542,-$M542,$O542,-$P542,$R542,-$S542),"")</f>
        <v/>
      </c>
      <c r="AR542" s="40" t="str">
        <f>IF(AND($G542='Povolené hodnoty'!$B$13,$H542=AR$4),SUM($I542,$L542,$O542,$R542),"")</f>
        <v/>
      </c>
      <c r="AS542" s="41" t="str">
        <f>IF(AND($G542='Povolené hodnoty'!$B$13,$H542=AS$4),SUM($I542,$L542,$O542,$R542),"")</f>
        <v/>
      </c>
      <c r="AT542" s="39" t="str">
        <f>IF(AND($G542='Povolené hodnoty'!$B$14,$H542=AT$4),SUM($I542,$L542,$O542,$R542),"")</f>
        <v/>
      </c>
      <c r="AU542" s="458" t="str">
        <f>IF(AND($G542='Povolené hodnoty'!$B$14,$H542=AU$4),SUM($I542,$L542,$O542,$R542),"")</f>
        <v/>
      </c>
      <c r="AV542" s="41" t="str">
        <f>IF(AND($G542='Povolené hodnoty'!$B$14,$H542=AV$4),SUM($I542,$L542,$O542,$R542),"")</f>
        <v/>
      </c>
      <c r="AW542" s="39" t="str">
        <f>IF(AND($G542='Povolené hodnoty'!$B$13,$H542=AW$4),SUM($J542,$M542,$P542,$S542),"")</f>
        <v/>
      </c>
      <c r="AX542" s="458" t="str">
        <f>IF(AND($G542='Povolené hodnoty'!$B$13,$H542=AX$4),SUM($J542,$M542,$P542,$S542),"")</f>
        <v/>
      </c>
      <c r="AY542" s="458" t="str">
        <f>IF(AND($G542='Povolené hodnoty'!$B$13,$H542=AY$4),SUM($J542,$M542,$P542,$S542),"")</f>
        <v/>
      </c>
      <c r="AZ542" s="458" t="str">
        <f>IF(AND($G542='Povolené hodnoty'!$B$13,$H542=AZ$4),SUM($J542,$M542,$P542,$S542),"")</f>
        <v/>
      </c>
      <c r="BA542" s="458" t="str">
        <f>IF(AND($G542='Povolené hodnoty'!$B$13,$H542=BA$4),SUM($J542,$M542,$P542,$S542),"")</f>
        <v/>
      </c>
      <c r="BB542" s="40" t="str">
        <f>IF(AND($G542='Povolené hodnoty'!$B$13,$H542=BB$4),SUM($J542,$M542,$P542,$S542),"")</f>
        <v/>
      </c>
      <c r="BC542" s="40" t="str">
        <f>IF(AND($G542='Povolené hodnoty'!$B$13,$H542=BC$4),SUM($J542,$M542,$P542,$S542),"")</f>
        <v/>
      </c>
      <c r="BD542" s="40" t="str">
        <f>IF(AND($G542='Povolené hodnoty'!$B$13,$H542=BD$4),SUM($J542,$M542,$P542,$S542),"")</f>
        <v/>
      </c>
      <c r="BE542" s="41" t="str">
        <f>IF(AND($G542='Povolené hodnoty'!$B$13,$H542=BE$4),SUM($J542,$M542,$P542,$S542),"")</f>
        <v/>
      </c>
      <c r="BF542" s="39" t="str">
        <f>IF(AND($G542='Povolené hodnoty'!$B$14,$H542=BF$4),SUM($J542,$M542,$P542,$S542),"")</f>
        <v/>
      </c>
      <c r="BG542" s="458" t="str">
        <f>IF(AND($G542='Povolené hodnoty'!$B$14,$H542=BG$4),SUM($J542,$M542,$P542,$S542),"")</f>
        <v/>
      </c>
      <c r="BH542" s="458" t="str">
        <f>IF(AND($G542='Povolené hodnoty'!$B$14,$H542=BH$4),SUM($J542,$M542,$P542,$S542),"")</f>
        <v/>
      </c>
      <c r="BI542" s="458" t="str">
        <f>IF(AND($G542='Povolené hodnoty'!$B$14,$H542=BI$4),SUM($J542,$M542,$P542,$S542),"")</f>
        <v/>
      </c>
      <c r="BJ542" s="458" t="str">
        <f>IF(AND($G542='Povolené hodnoty'!$B$14,$H542=BJ$4),SUM($J542,$M542,$P542,$S542),"")</f>
        <v/>
      </c>
      <c r="BK542" s="40" t="str">
        <f>IF(AND($G542='Povolené hodnoty'!$B$14,$H542=BK$4),SUM($J542,$M542,$P542,$S542),"")</f>
        <v/>
      </c>
      <c r="BL542" s="40" t="str">
        <f>IF(AND($G542='Povolené hodnoty'!$B$14,$H542=BL$4),SUM($J542,$M542,$P542,$S542),"")</f>
        <v/>
      </c>
      <c r="BM542" s="41" t="str">
        <f>IF(AND($G542='Povolené hodnoty'!$B$14,$H542=BM$4),SUM($J542,$M542,$P542,$S542),"")</f>
        <v/>
      </c>
      <c r="BO542" s="18" t="b">
        <f t="shared" si="316"/>
        <v>0</v>
      </c>
      <c r="BP542" s="18" t="b">
        <f t="shared" si="287"/>
        <v>0</v>
      </c>
      <c r="BQ542" s="18" t="b">
        <f>AND(E542&lt;&gt;'Povolené hodnoty'!$B$6,F542&lt;&gt;'Povolené hodnoty'!$D$7,F542&lt;&gt;'Povolené hodnoty'!$D$8,OR(SUM(I542,L542,O542,R542)&lt;&gt;SUM(W542:X542,AA542:AG542),SUM(J542,M542,P542,S542)&lt;&gt;SUM(Y542:Z542,AH542:AK542),COUNT(I542:J542,L542:M542,O542:P542,R542:S542)&lt;&gt;COUNT(W542:AK542)))</f>
        <v>0</v>
      </c>
      <c r="BR542" s="18" t="b">
        <f>OR(AND(E542='Povolené hodnoty'!$B$6,$BR$5),AND(E542='Povolené hodnoty'!$B$6,H542&lt;&gt;'Povolené hodnoty'!$E$26,H542&lt;&gt;'Povolené hodnoty'!$E$35),AND(E542&lt;&gt;'Povolené hodnoty'!$B$6,OR(H542='Povolené hodnoty'!$E$26,H542='Povolené hodnoty'!$E$35)))</f>
        <v>0</v>
      </c>
      <c r="BS542" s="18" t="b">
        <f>OR(AND(G542&lt;&gt;'Povolené hodnoty'!$B$13,OR(H542='Povolené hodnoty'!$E$21,H542='Povolené hodnoty'!$E$22,H542='Povolené hodnoty'!$E$23,H542='Povolené hodnoty'!$E$24,H542='Povolené hodnoty'!$E$26,H542='Povolené hodnoty'!$E$36)),COUNT(I542:J542,L542:M542,O542:P542,R542:S542)&lt;&gt;COUNT(AL542:BM542))</f>
        <v>0</v>
      </c>
      <c r="BT542" s="18" t="b">
        <f t="shared" si="288"/>
        <v>0</v>
      </c>
      <c r="BV542" s="39" t="str">
        <f t="shared" si="289"/>
        <v/>
      </c>
      <c r="BW542" s="458" t="str">
        <f t="shared" si="290"/>
        <v/>
      </c>
      <c r="BX542" s="458" t="str">
        <f t="shared" si="291"/>
        <v/>
      </c>
      <c r="BY542" s="458" t="str">
        <f t="shared" si="292"/>
        <v/>
      </c>
      <c r="BZ542" s="458" t="str">
        <f t="shared" si="293"/>
        <v/>
      </c>
      <c r="CA542" s="40" t="str">
        <f t="shared" si="294"/>
        <v/>
      </c>
      <c r="CB542" s="40" t="str">
        <f t="shared" si="295"/>
        <v/>
      </c>
      <c r="CC542" s="39" t="str">
        <f t="shared" si="296"/>
        <v/>
      </c>
      <c r="CD542" s="458" t="str">
        <f t="shared" si="297"/>
        <v/>
      </c>
      <c r="CE542" s="41" t="str">
        <f t="shared" si="298"/>
        <v/>
      </c>
      <c r="CF542" s="39" t="str">
        <f t="shared" si="299"/>
        <v/>
      </c>
      <c r="CG542" s="458" t="str">
        <f t="shared" si="300"/>
        <v/>
      </c>
      <c r="CH542" s="458" t="str">
        <f t="shared" si="301"/>
        <v/>
      </c>
      <c r="CI542" s="458" t="str">
        <f t="shared" si="302"/>
        <v/>
      </c>
      <c r="CJ542" s="458" t="str">
        <f t="shared" si="303"/>
        <v/>
      </c>
      <c r="CK542" s="40" t="str">
        <f t="shared" si="304"/>
        <v/>
      </c>
      <c r="CL542" s="40" t="str">
        <f t="shared" si="305"/>
        <v/>
      </c>
      <c r="CM542" s="40" t="str">
        <f t="shared" si="306"/>
        <v/>
      </c>
      <c r="CN542" s="39" t="str">
        <f t="shared" si="307"/>
        <v/>
      </c>
      <c r="CO542" s="458" t="str">
        <f t="shared" si="308"/>
        <v/>
      </c>
      <c r="CP542" s="458" t="str">
        <f t="shared" si="309"/>
        <v/>
      </c>
      <c r="CQ542" s="458" t="str">
        <f t="shared" si="310"/>
        <v/>
      </c>
      <c r="CR542" s="458" t="str">
        <f t="shared" si="311"/>
        <v/>
      </c>
      <c r="CS542" s="40" t="str">
        <f t="shared" si="312"/>
        <v/>
      </c>
      <c r="CT542" s="40" t="str">
        <f t="shared" si="313"/>
        <v/>
      </c>
      <c r="CU542" s="41" t="str">
        <f t="shared" si="314"/>
        <v/>
      </c>
    </row>
    <row r="543" spans="1:99" x14ac:dyDescent="0.2">
      <c r="A543" s="77">
        <f t="shared" si="315"/>
        <v>538</v>
      </c>
      <c r="B543" s="81"/>
      <c r="C543" s="82"/>
      <c r="D543" s="71"/>
      <c r="E543" s="72"/>
      <c r="F543" s="73"/>
      <c r="G543" s="443"/>
      <c r="H543" s="443"/>
      <c r="I543" s="74"/>
      <c r="J543" s="75"/>
      <c r="K543" s="41">
        <f t="shared" si="284"/>
        <v>3625</v>
      </c>
      <c r="L543" s="104"/>
      <c r="M543" s="105"/>
      <c r="N543" s="106">
        <f t="shared" si="285"/>
        <v>537.05999999999995</v>
      </c>
      <c r="O543" s="104"/>
      <c r="P543" s="105"/>
      <c r="Q543" s="106">
        <f t="shared" si="317"/>
        <v>10045.83</v>
      </c>
      <c r="R543" s="104"/>
      <c r="S543" s="105"/>
      <c r="T543" s="106">
        <f t="shared" si="318"/>
        <v>0</v>
      </c>
      <c r="U543" s="439"/>
      <c r="V543" s="42">
        <f t="shared" si="286"/>
        <v>538</v>
      </c>
      <c r="W543" s="39" t="str">
        <f>IF(AND(E543='Povolené hodnoty'!$B$4,F543=2),I543+L543+O543+R543,"")</f>
        <v/>
      </c>
      <c r="X543" s="41" t="str">
        <f>IF(AND(E543='Povolené hodnoty'!$B$4,F543=1),I543+L543+O543+R543,"")</f>
        <v/>
      </c>
      <c r="Y543" s="39" t="str">
        <f>IF(AND(E543='Povolené hodnoty'!$B$4,F543=10),J543+M543+P543+S543,"")</f>
        <v/>
      </c>
      <c r="Z543" s="41" t="str">
        <f>IF(AND(E543='Povolené hodnoty'!$B$4,F543=9),J543+M543+P543+S543,"")</f>
        <v/>
      </c>
      <c r="AA543" s="39" t="str">
        <f>IF(AND(E543&lt;&gt;'Povolené hodnoty'!$B$4,F543=2),I543+L543+O543+R543,"")</f>
        <v/>
      </c>
      <c r="AB543" s="40" t="str">
        <f>IF(AND(E543&lt;&gt;'Povolené hodnoty'!$B$4,F543=3),I543+L543+O543+R543,"")</f>
        <v/>
      </c>
      <c r="AC543" s="40" t="str">
        <f>IF(AND(E543&lt;&gt;'Povolené hodnoty'!$B$4,F543=4),I543+L543+O543+R543,"")</f>
        <v/>
      </c>
      <c r="AD543" s="40" t="str">
        <f>IF(AND(E543&lt;&gt;'Povolené hodnoty'!$B$4,F543="5a"),I543-J543+L543-M543+O543-P543+R543-S543,"")</f>
        <v/>
      </c>
      <c r="AE543" s="40" t="str">
        <f>IF(AND(E543&lt;&gt;'Povolené hodnoty'!$B$4,F543="5b"),I543-J543+L543-M543+O543-P543+R543-S543,"")</f>
        <v/>
      </c>
      <c r="AF543" s="40" t="str">
        <f>IF(AND(E543&lt;&gt;'Povolené hodnoty'!$B$4,F543=6),I543+L543+O543+R543,"")</f>
        <v/>
      </c>
      <c r="AG543" s="41" t="str">
        <f>IF(AND(E543&lt;&gt;'Povolené hodnoty'!$B$4,F543=7),I543+L543+O543+R543,"")</f>
        <v/>
      </c>
      <c r="AH543" s="39" t="str">
        <f>IF(AND(E543&lt;&gt;'Povolené hodnoty'!$B$4,F543=10),J543+M543+P543+S543,"")</f>
        <v/>
      </c>
      <c r="AI543" s="40" t="str">
        <f>IF(AND(E543&lt;&gt;'Povolené hodnoty'!$B$4,F543=11),J543+M543+P543+S543,"")</f>
        <v/>
      </c>
      <c r="AJ543" s="40" t="str">
        <f>IF(AND(E543&lt;&gt;'Povolené hodnoty'!$B$4,F543=12),J543+M543+P543+S543,"")</f>
        <v/>
      </c>
      <c r="AK543" s="41" t="str">
        <f>IF(AND(E543&lt;&gt;'Povolené hodnoty'!$B$4,F543=13),J543+M543+P543+S543,"")</f>
        <v/>
      </c>
      <c r="AL543" s="39" t="str">
        <f>IF(AND($G543='Povolené hodnoty'!$B$13,$H543=AL$4),SUM($I543,$L543,$O543,$R543),"")</f>
        <v/>
      </c>
      <c r="AM543" s="458" t="str">
        <f>IF(AND($G543='Povolené hodnoty'!$B$13,$H543=AM$4),SUM($I543,$L543,$O543,$R543),"")</f>
        <v/>
      </c>
      <c r="AN543" s="458" t="str">
        <f>IF(AND($G543='Povolené hodnoty'!$B$13,$H543=AN$4),SUM($I543,$L543,$O543,$R543),"")</f>
        <v/>
      </c>
      <c r="AO543" s="458" t="str">
        <f>IF(AND($G543='Povolené hodnoty'!$B$13,$H543=AO$4),SUM($I543,$L543,$O543,$R543),"")</f>
        <v/>
      </c>
      <c r="AP543" s="458" t="str">
        <f>IF(AND($G543='Povolené hodnoty'!$B$13,$H543=AP$4),SUM($I543,$L543,$O543,$R543),"")</f>
        <v/>
      </c>
      <c r="AQ543" s="40" t="str">
        <f>IF(AND($G543='Povolené hodnoty'!$B$13,OR($H543=AQ$4,$H543='Povolené hodnoty'!$E$36)),SUM($I543,-$J543,$L543,-$M543,$O543,-$P543,$R543,-$S543),"")</f>
        <v/>
      </c>
      <c r="AR543" s="40" t="str">
        <f>IF(AND($G543='Povolené hodnoty'!$B$13,$H543=AR$4),SUM($I543,$L543,$O543,$R543),"")</f>
        <v/>
      </c>
      <c r="AS543" s="41" t="str">
        <f>IF(AND($G543='Povolené hodnoty'!$B$13,$H543=AS$4),SUM($I543,$L543,$O543,$R543),"")</f>
        <v/>
      </c>
      <c r="AT543" s="39" t="str">
        <f>IF(AND($G543='Povolené hodnoty'!$B$14,$H543=AT$4),SUM($I543,$L543,$O543,$R543),"")</f>
        <v/>
      </c>
      <c r="AU543" s="458" t="str">
        <f>IF(AND($G543='Povolené hodnoty'!$B$14,$H543=AU$4),SUM($I543,$L543,$O543,$R543),"")</f>
        <v/>
      </c>
      <c r="AV543" s="41" t="str">
        <f>IF(AND($G543='Povolené hodnoty'!$B$14,$H543=AV$4),SUM($I543,$L543,$O543,$R543),"")</f>
        <v/>
      </c>
      <c r="AW543" s="39" t="str">
        <f>IF(AND($G543='Povolené hodnoty'!$B$13,$H543=AW$4),SUM($J543,$M543,$P543,$S543),"")</f>
        <v/>
      </c>
      <c r="AX543" s="458" t="str">
        <f>IF(AND($G543='Povolené hodnoty'!$B$13,$H543=AX$4),SUM($J543,$M543,$P543,$S543),"")</f>
        <v/>
      </c>
      <c r="AY543" s="458" t="str">
        <f>IF(AND($G543='Povolené hodnoty'!$B$13,$H543=AY$4),SUM($J543,$M543,$P543,$S543),"")</f>
        <v/>
      </c>
      <c r="AZ543" s="458" t="str">
        <f>IF(AND($G543='Povolené hodnoty'!$B$13,$H543=AZ$4),SUM($J543,$M543,$P543,$S543),"")</f>
        <v/>
      </c>
      <c r="BA543" s="458" t="str">
        <f>IF(AND($G543='Povolené hodnoty'!$B$13,$H543=BA$4),SUM($J543,$M543,$P543,$S543),"")</f>
        <v/>
      </c>
      <c r="BB543" s="40" t="str">
        <f>IF(AND($G543='Povolené hodnoty'!$B$13,$H543=BB$4),SUM($J543,$M543,$P543,$S543),"")</f>
        <v/>
      </c>
      <c r="BC543" s="40" t="str">
        <f>IF(AND($G543='Povolené hodnoty'!$B$13,$H543=BC$4),SUM($J543,$M543,$P543,$S543),"")</f>
        <v/>
      </c>
      <c r="BD543" s="40" t="str">
        <f>IF(AND($G543='Povolené hodnoty'!$B$13,$H543=BD$4),SUM($J543,$M543,$P543,$S543),"")</f>
        <v/>
      </c>
      <c r="BE543" s="41" t="str">
        <f>IF(AND($G543='Povolené hodnoty'!$B$13,$H543=BE$4),SUM($J543,$M543,$P543,$S543),"")</f>
        <v/>
      </c>
      <c r="BF543" s="39" t="str">
        <f>IF(AND($G543='Povolené hodnoty'!$B$14,$H543=BF$4),SUM($J543,$M543,$P543,$S543),"")</f>
        <v/>
      </c>
      <c r="BG543" s="458" t="str">
        <f>IF(AND($G543='Povolené hodnoty'!$B$14,$H543=BG$4),SUM($J543,$M543,$P543,$S543),"")</f>
        <v/>
      </c>
      <c r="BH543" s="458" t="str">
        <f>IF(AND($G543='Povolené hodnoty'!$B$14,$H543=BH$4),SUM($J543,$M543,$P543,$S543),"")</f>
        <v/>
      </c>
      <c r="BI543" s="458" t="str">
        <f>IF(AND($G543='Povolené hodnoty'!$B$14,$H543=BI$4),SUM($J543,$M543,$P543,$S543),"")</f>
        <v/>
      </c>
      <c r="BJ543" s="458" t="str">
        <f>IF(AND($G543='Povolené hodnoty'!$B$14,$H543=BJ$4),SUM($J543,$M543,$P543,$S543),"")</f>
        <v/>
      </c>
      <c r="BK543" s="40" t="str">
        <f>IF(AND($G543='Povolené hodnoty'!$B$14,$H543=BK$4),SUM($J543,$M543,$P543,$S543),"")</f>
        <v/>
      </c>
      <c r="BL543" s="40" t="str">
        <f>IF(AND($G543='Povolené hodnoty'!$B$14,$H543=BL$4),SUM($J543,$M543,$P543,$S543),"")</f>
        <v/>
      </c>
      <c r="BM543" s="41" t="str">
        <f>IF(AND($G543='Povolené hodnoty'!$B$14,$H543=BM$4),SUM($J543,$M543,$P543,$S543),"")</f>
        <v/>
      </c>
      <c r="BO543" s="18" t="b">
        <f t="shared" si="316"/>
        <v>0</v>
      </c>
      <c r="BP543" s="18" t="b">
        <f t="shared" si="287"/>
        <v>0</v>
      </c>
      <c r="BQ543" s="18" t="b">
        <f>AND(E543&lt;&gt;'Povolené hodnoty'!$B$6,F543&lt;&gt;'Povolené hodnoty'!$D$7,F543&lt;&gt;'Povolené hodnoty'!$D$8,OR(SUM(I543,L543,O543,R543)&lt;&gt;SUM(W543:X543,AA543:AG543),SUM(J543,M543,P543,S543)&lt;&gt;SUM(Y543:Z543,AH543:AK543),COUNT(I543:J543,L543:M543,O543:P543,R543:S543)&lt;&gt;COUNT(W543:AK543)))</f>
        <v>0</v>
      </c>
      <c r="BR543" s="18" t="b">
        <f>OR(AND(E543='Povolené hodnoty'!$B$6,$BR$5),AND(E543='Povolené hodnoty'!$B$6,H543&lt;&gt;'Povolené hodnoty'!$E$26,H543&lt;&gt;'Povolené hodnoty'!$E$35),AND(E543&lt;&gt;'Povolené hodnoty'!$B$6,OR(H543='Povolené hodnoty'!$E$26,H543='Povolené hodnoty'!$E$35)))</f>
        <v>0</v>
      </c>
      <c r="BS543" s="18" t="b">
        <f>OR(AND(G543&lt;&gt;'Povolené hodnoty'!$B$13,OR(H543='Povolené hodnoty'!$E$21,H543='Povolené hodnoty'!$E$22,H543='Povolené hodnoty'!$E$23,H543='Povolené hodnoty'!$E$24,H543='Povolené hodnoty'!$E$26,H543='Povolené hodnoty'!$E$36)),COUNT(I543:J543,L543:M543,O543:P543,R543:S543)&lt;&gt;COUNT(AL543:BM543))</f>
        <v>0</v>
      </c>
      <c r="BT543" s="18" t="b">
        <f t="shared" si="288"/>
        <v>0</v>
      </c>
      <c r="BV543" s="39" t="str">
        <f t="shared" si="289"/>
        <v/>
      </c>
      <c r="BW543" s="458" t="str">
        <f t="shared" si="290"/>
        <v/>
      </c>
      <c r="BX543" s="458" t="str">
        <f t="shared" si="291"/>
        <v/>
      </c>
      <c r="BY543" s="458" t="str">
        <f t="shared" si="292"/>
        <v/>
      </c>
      <c r="BZ543" s="458" t="str">
        <f t="shared" si="293"/>
        <v/>
      </c>
      <c r="CA543" s="40" t="str">
        <f t="shared" si="294"/>
        <v/>
      </c>
      <c r="CB543" s="40" t="str">
        <f t="shared" si="295"/>
        <v/>
      </c>
      <c r="CC543" s="39" t="str">
        <f t="shared" si="296"/>
        <v/>
      </c>
      <c r="CD543" s="458" t="str">
        <f t="shared" si="297"/>
        <v/>
      </c>
      <c r="CE543" s="41" t="str">
        <f t="shared" si="298"/>
        <v/>
      </c>
      <c r="CF543" s="39" t="str">
        <f t="shared" si="299"/>
        <v/>
      </c>
      <c r="CG543" s="458" t="str">
        <f t="shared" si="300"/>
        <v/>
      </c>
      <c r="CH543" s="458" t="str">
        <f t="shared" si="301"/>
        <v/>
      </c>
      <c r="CI543" s="458" t="str">
        <f t="shared" si="302"/>
        <v/>
      </c>
      <c r="CJ543" s="458" t="str">
        <f t="shared" si="303"/>
        <v/>
      </c>
      <c r="CK543" s="40" t="str">
        <f t="shared" si="304"/>
        <v/>
      </c>
      <c r="CL543" s="40" t="str">
        <f t="shared" si="305"/>
        <v/>
      </c>
      <c r="CM543" s="40" t="str">
        <f t="shared" si="306"/>
        <v/>
      </c>
      <c r="CN543" s="39" t="str">
        <f t="shared" si="307"/>
        <v/>
      </c>
      <c r="CO543" s="458" t="str">
        <f t="shared" si="308"/>
        <v/>
      </c>
      <c r="CP543" s="458" t="str">
        <f t="shared" si="309"/>
        <v/>
      </c>
      <c r="CQ543" s="458" t="str">
        <f t="shared" si="310"/>
        <v/>
      </c>
      <c r="CR543" s="458" t="str">
        <f t="shared" si="311"/>
        <v/>
      </c>
      <c r="CS543" s="40" t="str">
        <f t="shared" si="312"/>
        <v/>
      </c>
      <c r="CT543" s="40" t="str">
        <f t="shared" si="313"/>
        <v/>
      </c>
      <c r="CU543" s="41" t="str">
        <f t="shared" si="314"/>
        <v/>
      </c>
    </row>
    <row r="544" spans="1:99" x14ac:dyDescent="0.2">
      <c r="A544" s="77">
        <f t="shared" si="315"/>
        <v>539</v>
      </c>
      <c r="B544" s="81"/>
      <c r="C544" s="82"/>
      <c r="D544" s="71"/>
      <c r="E544" s="72"/>
      <c r="F544" s="73"/>
      <c r="G544" s="443"/>
      <c r="H544" s="443"/>
      <c r="I544" s="74"/>
      <c r="J544" s="75"/>
      <c r="K544" s="41">
        <f t="shared" si="284"/>
        <v>3625</v>
      </c>
      <c r="L544" s="104"/>
      <c r="M544" s="105"/>
      <c r="N544" s="106">
        <f t="shared" si="285"/>
        <v>537.05999999999995</v>
      </c>
      <c r="O544" s="104"/>
      <c r="P544" s="105"/>
      <c r="Q544" s="106">
        <f t="shared" si="317"/>
        <v>10045.83</v>
      </c>
      <c r="R544" s="104"/>
      <c r="S544" s="105"/>
      <c r="T544" s="106">
        <f t="shared" si="318"/>
        <v>0</v>
      </c>
      <c r="U544" s="439"/>
      <c r="V544" s="42">
        <f t="shared" si="286"/>
        <v>539</v>
      </c>
      <c r="W544" s="39" t="str">
        <f>IF(AND(E544='Povolené hodnoty'!$B$4,F544=2),I544+L544+O544+R544,"")</f>
        <v/>
      </c>
      <c r="X544" s="41" t="str">
        <f>IF(AND(E544='Povolené hodnoty'!$B$4,F544=1),I544+L544+O544+R544,"")</f>
        <v/>
      </c>
      <c r="Y544" s="39" t="str">
        <f>IF(AND(E544='Povolené hodnoty'!$B$4,F544=10),J544+M544+P544+S544,"")</f>
        <v/>
      </c>
      <c r="Z544" s="41" t="str">
        <f>IF(AND(E544='Povolené hodnoty'!$B$4,F544=9),J544+M544+P544+S544,"")</f>
        <v/>
      </c>
      <c r="AA544" s="39" t="str">
        <f>IF(AND(E544&lt;&gt;'Povolené hodnoty'!$B$4,F544=2),I544+L544+O544+R544,"")</f>
        <v/>
      </c>
      <c r="AB544" s="40" t="str">
        <f>IF(AND(E544&lt;&gt;'Povolené hodnoty'!$B$4,F544=3),I544+L544+O544+R544,"")</f>
        <v/>
      </c>
      <c r="AC544" s="40" t="str">
        <f>IF(AND(E544&lt;&gt;'Povolené hodnoty'!$B$4,F544=4),I544+L544+O544+R544,"")</f>
        <v/>
      </c>
      <c r="AD544" s="40" t="str">
        <f>IF(AND(E544&lt;&gt;'Povolené hodnoty'!$B$4,F544="5a"),I544-J544+L544-M544+O544-P544+R544-S544,"")</f>
        <v/>
      </c>
      <c r="AE544" s="40" t="str">
        <f>IF(AND(E544&lt;&gt;'Povolené hodnoty'!$B$4,F544="5b"),I544-J544+L544-M544+O544-P544+R544-S544,"")</f>
        <v/>
      </c>
      <c r="AF544" s="40" t="str">
        <f>IF(AND(E544&lt;&gt;'Povolené hodnoty'!$B$4,F544=6),I544+L544+O544+R544,"")</f>
        <v/>
      </c>
      <c r="AG544" s="41" t="str">
        <f>IF(AND(E544&lt;&gt;'Povolené hodnoty'!$B$4,F544=7),I544+L544+O544+R544,"")</f>
        <v/>
      </c>
      <c r="AH544" s="39" t="str">
        <f>IF(AND(E544&lt;&gt;'Povolené hodnoty'!$B$4,F544=10),J544+M544+P544+S544,"")</f>
        <v/>
      </c>
      <c r="AI544" s="40" t="str">
        <f>IF(AND(E544&lt;&gt;'Povolené hodnoty'!$B$4,F544=11),J544+M544+P544+S544,"")</f>
        <v/>
      </c>
      <c r="AJ544" s="40" t="str">
        <f>IF(AND(E544&lt;&gt;'Povolené hodnoty'!$B$4,F544=12),J544+M544+P544+S544,"")</f>
        <v/>
      </c>
      <c r="AK544" s="41" t="str">
        <f>IF(AND(E544&lt;&gt;'Povolené hodnoty'!$B$4,F544=13),J544+M544+P544+S544,"")</f>
        <v/>
      </c>
      <c r="AL544" s="39" t="str">
        <f>IF(AND($G544='Povolené hodnoty'!$B$13,$H544=AL$4),SUM($I544,$L544,$O544,$R544),"")</f>
        <v/>
      </c>
      <c r="AM544" s="458" t="str">
        <f>IF(AND($G544='Povolené hodnoty'!$B$13,$H544=AM$4),SUM($I544,$L544,$O544,$R544),"")</f>
        <v/>
      </c>
      <c r="AN544" s="458" t="str">
        <f>IF(AND($G544='Povolené hodnoty'!$B$13,$H544=AN$4),SUM($I544,$L544,$O544,$R544),"")</f>
        <v/>
      </c>
      <c r="AO544" s="458" t="str">
        <f>IF(AND($G544='Povolené hodnoty'!$B$13,$H544=AO$4),SUM($I544,$L544,$O544,$R544),"")</f>
        <v/>
      </c>
      <c r="AP544" s="458" t="str">
        <f>IF(AND($G544='Povolené hodnoty'!$B$13,$H544=AP$4),SUM($I544,$L544,$O544,$R544),"")</f>
        <v/>
      </c>
      <c r="AQ544" s="40" t="str">
        <f>IF(AND($G544='Povolené hodnoty'!$B$13,OR($H544=AQ$4,$H544='Povolené hodnoty'!$E$36)),SUM($I544,-$J544,$L544,-$M544,$O544,-$P544,$R544,-$S544),"")</f>
        <v/>
      </c>
      <c r="AR544" s="40" t="str">
        <f>IF(AND($G544='Povolené hodnoty'!$B$13,$H544=AR$4),SUM($I544,$L544,$O544,$R544),"")</f>
        <v/>
      </c>
      <c r="AS544" s="41" t="str">
        <f>IF(AND($G544='Povolené hodnoty'!$B$13,$H544=AS$4),SUM($I544,$L544,$O544,$R544),"")</f>
        <v/>
      </c>
      <c r="AT544" s="39" t="str">
        <f>IF(AND($G544='Povolené hodnoty'!$B$14,$H544=AT$4),SUM($I544,$L544,$O544,$R544),"")</f>
        <v/>
      </c>
      <c r="AU544" s="458" t="str">
        <f>IF(AND($G544='Povolené hodnoty'!$B$14,$H544=AU$4),SUM($I544,$L544,$O544,$R544),"")</f>
        <v/>
      </c>
      <c r="AV544" s="41" t="str">
        <f>IF(AND($G544='Povolené hodnoty'!$B$14,$H544=AV$4),SUM($I544,$L544,$O544,$R544),"")</f>
        <v/>
      </c>
      <c r="AW544" s="39" t="str">
        <f>IF(AND($G544='Povolené hodnoty'!$B$13,$H544=AW$4),SUM($J544,$M544,$P544,$S544),"")</f>
        <v/>
      </c>
      <c r="AX544" s="458" t="str">
        <f>IF(AND($G544='Povolené hodnoty'!$B$13,$H544=AX$4),SUM($J544,$M544,$P544,$S544),"")</f>
        <v/>
      </c>
      <c r="AY544" s="458" t="str">
        <f>IF(AND($G544='Povolené hodnoty'!$B$13,$H544=AY$4),SUM($J544,$M544,$P544,$S544),"")</f>
        <v/>
      </c>
      <c r="AZ544" s="458" t="str">
        <f>IF(AND($G544='Povolené hodnoty'!$B$13,$H544=AZ$4),SUM($J544,$M544,$P544,$S544),"")</f>
        <v/>
      </c>
      <c r="BA544" s="458" t="str">
        <f>IF(AND($G544='Povolené hodnoty'!$B$13,$H544=BA$4),SUM($J544,$M544,$P544,$S544),"")</f>
        <v/>
      </c>
      <c r="BB544" s="40" t="str">
        <f>IF(AND($G544='Povolené hodnoty'!$B$13,$H544=BB$4),SUM($J544,$M544,$P544,$S544),"")</f>
        <v/>
      </c>
      <c r="BC544" s="40" t="str">
        <f>IF(AND($G544='Povolené hodnoty'!$B$13,$H544=BC$4),SUM($J544,$M544,$P544,$S544),"")</f>
        <v/>
      </c>
      <c r="BD544" s="40" t="str">
        <f>IF(AND($G544='Povolené hodnoty'!$B$13,$H544=BD$4),SUM($J544,$M544,$P544,$S544),"")</f>
        <v/>
      </c>
      <c r="BE544" s="41" t="str">
        <f>IF(AND($G544='Povolené hodnoty'!$B$13,$H544=BE$4),SUM($J544,$M544,$P544,$S544),"")</f>
        <v/>
      </c>
      <c r="BF544" s="39" t="str">
        <f>IF(AND($G544='Povolené hodnoty'!$B$14,$H544=BF$4),SUM($J544,$M544,$P544,$S544),"")</f>
        <v/>
      </c>
      <c r="BG544" s="458" t="str">
        <f>IF(AND($G544='Povolené hodnoty'!$B$14,$H544=BG$4),SUM($J544,$M544,$P544,$S544),"")</f>
        <v/>
      </c>
      <c r="BH544" s="458" t="str">
        <f>IF(AND($G544='Povolené hodnoty'!$B$14,$H544=BH$4),SUM($J544,$M544,$P544,$S544),"")</f>
        <v/>
      </c>
      <c r="BI544" s="458" t="str">
        <f>IF(AND($G544='Povolené hodnoty'!$B$14,$H544=BI$4),SUM($J544,$M544,$P544,$S544),"")</f>
        <v/>
      </c>
      <c r="BJ544" s="458" t="str">
        <f>IF(AND($G544='Povolené hodnoty'!$B$14,$H544=BJ$4),SUM($J544,$M544,$P544,$S544),"")</f>
        <v/>
      </c>
      <c r="BK544" s="40" t="str">
        <f>IF(AND($G544='Povolené hodnoty'!$B$14,$H544=BK$4),SUM($J544,$M544,$P544,$S544),"")</f>
        <v/>
      </c>
      <c r="BL544" s="40" t="str">
        <f>IF(AND($G544='Povolené hodnoty'!$B$14,$H544=BL$4),SUM($J544,$M544,$P544,$S544),"")</f>
        <v/>
      </c>
      <c r="BM544" s="41" t="str">
        <f>IF(AND($G544='Povolené hodnoty'!$B$14,$H544=BM$4),SUM($J544,$M544,$P544,$S544),"")</f>
        <v/>
      </c>
      <c r="BO544" s="18" t="b">
        <f t="shared" si="316"/>
        <v>0</v>
      </c>
      <c r="BP544" s="18" t="b">
        <f t="shared" si="287"/>
        <v>0</v>
      </c>
      <c r="BQ544" s="18" t="b">
        <f>AND(E544&lt;&gt;'Povolené hodnoty'!$B$6,F544&lt;&gt;'Povolené hodnoty'!$D$7,F544&lt;&gt;'Povolené hodnoty'!$D$8,OR(SUM(I544,L544,O544,R544)&lt;&gt;SUM(W544:X544,AA544:AG544),SUM(J544,M544,P544,S544)&lt;&gt;SUM(Y544:Z544,AH544:AK544),COUNT(I544:J544,L544:M544,O544:P544,R544:S544)&lt;&gt;COUNT(W544:AK544)))</f>
        <v>0</v>
      </c>
      <c r="BR544" s="18" t="b">
        <f>OR(AND(E544='Povolené hodnoty'!$B$6,$BR$5),AND(E544='Povolené hodnoty'!$B$6,H544&lt;&gt;'Povolené hodnoty'!$E$26,H544&lt;&gt;'Povolené hodnoty'!$E$35),AND(E544&lt;&gt;'Povolené hodnoty'!$B$6,OR(H544='Povolené hodnoty'!$E$26,H544='Povolené hodnoty'!$E$35)))</f>
        <v>0</v>
      </c>
      <c r="BS544" s="18" t="b">
        <f>OR(AND(G544&lt;&gt;'Povolené hodnoty'!$B$13,OR(H544='Povolené hodnoty'!$E$21,H544='Povolené hodnoty'!$E$22,H544='Povolené hodnoty'!$E$23,H544='Povolené hodnoty'!$E$24,H544='Povolené hodnoty'!$E$26,H544='Povolené hodnoty'!$E$36)),COUNT(I544:J544,L544:M544,O544:P544,R544:S544)&lt;&gt;COUNT(AL544:BM544))</f>
        <v>0</v>
      </c>
      <c r="BT544" s="18" t="b">
        <f t="shared" si="288"/>
        <v>0</v>
      </c>
      <c r="BV544" s="39" t="str">
        <f t="shared" si="289"/>
        <v/>
      </c>
      <c r="BW544" s="458" t="str">
        <f t="shared" si="290"/>
        <v/>
      </c>
      <c r="BX544" s="458" t="str">
        <f t="shared" si="291"/>
        <v/>
      </c>
      <c r="BY544" s="458" t="str">
        <f t="shared" si="292"/>
        <v/>
      </c>
      <c r="BZ544" s="458" t="str">
        <f t="shared" si="293"/>
        <v/>
      </c>
      <c r="CA544" s="40" t="str">
        <f t="shared" si="294"/>
        <v/>
      </c>
      <c r="CB544" s="40" t="str">
        <f t="shared" si="295"/>
        <v/>
      </c>
      <c r="CC544" s="39" t="str">
        <f t="shared" si="296"/>
        <v/>
      </c>
      <c r="CD544" s="458" t="str">
        <f t="shared" si="297"/>
        <v/>
      </c>
      <c r="CE544" s="41" t="str">
        <f t="shared" si="298"/>
        <v/>
      </c>
      <c r="CF544" s="39" t="str">
        <f t="shared" si="299"/>
        <v/>
      </c>
      <c r="CG544" s="458" t="str">
        <f t="shared" si="300"/>
        <v/>
      </c>
      <c r="CH544" s="458" t="str">
        <f t="shared" si="301"/>
        <v/>
      </c>
      <c r="CI544" s="458" t="str">
        <f t="shared" si="302"/>
        <v/>
      </c>
      <c r="CJ544" s="458" t="str">
        <f t="shared" si="303"/>
        <v/>
      </c>
      <c r="CK544" s="40" t="str">
        <f t="shared" si="304"/>
        <v/>
      </c>
      <c r="CL544" s="40" t="str">
        <f t="shared" si="305"/>
        <v/>
      </c>
      <c r="CM544" s="40" t="str">
        <f t="shared" si="306"/>
        <v/>
      </c>
      <c r="CN544" s="39" t="str">
        <f t="shared" si="307"/>
        <v/>
      </c>
      <c r="CO544" s="458" t="str">
        <f t="shared" si="308"/>
        <v/>
      </c>
      <c r="CP544" s="458" t="str">
        <f t="shared" si="309"/>
        <v/>
      </c>
      <c r="CQ544" s="458" t="str">
        <f t="shared" si="310"/>
        <v/>
      </c>
      <c r="CR544" s="458" t="str">
        <f t="shared" si="311"/>
        <v/>
      </c>
      <c r="CS544" s="40" t="str">
        <f t="shared" si="312"/>
        <v/>
      </c>
      <c r="CT544" s="40" t="str">
        <f t="shared" si="313"/>
        <v/>
      </c>
      <c r="CU544" s="41" t="str">
        <f t="shared" si="314"/>
        <v/>
      </c>
    </row>
    <row r="545" spans="1:99" x14ac:dyDescent="0.2">
      <c r="A545" s="77">
        <f t="shared" si="315"/>
        <v>540</v>
      </c>
      <c r="B545" s="81"/>
      <c r="C545" s="82"/>
      <c r="D545" s="71"/>
      <c r="E545" s="72"/>
      <c r="F545" s="73"/>
      <c r="G545" s="443"/>
      <c r="H545" s="443"/>
      <c r="I545" s="74"/>
      <c r="J545" s="75"/>
      <c r="K545" s="41">
        <f t="shared" si="284"/>
        <v>3625</v>
      </c>
      <c r="L545" s="104"/>
      <c r="M545" s="105"/>
      <c r="N545" s="106">
        <f t="shared" si="285"/>
        <v>537.05999999999995</v>
      </c>
      <c r="O545" s="104"/>
      <c r="P545" s="105"/>
      <c r="Q545" s="106">
        <f t="shared" si="317"/>
        <v>10045.83</v>
      </c>
      <c r="R545" s="104"/>
      <c r="S545" s="105"/>
      <c r="T545" s="106">
        <f t="shared" si="318"/>
        <v>0</v>
      </c>
      <c r="U545" s="439"/>
      <c r="V545" s="42">
        <f t="shared" si="286"/>
        <v>540</v>
      </c>
      <c r="W545" s="39" t="str">
        <f>IF(AND(E545='Povolené hodnoty'!$B$4,F545=2),I545+L545+O545+R545,"")</f>
        <v/>
      </c>
      <c r="X545" s="41" t="str">
        <f>IF(AND(E545='Povolené hodnoty'!$B$4,F545=1),I545+L545+O545+R545,"")</f>
        <v/>
      </c>
      <c r="Y545" s="39" t="str">
        <f>IF(AND(E545='Povolené hodnoty'!$B$4,F545=10),J545+M545+P545+S545,"")</f>
        <v/>
      </c>
      <c r="Z545" s="41" t="str">
        <f>IF(AND(E545='Povolené hodnoty'!$B$4,F545=9),J545+M545+P545+S545,"")</f>
        <v/>
      </c>
      <c r="AA545" s="39" t="str">
        <f>IF(AND(E545&lt;&gt;'Povolené hodnoty'!$B$4,F545=2),I545+L545+O545+R545,"")</f>
        <v/>
      </c>
      <c r="AB545" s="40" t="str">
        <f>IF(AND(E545&lt;&gt;'Povolené hodnoty'!$B$4,F545=3),I545+L545+O545+R545,"")</f>
        <v/>
      </c>
      <c r="AC545" s="40" t="str">
        <f>IF(AND(E545&lt;&gt;'Povolené hodnoty'!$B$4,F545=4),I545+L545+O545+R545,"")</f>
        <v/>
      </c>
      <c r="AD545" s="40" t="str">
        <f>IF(AND(E545&lt;&gt;'Povolené hodnoty'!$B$4,F545="5a"),I545-J545+L545-M545+O545-P545+R545-S545,"")</f>
        <v/>
      </c>
      <c r="AE545" s="40" t="str">
        <f>IF(AND(E545&lt;&gt;'Povolené hodnoty'!$B$4,F545="5b"),I545-J545+L545-M545+O545-P545+R545-S545,"")</f>
        <v/>
      </c>
      <c r="AF545" s="40" t="str">
        <f>IF(AND(E545&lt;&gt;'Povolené hodnoty'!$B$4,F545=6),I545+L545+O545+R545,"")</f>
        <v/>
      </c>
      <c r="AG545" s="41" t="str">
        <f>IF(AND(E545&lt;&gt;'Povolené hodnoty'!$B$4,F545=7),I545+L545+O545+R545,"")</f>
        <v/>
      </c>
      <c r="AH545" s="39" t="str">
        <f>IF(AND(E545&lt;&gt;'Povolené hodnoty'!$B$4,F545=10),J545+M545+P545+S545,"")</f>
        <v/>
      </c>
      <c r="AI545" s="40" t="str">
        <f>IF(AND(E545&lt;&gt;'Povolené hodnoty'!$B$4,F545=11),J545+M545+P545+S545,"")</f>
        <v/>
      </c>
      <c r="AJ545" s="40" t="str">
        <f>IF(AND(E545&lt;&gt;'Povolené hodnoty'!$B$4,F545=12),J545+M545+P545+S545,"")</f>
        <v/>
      </c>
      <c r="AK545" s="41" t="str">
        <f>IF(AND(E545&lt;&gt;'Povolené hodnoty'!$B$4,F545=13),J545+M545+P545+S545,"")</f>
        <v/>
      </c>
      <c r="AL545" s="39" t="str">
        <f>IF(AND($G545='Povolené hodnoty'!$B$13,$H545=AL$4),SUM($I545,$L545,$O545,$R545),"")</f>
        <v/>
      </c>
      <c r="AM545" s="458" t="str">
        <f>IF(AND($G545='Povolené hodnoty'!$B$13,$H545=AM$4),SUM($I545,$L545,$O545,$R545),"")</f>
        <v/>
      </c>
      <c r="AN545" s="458" t="str">
        <f>IF(AND($G545='Povolené hodnoty'!$B$13,$H545=AN$4),SUM($I545,$L545,$O545,$R545),"")</f>
        <v/>
      </c>
      <c r="AO545" s="458" t="str">
        <f>IF(AND($G545='Povolené hodnoty'!$B$13,$H545=AO$4),SUM($I545,$L545,$O545,$R545),"")</f>
        <v/>
      </c>
      <c r="AP545" s="458" t="str">
        <f>IF(AND($G545='Povolené hodnoty'!$B$13,$H545=AP$4),SUM($I545,$L545,$O545,$R545),"")</f>
        <v/>
      </c>
      <c r="AQ545" s="40" t="str">
        <f>IF(AND($G545='Povolené hodnoty'!$B$13,OR($H545=AQ$4,$H545='Povolené hodnoty'!$E$36)),SUM($I545,-$J545,$L545,-$M545,$O545,-$P545,$R545,-$S545),"")</f>
        <v/>
      </c>
      <c r="AR545" s="40" t="str">
        <f>IF(AND($G545='Povolené hodnoty'!$B$13,$H545=AR$4),SUM($I545,$L545,$O545,$R545),"")</f>
        <v/>
      </c>
      <c r="AS545" s="41" t="str">
        <f>IF(AND($G545='Povolené hodnoty'!$B$13,$H545=AS$4),SUM($I545,$L545,$O545,$R545),"")</f>
        <v/>
      </c>
      <c r="AT545" s="39" t="str">
        <f>IF(AND($G545='Povolené hodnoty'!$B$14,$H545=AT$4),SUM($I545,$L545,$O545,$R545),"")</f>
        <v/>
      </c>
      <c r="AU545" s="458" t="str">
        <f>IF(AND($G545='Povolené hodnoty'!$B$14,$H545=AU$4),SUM($I545,$L545,$O545,$R545),"")</f>
        <v/>
      </c>
      <c r="AV545" s="41" t="str">
        <f>IF(AND($G545='Povolené hodnoty'!$B$14,$H545=AV$4),SUM($I545,$L545,$O545,$R545),"")</f>
        <v/>
      </c>
      <c r="AW545" s="39" t="str">
        <f>IF(AND($G545='Povolené hodnoty'!$B$13,$H545=AW$4),SUM($J545,$M545,$P545,$S545),"")</f>
        <v/>
      </c>
      <c r="AX545" s="458" t="str">
        <f>IF(AND($G545='Povolené hodnoty'!$B$13,$H545=AX$4),SUM($J545,$M545,$P545,$S545),"")</f>
        <v/>
      </c>
      <c r="AY545" s="458" t="str">
        <f>IF(AND($G545='Povolené hodnoty'!$B$13,$H545=AY$4),SUM($J545,$M545,$P545,$S545),"")</f>
        <v/>
      </c>
      <c r="AZ545" s="458" t="str">
        <f>IF(AND($G545='Povolené hodnoty'!$B$13,$H545=AZ$4),SUM($J545,$M545,$P545,$S545),"")</f>
        <v/>
      </c>
      <c r="BA545" s="458" t="str">
        <f>IF(AND($G545='Povolené hodnoty'!$B$13,$H545=BA$4),SUM($J545,$M545,$P545,$S545),"")</f>
        <v/>
      </c>
      <c r="BB545" s="40" t="str">
        <f>IF(AND($G545='Povolené hodnoty'!$B$13,$H545=BB$4),SUM($J545,$M545,$P545,$S545),"")</f>
        <v/>
      </c>
      <c r="BC545" s="40" t="str">
        <f>IF(AND($G545='Povolené hodnoty'!$B$13,$H545=BC$4),SUM($J545,$M545,$P545,$S545),"")</f>
        <v/>
      </c>
      <c r="BD545" s="40" t="str">
        <f>IF(AND($G545='Povolené hodnoty'!$B$13,$H545=BD$4),SUM($J545,$M545,$P545,$S545),"")</f>
        <v/>
      </c>
      <c r="BE545" s="41" t="str">
        <f>IF(AND($G545='Povolené hodnoty'!$B$13,$H545=BE$4),SUM($J545,$M545,$P545,$S545),"")</f>
        <v/>
      </c>
      <c r="BF545" s="39" t="str">
        <f>IF(AND($G545='Povolené hodnoty'!$B$14,$H545=BF$4),SUM($J545,$M545,$P545,$S545),"")</f>
        <v/>
      </c>
      <c r="BG545" s="458" t="str">
        <f>IF(AND($G545='Povolené hodnoty'!$B$14,$H545=BG$4),SUM($J545,$M545,$P545,$S545),"")</f>
        <v/>
      </c>
      <c r="BH545" s="458" t="str">
        <f>IF(AND($G545='Povolené hodnoty'!$B$14,$H545=BH$4),SUM($J545,$M545,$P545,$S545),"")</f>
        <v/>
      </c>
      <c r="BI545" s="458" t="str">
        <f>IF(AND($G545='Povolené hodnoty'!$B$14,$H545=BI$4),SUM($J545,$M545,$P545,$S545),"")</f>
        <v/>
      </c>
      <c r="BJ545" s="458" t="str">
        <f>IF(AND($G545='Povolené hodnoty'!$B$14,$H545=BJ$4),SUM($J545,$M545,$P545,$S545),"")</f>
        <v/>
      </c>
      <c r="BK545" s="40" t="str">
        <f>IF(AND($G545='Povolené hodnoty'!$B$14,$H545=BK$4),SUM($J545,$M545,$P545,$S545),"")</f>
        <v/>
      </c>
      <c r="BL545" s="40" t="str">
        <f>IF(AND($G545='Povolené hodnoty'!$B$14,$H545=BL$4),SUM($J545,$M545,$P545,$S545),"")</f>
        <v/>
      </c>
      <c r="BM545" s="41" t="str">
        <f>IF(AND($G545='Povolené hodnoty'!$B$14,$H545=BM$4),SUM($J545,$M545,$P545,$S545),"")</f>
        <v/>
      </c>
      <c r="BO545" s="18" t="b">
        <f t="shared" si="316"/>
        <v>0</v>
      </c>
      <c r="BP545" s="18" t="b">
        <f t="shared" si="287"/>
        <v>0</v>
      </c>
      <c r="BQ545" s="18" t="b">
        <f>AND(E545&lt;&gt;'Povolené hodnoty'!$B$6,F545&lt;&gt;'Povolené hodnoty'!$D$7,F545&lt;&gt;'Povolené hodnoty'!$D$8,OR(SUM(I545,L545,O545,R545)&lt;&gt;SUM(W545:X545,AA545:AG545),SUM(J545,M545,P545,S545)&lt;&gt;SUM(Y545:Z545,AH545:AK545),COUNT(I545:J545,L545:M545,O545:P545,R545:S545)&lt;&gt;COUNT(W545:AK545)))</f>
        <v>0</v>
      </c>
      <c r="BR545" s="18" t="b">
        <f>OR(AND(E545='Povolené hodnoty'!$B$6,$BR$5),AND(E545='Povolené hodnoty'!$B$6,H545&lt;&gt;'Povolené hodnoty'!$E$26,H545&lt;&gt;'Povolené hodnoty'!$E$35),AND(E545&lt;&gt;'Povolené hodnoty'!$B$6,OR(H545='Povolené hodnoty'!$E$26,H545='Povolené hodnoty'!$E$35)))</f>
        <v>0</v>
      </c>
      <c r="BS545" s="18" t="b">
        <f>OR(AND(G545&lt;&gt;'Povolené hodnoty'!$B$13,OR(H545='Povolené hodnoty'!$E$21,H545='Povolené hodnoty'!$E$22,H545='Povolené hodnoty'!$E$23,H545='Povolené hodnoty'!$E$24,H545='Povolené hodnoty'!$E$26,H545='Povolené hodnoty'!$E$36)),COUNT(I545:J545,L545:M545,O545:P545,R545:S545)&lt;&gt;COUNT(AL545:BM545))</f>
        <v>0</v>
      </c>
      <c r="BT545" s="18" t="b">
        <f t="shared" si="288"/>
        <v>0</v>
      </c>
      <c r="BV545" s="39" t="str">
        <f t="shared" si="289"/>
        <v/>
      </c>
      <c r="BW545" s="458" t="str">
        <f t="shared" si="290"/>
        <v/>
      </c>
      <c r="BX545" s="458" t="str">
        <f t="shared" si="291"/>
        <v/>
      </c>
      <c r="BY545" s="458" t="str">
        <f t="shared" si="292"/>
        <v/>
      </c>
      <c r="BZ545" s="458" t="str">
        <f t="shared" si="293"/>
        <v/>
      </c>
      <c r="CA545" s="40" t="str">
        <f t="shared" si="294"/>
        <v/>
      </c>
      <c r="CB545" s="40" t="str">
        <f t="shared" si="295"/>
        <v/>
      </c>
      <c r="CC545" s="39" t="str">
        <f t="shared" si="296"/>
        <v/>
      </c>
      <c r="CD545" s="458" t="str">
        <f t="shared" si="297"/>
        <v/>
      </c>
      <c r="CE545" s="41" t="str">
        <f t="shared" si="298"/>
        <v/>
      </c>
      <c r="CF545" s="39" t="str">
        <f t="shared" si="299"/>
        <v/>
      </c>
      <c r="CG545" s="458" t="str">
        <f t="shared" si="300"/>
        <v/>
      </c>
      <c r="CH545" s="458" t="str">
        <f t="shared" si="301"/>
        <v/>
      </c>
      <c r="CI545" s="458" t="str">
        <f t="shared" si="302"/>
        <v/>
      </c>
      <c r="CJ545" s="458" t="str">
        <f t="shared" si="303"/>
        <v/>
      </c>
      <c r="CK545" s="40" t="str">
        <f t="shared" si="304"/>
        <v/>
      </c>
      <c r="CL545" s="40" t="str">
        <f t="shared" si="305"/>
        <v/>
      </c>
      <c r="CM545" s="40" t="str">
        <f t="shared" si="306"/>
        <v/>
      </c>
      <c r="CN545" s="39" t="str">
        <f t="shared" si="307"/>
        <v/>
      </c>
      <c r="CO545" s="458" t="str">
        <f t="shared" si="308"/>
        <v/>
      </c>
      <c r="CP545" s="458" t="str">
        <f t="shared" si="309"/>
        <v/>
      </c>
      <c r="CQ545" s="458" t="str">
        <f t="shared" si="310"/>
        <v/>
      </c>
      <c r="CR545" s="458" t="str">
        <f t="shared" si="311"/>
        <v/>
      </c>
      <c r="CS545" s="40" t="str">
        <f t="shared" si="312"/>
        <v/>
      </c>
      <c r="CT545" s="40" t="str">
        <f t="shared" si="313"/>
        <v/>
      </c>
      <c r="CU545" s="41" t="str">
        <f t="shared" si="314"/>
        <v/>
      </c>
    </row>
    <row r="546" spans="1:99" x14ac:dyDescent="0.2">
      <c r="A546" s="77">
        <f t="shared" si="315"/>
        <v>541</v>
      </c>
      <c r="B546" s="81"/>
      <c r="C546" s="82"/>
      <c r="D546" s="71"/>
      <c r="E546" s="72"/>
      <c r="F546" s="73"/>
      <c r="G546" s="443"/>
      <c r="H546" s="443"/>
      <c r="I546" s="74"/>
      <c r="J546" s="75"/>
      <c r="K546" s="41">
        <f t="shared" si="284"/>
        <v>3625</v>
      </c>
      <c r="L546" s="104"/>
      <c r="M546" s="105"/>
      <c r="N546" s="106">
        <f t="shared" si="285"/>
        <v>537.05999999999995</v>
      </c>
      <c r="O546" s="104"/>
      <c r="P546" s="105"/>
      <c r="Q546" s="106">
        <f t="shared" si="317"/>
        <v>10045.83</v>
      </c>
      <c r="R546" s="104"/>
      <c r="S546" s="105"/>
      <c r="T546" s="106">
        <f t="shared" si="318"/>
        <v>0</v>
      </c>
      <c r="U546" s="439"/>
      <c r="V546" s="42">
        <f t="shared" si="286"/>
        <v>541</v>
      </c>
      <c r="W546" s="39" t="str">
        <f>IF(AND(E546='Povolené hodnoty'!$B$4,F546=2),I546+L546+O546+R546,"")</f>
        <v/>
      </c>
      <c r="X546" s="41" t="str">
        <f>IF(AND(E546='Povolené hodnoty'!$B$4,F546=1),I546+L546+O546+R546,"")</f>
        <v/>
      </c>
      <c r="Y546" s="39" t="str">
        <f>IF(AND(E546='Povolené hodnoty'!$B$4,F546=10),J546+M546+P546+S546,"")</f>
        <v/>
      </c>
      <c r="Z546" s="41" t="str">
        <f>IF(AND(E546='Povolené hodnoty'!$B$4,F546=9),J546+M546+P546+S546,"")</f>
        <v/>
      </c>
      <c r="AA546" s="39" t="str">
        <f>IF(AND(E546&lt;&gt;'Povolené hodnoty'!$B$4,F546=2),I546+L546+O546+R546,"")</f>
        <v/>
      </c>
      <c r="AB546" s="40" t="str">
        <f>IF(AND(E546&lt;&gt;'Povolené hodnoty'!$B$4,F546=3),I546+L546+O546+R546,"")</f>
        <v/>
      </c>
      <c r="AC546" s="40" t="str">
        <f>IF(AND(E546&lt;&gt;'Povolené hodnoty'!$B$4,F546=4),I546+L546+O546+R546,"")</f>
        <v/>
      </c>
      <c r="AD546" s="40" t="str">
        <f>IF(AND(E546&lt;&gt;'Povolené hodnoty'!$B$4,F546="5a"),I546-J546+L546-M546+O546-P546+R546-S546,"")</f>
        <v/>
      </c>
      <c r="AE546" s="40" t="str">
        <f>IF(AND(E546&lt;&gt;'Povolené hodnoty'!$B$4,F546="5b"),I546-J546+L546-M546+O546-P546+R546-S546,"")</f>
        <v/>
      </c>
      <c r="AF546" s="40" t="str">
        <f>IF(AND(E546&lt;&gt;'Povolené hodnoty'!$B$4,F546=6),I546+L546+O546+R546,"")</f>
        <v/>
      </c>
      <c r="AG546" s="41" t="str">
        <f>IF(AND(E546&lt;&gt;'Povolené hodnoty'!$B$4,F546=7),I546+L546+O546+R546,"")</f>
        <v/>
      </c>
      <c r="AH546" s="39" t="str">
        <f>IF(AND(E546&lt;&gt;'Povolené hodnoty'!$B$4,F546=10),J546+M546+P546+S546,"")</f>
        <v/>
      </c>
      <c r="AI546" s="40" t="str">
        <f>IF(AND(E546&lt;&gt;'Povolené hodnoty'!$B$4,F546=11),J546+M546+P546+S546,"")</f>
        <v/>
      </c>
      <c r="AJ546" s="40" t="str">
        <f>IF(AND(E546&lt;&gt;'Povolené hodnoty'!$B$4,F546=12),J546+M546+P546+S546,"")</f>
        <v/>
      </c>
      <c r="AK546" s="41" t="str">
        <f>IF(AND(E546&lt;&gt;'Povolené hodnoty'!$B$4,F546=13),J546+M546+P546+S546,"")</f>
        <v/>
      </c>
      <c r="AL546" s="39" t="str">
        <f>IF(AND($G546='Povolené hodnoty'!$B$13,$H546=AL$4),SUM($I546,$L546,$O546,$R546),"")</f>
        <v/>
      </c>
      <c r="AM546" s="458" t="str">
        <f>IF(AND($G546='Povolené hodnoty'!$B$13,$H546=AM$4),SUM($I546,$L546,$O546,$R546),"")</f>
        <v/>
      </c>
      <c r="AN546" s="458" t="str">
        <f>IF(AND($G546='Povolené hodnoty'!$B$13,$H546=AN$4),SUM($I546,$L546,$O546,$R546),"")</f>
        <v/>
      </c>
      <c r="AO546" s="458" t="str">
        <f>IF(AND($G546='Povolené hodnoty'!$B$13,$H546=AO$4),SUM($I546,$L546,$O546,$R546),"")</f>
        <v/>
      </c>
      <c r="AP546" s="458" t="str">
        <f>IF(AND($G546='Povolené hodnoty'!$B$13,$H546=AP$4),SUM($I546,$L546,$O546,$R546),"")</f>
        <v/>
      </c>
      <c r="AQ546" s="40" t="str">
        <f>IF(AND($G546='Povolené hodnoty'!$B$13,OR($H546=AQ$4,$H546='Povolené hodnoty'!$E$36)),SUM($I546,-$J546,$L546,-$M546,$O546,-$P546,$R546,-$S546),"")</f>
        <v/>
      </c>
      <c r="AR546" s="40" t="str">
        <f>IF(AND($G546='Povolené hodnoty'!$B$13,$H546=AR$4),SUM($I546,$L546,$O546,$R546),"")</f>
        <v/>
      </c>
      <c r="AS546" s="41" t="str">
        <f>IF(AND($G546='Povolené hodnoty'!$B$13,$H546=AS$4),SUM($I546,$L546,$O546,$R546),"")</f>
        <v/>
      </c>
      <c r="AT546" s="39" t="str">
        <f>IF(AND($G546='Povolené hodnoty'!$B$14,$H546=AT$4),SUM($I546,$L546,$O546,$R546),"")</f>
        <v/>
      </c>
      <c r="AU546" s="458" t="str">
        <f>IF(AND($G546='Povolené hodnoty'!$B$14,$H546=AU$4),SUM($I546,$L546,$O546,$R546),"")</f>
        <v/>
      </c>
      <c r="AV546" s="41" t="str">
        <f>IF(AND($G546='Povolené hodnoty'!$B$14,$H546=AV$4),SUM($I546,$L546,$O546,$R546),"")</f>
        <v/>
      </c>
      <c r="AW546" s="39" t="str">
        <f>IF(AND($G546='Povolené hodnoty'!$B$13,$H546=AW$4),SUM($J546,$M546,$P546,$S546),"")</f>
        <v/>
      </c>
      <c r="AX546" s="458" t="str">
        <f>IF(AND($G546='Povolené hodnoty'!$B$13,$H546=AX$4),SUM($J546,$M546,$P546,$S546),"")</f>
        <v/>
      </c>
      <c r="AY546" s="458" t="str">
        <f>IF(AND($G546='Povolené hodnoty'!$B$13,$H546=AY$4),SUM($J546,$M546,$P546,$S546),"")</f>
        <v/>
      </c>
      <c r="AZ546" s="458" t="str">
        <f>IF(AND($G546='Povolené hodnoty'!$B$13,$H546=AZ$4),SUM($J546,$M546,$P546,$S546),"")</f>
        <v/>
      </c>
      <c r="BA546" s="458" t="str">
        <f>IF(AND($G546='Povolené hodnoty'!$B$13,$H546=BA$4),SUM($J546,$M546,$P546,$S546),"")</f>
        <v/>
      </c>
      <c r="BB546" s="40" t="str">
        <f>IF(AND($G546='Povolené hodnoty'!$B$13,$H546=BB$4),SUM($J546,$M546,$P546,$S546),"")</f>
        <v/>
      </c>
      <c r="BC546" s="40" t="str">
        <f>IF(AND($G546='Povolené hodnoty'!$B$13,$H546=BC$4),SUM($J546,$M546,$P546,$S546),"")</f>
        <v/>
      </c>
      <c r="BD546" s="40" t="str">
        <f>IF(AND($G546='Povolené hodnoty'!$B$13,$H546=BD$4),SUM($J546,$M546,$P546,$S546),"")</f>
        <v/>
      </c>
      <c r="BE546" s="41" t="str">
        <f>IF(AND($G546='Povolené hodnoty'!$B$13,$H546=BE$4),SUM($J546,$M546,$P546,$S546),"")</f>
        <v/>
      </c>
      <c r="BF546" s="39" t="str">
        <f>IF(AND($G546='Povolené hodnoty'!$B$14,$H546=BF$4),SUM($J546,$M546,$P546,$S546),"")</f>
        <v/>
      </c>
      <c r="BG546" s="458" t="str">
        <f>IF(AND($G546='Povolené hodnoty'!$B$14,$H546=BG$4),SUM($J546,$M546,$P546,$S546),"")</f>
        <v/>
      </c>
      <c r="BH546" s="458" t="str">
        <f>IF(AND($G546='Povolené hodnoty'!$B$14,$H546=BH$4),SUM($J546,$M546,$P546,$S546),"")</f>
        <v/>
      </c>
      <c r="BI546" s="458" t="str">
        <f>IF(AND($G546='Povolené hodnoty'!$B$14,$H546=BI$4),SUM($J546,$M546,$P546,$S546),"")</f>
        <v/>
      </c>
      <c r="BJ546" s="458" t="str">
        <f>IF(AND($G546='Povolené hodnoty'!$B$14,$H546=BJ$4),SUM($J546,$M546,$P546,$S546),"")</f>
        <v/>
      </c>
      <c r="BK546" s="40" t="str">
        <f>IF(AND($G546='Povolené hodnoty'!$B$14,$H546=BK$4),SUM($J546,$M546,$P546,$S546),"")</f>
        <v/>
      </c>
      <c r="BL546" s="40" t="str">
        <f>IF(AND($G546='Povolené hodnoty'!$B$14,$H546=BL$4),SUM($J546,$M546,$P546,$S546),"")</f>
        <v/>
      </c>
      <c r="BM546" s="41" t="str">
        <f>IF(AND($G546='Povolené hodnoty'!$B$14,$H546=BM$4),SUM($J546,$M546,$P546,$S546),"")</f>
        <v/>
      </c>
      <c r="BO546" s="18" t="b">
        <f t="shared" si="316"/>
        <v>0</v>
      </c>
      <c r="BP546" s="18" t="b">
        <f t="shared" si="287"/>
        <v>0</v>
      </c>
      <c r="BQ546" s="18" t="b">
        <f>AND(E546&lt;&gt;'Povolené hodnoty'!$B$6,F546&lt;&gt;'Povolené hodnoty'!$D$7,F546&lt;&gt;'Povolené hodnoty'!$D$8,OR(SUM(I546,L546,O546,R546)&lt;&gt;SUM(W546:X546,AA546:AG546),SUM(J546,M546,P546,S546)&lt;&gt;SUM(Y546:Z546,AH546:AK546),COUNT(I546:J546,L546:M546,O546:P546,R546:S546)&lt;&gt;COUNT(W546:AK546)))</f>
        <v>0</v>
      </c>
      <c r="BR546" s="18" t="b">
        <f>OR(AND(E546='Povolené hodnoty'!$B$6,$BR$5),AND(E546='Povolené hodnoty'!$B$6,H546&lt;&gt;'Povolené hodnoty'!$E$26,H546&lt;&gt;'Povolené hodnoty'!$E$35),AND(E546&lt;&gt;'Povolené hodnoty'!$B$6,OR(H546='Povolené hodnoty'!$E$26,H546='Povolené hodnoty'!$E$35)))</f>
        <v>0</v>
      </c>
      <c r="BS546" s="18" t="b">
        <f>OR(AND(G546&lt;&gt;'Povolené hodnoty'!$B$13,OR(H546='Povolené hodnoty'!$E$21,H546='Povolené hodnoty'!$E$22,H546='Povolené hodnoty'!$E$23,H546='Povolené hodnoty'!$E$24,H546='Povolené hodnoty'!$E$26,H546='Povolené hodnoty'!$E$36)),COUNT(I546:J546,L546:M546,O546:P546,R546:S546)&lt;&gt;COUNT(AL546:BM546))</f>
        <v>0</v>
      </c>
      <c r="BT546" s="18" t="b">
        <f t="shared" si="288"/>
        <v>0</v>
      </c>
      <c r="BV546" s="39" t="str">
        <f t="shared" si="289"/>
        <v/>
      </c>
      <c r="BW546" s="458" t="str">
        <f t="shared" si="290"/>
        <v/>
      </c>
      <c r="BX546" s="458" t="str">
        <f t="shared" si="291"/>
        <v/>
      </c>
      <c r="BY546" s="458" t="str">
        <f t="shared" si="292"/>
        <v/>
      </c>
      <c r="BZ546" s="458" t="str">
        <f t="shared" si="293"/>
        <v/>
      </c>
      <c r="CA546" s="40" t="str">
        <f t="shared" si="294"/>
        <v/>
      </c>
      <c r="CB546" s="40" t="str">
        <f t="shared" si="295"/>
        <v/>
      </c>
      <c r="CC546" s="39" t="str">
        <f t="shared" si="296"/>
        <v/>
      </c>
      <c r="CD546" s="458" t="str">
        <f t="shared" si="297"/>
        <v/>
      </c>
      <c r="CE546" s="41" t="str">
        <f t="shared" si="298"/>
        <v/>
      </c>
      <c r="CF546" s="39" t="str">
        <f t="shared" si="299"/>
        <v/>
      </c>
      <c r="CG546" s="458" t="str">
        <f t="shared" si="300"/>
        <v/>
      </c>
      <c r="CH546" s="458" t="str">
        <f t="shared" si="301"/>
        <v/>
      </c>
      <c r="CI546" s="458" t="str">
        <f t="shared" si="302"/>
        <v/>
      </c>
      <c r="CJ546" s="458" t="str">
        <f t="shared" si="303"/>
        <v/>
      </c>
      <c r="CK546" s="40" t="str">
        <f t="shared" si="304"/>
        <v/>
      </c>
      <c r="CL546" s="40" t="str">
        <f t="shared" si="305"/>
        <v/>
      </c>
      <c r="CM546" s="40" t="str">
        <f t="shared" si="306"/>
        <v/>
      </c>
      <c r="CN546" s="39" t="str">
        <f t="shared" si="307"/>
        <v/>
      </c>
      <c r="CO546" s="458" t="str">
        <f t="shared" si="308"/>
        <v/>
      </c>
      <c r="CP546" s="458" t="str">
        <f t="shared" si="309"/>
        <v/>
      </c>
      <c r="CQ546" s="458" t="str">
        <f t="shared" si="310"/>
        <v/>
      </c>
      <c r="CR546" s="458" t="str">
        <f t="shared" si="311"/>
        <v/>
      </c>
      <c r="CS546" s="40" t="str">
        <f t="shared" si="312"/>
        <v/>
      </c>
      <c r="CT546" s="40" t="str">
        <f t="shared" si="313"/>
        <v/>
      </c>
      <c r="CU546" s="41" t="str">
        <f t="shared" si="314"/>
        <v/>
      </c>
    </row>
    <row r="547" spans="1:99" x14ac:dyDescent="0.2">
      <c r="A547" s="77">
        <f t="shared" si="315"/>
        <v>542</v>
      </c>
      <c r="B547" s="81"/>
      <c r="C547" s="82"/>
      <c r="D547" s="71"/>
      <c r="E547" s="72"/>
      <c r="F547" s="73"/>
      <c r="G547" s="443"/>
      <c r="H547" s="443"/>
      <c r="I547" s="74"/>
      <c r="J547" s="75"/>
      <c r="K547" s="41">
        <f t="shared" si="284"/>
        <v>3625</v>
      </c>
      <c r="L547" s="104"/>
      <c r="M547" s="105"/>
      <c r="N547" s="106">
        <f t="shared" si="285"/>
        <v>537.05999999999995</v>
      </c>
      <c r="O547" s="104"/>
      <c r="P547" s="105"/>
      <c r="Q547" s="106">
        <f t="shared" si="317"/>
        <v>10045.83</v>
      </c>
      <c r="R547" s="104"/>
      <c r="S547" s="105"/>
      <c r="T547" s="106">
        <f t="shared" si="318"/>
        <v>0</v>
      </c>
      <c r="U547" s="439"/>
      <c r="V547" s="42">
        <f t="shared" si="286"/>
        <v>542</v>
      </c>
      <c r="W547" s="39" t="str">
        <f>IF(AND(E547='Povolené hodnoty'!$B$4,F547=2),I547+L547+O547+R547,"")</f>
        <v/>
      </c>
      <c r="X547" s="41" t="str">
        <f>IF(AND(E547='Povolené hodnoty'!$B$4,F547=1),I547+L547+O547+R547,"")</f>
        <v/>
      </c>
      <c r="Y547" s="39" t="str">
        <f>IF(AND(E547='Povolené hodnoty'!$B$4,F547=10),J547+M547+P547+S547,"")</f>
        <v/>
      </c>
      <c r="Z547" s="41" t="str">
        <f>IF(AND(E547='Povolené hodnoty'!$B$4,F547=9),J547+M547+P547+S547,"")</f>
        <v/>
      </c>
      <c r="AA547" s="39" t="str">
        <f>IF(AND(E547&lt;&gt;'Povolené hodnoty'!$B$4,F547=2),I547+L547+O547+R547,"")</f>
        <v/>
      </c>
      <c r="AB547" s="40" t="str">
        <f>IF(AND(E547&lt;&gt;'Povolené hodnoty'!$B$4,F547=3),I547+L547+O547+R547,"")</f>
        <v/>
      </c>
      <c r="AC547" s="40" t="str">
        <f>IF(AND(E547&lt;&gt;'Povolené hodnoty'!$B$4,F547=4),I547+L547+O547+R547,"")</f>
        <v/>
      </c>
      <c r="AD547" s="40" t="str">
        <f>IF(AND(E547&lt;&gt;'Povolené hodnoty'!$B$4,F547="5a"),I547-J547+L547-M547+O547-P547+R547-S547,"")</f>
        <v/>
      </c>
      <c r="AE547" s="40" t="str">
        <f>IF(AND(E547&lt;&gt;'Povolené hodnoty'!$B$4,F547="5b"),I547-J547+L547-M547+O547-P547+R547-S547,"")</f>
        <v/>
      </c>
      <c r="AF547" s="40" t="str">
        <f>IF(AND(E547&lt;&gt;'Povolené hodnoty'!$B$4,F547=6),I547+L547+O547+R547,"")</f>
        <v/>
      </c>
      <c r="AG547" s="41" t="str">
        <f>IF(AND(E547&lt;&gt;'Povolené hodnoty'!$B$4,F547=7),I547+L547+O547+R547,"")</f>
        <v/>
      </c>
      <c r="AH547" s="39" t="str">
        <f>IF(AND(E547&lt;&gt;'Povolené hodnoty'!$B$4,F547=10),J547+M547+P547+S547,"")</f>
        <v/>
      </c>
      <c r="AI547" s="40" t="str">
        <f>IF(AND(E547&lt;&gt;'Povolené hodnoty'!$B$4,F547=11),J547+M547+P547+S547,"")</f>
        <v/>
      </c>
      <c r="AJ547" s="40" t="str">
        <f>IF(AND(E547&lt;&gt;'Povolené hodnoty'!$B$4,F547=12),J547+M547+P547+S547,"")</f>
        <v/>
      </c>
      <c r="AK547" s="41" t="str">
        <f>IF(AND(E547&lt;&gt;'Povolené hodnoty'!$B$4,F547=13),J547+M547+P547+S547,"")</f>
        <v/>
      </c>
      <c r="AL547" s="39" t="str">
        <f>IF(AND($G547='Povolené hodnoty'!$B$13,$H547=AL$4),SUM($I547,$L547,$O547,$R547),"")</f>
        <v/>
      </c>
      <c r="AM547" s="458" t="str">
        <f>IF(AND($G547='Povolené hodnoty'!$B$13,$H547=AM$4),SUM($I547,$L547,$O547,$R547),"")</f>
        <v/>
      </c>
      <c r="AN547" s="458" t="str">
        <f>IF(AND($G547='Povolené hodnoty'!$B$13,$H547=AN$4),SUM($I547,$L547,$O547,$R547),"")</f>
        <v/>
      </c>
      <c r="AO547" s="458" t="str">
        <f>IF(AND($G547='Povolené hodnoty'!$B$13,$H547=AO$4),SUM($I547,$L547,$O547,$R547),"")</f>
        <v/>
      </c>
      <c r="AP547" s="458" t="str">
        <f>IF(AND($G547='Povolené hodnoty'!$B$13,$H547=AP$4),SUM($I547,$L547,$O547,$R547),"")</f>
        <v/>
      </c>
      <c r="AQ547" s="40" t="str">
        <f>IF(AND($G547='Povolené hodnoty'!$B$13,OR($H547=AQ$4,$H547='Povolené hodnoty'!$E$36)),SUM($I547,-$J547,$L547,-$M547,$O547,-$P547,$R547,-$S547),"")</f>
        <v/>
      </c>
      <c r="AR547" s="40" t="str">
        <f>IF(AND($G547='Povolené hodnoty'!$B$13,$H547=AR$4),SUM($I547,$L547,$O547,$R547),"")</f>
        <v/>
      </c>
      <c r="AS547" s="41" t="str">
        <f>IF(AND($G547='Povolené hodnoty'!$B$13,$H547=AS$4),SUM($I547,$L547,$O547,$R547),"")</f>
        <v/>
      </c>
      <c r="AT547" s="39" t="str">
        <f>IF(AND($G547='Povolené hodnoty'!$B$14,$H547=AT$4),SUM($I547,$L547,$O547,$R547),"")</f>
        <v/>
      </c>
      <c r="AU547" s="458" t="str">
        <f>IF(AND($G547='Povolené hodnoty'!$B$14,$H547=AU$4),SUM($I547,$L547,$O547,$R547),"")</f>
        <v/>
      </c>
      <c r="AV547" s="41" t="str">
        <f>IF(AND($G547='Povolené hodnoty'!$B$14,$H547=AV$4),SUM($I547,$L547,$O547,$R547),"")</f>
        <v/>
      </c>
      <c r="AW547" s="39" t="str">
        <f>IF(AND($G547='Povolené hodnoty'!$B$13,$H547=AW$4),SUM($J547,$M547,$P547,$S547),"")</f>
        <v/>
      </c>
      <c r="AX547" s="458" t="str">
        <f>IF(AND($G547='Povolené hodnoty'!$B$13,$H547=AX$4),SUM($J547,$M547,$P547,$S547),"")</f>
        <v/>
      </c>
      <c r="AY547" s="458" t="str">
        <f>IF(AND($G547='Povolené hodnoty'!$B$13,$H547=AY$4),SUM($J547,$M547,$P547,$S547),"")</f>
        <v/>
      </c>
      <c r="AZ547" s="458" t="str">
        <f>IF(AND($G547='Povolené hodnoty'!$B$13,$H547=AZ$4),SUM($J547,$M547,$P547,$S547),"")</f>
        <v/>
      </c>
      <c r="BA547" s="458" t="str">
        <f>IF(AND($G547='Povolené hodnoty'!$B$13,$H547=BA$4),SUM($J547,$M547,$P547,$S547),"")</f>
        <v/>
      </c>
      <c r="BB547" s="40" t="str">
        <f>IF(AND($G547='Povolené hodnoty'!$B$13,$H547=BB$4),SUM($J547,$M547,$P547,$S547),"")</f>
        <v/>
      </c>
      <c r="BC547" s="40" t="str">
        <f>IF(AND($G547='Povolené hodnoty'!$B$13,$H547=BC$4),SUM($J547,$M547,$P547,$S547),"")</f>
        <v/>
      </c>
      <c r="BD547" s="40" t="str">
        <f>IF(AND($G547='Povolené hodnoty'!$B$13,$H547=BD$4),SUM($J547,$M547,$P547,$S547),"")</f>
        <v/>
      </c>
      <c r="BE547" s="41" t="str">
        <f>IF(AND($G547='Povolené hodnoty'!$B$13,$H547=BE$4),SUM($J547,$M547,$P547,$S547),"")</f>
        <v/>
      </c>
      <c r="BF547" s="39" t="str">
        <f>IF(AND($G547='Povolené hodnoty'!$B$14,$H547=BF$4),SUM($J547,$M547,$P547,$S547),"")</f>
        <v/>
      </c>
      <c r="BG547" s="458" t="str">
        <f>IF(AND($G547='Povolené hodnoty'!$B$14,$H547=BG$4),SUM($J547,$M547,$P547,$S547),"")</f>
        <v/>
      </c>
      <c r="BH547" s="458" t="str">
        <f>IF(AND($G547='Povolené hodnoty'!$B$14,$H547=BH$4),SUM($J547,$M547,$P547,$S547),"")</f>
        <v/>
      </c>
      <c r="BI547" s="458" t="str">
        <f>IF(AND($G547='Povolené hodnoty'!$B$14,$H547=BI$4),SUM($J547,$M547,$P547,$S547),"")</f>
        <v/>
      </c>
      <c r="BJ547" s="458" t="str">
        <f>IF(AND($G547='Povolené hodnoty'!$B$14,$H547=BJ$4),SUM($J547,$M547,$P547,$S547),"")</f>
        <v/>
      </c>
      <c r="BK547" s="40" t="str">
        <f>IF(AND($G547='Povolené hodnoty'!$B$14,$H547=BK$4),SUM($J547,$M547,$P547,$S547),"")</f>
        <v/>
      </c>
      <c r="BL547" s="40" t="str">
        <f>IF(AND($G547='Povolené hodnoty'!$B$14,$H547=BL$4),SUM($J547,$M547,$P547,$S547),"")</f>
        <v/>
      </c>
      <c r="BM547" s="41" t="str">
        <f>IF(AND($G547='Povolené hodnoty'!$B$14,$H547=BM$4),SUM($J547,$M547,$P547,$S547),"")</f>
        <v/>
      </c>
      <c r="BO547" s="18" t="b">
        <f t="shared" si="316"/>
        <v>0</v>
      </c>
      <c r="BP547" s="18" t="b">
        <f t="shared" si="287"/>
        <v>0</v>
      </c>
      <c r="BQ547" s="18" t="b">
        <f>AND(E547&lt;&gt;'Povolené hodnoty'!$B$6,F547&lt;&gt;'Povolené hodnoty'!$D$7,F547&lt;&gt;'Povolené hodnoty'!$D$8,OR(SUM(I547,L547,O547,R547)&lt;&gt;SUM(W547:X547,AA547:AG547),SUM(J547,M547,P547,S547)&lt;&gt;SUM(Y547:Z547,AH547:AK547),COUNT(I547:J547,L547:M547,O547:P547,R547:S547)&lt;&gt;COUNT(W547:AK547)))</f>
        <v>0</v>
      </c>
      <c r="BR547" s="18" t="b">
        <f>OR(AND(E547='Povolené hodnoty'!$B$6,$BR$5),AND(E547='Povolené hodnoty'!$B$6,H547&lt;&gt;'Povolené hodnoty'!$E$26,H547&lt;&gt;'Povolené hodnoty'!$E$35),AND(E547&lt;&gt;'Povolené hodnoty'!$B$6,OR(H547='Povolené hodnoty'!$E$26,H547='Povolené hodnoty'!$E$35)))</f>
        <v>0</v>
      </c>
      <c r="BS547" s="18" t="b">
        <f>OR(AND(G547&lt;&gt;'Povolené hodnoty'!$B$13,OR(H547='Povolené hodnoty'!$E$21,H547='Povolené hodnoty'!$E$22,H547='Povolené hodnoty'!$E$23,H547='Povolené hodnoty'!$E$24,H547='Povolené hodnoty'!$E$26,H547='Povolené hodnoty'!$E$36)),COUNT(I547:J547,L547:M547,O547:P547,R547:S547)&lt;&gt;COUNT(AL547:BM547))</f>
        <v>0</v>
      </c>
      <c r="BT547" s="18" t="b">
        <f t="shared" si="288"/>
        <v>0</v>
      </c>
      <c r="BV547" s="39" t="str">
        <f t="shared" si="289"/>
        <v/>
      </c>
      <c r="BW547" s="458" t="str">
        <f t="shared" si="290"/>
        <v/>
      </c>
      <c r="BX547" s="458" t="str">
        <f t="shared" si="291"/>
        <v/>
      </c>
      <c r="BY547" s="458" t="str">
        <f t="shared" si="292"/>
        <v/>
      </c>
      <c r="BZ547" s="458" t="str">
        <f t="shared" si="293"/>
        <v/>
      </c>
      <c r="CA547" s="40" t="str">
        <f t="shared" si="294"/>
        <v/>
      </c>
      <c r="CB547" s="40" t="str">
        <f t="shared" si="295"/>
        <v/>
      </c>
      <c r="CC547" s="39" t="str">
        <f t="shared" si="296"/>
        <v/>
      </c>
      <c r="CD547" s="458" t="str">
        <f t="shared" si="297"/>
        <v/>
      </c>
      <c r="CE547" s="41" t="str">
        <f t="shared" si="298"/>
        <v/>
      </c>
      <c r="CF547" s="39" t="str">
        <f t="shared" si="299"/>
        <v/>
      </c>
      <c r="CG547" s="458" t="str">
        <f t="shared" si="300"/>
        <v/>
      </c>
      <c r="CH547" s="458" t="str">
        <f t="shared" si="301"/>
        <v/>
      </c>
      <c r="CI547" s="458" t="str">
        <f t="shared" si="302"/>
        <v/>
      </c>
      <c r="CJ547" s="458" t="str">
        <f t="shared" si="303"/>
        <v/>
      </c>
      <c r="CK547" s="40" t="str">
        <f t="shared" si="304"/>
        <v/>
      </c>
      <c r="CL547" s="40" t="str">
        <f t="shared" si="305"/>
        <v/>
      </c>
      <c r="CM547" s="40" t="str">
        <f t="shared" si="306"/>
        <v/>
      </c>
      <c r="CN547" s="39" t="str">
        <f t="shared" si="307"/>
        <v/>
      </c>
      <c r="CO547" s="458" t="str">
        <f t="shared" si="308"/>
        <v/>
      </c>
      <c r="CP547" s="458" t="str">
        <f t="shared" si="309"/>
        <v/>
      </c>
      <c r="CQ547" s="458" t="str">
        <f t="shared" si="310"/>
        <v/>
      </c>
      <c r="CR547" s="458" t="str">
        <f t="shared" si="311"/>
        <v/>
      </c>
      <c r="CS547" s="40" t="str">
        <f t="shared" si="312"/>
        <v/>
      </c>
      <c r="CT547" s="40" t="str">
        <f t="shared" si="313"/>
        <v/>
      </c>
      <c r="CU547" s="41" t="str">
        <f t="shared" si="314"/>
        <v/>
      </c>
    </row>
    <row r="548" spans="1:99" x14ac:dyDescent="0.2">
      <c r="A548" s="77">
        <f t="shared" si="315"/>
        <v>543</v>
      </c>
      <c r="B548" s="81"/>
      <c r="C548" s="82"/>
      <c r="D548" s="71"/>
      <c r="E548" s="72"/>
      <c r="F548" s="73"/>
      <c r="G548" s="443"/>
      <c r="H548" s="443"/>
      <c r="I548" s="74"/>
      <c r="J548" s="75"/>
      <c r="K548" s="41">
        <f t="shared" si="284"/>
        <v>3625</v>
      </c>
      <c r="L548" s="104"/>
      <c r="M548" s="105"/>
      <c r="N548" s="106">
        <f t="shared" si="285"/>
        <v>537.05999999999995</v>
      </c>
      <c r="O548" s="104"/>
      <c r="P548" s="105"/>
      <c r="Q548" s="106">
        <f t="shared" si="317"/>
        <v>10045.83</v>
      </c>
      <c r="R548" s="104"/>
      <c r="S548" s="105"/>
      <c r="T548" s="106">
        <f t="shared" si="318"/>
        <v>0</v>
      </c>
      <c r="U548" s="439"/>
      <c r="V548" s="42">
        <f t="shared" si="286"/>
        <v>543</v>
      </c>
      <c r="W548" s="39" t="str">
        <f>IF(AND(E548='Povolené hodnoty'!$B$4,F548=2),I548+L548+O548+R548,"")</f>
        <v/>
      </c>
      <c r="X548" s="41" t="str">
        <f>IF(AND(E548='Povolené hodnoty'!$B$4,F548=1),I548+L548+O548+R548,"")</f>
        <v/>
      </c>
      <c r="Y548" s="39" t="str">
        <f>IF(AND(E548='Povolené hodnoty'!$B$4,F548=10),J548+M548+P548+S548,"")</f>
        <v/>
      </c>
      <c r="Z548" s="41" t="str">
        <f>IF(AND(E548='Povolené hodnoty'!$B$4,F548=9),J548+M548+P548+S548,"")</f>
        <v/>
      </c>
      <c r="AA548" s="39" t="str">
        <f>IF(AND(E548&lt;&gt;'Povolené hodnoty'!$B$4,F548=2),I548+L548+O548+R548,"")</f>
        <v/>
      </c>
      <c r="AB548" s="40" t="str">
        <f>IF(AND(E548&lt;&gt;'Povolené hodnoty'!$B$4,F548=3),I548+L548+O548+R548,"")</f>
        <v/>
      </c>
      <c r="AC548" s="40" t="str">
        <f>IF(AND(E548&lt;&gt;'Povolené hodnoty'!$B$4,F548=4),I548+L548+O548+R548,"")</f>
        <v/>
      </c>
      <c r="AD548" s="40" t="str">
        <f>IF(AND(E548&lt;&gt;'Povolené hodnoty'!$B$4,F548="5a"),I548-J548+L548-M548+O548-P548+R548-S548,"")</f>
        <v/>
      </c>
      <c r="AE548" s="40" t="str">
        <f>IF(AND(E548&lt;&gt;'Povolené hodnoty'!$B$4,F548="5b"),I548-J548+L548-M548+O548-P548+R548-S548,"")</f>
        <v/>
      </c>
      <c r="AF548" s="40" t="str">
        <f>IF(AND(E548&lt;&gt;'Povolené hodnoty'!$B$4,F548=6),I548+L548+O548+R548,"")</f>
        <v/>
      </c>
      <c r="AG548" s="41" t="str">
        <f>IF(AND(E548&lt;&gt;'Povolené hodnoty'!$B$4,F548=7),I548+L548+O548+R548,"")</f>
        <v/>
      </c>
      <c r="AH548" s="39" t="str">
        <f>IF(AND(E548&lt;&gt;'Povolené hodnoty'!$B$4,F548=10),J548+M548+P548+S548,"")</f>
        <v/>
      </c>
      <c r="AI548" s="40" t="str">
        <f>IF(AND(E548&lt;&gt;'Povolené hodnoty'!$B$4,F548=11),J548+M548+P548+S548,"")</f>
        <v/>
      </c>
      <c r="AJ548" s="40" t="str">
        <f>IF(AND(E548&lt;&gt;'Povolené hodnoty'!$B$4,F548=12),J548+M548+P548+S548,"")</f>
        <v/>
      </c>
      <c r="AK548" s="41" t="str">
        <f>IF(AND(E548&lt;&gt;'Povolené hodnoty'!$B$4,F548=13),J548+M548+P548+S548,"")</f>
        <v/>
      </c>
      <c r="AL548" s="39" t="str">
        <f>IF(AND($G548='Povolené hodnoty'!$B$13,$H548=AL$4),SUM($I548,$L548,$O548,$R548),"")</f>
        <v/>
      </c>
      <c r="AM548" s="458" t="str">
        <f>IF(AND($G548='Povolené hodnoty'!$B$13,$H548=AM$4),SUM($I548,$L548,$O548,$R548),"")</f>
        <v/>
      </c>
      <c r="AN548" s="458" t="str">
        <f>IF(AND($G548='Povolené hodnoty'!$B$13,$H548=AN$4),SUM($I548,$L548,$O548,$R548),"")</f>
        <v/>
      </c>
      <c r="AO548" s="458" t="str">
        <f>IF(AND($G548='Povolené hodnoty'!$B$13,$H548=AO$4),SUM($I548,$L548,$O548,$R548),"")</f>
        <v/>
      </c>
      <c r="AP548" s="458" t="str">
        <f>IF(AND($G548='Povolené hodnoty'!$B$13,$H548=AP$4),SUM($I548,$L548,$O548,$R548),"")</f>
        <v/>
      </c>
      <c r="AQ548" s="40" t="str">
        <f>IF(AND($G548='Povolené hodnoty'!$B$13,OR($H548=AQ$4,$H548='Povolené hodnoty'!$E$36)),SUM($I548,-$J548,$L548,-$M548,$O548,-$P548,$R548,-$S548),"")</f>
        <v/>
      </c>
      <c r="AR548" s="40" t="str">
        <f>IF(AND($G548='Povolené hodnoty'!$B$13,$H548=AR$4),SUM($I548,$L548,$O548,$R548),"")</f>
        <v/>
      </c>
      <c r="AS548" s="41" t="str">
        <f>IF(AND($G548='Povolené hodnoty'!$B$13,$H548=AS$4),SUM($I548,$L548,$O548,$R548),"")</f>
        <v/>
      </c>
      <c r="AT548" s="39" t="str">
        <f>IF(AND($G548='Povolené hodnoty'!$B$14,$H548=AT$4),SUM($I548,$L548,$O548,$R548),"")</f>
        <v/>
      </c>
      <c r="AU548" s="458" t="str">
        <f>IF(AND($G548='Povolené hodnoty'!$B$14,$H548=AU$4),SUM($I548,$L548,$O548,$R548),"")</f>
        <v/>
      </c>
      <c r="AV548" s="41" t="str">
        <f>IF(AND($G548='Povolené hodnoty'!$B$14,$H548=AV$4),SUM($I548,$L548,$O548,$R548),"")</f>
        <v/>
      </c>
      <c r="AW548" s="39" t="str">
        <f>IF(AND($G548='Povolené hodnoty'!$B$13,$H548=AW$4),SUM($J548,$M548,$P548,$S548),"")</f>
        <v/>
      </c>
      <c r="AX548" s="458" t="str">
        <f>IF(AND($G548='Povolené hodnoty'!$B$13,$H548=AX$4),SUM($J548,$M548,$P548,$S548),"")</f>
        <v/>
      </c>
      <c r="AY548" s="458" t="str">
        <f>IF(AND($G548='Povolené hodnoty'!$B$13,$H548=AY$4),SUM($J548,$M548,$P548,$S548),"")</f>
        <v/>
      </c>
      <c r="AZ548" s="458" t="str">
        <f>IF(AND($G548='Povolené hodnoty'!$B$13,$H548=AZ$4),SUM($J548,$M548,$P548,$S548),"")</f>
        <v/>
      </c>
      <c r="BA548" s="458" t="str">
        <f>IF(AND($G548='Povolené hodnoty'!$B$13,$H548=BA$4),SUM($J548,$M548,$P548,$S548),"")</f>
        <v/>
      </c>
      <c r="BB548" s="40" t="str">
        <f>IF(AND($G548='Povolené hodnoty'!$B$13,$H548=BB$4),SUM($J548,$M548,$P548,$S548),"")</f>
        <v/>
      </c>
      <c r="BC548" s="40" t="str">
        <f>IF(AND($G548='Povolené hodnoty'!$B$13,$H548=BC$4),SUM($J548,$M548,$P548,$S548),"")</f>
        <v/>
      </c>
      <c r="BD548" s="40" t="str">
        <f>IF(AND($G548='Povolené hodnoty'!$B$13,$H548=BD$4),SUM($J548,$M548,$P548,$S548),"")</f>
        <v/>
      </c>
      <c r="BE548" s="41" t="str">
        <f>IF(AND($G548='Povolené hodnoty'!$B$13,$H548=BE$4),SUM($J548,$M548,$P548,$S548),"")</f>
        <v/>
      </c>
      <c r="BF548" s="39" t="str">
        <f>IF(AND($G548='Povolené hodnoty'!$B$14,$H548=BF$4),SUM($J548,$M548,$P548,$S548),"")</f>
        <v/>
      </c>
      <c r="BG548" s="458" t="str">
        <f>IF(AND($G548='Povolené hodnoty'!$B$14,$H548=BG$4),SUM($J548,$M548,$P548,$S548),"")</f>
        <v/>
      </c>
      <c r="BH548" s="458" t="str">
        <f>IF(AND($G548='Povolené hodnoty'!$B$14,$H548=BH$4),SUM($J548,$M548,$P548,$S548),"")</f>
        <v/>
      </c>
      <c r="BI548" s="458" t="str">
        <f>IF(AND($G548='Povolené hodnoty'!$B$14,$H548=BI$4),SUM($J548,$M548,$P548,$S548),"")</f>
        <v/>
      </c>
      <c r="BJ548" s="458" t="str">
        <f>IF(AND($G548='Povolené hodnoty'!$B$14,$H548=BJ$4),SUM($J548,$M548,$P548,$S548),"")</f>
        <v/>
      </c>
      <c r="BK548" s="40" t="str">
        <f>IF(AND($G548='Povolené hodnoty'!$B$14,$H548=BK$4),SUM($J548,$M548,$P548,$S548),"")</f>
        <v/>
      </c>
      <c r="BL548" s="40" t="str">
        <f>IF(AND($G548='Povolené hodnoty'!$B$14,$H548=BL$4),SUM($J548,$M548,$P548,$S548),"")</f>
        <v/>
      </c>
      <c r="BM548" s="41" t="str">
        <f>IF(AND($G548='Povolené hodnoty'!$B$14,$H548=BM$4),SUM($J548,$M548,$P548,$S548),"")</f>
        <v/>
      </c>
      <c r="BO548" s="18" t="b">
        <f t="shared" si="316"/>
        <v>0</v>
      </c>
      <c r="BP548" s="18" t="b">
        <f t="shared" si="287"/>
        <v>0</v>
      </c>
      <c r="BQ548" s="18" t="b">
        <f>AND(E548&lt;&gt;'Povolené hodnoty'!$B$6,F548&lt;&gt;'Povolené hodnoty'!$D$7,F548&lt;&gt;'Povolené hodnoty'!$D$8,OR(SUM(I548,L548,O548,R548)&lt;&gt;SUM(W548:X548,AA548:AG548),SUM(J548,M548,P548,S548)&lt;&gt;SUM(Y548:Z548,AH548:AK548),COUNT(I548:J548,L548:M548,O548:P548,R548:S548)&lt;&gt;COUNT(W548:AK548)))</f>
        <v>0</v>
      </c>
      <c r="BR548" s="18" t="b">
        <f>OR(AND(E548='Povolené hodnoty'!$B$6,$BR$5),AND(E548='Povolené hodnoty'!$B$6,H548&lt;&gt;'Povolené hodnoty'!$E$26,H548&lt;&gt;'Povolené hodnoty'!$E$35),AND(E548&lt;&gt;'Povolené hodnoty'!$B$6,OR(H548='Povolené hodnoty'!$E$26,H548='Povolené hodnoty'!$E$35)))</f>
        <v>0</v>
      </c>
      <c r="BS548" s="18" t="b">
        <f>OR(AND(G548&lt;&gt;'Povolené hodnoty'!$B$13,OR(H548='Povolené hodnoty'!$E$21,H548='Povolené hodnoty'!$E$22,H548='Povolené hodnoty'!$E$23,H548='Povolené hodnoty'!$E$24,H548='Povolené hodnoty'!$E$26,H548='Povolené hodnoty'!$E$36)),COUNT(I548:J548,L548:M548,O548:P548,R548:S548)&lt;&gt;COUNT(AL548:BM548))</f>
        <v>0</v>
      </c>
      <c r="BT548" s="18" t="b">
        <f t="shared" si="288"/>
        <v>0</v>
      </c>
      <c r="BV548" s="39" t="str">
        <f t="shared" si="289"/>
        <v/>
      </c>
      <c r="BW548" s="458" t="str">
        <f t="shared" si="290"/>
        <v/>
      </c>
      <c r="BX548" s="458" t="str">
        <f t="shared" si="291"/>
        <v/>
      </c>
      <c r="BY548" s="458" t="str">
        <f t="shared" si="292"/>
        <v/>
      </c>
      <c r="BZ548" s="458" t="str">
        <f t="shared" si="293"/>
        <v/>
      </c>
      <c r="CA548" s="40" t="str">
        <f t="shared" si="294"/>
        <v/>
      </c>
      <c r="CB548" s="40" t="str">
        <f t="shared" si="295"/>
        <v/>
      </c>
      <c r="CC548" s="39" t="str">
        <f t="shared" si="296"/>
        <v/>
      </c>
      <c r="CD548" s="458" t="str">
        <f t="shared" si="297"/>
        <v/>
      </c>
      <c r="CE548" s="41" t="str">
        <f t="shared" si="298"/>
        <v/>
      </c>
      <c r="CF548" s="39" t="str">
        <f t="shared" si="299"/>
        <v/>
      </c>
      <c r="CG548" s="458" t="str">
        <f t="shared" si="300"/>
        <v/>
      </c>
      <c r="CH548" s="458" t="str">
        <f t="shared" si="301"/>
        <v/>
      </c>
      <c r="CI548" s="458" t="str">
        <f t="shared" si="302"/>
        <v/>
      </c>
      <c r="CJ548" s="458" t="str">
        <f t="shared" si="303"/>
        <v/>
      </c>
      <c r="CK548" s="40" t="str">
        <f t="shared" si="304"/>
        <v/>
      </c>
      <c r="CL548" s="40" t="str">
        <f t="shared" si="305"/>
        <v/>
      </c>
      <c r="CM548" s="40" t="str">
        <f t="shared" si="306"/>
        <v/>
      </c>
      <c r="CN548" s="39" t="str">
        <f t="shared" si="307"/>
        <v/>
      </c>
      <c r="CO548" s="458" t="str">
        <f t="shared" si="308"/>
        <v/>
      </c>
      <c r="CP548" s="458" t="str">
        <f t="shared" si="309"/>
        <v/>
      </c>
      <c r="CQ548" s="458" t="str">
        <f t="shared" si="310"/>
        <v/>
      </c>
      <c r="CR548" s="458" t="str">
        <f t="shared" si="311"/>
        <v/>
      </c>
      <c r="CS548" s="40" t="str">
        <f t="shared" si="312"/>
        <v/>
      </c>
      <c r="CT548" s="40" t="str">
        <f t="shared" si="313"/>
        <v/>
      </c>
      <c r="CU548" s="41" t="str">
        <f t="shared" si="314"/>
        <v/>
      </c>
    </row>
    <row r="549" spans="1:99" x14ac:dyDescent="0.2">
      <c r="A549" s="77">
        <f t="shared" si="315"/>
        <v>544</v>
      </c>
      <c r="B549" s="81"/>
      <c r="C549" s="82"/>
      <c r="D549" s="71"/>
      <c r="E549" s="72"/>
      <c r="F549" s="73"/>
      <c r="G549" s="443"/>
      <c r="H549" s="443"/>
      <c r="I549" s="74"/>
      <c r="J549" s="75"/>
      <c r="K549" s="41">
        <f t="shared" si="284"/>
        <v>3625</v>
      </c>
      <c r="L549" s="104"/>
      <c r="M549" s="105"/>
      <c r="N549" s="106">
        <f t="shared" si="285"/>
        <v>537.05999999999995</v>
      </c>
      <c r="O549" s="104"/>
      <c r="P549" s="105"/>
      <c r="Q549" s="106">
        <f t="shared" si="317"/>
        <v>10045.83</v>
      </c>
      <c r="R549" s="104"/>
      <c r="S549" s="105"/>
      <c r="T549" s="106">
        <f t="shared" si="318"/>
        <v>0</v>
      </c>
      <c r="U549" s="439"/>
      <c r="V549" s="42">
        <f t="shared" si="286"/>
        <v>544</v>
      </c>
      <c r="W549" s="39" t="str">
        <f>IF(AND(E549='Povolené hodnoty'!$B$4,F549=2),I549+L549+O549+R549,"")</f>
        <v/>
      </c>
      <c r="X549" s="41" t="str">
        <f>IF(AND(E549='Povolené hodnoty'!$B$4,F549=1),I549+L549+O549+R549,"")</f>
        <v/>
      </c>
      <c r="Y549" s="39" t="str">
        <f>IF(AND(E549='Povolené hodnoty'!$B$4,F549=10),J549+M549+P549+S549,"")</f>
        <v/>
      </c>
      <c r="Z549" s="41" t="str">
        <f>IF(AND(E549='Povolené hodnoty'!$B$4,F549=9),J549+M549+P549+S549,"")</f>
        <v/>
      </c>
      <c r="AA549" s="39" t="str">
        <f>IF(AND(E549&lt;&gt;'Povolené hodnoty'!$B$4,F549=2),I549+L549+O549+R549,"")</f>
        <v/>
      </c>
      <c r="AB549" s="40" t="str">
        <f>IF(AND(E549&lt;&gt;'Povolené hodnoty'!$B$4,F549=3),I549+L549+O549+R549,"")</f>
        <v/>
      </c>
      <c r="AC549" s="40" t="str">
        <f>IF(AND(E549&lt;&gt;'Povolené hodnoty'!$B$4,F549=4),I549+L549+O549+R549,"")</f>
        <v/>
      </c>
      <c r="AD549" s="40" t="str">
        <f>IF(AND(E549&lt;&gt;'Povolené hodnoty'!$B$4,F549="5a"),I549-J549+L549-M549+O549-P549+R549-S549,"")</f>
        <v/>
      </c>
      <c r="AE549" s="40" t="str">
        <f>IF(AND(E549&lt;&gt;'Povolené hodnoty'!$B$4,F549="5b"),I549-J549+L549-M549+O549-P549+R549-S549,"")</f>
        <v/>
      </c>
      <c r="AF549" s="40" t="str">
        <f>IF(AND(E549&lt;&gt;'Povolené hodnoty'!$B$4,F549=6),I549+L549+O549+R549,"")</f>
        <v/>
      </c>
      <c r="AG549" s="41" t="str">
        <f>IF(AND(E549&lt;&gt;'Povolené hodnoty'!$B$4,F549=7),I549+L549+O549+R549,"")</f>
        <v/>
      </c>
      <c r="AH549" s="39" t="str">
        <f>IF(AND(E549&lt;&gt;'Povolené hodnoty'!$B$4,F549=10),J549+M549+P549+S549,"")</f>
        <v/>
      </c>
      <c r="AI549" s="40" t="str">
        <f>IF(AND(E549&lt;&gt;'Povolené hodnoty'!$B$4,F549=11),J549+M549+P549+S549,"")</f>
        <v/>
      </c>
      <c r="AJ549" s="40" t="str">
        <f>IF(AND(E549&lt;&gt;'Povolené hodnoty'!$B$4,F549=12),J549+M549+P549+S549,"")</f>
        <v/>
      </c>
      <c r="AK549" s="41" t="str">
        <f>IF(AND(E549&lt;&gt;'Povolené hodnoty'!$B$4,F549=13),J549+M549+P549+S549,"")</f>
        <v/>
      </c>
      <c r="AL549" s="39" t="str">
        <f>IF(AND($G549='Povolené hodnoty'!$B$13,$H549=AL$4),SUM($I549,$L549,$O549,$R549),"")</f>
        <v/>
      </c>
      <c r="AM549" s="458" t="str">
        <f>IF(AND($G549='Povolené hodnoty'!$B$13,$H549=AM$4),SUM($I549,$L549,$O549,$R549),"")</f>
        <v/>
      </c>
      <c r="AN549" s="458" t="str">
        <f>IF(AND($G549='Povolené hodnoty'!$B$13,$H549=AN$4),SUM($I549,$L549,$O549,$R549),"")</f>
        <v/>
      </c>
      <c r="AO549" s="458" t="str">
        <f>IF(AND($G549='Povolené hodnoty'!$B$13,$H549=AO$4),SUM($I549,$L549,$O549,$R549),"")</f>
        <v/>
      </c>
      <c r="AP549" s="458" t="str">
        <f>IF(AND($G549='Povolené hodnoty'!$B$13,$H549=AP$4),SUM($I549,$L549,$O549,$R549),"")</f>
        <v/>
      </c>
      <c r="AQ549" s="40" t="str">
        <f>IF(AND($G549='Povolené hodnoty'!$B$13,OR($H549=AQ$4,$H549='Povolené hodnoty'!$E$36)),SUM($I549,-$J549,$L549,-$M549,$O549,-$P549,$R549,-$S549),"")</f>
        <v/>
      </c>
      <c r="AR549" s="40" t="str">
        <f>IF(AND($G549='Povolené hodnoty'!$B$13,$H549=AR$4),SUM($I549,$L549,$O549,$R549),"")</f>
        <v/>
      </c>
      <c r="AS549" s="41" t="str">
        <f>IF(AND($G549='Povolené hodnoty'!$B$13,$H549=AS$4),SUM($I549,$L549,$O549,$R549),"")</f>
        <v/>
      </c>
      <c r="AT549" s="39" t="str">
        <f>IF(AND($G549='Povolené hodnoty'!$B$14,$H549=AT$4),SUM($I549,$L549,$O549,$R549),"")</f>
        <v/>
      </c>
      <c r="AU549" s="458" t="str">
        <f>IF(AND($G549='Povolené hodnoty'!$B$14,$H549=AU$4),SUM($I549,$L549,$O549,$R549),"")</f>
        <v/>
      </c>
      <c r="AV549" s="41" t="str">
        <f>IF(AND($G549='Povolené hodnoty'!$B$14,$H549=AV$4),SUM($I549,$L549,$O549,$R549),"")</f>
        <v/>
      </c>
      <c r="AW549" s="39" t="str">
        <f>IF(AND($G549='Povolené hodnoty'!$B$13,$H549=AW$4),SUM($J549,$M549,$P549,$S549),"")</f>
        <v/>
      </c>
      <c r="AX549" s="458" t="str">
        <f>IF(AND($G549='Povolené hodnoty'!$B$13,$H549=AX$4),SUM($J549,$M549,$P549,$S549),"")</f>
        <v/>
      </c>
      <c r="AY549" s="458" t="str">
        <f>IF(AND($G549='Povolené hodnoty'!$B$13,$H549=AY$4),SUM($J549,$M549,$P549,$S549),"")</f>
        <v/>
      </c>
      <c r="AZ549" s="458" t="str">
        <f>IF(AND($G549='Povolené hodnoty'!$B$13,$H549=AZ$4),SUM($J549,$M549,$P549,$S549),"")</f>
        <v/>
      </c>
      <c r="BA549" s="458" t="str">
        <f>IF(AND($G549='Povolené hodnoty'!$B$13,$H549=BA$4),SUM($J549,$M549,$P549,$S549),"")</f>
        <v/>
      </c>
      <c r="BB549" s="40" t="str">
        <f>IF(AND($G549='Povolené hodnoty'!$B$13,$H549=BB$4),SUM($J549,$M549,$P549,$S549),"")</f>
        <v/>
      </c>
      <c r="BC549" s="40" t="str">
        <f>IF(AND($G549='Povolené hodnoty'!$B$13,$H549=BC$4),SUM($J549,$M549,$P549,$S549),"")</f>
        <v/>
      </c>
      <c r="BD549" s="40" t="str">
        <f>IF(AND($G549='Povolené hodnoty'!$B$13,$H549=BD$4),SUM($J549,$M549,$P549,$S549),"")</f>
        <v/>
      </c>
      <c r="BE549" s="41" t="str">
        <f>IF(AND($G549='Povolené hodnoty'!$B$13,$H549=BE$4),SUM($J549,$M549,$P549,$S549),"")</f>
        <v/>
      </c>
      <c r="BF549" s="39" t="str">
        <f>IF(AND($G549='Povolené hodnoty'!$B$14,$H549=BF$4),SUM($J549,$M549,$P549,$S549),"")</f>
        <v/>
      </c>
      <c r="BG549" s="458" t="str">
        <f>IF(AND($G549='Povolené hodnoty'!$B$14,$H549=BG$4),SUM($J549,$M549,$P549,$S549),"")</f>
        <v/>
      </c>
      <c r="BH549" s="458" t="str">
        <f>IF(AND($G549='Povolené hodnoty'!$B$14,$H549=BH$4),SUM($J549,$M549,$P549,$S549),"")</f>
        <v/>
      </c>
      <c r="BI549" s="458" t="str">
        <f>IF(AND($G549='Povolené hodnoty'!$B$14,$H549=BI$4),SUM($J549,$M549,$P549,$S549),"")</f>
        <v/>
      </c>
      <c r="BJ549" s="458" t="str">
        <f>IF(AND($G549='Povolené hodnoty'!$B$14,$H549=BJ$4),SUM($J549,$M549,$P549,$S549),"")</f>
        <v/>
      </c>
      <c r="BK549" s="40" t="str">
        <f>IF(AND($G549='Povolené hodnoty'!$B$14,$H549=BK$4),SUM($J549,$M549,$P549,$S549),"")</f>
        <v/>
      </c>
      <c r="BL549" s="40" t="str">
        <f>IF(AND($G549='Povolené hodnoty'!$B$14,$H549=BL$4),SUM($J549,$M549,$P549,$S549),"")</f>
        <v/>
      </c>
      <c r="BM549" s="41" t="str">
        <f>IF(AND($G549='Povolené hodnoty'!$B$14,$H549=BM$4),SUM($J549,$M549,$P549,$S549),"")</f>
        <v/>
      </c>
      <c r="BO549" s="18" t="b">
        <f t="shared" si="316"/>
        <v>0</v>
      </c>
      <c r="BP549" s="18" t="b">
        <f t="shared" si="287"/>
        <v>0</v>
      </c>
      <c r="BQ549" s="18" t="b">
        <f>AND(E549&lt;&gt;'Povolené hodnoty'!$B$6,F549&lt;&gt;'Povolené hodnoty'!$D$7,F549&lt;&gt;'Povolené hodnoty'!$D$8,OR(SUM(I549,L549,O549,R549)&lt;&gt;SUM(W549:X549,AA549:AG549),SUM(J549,M549,P549,S549)&lt;&gt;SUM(Y549:Z549,AH549:AK549),COUNT(I549:J549,L549:M549,O549:P549,R549:S549)&lt;&gt;COUNT(W549:AK549)))</f>
        <v>0</v>
      </c>
      <c r="BR549" s="18" t="b">
        <f>OR(AND(E549='Povolené hodnoty'!$B$6,$BR$5),AND(E549='Povolené hodnoty'!$B$6,H549&lt;&gt;'Povolené hodnoty'!$E$26,H549&lt;&gt;'Povolené hodnoty'!$E$35),AND(E549&lt;&gt;'Povolené hodnoty'!$B$6,OR(H549='Povolené hodnoty'!$E$26,H549='Povolené hodnoty'!$E$35)))</f>
        <v>0</v>
      </c>
      <c r="BS549" s="18" t="b">
        <f>OR(AND(G549&lt;&gt;'Povolené hodnoty'!$B$13,OR(H549='Povolené hodnoty'!$E$21,H549='Povolené hodnoty'!$E$22,H549='Povolené hodnoty'!$E$23,H549='Povolené hodnoty'!$E$24,H549='Povolené hodnoty'!$E$26,H549='Povolené hodnoty'!$E$36)),COUNT(I549:J549,L549:M549,O549:P549,R549:S549)&lt;&gt;COUNT(AL549:BM549))</f>
        <v>0</v>
      </c>
      <c r="BT549" s="18" t="b">
        <f t="shared" si="288"/>
        <v>0</v>
      </c>
      <c r="BV549" s="39" t="str">
        <f t="shared" si="289"/>
        <v/>
      </c>
      <c r="BW549" s="458" t="str">
        <f t="shared" si="290"/>
        <v/>
      </c>
      <c r="BX549" s="458" t="str">
        <f t="shared" si="291"/>
        <v/>
      </c>
      <c r="BY549" s="458" t="str">
        <f t="shared" si="292"/>
        <v/>
      </c>
      <c r="BZ549" s="458" t="str">
        <f t="shared" si="293"/>
        <v/>
      </c>
      <c r="CA549" s="40" t="str">
        <f t="shared" si="294"/>
        <v/>
      </c>
      <c r="CB549" s="40" t="str">
        <f t="shared" si="295"/>
        <v/>
      </c>
      <c r="CC549" s="39" t="str">
        <f t="shared" si="296"/>
        <v/>
      </c>
      <c r="CD549" s="458" t="str">
        <f t="shared" si="297"/>
        <v/>
      </c>
      <c r="CE549" s="41" t="str">
        <f t="shared" si="298"/>
        <v/>
      </c>
      <c r="CF549" s="39" t="str">
        <f t="shared" si="299"/>
        <v/>
      </c>
      <c r="CG549" s="458" t="str">
        <f t="shared" si="300"/>
        <v/>
      </c>
      <c r="CH549" s="458" t="str">
        <f t="shared" si="301"/>
        <v/>
      </c>
      <c r="CI549" s="458" t="str">
        <f t="shared" si="302"/>
        <v/>
      </c>
      <c r="CJ549" s="458" t="str">
        <f t="shared" si="303"/>
        <v/>
      </c>
      <c r="CK549" s="40" t="str">
        <f t="shared" si="304"/>
        <v/>
      </c>
      <c r="CL549" s="40" t="str">
        <f t="shared" si="305"/>
        <v/>
      </c>
      <c r="CM549" s="40" t="str">
        <f t="shared" si="306"/>
        <v/>
      </c>
      <c r="CN549" s="39" t="str">
        <f t="shared" si="307"/>
        <v/>
      </c>
      <c r="CO549" s="458" t="str">
        <f t="shared" si="308"/>
        <v/>
      </c>
      <c r="CP549" s="458" t="str">
        <f t="shared" si="309"/>
        <v/>
      </c>
      <c r="CQ549" s="458" t="str">
        <f t="shared" si="310"/>
        <v/>
      </c>
      <c r="CR549" s="458" t="str">
        <f t="shared" si="311"/>
        <v/>
      </c>
      <c r="CS549" s="40" t="str">
        <f t="shared" si="312"/>
        <v/>
      </c>
      <c r="CT549" s="40" t="str">
        <f t="shared" si="313"/>
        <v/>
      </c>
      <c r="CU549" s="41" t="str">
        <f t="shared" si="314"/>
        <v/>
      </c>
    </row>
    <row r="550" spans="1:99" x14ac:dyDescent="0.2">
      <c r="A550" s="77">
        <f t="shared" si="315"/>
        <v>545</v>
      </c>
      <c r="B550" s="81"/>
      <c r="C550" s="82"/>
      <c r="D550" s="71"/>
      <c r="E550" s="72"/>
      <c r="F550" s="73"/>
      <c r="G550" s="443"/>
      <c r="H550" s="443"/>
      <c r="I550" s="74"/>
      <c r="J550" s="75"/>
      <c r="K550" s="41">
        <f t="shared" si="284"/>
        <v>3625</v>
      </c>
      <c r="L550" s="104"/>
      <c r="M550" s="105"/>
      <c r="N550" s="106">
        <f t="shared" si="285"/>
        <v>537.05999999999995</v>
      </c>
      <c r="O550" s="104"/>
      <c r="P550" s="105"/>
      <c r="Q550" s="106">
        <f t="shared" si="317"/>
        <v>10045.83</v>
      </c>
      <c r="R550" s="104"/>
      <c r="S550" s="105"/>
      <c r="T550" s="106">
        <f t="shared" si="318"/>
        <v>0</v>
      </c>
      <c r="U550" s="439"/>
      <c r="V550" s="42">
        <f t="shared" si="286"/>
        <v>545</v>
      </c>
      <c r="W550" s="39" t="str">
        <f>IF(AND(E550='Povolené hodnoty'!$B$4,F550=2),I550+L550+O550+R550,"")</f>
        <v/>
      </c>
      <c r="X550" s="41" t="str">
        <f>IF(AND(E550='Povolené hodnoty'!$B$4,F550=1),I550+L550+O550+R550,"")</f>
        <v/>
      </c>
      <c r="Y550" s="39" t="str">
        <f>IF(AND(E550='Povolené hodnoty'!$B$4,F550=10),J550+M550+P550+S550,"")</f>
        <v/>
      </c>
      <c r="Z550" s="41" t="str">
        <f>IF(AND(E550='Povolené hodnoty'!$B$4,F550=9),J550+M550+P550+S550,"")</f>
        <v/>
      </c>
      <c r="AA550" s="39" t="str">
        <f>IF(AND(E550&lt;&gt;'Povolené hodnoty'!$B$4,F550=2),I550+L550+O550+R550,"")</f>
        <v/>
      </c>
      <c r="AB550" s="40" t="str">
        <f>IF(AND(E550&lt;&gt;'Povolené hodnoty'!$B$4,F550=3),I550+L550+O550+R550,"")</f>
        <v/>
      </c>
      <c r="AC550" s="40" t="str">
        <f>IF(AND(E550&lt;&gt;'Povolené hodnoty'!$B$4,F550=4),I550+L550+O550+R550,"")</f>
        <v/>
      </c>
      <c r="AD550" s="40" t="str">
        <f>IF(AND(E550&lt;&gt;'Povolené hodnoty'!$B$4,F550="5a"),I550-J550+L550-M550+O550-P550+R550-S550,"")</f>
        <v/>
      </c>
      <c r="AE550" s="40" t="str">
        <f>IF(AND(E550&lt;&gt;'Povolené hodnoty'!$B$4,F550="5b"),I550-J550+L550-M550+O550-P550+R550-S550,"")</f>
        <v/>
      </c>
      <c r="AF550" s="40" t="str">
        <f>IF(AND(E550&lt;&gt;'Povolené hodnoty'!$B$4,F550=6),I550+L550+O550+R550,"")</f>
        <v/>
      </c>
      <c r="AG550" s="41" t="str">
        <f>IF(AND(E550&lt;&gt;'Povolené hodnoty'!$B$4,F550=7),I550+L550+O550+R550,"")</f>
        <v/>
      </c>
      <c r="AH550" s="39" t="str">
        <f>IF(AND(E550&lt;&gt;'Povolené hodnoty'!$B$4,F550=10),J550+M550+P550+S550,"")</f>
        <v/>
      </c>
      <c r="AI550" s="40" t="str">
        <f>IF(AND(E550&lt;&gt;'Povolené hodnoty'!$B$4,F550=11),J550+M550+P550+S550,"")</f>
        <v/>
      </c>
      <c r="AJ550" s="40" t="str">
        <f>IF(AND(E550&lt;&gt;'Povolené hodnoty'!$B$4,F550=12),J550+M550+P550+S550,"")</f>
        <v/>
      </c>
      <c r="AK550" s="41" t="str">
        <f>IF(AND(E550&lt;&gt;'Povolené hodnoty'!$B$4,F550=13),J550+M550+P550+S550,"")</f>
        <v/>
      </c>
      <c r="AL550" s="39" t="str">
        <f>IF(AND($G550='Povolené hodnoty'!$B$13,$H550=AL$4),SUM($I550,$L550,$O550,$R550),"")</f>
        <v/>
      </c>
      <c r="AM550" s="458" t="str">
        <f>IF(AND($G550='Povolené hodnoty'!$B$13,$H550=AM$4),SUM($I550,$L550,$O550,$R550),"")</f>
        <v/>
      </c>
      <c r="AN550" s="458" t="str">
        <f>IF(AND($G550='Povolené hodnoty'!$B$13,$H550=AN$4),SUM($I550,$L550,$O550,$R550),"")</f>
        <v/>
      </c>
      <c r="AO550" s="458" t="str">
        <f>IF(AND($G550='Povolené hodnoty'!$B$13,$H550=AO$4),SUM($I550,$L550,$O550,$R550),"")</f>
        <v/>
      </c>
      <c r="AP550" s="458" t="str">
        <f>IF(AND($G550='Povolené hodnoty'!$B$13,$H550=AP$4),SUM($I550,$L550,$O550,$R550),"")</f>
        <v/>
      </c>
      <c r="AQ550" s="40" t="str">
        <f>IF(AND($G550='Povolené hodnoty'!$B$13,OR($H550=AQ$4,$H550='Povolené hodnoty'!$E$36)),SUM($I550,-$J550,$L550,-$M550,$O550,-$P550,$R550,-$S550),"")</f>
        <v/>
      </c>
      <c r="AR550" s="40" t="str">
        <f>IF(AND($G550='Povolené hodnoty'!$B$13,$H550=AR$4),SUM($I550,$L550,$O550,$R550),"")</f>
        <v/>
      </c>
      <c r="AS550" s="41" t="str">
        <f>IF(AND($G550='Povolené hodnoty'!$B$13,$H550=AS$4),SUM($I550,$L550,$O550,$R550),"")</f>
        <v/>
      </c>
      <c r="AT550" s="39" t="str">
        <f>IF(AND($G550='Povolené hodnoty'!$B$14,$H550=AT$4),SUM($I550,$L550,$O550,$R550),"")</f>
        <v/>
      </c>
      <c r="AU550" s="458" t="str">
        <f>IF(AND($G550='Povolené hodnoty'!$B$14,$H550=AU$4),SUM($I550,$L550,$O550,$R550),"")</f>
        <v/>
      </c>
      <c r="AV550" s="41" t="str">
        <f>IF(AND($G550='Povolené hodnoty'!$B$14,$H550=AV$4),SUM($I550,$L550,$O550,$R550),"")</f>
        <v/>
      </c>
      <c r="AW550" s="39" t="str">
        <f>IF(AND($G550='Povolené hodnoty'!$B$13,$H550=AW$4),SUM($J550,$M550,$P550,$S550),"")</f>
        <v/>
      </c>
      <c r="AX550" s="458" t="str">
        <f>IF(AND($G550='Povolené hodnoty'!$B$13,$H550=AX$4),SUM($J550,$M550,$P550,$S550),"")</f>
        <v/>
      </c>
      <c r="AY550" s="458" t="str">
        <f>IF(AND($G550='Povolené hodnoty'!$B$13,$H550=AY$4),SUM($J550,$M550,$P550,$S550),"")</f>
        <v/>
      </c>
      <c r="AZ550" s="458" t="str">
        <f>IF(AND($G550='Povolené hodnoty'!$B$13,$H550=AZ$4),SUM($J550,$M550,$P550,$S550),"")</f>
        <v/>
      </c>
      <c r="BA550" s="458" t="str">
        <f>IF(AND($G550='Povolené hodnoty'!$B$13,$H550=BA$4),SUM($J550,$M550,$P550,$S550),"")</f>
        <v/>
      </c>
      <c r="BB550" s="40" t="str">
        <f>IF(AND($G550='Povolené hodnoty'!$B$13,$H550=BB$4),SUM($J550,$M550,$P550,$S550),"")</f>
        <v/>
      </c>
      <c r="BC550" s="40" t="str">
        <f>IF(AND($G550='Povolené hodnoty'!$B$13,$H550=BC$4),SUM($J550,$M550,$P550,$S550),"")</f>
        <v/>
      </c>
      <c r="BD550" s="40" t="str">
        <f>IF(AND($G550='Povolené hodnoty'!$B$13,$H550=BD$4),SUM($J550,$M550,$P550,$S550),"")</f>
        <v/>
      </c>
      <c r="BE550" s="41" t="str">
        <f>IF(AND($G550='Povolené hodnoty'!$B$13,$H550=BE$4),SUM($J550,$M550,$P550,$S550),"")</f>
        <v/>
      </c>
      <c r="BF550" s="39" t="str">
        <f>IF(AND($G550='Povolené hodnoty'!$B$14,$H550=BF$4),SUM($J550,$M550,$P550,$S550),"")</f>
        <v/>
      </c>
      <c r="BG550" s="458" t="str">
        <f>IF(AND($G550='Povolené hodnoty'!$B$14,$H550=BG$4),SUM($J550,$M550,$P550,$S550),"")</f>
        <v/>
      </c>
      <c r="BH550" s="458" t="str">
        <f>IF(AND($G550='Povolené hodnoty'!$B$14,$H550=BH$4),SUM($J550,$M550,$P550,$S550),"")</f>
        <v/>
      </c>
      <c r="BI550" s="458" t="str">
        <f>IF(AND($G550='Povolené hodnoty'!$B$14,$H550=BI$4),SUM($J550,$M550,$P550,$S550),"")</f>
        <v/>
      </c>
      <c r="BJ550" s="458" t="str">
        <f>IF(AND($G550='Povolené hodnoty'!$B$14,$H550=BJ$4),SUM($J550,$M550,$P550,$S550),"")</f>
        <v/>
      </c>
      <c r="BK550" s="40" t="str">
        <f>IF(AND($G550='Povolené hodnoty'!$B$14,$H550=BK$4),SUM($J550,$M550,$P550,$S550),"")</f>
        <v/>
      </c>
      <c r="BL550" s="40" t="str">
        <f>IF(AND($G550='Povolené hodnoty'!$B$14,$H550=BL$4),SUM($J550,$M550,$P550,$S550),"")</f>
        <v/>
      </c>
      <c r="BM550" s="41" t="str">
        <f>IF(AND($G550='Povolené hodnoty'!$B$14,$H550=BM$4),SUM($J550,$M550,$P550,$S550),"")</f>
        <v/>
      </c>
      <c r="BO550" s="18" t="b">
        <f t="shared" si="316"/>
        <v>0</v>
      </c>
      <c r="BP550" s="18" t="b">
        <f t="shared" si="287"/>
        <v>0</v>
      </c>
      <c r="BQ550" s="18" t="b">
        <f>AND(E550&lt;&gt;'Povolené hodnoty'!$B$6,F550&lt;&gt;'Povolené hodnoty'!$D$7,F550&lt;&gt;'Povolené hodnoty'!$D$8,OR(SUM(I550,L550,O550,R550)&lt;&gt;SUM(W550:X550,AA550:AG550),SUM(J550,M550,P550,S550)&lt;&gt;SUM(Y550:Z550,AH550:AK550),COUNT(I550:J550,L550:M550,O550:P550,R550:S550)&lt;&gt;COUNT(W550:AK550)))</f>
        <v>0</v>
      </c>
      <c r="BR550" s="18" t="b">
        <f>OR(AND(E550='Povolené hodnoty'!$B$6,$BR$5),AND(E550='Povolené hodnoty'!$B$6,H550&lt;&gt;'Povolené hodnoty'!$E$26,H550&lt;&gt;'Povolené hodnoty'!$E$35),AND(E550&lt;&gt;'Povolené hodnoty'!$B$6,OR(H550='Povolené hodnoty'!$E$26,H550='Povolené hodnoty'!$E$35)))</f>
        <v>0</v>
      </c>
      <c r="BS550" s="18" t="b">
        <f>OR(AND(G550&lt;&gt;'Povolené hodnoty'!$B$13,OR(H550='Povolené hodnoty'!$E$21,H550='Povolené hodnoty'!$E$22,H550='Povolené hodnoty'!$E$23,H550='Povolené hodnoty'!$E$24,H550='Povolené hodnoty'!$E$26,H550='Povolené hodnoty'!$E$36)),COUNT(I550:J550,L550:M550,O550:P550,R550:S550)&lt;&gt;COUNT(AL550:BM550))</f>
        <v>0</v>
      </c>
      <c r="BT550" s="18" t="b">
        <f t="shared" si="288"/>
        <v>0</v>
      </c>
      <c r="BV550" s="39" t="str">
        <f t="shared" si="289"/>
        <v/>
      </c>
      <c r="BW550" s="458" t="str">
        <f t="shared" si="290"/>
        <v/>
      </c>
      <c r="BX550" s="458" t="str">
        <f t="shared" si="291"/>
        <v/>
      </c>
      <c r="BY550" s="458" t="str">
        <f t="shared" si="292"/>
        <v/>
      </c>
      <c r="BZ550" s="458" t="str">
        <f t="shared" si="293"/>
        <v/>
      </c>
      <c r="CA550" s="40" t="str">
        <f t="shared" si="294"/>
        <v/>
      </c>
      <c r="CB550" s="40" t="str">
        <f t="shared" si="295"/>
        <v/>
      </c>
      <c r="CC550" s="39" t="str">
        <f t="shared" si="296"/>
        <v/>
      </c>
      <c r="CD550" s="458" t="str">
        <f t="shared" si="297"/>
        <v/>
      </c>
      <c r="CE550" s="41" t="str">
        <f t="shared" si="298"/>
        <v/>
      </c>
      <c r="CF550" s="39" t="str">
        <f t="shared" si="299"/>
        <v/>
      </c>
      <c r="CG550" s="458" t="str">
        <f t="shared" si="300"/>
        <v/>
      </c>
      <c r="CH550" s="458" t="str">
        <f t="shared" si="301"/>
        <v/>
      </c>
      <c r="CI550" s="458" t="str">
        <f t="shared" si="302"/>
        <v/>
      </c>
      <c r="CJ550" s="458" t="str">
        <f t="shared" si="303"/>
        <v/>
      </c>
      <c r="CK550" s="40" t="str">
        <f t="shared" si="304"/>
        <v/>
      </c>
      <c r="CL550" s="40" t="str">
        <f t="shared" si="305"/>
        <v/>
      </c>
      <c r="CM550" s="40" t="str">
        <f t="shared" si="306"/>
        <v/>
      </c>
      <c r="CN550" s="39" t="str">
        <f t="shared" si="307"/>
        <v/>
      </c>
      <c r="CO550" s="458" t="str">
        <f t="shared" si="308"/>
        <v/>
      </c>
      <c r="CP550" s="458" t="str">
        <f t="shared" si="309"/>
        <v/>
      </c>
      <c r="CQ550" s="458" t="str">
        <f t="shared" si="310"/>
        <v/>
      </c>
      <c r="CR550" s="458" t="str">
        <f t="shared" si="311"/>
        <v/>
      </c>
      <c r="CS550" s="40" t="str">
        <f t="shared" si="312"/>
        <v/>
      </c>
      <c r="CT550" s="40" t="str">
        <f t="shared" si="313"/>
        <v/>
      </c>
      <c r="CU550" s="41" t="str">
        <f t="shared" si="314"/>
        <v/>
      </c>
    </row>
    <row r="551" spans="1:99" x14ac:dyDescent="0.2">
      <c r="A551" s="77">
        <f t="shared" si="315"/>
        <v>546</v>
      </c>
      <c r="B551" s="81"/>
      <c r="C551" s="82"/>
      <c r="D551" s="71"/>
      <c r="E551" s="72"/>
      <c r="F551" s="73"/>
      <c r="G551" s="443"/>
      <c r="H551" s="443"/>
      <c r="I551" s="74"/>
      <c r="J551" s="75"/>
      <c r="K551" s="41">
        <f t="shared" si="284"/>
        <v>3625</v>
      </c>
      <c r="L551" s="104"/>
      <c r="M551" s="105"/>
      <c r="N551" s="106">
        <f t="shared" si="285"/>
        <v>537.05999999999995</v>
      </c>
      <c r="O551" s="104"/>
      <c r="P551" s="105"/>
      <c r="Q551" s="106">
        <f t="shared" si="317"/>
        <v>10045.83</v>
      </c>
      <c r="R551" s="104"/>
      <c r="S551" s="105"/>
      <c r="T551" s="106">
        <f t="shared" si="318"/>
        <v>0</v>
      </c>
      <c r="U551" s="439"/>
      <c r="V551" s="42">
        <f t="shared" si="286"/>
        <v>546</v>
      </c>
      <c r="W551" s="39" t="str">
        <f>IF(AND(E551='Povolené hodnoty'!$B$4,F551=2),I551+L551+O551+R551,"")</f>
        <v/>
      </c>
      <c r="X551" s="41" t="str">
        <f>IF(AND(E551='Povolené hodnoty'!$B$4,F551=1),I551+L551+O551+R551,"")</f>
        <v/>
      </c>
      <c r="Y551" s="39" t="str">
        <f>IF(AND(E551='Povolené hodnoty'!$B$4,F551=10),J551+M551+P551+S551,"")</f>
        <v/>
      </c>
      <c r="Z551" s="41" t="str">
        <f>IF(AND(E551='Povolené hodnoty'!$B$4,F551=9),J551+M551+P551+S551,"")</f>
        <v/>
      </c>
      <c r="AA551" s="39" t="str">
        <f>IF(AND(E551&lt;&gt;'Povolené hodnoty'!$B$4,F551=2),I551+L551+O551+R551,"")</f>
        <v/>
      </c>
      <c r="AB551" s="40" t="str">
        <f>IF(AND(E551&lt;&gt;'Povolené hodnoty'!$B$4,F551=3),I551+L551+O551+R551,"")</f>
        <v/>
      </c>
      <c r="AC551" s="40" t="str">
        <f>IF(AND(E551&lt;&gt;'Povolené hodnoty'!$B$4,F551=4),I551+L551+O551+R551,"")</f>
        <v/>
      </c>
      <c r="AD551" s="40" t="str">
        <f>IF(AND(E551&lt;&gt;'Povolené hodnoty'!$B$4,F551="5a"),I551-J551+L551-M551+O551-P551+R551-S551,"")</f>
        <v/>
      </c>
      <c r="AE551" s="40" t="str">
        <f>IF(AND(E551&lt;&gt;'Povolené hodnoty'!$B$4,F551="5b"),I551-J551+L551-M551+O551-P551+R551-S551,"")</f>
        <v/>
      </c>
      <c r="AF551" s="40" t="str">
        <f>IF(AND(E551&lt;&gt;'Povolené hodnoty'!$B$4,F551=6),I551+L551+O551+R551,"")</f>
        <v/>
      </c>
      <c r="AG551" s="41" t="str">
        <f>IF(AND(E551&lt;&gt;'Povolené hodnoty'!$B$4,F551=7),I551+L551+O551+R551,"")</f>
        <v/>
      </c>
      <c r="AH551" s="39" t="str">
        <f>IF(AND(E551&lt;&gt;'Povolené hodnoty'!$B$4,F551=10),J551+M551+P551+S551,"")</f>
        <v/>
      </c>
      <c r="AI551" s="40" t="str">
        <f>IF(AND(E551&lt;&gt;'Povolené hodnoty'!$B$4,F551=11),J551+M551+P551+S551,"")</f>
        <v/>
      </c>
      <c r="AJ551" s="40" t="str">
        <f>IF(AND(E551&lt;&gt;'Povolené hodnoty'!$B$4,F551=12),J551+M551+P551+S551,"")</f>
        <v/>
      </c>
      <c r="AK551" s="41" t="str">
        <f>IF(AND(E551&lt;&gt;'Povolené hodnoty'!$B$4,F551=13),J551+M551+P551+S551,"")</f>
        <v/>
      </c>
      <c r="AL551" s="39" t="str">
        <f>IF(AND($G551='Povolené hodnoty'!$B$13,$H551=AL$4),SUM($I551,$L551,$O551,$R551),"")</f>
        <v/>
      </c>
      <c r="AM551" s="458" t="str">
        <f>IF(AND($G551='Povolené hodnoty'!$B$13,$H551=AM$4),SUM($I551,$L551,$O551,$R551),"")</f>
        <v/>
      </c>
      <c r="AN551" s="458" t="str">
        <f>IF(AND($G551='Povolené hodnoty'!$B$13,$H551=AN$4),SUM($I551,$L551,$O551,$R551),"")</f>
        <v/>
      </c>
      <c r="AO551" s="458" t="str">
        <f>IF(AND($G551='Povolené hodnoty'!$B$13,$H551=AO$4),SUM($I551,$L551,$O551,$R551),"")</f>
        <v/>
      </c>
      <c r="AP551" s="458" t="str">
        <f>IF(AND($G551='Povolené hodnoty'!$B$13,$H551=AP$4),SUM($I551,$L551,$O551,$R551),"")</f>
        <v/>
      </c>
      <c r="AQ551" s="40" t="str">
        <f>IF(AND($G551='Povolené hodnoty'!$B$13,OR($H551=AQ$4,$H551='Povolené hodnoty'!$E$36)),SUM($I551,-$J551,$L551,-$M551,$O551,-$P551,$R551,-$S551),"")</f>
        <v/>
      </c>
      <c r="AR551" s="40" t="str">
        <f>IF(AND($G551='Povolené hodnoty'!$B$13,$H551=AR$4),SUM($I551,$L551,$O551,$R551),"")</f>
        <v/>
      </c>
      <c r="AS551" s="41" t="str">
        <f>IF(AND($G551='Povolené hodnoty'!$B$13,$H551=AS$4),SUM($I551,$L551,$O551,$R551),"")</f>
        <v/>
      </c>
      <c r="AT551" s="39" t="str">
        <f>IF(AND($G551='Povolené hodnoty'!$B$14,$H551=AT$4),SUM($I551,$L551,$O551,$R551),"")</f>
        <v/>
      </c>
      <c r="AU551" s="458" t="str">
        <f>IF(AND($G551='Povolené hodnoty'!$B$14,$H551=AU$4),SUM($I551,$L551,$O551,$R551),"")</f>
        <v/>
      </c>
      <c r="AV551" s="41" t="str">
        <f>IF(AND($G551='Povolené hodnoty'!$B$14,$H551=AV$4),SUM($I551,$L551,$O551,$R551),"")</f>
        <v/>
      </c>
      <c r="AW551" s="39" t="str">
        <f>IF(AND($G551='Povolené hodnoty'!$B$13,$H551=AW$4),SUM($J551,$M551,$P551,$S551),"")</f>
        <v/>
      </c>
      <c r="AX551" s="458" t="str">
        <f>IF(AND($G551='Povolené hodnoty'!$B$13,$H551=AX$4),SUM($J551,$M551,$P551,$S551),"")</f>
        <v/>
      </c>
      <c r="AY551" s="458" t="str">
        <f>IF(AND($G551='Povolené hodnoty'!$B$13,$H551=AY$4),SUM($J551,$M551,$P551,$S551),"")</f>
        <v/>
      </c>
      <c r="AZ551" s="458" t="str">
        <f>IF(AND($G551='Povolené hodnoty'!$B$13,$H551=AZ$4),SUM($J551,$M551,$P551,$S551),"")</f>
        <v/>
      </c>
      <c r="BA551" s="458" t="str">
        <f>IF(AND($G551='Povolené hodnoty'!$B$13,$H551=BA$4),SUM($J551,$M551,$P551,$S551),"")</f>
        <v/>
      </c>
      <c r="BB551" s="40" t="str">
        <f>IF(AND($G551='Povolené hodnoty'!$B$13,$H551=BB$4),SUM($J551,$M551,$P551,$S551),"")</f>
        <v/>
      </c>
      <c r="BC551" s="40" t="str">
        <f>IF(AND($G551='Povolené hodnoty'!$B$13,$H551=BC$4),SUM($J551,$M551,$P551,$S551),"")</f>
        <v/>
      </c>
      <c r="BD551" s="40" t="str">
        <f>IF(AND($G551='Povolené hodnoty'!$B$13,$H551=BD$4),SUM($J551,$M551,$P551,$S551),"")</f>
        <v/>
      </c>
      <c r="BE551" s="41" t="str">
        <f>IF(AND($G551='Povolené hodnoty'!$B$13,$H551=BE$4),SUM($J551,$M551,$P551,$S551),"")</f>
        <v/>
      </c>
      <c r="BF551" s="39" t="str">
        <f>IF(AND($G551='Povolené hodnoty'!$B$14,$H551=BF$4),SUM($J551,$M551,$P551,$S551),"")</f>
        <v/>
      </c>
      <c r="BG551" s="458" t="str">
        <f>IF(AND($G551='Povolené hodnoty'!$B$14,$H551=BG$4),SUM($J551,$M551,$P551,$S551),"")</f>
        <v/>
      </c>
      <c r="BH551" s="458" t="str">
        <f>IF(AND($G551='Povolené hodnoty'!$B$14,$H551=BH$4),SUM($J551,$M551,$P551,$S551),"")</f>
        <v/>
      </c>
      <c r="BI551" s="458" t="str">
        <f>IF(AND($G551='Povolené hodnoty'!$B$14,$H551=BI$4),SUM($J551,$M551,$P551,$S551),"")</f>
        <v/>
      </c>
      <c r="BJ551" s="458" t="str">
        <f>IF(AND($G551='Povolené hodnoty'!$B$14,$H551=BJ$4),SUM($J551,$M551,$P551,$S551),"")</f>
        <v/>
      </c>
      <c r="BK551" s="40" t="str">
        <f>IF(AND($G551='Povolené hodnoty'!$B$14,$H551=BK$4),SUM($J551,$M551,$P551,$S551),"")</f>
        <v/>
      </c>
      <c r="BL551" s="40" t="str">
        <f>IF(AND($G551='Povolené hodnoty'!$B$14,$H551=BL$4),SUM($J551,$M551,$P551,$S551),"")</f>
        <v/>
      </c>
      <c r="BM551" s="41" t="str">
        <f>IF(AND($G551='Povolené hodnoty'!$B$14,$H551=BM$4),SUM($J551,$M551,$P551,$S551),"")</f>
        <v/>
      </c>
      <c r="BO551" s="18" t="b">
        <f t="shared" si="316"/>
        <v>0</v>
      </c>
      <c r="BP551" s="18" t="b">
        <f t="shared" si="287"/>
        <v>0</v>
      </c>
      <c r="BQ551" s="18" t="b">
        <f>AND(E551&lt;&gt;'Povolené hodnoty'!$B$6,F551&lt;&gt;'Povolené hodnoty'!$D$7,F551&lt;&gt;'Povolené hodnoty'!$D$8,OR(SUM(I551,L551,O551,R551)&lt;&gt;SUM(W551:X551,AA551:AG551),SUM(J551,M551,P551,S551)&lt;&gt;SUM(Y551:Z551,AH551:AK551),COUNT(I551:J551,L551:M551,O551:P551,R551:S551)&lt;&gt;COUNT(W551:AK551)))</f>
        <v>0</v>
      </c>
      <c r="BR551" s="18" t="b">
        <f>OR(AND(E551='Povolené hodnoty'!$B$6,$BR$5),AND(E551='Povolené hodnoty'!$B$6,H551&lt;&gt;'Povolené hodnoty'!$E$26,H551&lt;&gt;'Povolené hodnoty'!$E$35),AND(E551&lt;&gt;'Povolené hodnoty'!$B$6,OR(H551='Povolené hodnoty'!$E$26,H551='Povolené hodnoty'!$E$35)))</f>
        <v>0</v>
      </c>
      <c r="BS551" s="18" t="b">
        <f>OR(AND(G551&lt;&gt;'Povolené hodnoty'!$B$13,OR(H551='Povolené hodnoty'!$E$21,H551='Povolené hodnoty'!$E$22,H551='Povolené hodnoty'!$E$23,H551='Povolené hodnoty'!$E$24,H551='Povolené hodnoty'!$E$26,H551='Povolené hodnoty'!$E$36)),COUNT(I551:J551,L551:M551,O551:P551,R551:S551)&lt;&gt;COUNT(AL551:BM551))</f>
        <v>0</v>
      </c>
      <c r="BT551" s="18" t="b">
        <f t="shared" si="288"/>
        <v>0</v>
      </c>
      <c r="BV551" s="39" t="str">
        <f t="shared" si="289"/>
        <v/>
      </c>
      <c r="BW551" s="458" t="str">
        <f t="shared" si="290"/>
        <v/>
      </c>
      <c r="BX551" s="458" t="str">
        <f t="shared" si="291"/>
        <v/>
      </c>
      <c r="BY551" s="458" t="str">
        <f t="shared" si="292"/>
        <v/>
      </c>
      <c r="BZ551" s="458" t="str">
        <f t="shared" si="293"/>
        <v/>
      </c>
      <c r="CA551" s="40" t="str">
        <f t="shared" si="294"/>
        <v/>
      </c>
      <c r="CB551" s="40" t="str">
        <f t="shared" si="295"/>
        <v/>
      </c>
      <c r="CC551" s="39" t="str">
        <f t="shared" si="296"/>
        <v/>
      </c>
      <c r="CD551" s="458" t="str">
        <f t="shared" si="297"/>
        <v/>
      </c>
      <c r="CE551" s="41" t="str">
        <f t="shared" si="298"/>
        <v/>
      </c>
      <c r="CF551" s="39" t="str">
        <f t="shared" si="299"/>
        <v/>
      </c>
      <c r="CG551" s="458" t="str">
        <f t="shared" si="300"/>
        <v/>
      </c>
      <c r="CH551" s="458" t="str">
        <f t="shared" si="301"/>
        <v/>
      </c>
      <c r="CI551" s="458" t="str">
        <f t="shared" si="302"/>
        <v/>
      </c>
      <c r="CJ551" s="458" t="str">
        <f t="shared" si="303"/>
        <v/>
      </c>
      <c r="CK551" s="40" t="str">
        <f t="shared" si="304"/>
        <v/>
      </c>
      <c r="CL551" s="40" t="str">
        <f t="shared" si="305"/>
        <v/>
      </c>
      <c r="CM551" s="40" t="str">
        <f t="shared" si="306"/>
        <v/>
      </c>
      <c r="CN551" s="39" t="str">
        <f t="shared" si="307"/>
        <v/>
      </c>
      <c r="CO551" s="458" t="str">
        <f t="shared" si="308"/>
        <v/>
      </c>
      <c r="CP551" s="458" t="str">
        <f t="shared" si="309"/>
        <v/>
      </c>
      <c r="CQ551" s="458" t="str">
        <f t="shared" si="310"/>
        <v/>
      </c>
      <c r="CR551" s="458" t="str">
        <f t="shared" si="311"/>
        <v/>
      </c>
      <c r="CS551" s="40" t="str">
        <f t="shared" si="312"/>
        <v/>
      </c>
      <c r="CT551" s="40" t="str">
        <f t="shared" si="313"/>
        <v/>
      </c>
      <c r="CU551" s="41" t="str">
        <f t="shared" si="314"/>
        <v/>
      </c>
    </row>
    <row r="552" spans="1:99" x14ac:dyDescent="0.2">
      <c r="A552" s="77">
        <f t="shared" si="315"/>
        <v>547</v>
      </c>
      <c r="B552" s="81"/>
      <c r="C552" s="82"/>
      <c r="D552" s="71"/>
      <c r="E552" s="72"/>
      <c r="F552" s="73"/>
      <c r="G552" s="443"/>
      <c r="H552" s="443"/>
      <c r="I552" s="74"/>
      <c r="J552" s="75"/>
      <c r="K552" s="41">
        <f t="shared" si="284"/>
        <v>3625</v>
      </c>
      <c r="L552" s="104"/>
      <c r="M552" s="105"/>
      <c r="N552" s="106">
        <f t="shared" si="285"/>
        <v>537.05999999999995</v>
      </c>
      <c r="O552" s="104"/>
      <c r="P552" s="105"/>
      <c r="Q552" s="106">
        <f t="shared" si="317"/>
        <v>10045.83</v>
      </c>
      <c r="R552" s="104"/>
      <c r="S552" s="105"/>
      <c r="T552" s="106">
        <f t="shared" si="318"/>
        <v>0</v>
      </c>
      <c r="U552" s="439"/>
      <c r="V552" s="42">
        <f t="shared" si="286"/>
        <v>547</v>
      </c>
      <c r="W552" s="39" t="str">
        <f>IF(AND(E552='Povolené hodnoty'!$B$4,F552=2),I552+L552+O552+R552,"")</f>
        <v/>
      </c>
      <c r="X552" s="41" t="str">
        <f>IF(AND(E552='Povolené hodnoty'!$B$4,F552=1),I552+L552+O552+R552,"")</f>
        <v/>
      </c>
      <c r="Y552" s="39" t="str">
        <f>IF(AND(E552='Povolené hodnoty'!$B$4,F552=10),J552+M552+P552+S552,"")</f>
        <v/>
      </c>
      <c r="Z552" s="41" t="str">
        <f>IF(AND(E552='Povolené hodnoty'!$B$4,F552=9),J552+M552+P552+S552,"")</f>
        <v/>
      </c>
      <c r="AA552" s="39" t="str">
        <f>IF(AND(E552&lt;&gt;'Povolené hodnoty'!$B$4,F552=2),I552+L552+O552+R552,"")</f>
        <v/>
      </c>
      <c r="AB552" s="40" t="str">
        <f>IF(AND(E552&lt;&gt;'Povolené hodnoty'!$B$4,F552=3),I552+L552+O552+R552,"")</f>
        <v/>
      </c>
      <c r="AC552" s="40" t="str">
        <f>IF(AND(E552&lt;&gt;'Povolené hodnoty'!$B$4,F552=4),I552+L552+O552+R552,"")</f>
        <v/>
      </c>
      <c r="AD552" s="40" t="str">
        <f>IF(AND(E552&lt;&gt;'Povolené hodnoty'!$B$4,F552="5a"),I552-J552+L552-M552+O552-P552+R552-S552,"")</f>
        <v/>
      </c>
      <c r="AE552" s="40" t="str">
        <f>IF(AND(E552&lt;&gt;'Povolené hodnoty'!$B$4,F552="5b"),I552-J552+L552-M552+O552-P552+R552-S552,"")</f>
        <v/>
      </c>
      <c r="AF552" s="40" t="str">
        <f>IF(AND(E552&lt;&gt;'Povolené hodnoty'!$B$4,F552=6),I552+L552+O552+R552,"")</f>
        <v/>
      </c>
      <c r="AG552" s="41" t="str">
        <f>IF(AND(E552&lt;&gt;'Povolené hodnoty'!$B$4,F552=7),I552+L552+O552+R552,"")</f>
        <v/>
      </c>
      <c r="AH552" s="39" t="str">
        <f>IF(AND(E552&lt;&gt;'Povolené hodnoty'!$B$4,F552=10),J552+M552+P552+S552,"")</f>
        <v/>
      </c>
      <c r="AI552" s="40" t="str">
        <f>IF(AND(E552&lt;&gt;'Povolené hodnoty'!$B$4,F552=11),J552+M552+P552+S552,"")</f>
        <v/>
      </c>
      <c r="AJ552" s="40" t="str">
        <f>IF(AND(E552&lt;&gt;'Povolené hodnoty'!$B$4,F552=12),J552+M552+P552+S552,"")</f>
        <v/>
      </c>
      <c r="AK552" s="41" t="str">
        <f>IF(AND(E552&lt;&gt;'Povolené hodnoty'!$B$4,F552=13),J552+M552+P552+S552,"")</f>
        <v/>
      </c>
      <c r="AL552" s="39" t="str">
        <f>IF(AND($G552='Povolené hodnoty'!$B$13,$H552=AL$4),SUM($I552,$L552,$O552,$R552),"")</f>
        <v/>
      </c>
      <c r="AM552" s="458" t="str">
        <f>IF(AND($G552='Povolené hodnoty'!$B$13,$H552=AM$4),SUM($I552,$L552,$O552,$R552),"")</f>
        <v/>
      </c>
      <c r="AN552" s="458" t="str">
        <f>IF(AND($G552='Povolené hodnoty'!$B$13,$H552=AN$4),SUM($I552,$L552,$O552,$R552),"")</f>
        <v/>
      </c>
      <c r="AO552" s="458" t="str">
        <f>IF(AND($G552='Povolené hodnoty'!$B$13,$H552=AO$4),SUM($I552,$L552,$O552,$R552),"")</f>
        <v/>
      </c>
      <c r="AP552" s="458" t="str">
        <f>IF(AND($G552='Povolené hodnoty'!$B$13,$H552=AP$4),SUM($I552,$L552,$O552,$R552),"")</f>
        <v/>
      </c>
      <c r="AQ552" s="40" t="str">
        <f>IF(AND($G552='Povolené hodnoty'!$B$13,OR($H552=AQ$4,$H552='Povolené hodnoty'!$E$36)),SUM($I552,-$J552,$L552,-$M552,$O552,-$P552,$R552,-$S552),"")</f>
        <v/>
      </c>
      <c r="AR552" s="40" t="str">
        <f>IF(AND($G552='Povolené hodnoty'!$B$13,$H552=AR$4),SUM($I552,$L552,$O552,$R552),"")</f>
        <v/>
      </c>
      <c r="AS552" s="41" t="str">
        <f>IF(AND($G552='Povolené hodnoty'!$B$13,$H552=AS$4),SUM($I552,$L552,$O552,$R552),"")</f>
        <v/>
      </c>
      <c r="AT552" s="39" t="str">
        <f>IF(AND($G552='Povolené hodnoty'!$B$14,$H552=AT$4),SUM($I552,$L552,$O552,$R552),"")</f>
        <v/>
      </c>
      <c r="AU552" s="458" t="str">
        <f>IF(AND($G552='Povolené hodnoty'!$B$14,$H552=AU$4),SUM($I552,$L552,$O552,$R552),"")</f>
        <v/>
      </c>
      <c r="AV552" s="41" t="str">
        <f>IF(AND($G552='Povolené hodnoty'!$B$14,$H552=AV$4),SUM($I552,$L552,$O552,$R552),"")</f>
        <v/>
      </c>
      <c r="AW552" s="39" t="str">
        <f>IF(AND($G552='Povolené hodnoty'!$B$13,$H552=AW$4),SUM($J552,$M552,$P552,$S552),"")</f>
        <v/>
      </c>
      <c r="AX552" s="458" t="str">
        <f>IF(AND($G552='Povolené hodnoty'!$B$13,$H552=AX$4),SUM($J552,$M552,$P552,$S552),"")</f>
        <v/>
      </c>
      <c r="AY552" s="458" t="str">
        <f>IF(AND($G552='Povolené hodnoty'!$B$13,$H552=AY$4),SUM($J552,$M552,$P552,$S552),"")</f>
        <v/>
      </c>
      <c r="AZ552" s="458" t="str">
        <f>IF(AND($G552='Povolené hodnoty'!$B$13,$H552=AZ$4),SUM($J552,$M552,$P552,$S552),"")</f>
        <v/>
      </c>
      <c r="BA552" s="458" t="str">
        <f>IF(AND($G552='Povolené hodnoty'!$B$13,$H552=BA$4),SUM($J552,$M552,$P552,$S552),"")</f>
        <v/>
      </c>
      <c r="BB552" s="40" t="str">
        <f>IF(AND($G552='Povolené hodnoty'!$B$13,$H552=BB$4),SUM($J552,$M552,$P552,$S552),"")</f>
        <v/>
      </c>
      <c r="BC552" s="40" t="str">
        <f>IF(AND($G552='Povolené hodnoty'!$B$13,$H552=BC$4),SUM($J552,$M552,$P552,$S552),"")</f>
        <v/>
      </c>
      <c r="BD552" s="40" t="str">
        <f>IF(AND($G552='Povolené hodnoty'!$B$13,$H552=BD$4),SUM($J552,$M552,$P552,$S552),"")</f>
        <v/>
      </c>
      <c r="BE552" s="41" t="str">
        <f>IF(AND($G552='Povolené hodnoty'!$B$13,$H552=BE$4),SUM($J552,$M552,$P552,$S552),"")</f>
        <v/>
      </c>
      <c r="BF552" s="39" t="str">
        <f>IF(AND($G552='Povolené hodnoty'!$B$14,$H552=BF$4),SUM($J552,$M552,$P552,$S552),"")</f>
        <v/>
      </c>
      <c r="BG552" s="458" t="str">
        <f>IF(AND($G552='Povolené hodnoty'!$B$14,$H552=BG$4),SUM($J552,$M552,$P552,$S552),"")</f>
        <v/>
      </c>
      <c r="BH552" s="458" t="str">
        <f>IF(AND($G552='Povolené hodnoty'!$B$14,$H552=BH$4),SUM($J552,$M552,$P552,$S552),"")</f>
        <v/>
      </c>
      <c r="BI552" s="458" t="str">
        <f>IF(AND($G552='Povolené hodnoty'!$B$14,$H552=BI$4),SUM($J552,$M552,$P552,$S552),"")</f>
        <v/>
      </c>
      <c r="BJ552" s="458" t="str">
        <f>IF(AND($G552='Povolené hodnoty'!$B$14,$H552=BJ$4),SUM($J552,$M552,$P552,$S552),"")</f>
        <v/>
      </c>
      <c r="BK552" s="40" t="str">
        <f>IF(AND($G552='Povolené hodnoty'!$B$14,$H552=BK$4),SUM($J552,$M552,$P552,$S552),"")</f>
        <v/>
      </c>
      <c r="BL552" s="40" t="str">
        <f>IF(AND($G552='Povolené hodnoty'!$B$14,$H552=BL$4),SUM($J552,$M552,$P552,$S552),"")</f>
        <v/>
      </c>
      <c r="BM552" s="41" t="str">
        <f>IF(AND($G552='Povolené hodnoty'!$B$14,$H552=BM$4),SUM($J552,$M552,$P552,$S552),"")</f>
        <v/>
      </c>
      <c r="BO552" s="18" t="b">
        <f t="shared" si="316"/>
        <v>0</v>
      </c>
      <c r="BP552" s="18" t="b">
        <f t="shared" si="287"/>
        <v>0</v>
      </c>
      <c r="BQ552" s="18" t="b">
        <f>AND(E552&lt;&gt;'Povolené hodnoty'!$B$6,F552&lt;&gt;'Povolené hodnoty'!$D$7,F552&lt;&gt;'Povolené hodnoty'!$D$8,OR(SUM(I552,L552,O552,R552)&lt;&gt;SUM(W552:X552,AA552:AG552),SUM(J552,M552,P552,S552)&lt;&gt;SUM(Y552:Z552,AH552:AK552),COUNT(I552:J552,L552:M552,O552:P552,R552:S552)&lt;&gt;COUNT(W552:AK552)))</f>
        <v>0</v>
      </c>
      <c r="BR552" s="18" t="b">
        <f>OR(AND(E552='Povolené hodnoty'!$B$6,$BR$5),AND(E552='Povolené hodnoty'!$B$6,H552&lt;&gt;'Povolené hodnoty'!$E$26,H552&lt;&gt;'Povolené hodnoty'!$E$35),AND(E552&lt;&gt;'Povolené hodnoty'!$B$6,OR(H552='Povolené hodnoty'!$E$26,H552='Povolené hodnoty'!$E$35)))</f>
        <v>0</v>
      </c>
      <c r="BS552" s="18" t="b">
        <f>OR(AND(G552&lt;&gt;'Povolené hodnoty'!$B$13,OR(H552='Povolené hodnoty'!$E$21,H552='Povolené hodnoty'!$E$22,H552='Povolené hodnoty'!$E$23,H552='Povolené hodnoty'!$E$24,H552='Povolené hodnoty'!$E$26,H552='Povolené hodnoty'!$E$36)),COUNT(I552:J552,L552:M552,O552:P552,R552:S552)&lt;&gt;COUNT(AL552:BM552))</f>
        <v>0</v>
      </c>
      <c r="BT552" s="18" t="b">
        <f t="shared" si="288"/>
        <v>0</v>
      </c>
      <c r="BV552" s="39" t="str">
        <f t="shared" si="289"/>
        <v/>
      </c>
      <c r="BW552" s="458" t="str">
        <f t="shared" si="290"/>
        <v/>
      </c>
      <c r="BX552" s="458" t="str">
        <f t="shared" si="291"/>
        <v/>
      </c>
      <c r="BY552" s="458" t="str">
        <f t="shared" si="292"/>
        <v/>
      </c>
      <c r="BZ552" s="458" t="str">
        <f t="shared" si="293"/>
        <v/>
      </c>
      <c r="CA552" s="40" t="str">
        <f t="shared" si="294"/>
        <v/>
      </c>
      <c r="CB552" s="40" t="str">
        <f t="shared" si="295"/>
        <v/>
      </c>
      <c r="CC552" s="39" t="str">
        <f t="shared" si="296"/>
        <v/>
      </c>
      <c r="CD552" s="458" t="str">
        <f t="shared" si="297"/>
        <v/>
      </c>
      <c r="CE552" s="41" t="str">
        <f t="shared" si="298"/>
        <v/>
      </c>
      <c r="CF552" s="39" t="str">
        <f t="shared" si="299"/>
        <v/>
      </c>
      <c r="CG552" s="458" t="str">
        <f t="shared" si="300"/>
        <v/>
      </c>
      <c r="CH552" s="458" t="str">
        <f t="shared" si="301"/>
        <v/>
      </c>
      <c r="CI552" s="458" t="str">
        <f t="shared" si="302"/>
        <v/>
      </c>
      <c r="CJ552" s="458" t="str">
        <f t="shared" si="303"/>
        <v/>
      </c>
      <c r="CK552" s="40" t="str">
        <f t="shared" si="304"/>
        <v/>
      </c>
      <c r="CL552" s="40" t="str">
        <f t="shared" si="305"/>
        <v/>
      </c>
      <c r="CM552" s="40" t="str">
        <f t="shared" si="306"/>
        <v/>
      </c>
      <c r="CN552" s="39" t="str">
        <f t="shared" si="307"/>
        <v/>
      </c>
      <c r="CO552" s="458" t="str">
        <f t="shared" si="308"/>
        <v/>
      </c>
      <c r="CP552" s="458" t="str">
        <f t="shared" si="309"/>
        <v/>
      </c>
      <c r="CQ552" s="458" t="str">
        <f t="shared" si="310"/>
        <v/>
      </c>
      <c r="CR552" s="458" t="str">
        <f t="shared" si="311"/>
        <v/>
      </c>
      <c r="CS552" s="40" t="str">
        <f t="shared" si="312"/>
        <v/>
      </c>
      <c r="CT552" s="40" t="str">
        <f t="shared" si="313"/>
        <v/>
      </c>
      <c r="CU552" s="41" t="str">
        <f t="shared" si="314"/>
        <v/>
      </c>
    </row>
    <row r="553" spans="1:99" x14ac:dyDescent="0.2">
      <c r="A553" s="77">
        <f t="shared" si="315"/>
        <v>548</v>
      </c>
      <c r="B553" s="81"/>
      <c r="C553" s="82"/>
      <c r="D553" s="71"/>
      <c r="E553" s="72"/>
      <c r="F553" s="73"/>
      <c r="G553" s="443"/>
      <c r="H553" s="443"/>
      <c r="I553" s="74"/>
      <c r="J553" s="75"/>
      <c r="K553" s="41">
        <f t="shared" si="284"/>
        <v>3625</v>
      </c>
      <c r="L553" s="104"/>
      <c r="M553" s="105"/>
      <c r="N553" s="106">
        <f t="shared" si="285"/>
        <v>537.05999999999995</v>
      </c>
      <c r="O553" s="104"/>
      <c r="P553" s="105"/>
      <c r="Q553" s="106">
        <f t="shared" si="317"/>
        <v>10045.83</v>
      </c>
      <c r="R553" s="104"/>
      <c r="S553" s="105"/>
      <c r="T553" s="106">
        <f t="shared" si="318"/>
        <v>0</v>
      </c>
      <c r="U553" s="439"/>
      <c r="V553" s="42">
        <f t="shared" si="286"/>
        <v>548</v>
      </c>
      <c r="W553" s="39" t="str">
        <f>IF(AND(E553='Povolené hodnoty'!$B$4,F553=2),I553+L553+O553+R553,"")</f>
        <v/>
      </c>
      <c r="X553" s="41" t="str">
        <f>IF(AND(E553='Povolené hodnoty'!$B$4,F553=1),I553+L553+O553+R553,"")</f>
        <v/>
      </c>
      <c r="Y553" s="39" t="str">
        <f>IF(AND(E553='Povolené hodnoty'!$B$4,F553=10),J553+M553+P553+S553,"")</f>
        <v/>
      </c>
      <c r="Z553" s="41" t="str">
        <f>IF(AND(E553='Povolené hodnoty'!$B$4,F553=9),J553+M553+P553+S553,"")</f>
        <v/>
      </c>
      <c r="AA553" s="39" t="str">
        <f>IF(AND(E553&lt;&gt;'Povolené hodnoty'!$B$4,F553=2),I553+L553+O553+R553,"")</f>
        <v/>
      </c>
      <c r="AB553" s="40" t="str">
        <f>IF(AND(E553&lt;&gt;'Povolené hodnoty'!$B$4,F553=3),I553+L553+O553+R553,"")</f>
        <v/>
      </c>
      <c r="AC553" s="40" t="str">
        <f>IF(AND(E553&lt;&gt;'Povolené hodnoty'!$B$4,F553=4),I553+L553+O553+R553,"")</f>
        <v/>
      </c>
      <c r="AD553" s="40" t="str">
        <f>IF(AND(E553&lt;&gt;'Povolené hodnoty'!$B$4,F553="5a"),I553-J553+L553-M553+O553-P553+R553-S553,"")</f>
        <v/>
      </c>
      <c r="AE553" s="40" t="str">
        <f>IF(AND(E553&lt;&gt;'Povolené hodnoty'!$B$4,F553="5b"),I553-J553+L553-M553+O553-P553+R553-S553,"")</f>
        <v/>
      </c>
      <c r="AF553" s="40" t="str">
        <f>IF(AND(E553&lt;&gt;'Povolené hodnoty'!$B$4,F553=6),I553+L553+O553+R553,"")</f>
        <v/>
      </c>
      <c r="AG553" s="41" t="str">
        <f>IF(AND(E553&lt;&gt;'Povolené hodnoty'!$B$4,F553=7),I553+L553+O553+R553,"")</f>
        <v/>
      </c>
      <c r="AH553" s="39" t="str">
        <f>IF(AND(E553&lt;&gt;'Povolené hodnoty'!$B$4,F553=10),J553+M553+P553+S553,"")</f>
        <v/>
      </c>
      <c r="AI553" s="40" t="str">
        <f>IF(AND(E553&lt;&gt;'Povolené hodnoty'!$B$4,F553=11),J553+M553+P553+S553,"")</f>
        <v/>
      </c>
      <c r="AJ553" s="40" t="str">
        <f>IF(AND(E553&lt;&gt;'Povolené hodnoty'!$B$4,F553=12),J553+M553+P553+S553,"")</f>
        <v/>
      </c>
      <c r="AK553" s="41" t="str">
        <f>IF(AND(E553&lt;&gt;'Povolené hodnoty'!$B$4,F553=13),J553+M553+P553+S553,"")</f>
        <v/>
      </c>
      <c r="AL553" s="39" t="str">
        <f>IF(AND($G553='Povolené hodnoty'!$B$13,$H553=AL$4),SUM($I553,$L553,$O553,$R553),"")</f>
        <v/>
      </c>
      <c r="AM553" s="458" t="str">
        <f>IF(AND($G553='Povolené hodnoty'!$B$13,$H553=AM$4),SUM($I553,$L553,$O553,$R553),"")</f>
        <v/>
      </c>
      <c r="AN553" s="458" t="str">
        <f>IF(AND($G553='Povolené hodnoty'!$B$13,$H553=AN$4),SUM($I553,$L553,$O553,$R553),"")</f>
        <v/>
      </c>
      <c r="AO553" s="458" t="str">
        <f>IF(AND($G553='Povolené hodnoty'!$B$13,$H553=AO$4),SUM($I553,$L553,$O553,$R553),"")</f>
        <v/>
      </c>
      <c r="AP553" s="458" t="str">
        <f>IF(AND($G553='Povolené hodnoty'!$B$13,$H553=AP$4),SUM($I553,$L553,$O553,$R553),"")</f>
        <v/>
      </c>
      <c r="AQ553" s="40" t="str">
        <f>IF(AND($G553='Povolené hodnoty'!$B$13,OR($H553=AQ$4,$H553='Povolené hodnoty'!$E$36)),SUM($I553,-$J553,$L553,-$M553,$O553,-$P553,$R553,-$S553),"")</f>
        <v/>
      </c>
      <c r="AR553" s="40" t="str">
        <f>IF(AND($G553='Povolené hodnoty'!$B$13,$H553=AR$4),SUM($I553,$L553,$O553,$R553),"")</f>
        <v/>
      </c>
      <c r="AS553" s="41" t="str">
        <f>IF(AND($G553='Povolené hodnoty'!$B$13,$H553=AS$4),SUM($I553,$L553,$O553,$R553),"")</f>
        <v/>
      </c>
      <c r="AT553" s="39" t="str">
        <f>IF(AND($G553='Povolené hodnoty'!$B$14,$H553=AT$4),SUM($I553,$L553,$O553,$R553),"")</f>
        <v/>
      </c>
      <c r="AU553" s="458" t="str">
        <f>IF(AND($G553='Povolené hodnoty'!$B$14,$H553=AU$4),SUM($I553,$L553,$O553,$R553),"")</f>
        <v/>
      </c>
      <c r="AV553" s="41" t="str">
        <f>IF(AND($G553='Povolené hodnoty'!$B$14,$H553=AV$4),SUM($I553,$L553,$O553,$R553),"")</f>
        <v/>
      </c>
      <c r="AW553" s="39" t="str">
        <f>IF(AND($G553='Povolené hodnoty'!$B$13,$H553=AW$4),SUM($J553,$M553,$P553,$S553),"")</f>
        <v/>
      </c>
      <c r="AX553" s="458" t="str">
        <f>IF(AND($G553='Povolené hodnoty'!$B$13,$H553=AX$4),SUM($J553,$M553,$P553,$S553),"")</f>
        <v/>
      </c>
      <c r="AY553" s="458" t="str">
        <f>IF(AND($G553='Povolené hodnoty'!$B$13,$H553=AY$4),SUM($J553,$M553,$P553,$S553),"")</f>
        <v/>
      </c>
      <c r="AZ553" s="458" t="str">
        <f>IF(AND($G553='Povolené hodnoty'!$B$13,$H553=AZ$4),SUM($J553,$M553,$P553,$S553),"")</f>
        <v/>
      </c>
      <c r="BA553" s="458" t="str">
        <f>IF(AND($G553='Povolené hodnoty'!$B$13,$H553=BA$4),SUM($J553,$M553,$P553,$S553),"")</f>
        <v/>
      </c>
      <c r="BB553" s="40" t="str">
        <f>IF(AND($G553='Povolené hodnoty'!$B$13,$H553=BB$4),SUM($J553,$M553,$P553,$S553),"")</f>
        <v/>
      </c>
      <c r="BC553" s="40" t="str">
        <f>IF(AND($G553='Povolené hodnoty'!$B$13,$H553=BC$4),SUM($J553,$M553,$P553,$S553),"")</f>
        <v/>
      </c>
      <c r="BD553" s="40" t="str">
        <f>IF(AND($G553='Povolené hodnoty'!$B$13,$H553=BD$4),SUM($J553,$M553,$P553,$S553),"")</f>
        <v/>
      </c>
      <c r="BE553" s="41" t="str">
        <f>IF(AND($G553='Povolené hodnoty'!$B$13,$H553=BE$4),SUM($J553,$M553,$P553,$S553),"")</f>
        <v/>
      </c>
      <c r="BF553" s="39" t="str">
        <f>IF(AND($G553='Povolené hodnoty'!$B$14,$H553=BF$4),SUM($J553,$M553,$P553,$S553),"")</f>
        <v/>
      </c>
      <c r="BG553" s="458" t="str">
        <f>IF(AND($G553='Povolené hodnoty'!$B$14,$H553=BG$4),SUM($J553,$M553,$P553,$S553),"")</f>
        <v/>
      </c>
      <c r="BH553" s="458" t="str">
        <f>IF(AND($G553='Povolené hodnoty'!$B$14,$H553=BH$4),SUM($J553,$M553,$P553,$S553),"")</f>
        <v/>
      </c>
      <c r="BI553" s="458" t="str">
        <f>IF(AND($G553='Povolené hodnoty'!$B$14,$H553=BI$4),SUM($J553,$M553,$P553,$S553),"")</f>
        <v/>
      </c>
      <c r="BJ553" s="458" t="str">
        <f>IF(AND($G553='Povolené hodnoty'!$B$14,$H553=BJ$4),SUM($J553,$M553,$P553,$S553),"")</f>
        <v/>
      </c>
      <c r="BK553" s="40" t="str">
        <f>IF(AND($G553='Povolené hodnoty'!$B$14,$H553=BK$4),SUM($J553,$M553,$P553,$S553),"")</f>
        <v/>
      </c>
      <c r="BL553" s="40" t="str">
        <f>IF(AND($G553='Povolené hodnoty'!$B$14,$H553=BL$4),SUM($J553,$M553,$P553,$S553),"")</f>
        <v/>
      </c>
      <c r="BM553" s="41" t="str">
        <f>IF(AND($G553='Povolené hodnoty'!$B$14,$H553=BM$4),SUM($J553,$M553,$P553,$S553),"")</f>
        <v/>
      </c>
      <c r="BO553" s="18" t="b">
        <f t="shared" si="316"/>
        <v>0</v>
      </c>
      <c r="BP553" s="18" t="b">
        <f t="shared" si="287"/>
        <v>0</v>
      </c>
      <c r="BQ553" s="18" t="b">
        <f>AND(E553&lt;&gt;'Povolené hodnoty'!$B$6,F553&lt;&gt;'Povolené hodnoty'!$D$7,F553&lt;&gt;'Povolené hodnoty'!$D$8,OR(SUM(I553,L553,O553,R553)&lt;&gt;SUM(W553:X553,AA553:AG553),SUM(J553,M553,P553,S553)&lt;&gt;SUM(Y553:Z553,AH553:AK553),COUNT(I553:J553,L553:M553,O553:P553,R553:S553)&lt;&gt;COUNT(W553:AK553)))</f>
        <v>0</v>
      </c>
      <c r="BR553" s="18" t="b">
        <f>OR(AND(E553='Povolené hodnoty'!$B$6,$BR$5),AND(E553='Povolené hodnoty'!$B$6,H553&lt;&gt;'Povolené hodnoty'!$E$26,H553&lt;&gt;'Povolené hodnoty'!$E$35),AND(E553&lt;&gt;'Povolené hodnoty'!$B$6,OR(H553='Povolené hodnoty'!$E$26,H553='Povolené hodnoty'!$E$35)))</f>
        <v>0</v>
      </c>
      <c r="BS553" s="18" t="b">
        <f>OR(AND(G553&lt;&gt;'Povolené hodnoty'!$B$13,OR(H553='Povolené hodnoty'!$E$21,H553='Povolené hodnoty'!$E$22,H553='Povolené hodnoty'!$E$23,H553='Povolené hodnoty'!$E$24,H553='Povolené hodnoty'!$E$26,H553='Povolené hodnoty'!$E$36)),COUNT(I553:J553,L553:M553,O553:P553,R553:S553)&lt;&gt;COUNT(AL553:BM553))</f>
        <v>0</v>
      </c>
      <c r="BT553" s="18" t="b">
        <f t="shared" si="288"/>
        <v>0</v>
      </c>
      <c r="BV553" s="39" t="str">
        <f t="shared" si="289"/>
        <v/>
      </c>
      <c r="BW553" s="458" t="str">
        <f t="shared" si="290"/>
        <v/>
      </c>
      <c r="BX553" s="458" t="str">
        <f t="shared" si="291"/>
        <v/>
      </c>
      <c r="BY553" s="458" t="str">
        <f t="shared" si="292"/>
        <v/>
      </c>
      <c r="BZ553" s="458" t="str">
        <f t="shared" si="293"/>
        <v/>
      </c>
      <c r="CA553" s="40" t="str">
        <f t="shared" si="294"/>
        <v/>
      </c>
      <c r="CB553" s="40" t="str">
        <f t="shared" si="295"/>
        <v/>
      </c>
      <c r="CC553" s="39" t="str">
        <f t="shared" si="296"/>
        <v/>
      </c>
      <c r="CD553" s="458" t="str">
        <f t="shared" si="297"/>
        <v/>
      </c>
      <c r="CE553" s="41" t="str">
        <f t="shared" si="298"/>
        <v/>
      </c>
      <c r="CF553" s="39" t="str">
        <f t="shared" si="299"/>
        <v/>
      </c>
      <c r="CG553" s="458" t="str">
        <f t="shared" si="300"/>
        <v/>
      </c>
      <c r="CH553" s="458" t="str">
        <f t="shared" si="301"/>
        <v/>
      </c>
      <c r="CI553" s="458" t="str">
        <f t="shared" si="302"/>
        <v/>
      </c>
      <c r="CJ553" s="458" t="str">
        <f t="shared" si="303"/>
        <v/>
      </c>
      <c r="CK553" s="40" t="str">
        <f t="shared" si="304"/>
        <v/>
      </c>
      <c r="CL553" s="40" t="str">
        <f t="shared" si="305"/>
        <v/>
      </c>
      <c r="CM553" s="40" t="str">
        <f t="shared" si="306"/>
        <v/>
      </c>
      <c r="CN553" s="39" t="str">
        <f t="shared" si="307"/>
        <v/>
      </c>
      <c r="CO553" s="458" t="str">
        <f t="shared" si="308"/>
        <v/>
      </c>
      <c r="CP553" s="458" t="str">
        <f t="shared" si="309"/>
        <v/>
      </c>
      <c r="CQ553" s="458" t="str">
        <f t="shared" si="310"/>
        <v/>
      </c>
      <c r="CR553" s="458" t="str">
        <f t="shared" si="311"/>
        <v/>
      </c>
      <c r="CS553" s="40" t="str">
        <f t="shared" si="312"/>
        <v/>
      </c>
      <c r="CT553" s="40" t="str">
        <f t="shared" si="313"/>
        <v/>
      </c>
      <c r="CU553" s="41" t="str">
        <f t="shared" si="314"/>
        <v/>
      </c>
    </row>
    <row r="554" spans="1:99" x14ac:dyDescent="0.2">
      <c r="A554" s="77">
        <f t="shared" si="315"/>
        <v>549</v>
      </c>
      <c r="B554" s="81"/>
      <c r="C554" s="82"/>
      <c r="D554" s="71"/>
      <c r="E554" s="72"/>
      <c r="F554" s="73"/>
      <c r="G554" s="443"/>
      <c r="H554" s="443"/>
      <c r="I554" s="74"/>
      <c r="J554" s="75"/>
      <c r="K554" s="41">
        <f t="shared" si="284"/>
        <v>3625</v>
      </c>
      <c r="L554" s="104"/>
      <c r="M554" s="105"/>
      <c r="N554" s="106">
        <f t="shared" si="285"/>
        <v>537.05999999999995</v>
      </c>
      <c r="O554" s="104"/>
      <c r="P554" s="105"/>
      <c r="Q554" s="106">
        <f t="shared" si="317"/>
        <v>10045.83</v>
      </c>
      <c r="R554" s="104"/>
      <c r="S554" s="105"/>
      <c r="T554" s="106">
        <f t="shared" si="318"/>
        <v>0</v>
      </c>
      <c r="U554" s="439"/>
      <c r="V554" s="42">
        <f t="shared" si="286"/>
        <v>549</v>
      </c>
      <c r="W554" s="39" t="str">
        <f>IF(AND(E554='Povolené hodnoty'!$B$4,F554=2),I554+L554+O554+R554,"")</f>
        <v/>
      </c>
      <c r="X554" s="41" t="str">
        <f>IF(AND(E554='Povolené hodnoty'!$B$4,F554=1),I554+L554+O554+R554,"")</f>
        <v/>
      </c>
      <c r="Y554" s="39" t="str">
        <f>IF(AND(E554='Povolené hodnoty'!$B$4,F554=10),J554+M554+P554+S554,"")</f>
        <v/>
      </c>
      <c r="Z554" s="41" t="str">
        <f>IF(AND(E554='Povolené hodnoty'!$B$4,F554=9),J554+M554+P554+S554,"")</f>
        <v/>
      </c>
      <c r="AA554" s="39" t="str">
        <f>IF(AND(E554&lt;&gt;'Povolené hodnoty'!$B$4,F554=2),I554+L554+O554+R554,"")</f>
        <v/>
      </c>
      <c r="AB554" s="40" t="str">
        <f>IF(AND(E554&lt;&gt;'Povolené hodnoty'!$B$4,F554=3),I554+L554+O554+R554,"")</f>
        <v/>
      </c>
      <c r="AC554" s="40" t="str">
        <f>IF(AND(E554&lt;&gt;'Povolené hodnoty'!$B$4,F554=4),I554+L554+O554+R554,"")</f>
        <v/>
      </c>
      <c r="AD554" s="40" t="str">
        <f>IF(AND(E554&lt;&gt;'Povolené hodnoty'!$B$4,F554="5a"),I554-J554+L554-M554+O554-P554+R554-S554,"")</f>
        <v/>
      </c>
      <c r="AE554" s="40" t="str">
        <f>IF(AND(E554&lt;&gt;'Povolené hodnoty'!$B$4,F554="5b"),I554-J554+L554-M554+O554-P554+R554-S554,"")</f>
        <v/>
      </c>
      <c r="AF554" s="40" t="str">
        <f>IF(AND(E554&lt;&gt;'Povolené hodnoty'!$B$4,F554=6),I554+L554+O554+R554,"")</f>
        <v/>
      </c>
      <c r="AG554" s="41" t="str">
        <f>IF(AND(E554&lt;&gt;'Povolené hodnoty'!$B$4,F554=7),I554+L554+O554+R554,"")</f>
        <v/>
      </c>
      <c r="AH554" s="39" t="str">
        <f>IF(AND(E554&lt;&gt;'Povolené hodnoty'!$B$4,F554=10),J554+M554+P554+S554,"")</f>
        <v/>
      </c>
      <c r="AI554" s="40" t="str">
        <f>IF(AND(E554&lt;&gt;'Povolené hodnoty'!$B$4,F554=11),J554+M554+P554+S554,"")</f>
        <v/>
      </c>
      <c r="AJ554" s="40" t="str">
        <f>IF(AND(E554&lt;&gt;'Povolené hodnoty'!$B$4,F554=12),J554+M554+P554+S554,"")</f>
        <v/>
      </c>
      <c r="AK554" s="41" t="str">
        <f>IF(AND(E554&lt;&gt;'Povolené hodnoty'!$B$4,F554=13),J554+M554+P554+S554,"")</f>
        <v/>
      </c>
      <c r="AL554" s="39" t="str">
        <f>IF(AND($G554='Povolené hodnoty'!$B$13,$H554=AL$4),SUM($I554,$L554,$O554,$R554),"")</f>
        <v/>
      </c>
      <c r="AM554" s="458" t="str">
        <f>IF(AND($G554='Povolené hodnoty'!$B$13,$H554=AM$4),SUM($I554,$L554,$O554,$R554),"")</f>
        <v/>
      </c>
      <c r="AN554" s="458" t="str">
        <f>IF(AND($G554='Povolené hodnoty'!$B$13,$H554=AN$4),SUM($I554,$L554,$O554,$R554),"")</f>
        <v/>
      </c>
      <c r="AO554" s="458" t="str">
        <f>IF(AND($G554='Povolené hodnoty'!$B$13,$H554=AO$4),SUM($I554,$L554,$O554,$R554),"")</f>
        <v/>
      </c>
      <c r="AP554" s="458" t="str">
        <f>IF(AND($G554='Povolené hodnoty'!$B$13,$H554=AP$4),SUM($I554,$L554,$O554,$R554),"")</f>
        <v/>
      </c>
      <c r="AQ554" s="40" t="str">
        <f>IF(AND($G554='Povolené hodnoty'!$B$13,OR($H554=AQ$4,$H554='Povolené hodnoty'!$E$36)),SUM($I554,-$J554,$L554,-$M554,$O554,-$P554,$R554,-$S554),"")</f>
        <v/>
      </c>
      <c r="AR554" s="40" t="str">
        <f>IF(AND($G554='Povolené hodnoty'!$B$13,$H554=AR$4),SUM($I554,$L554,$O554,$R554),"")</f>
        <v/>
      </c>
      <c r="AS554" s="41" t="str">
        <f>IF(AND($G554='Povolené hodnoty'!$B$13,$H554=AS$4),SUM($I554,$L554,$O554,$R554),"")</f>
        <v/>
      </c>
      <c r="AT554" s="39" t="str">
        <f>IF(AND($G554='Povolené hodnoty'!$B$14,$H554=AT$4),SUM($I554,$L554,$O554,$R554),"")</f>
        <v/>
      </c>
      <c r="AU554" s="458" t="str">
        <f>IF(AND($G554='Povolené hodnoty'!$B$14,$H554=AU$4),SUM($I554,$L554,$O554,$R554),"")</f>
        <v/>
      </c>
      <c r="AV554" s="41" t="str">
        <f>IF(AND($G554='Povolené hodnoty'!$B$14,$H554=AV$4),SUM($I554,$L554,$O554,$R554),"")</f>
        <v/>
      </c>
      <c r="AW554" s="39" t="str">
        <f>IF(AND($G554='Povolené hodnoty'!$B$13,$H554=AW$4),SUM($J554,$M554,$P554,$S554),"")</f>
        <v/>
      </c>
      <c r="AX554" s="458" t="str">
        <f>IF(AND($G554='Povolené hodnoty'!$B$13,$H554=AX$4),SUM($J554,$M554,$P554,$S554),"")</f>
        <v/>
      </c>
      <c r="AY554" s="458" t="str">
        <f>IF(AND($G554='Povolené hodnoty'!$B$13,$H554=AY$4),SUM($J554,$M554,$P554,$S554),"")</f>
        <v/>
      </c>
      <c r="AZ554" s="458" t="str">
        <f>IF(AND($G554='Povolené hodnoty'!$B$13,$H554=AZ$4),SUM($J554,$M554,$P554,$S554),"")</f>
        <v/>
      </c>
      <c r="BA554" s="458" t="str">
        <f>IF(AND($G554='Povolené hodnoty'!$B$13,$H554=BA$4),SUM($J554,$M554,$P554,$S554),"")</f>
        <v/>
      </c>
      <c r="BB554" s="40" t="str">
        <f>IF(AND($G554='Povolené hodnoty'!$B$13,$H554=BB$4),SUM($J554,$M554,$P554,$S554),"")</f>
        <v/>
      </c>
      <c r="BC554" s="40" t="str">
        <f>IF(AND($G554='Povolené hodnoty'!$B$13,$H554=BC$4),SUM($J554,$M554,$P554,$S554),"")</f>
        <v/>
      </c>
      <c r="BD554" s="40" t="str">
        <f>IF(AND($G554='Povolené hodnoty'!$B$13,$H554=BD$4),SUM($J554,$M554,$P554,$S554),"")</f>
        <v/>
      </c>
      <c r="BE554" s="41" t="str">
        <f>IF(AND($G554='Povolené hodnoty'!$B$13,$H554=BE$4),SUM($J554,$M554,$P554,$S554),"")</f>
        <v/>
      </c>
      <c r="BF554" s="39" t="str">
        <f>IF(AND($G554='Povolené hodnoty'!$B$14,$H554=BF$4),SUM($J554,$M554,$P554,$S554),"")</f>
        <v/>
      </c>
      <c r="BG554" s="458" t="str">
        <f>IF(AND($G554='Povolené hodnoty'!$B$14,$H554=BG$4),SUM($J554,$M554,$P554,$S554),"")</f>
        <v/>
      </c>
      <c r="BH554" s="458" t="str">
        <f>IF(AND($G554='Povolené hodnoty'!$B$14,$H554=BH$4),SUM($J554,$M554,$P554,$S554),"")</f>
        <v/>
      </c>
      <c r="BI554" s="458" t="str">
        <f>IF(AND($G554='Povolené hodnoty'!$B$14,$H554=BI$4),SUM($J554,$M554,$P554,$S554),"")</f>
        <v/>
      </c>
      <c r="BJ554" s="458" t="str">
        <f>IF(AND($G554='Povolené hodnoty'!$B$14,$H554=BJ$4),SUM($J554,$M554,$P554,$S554),"")</f>
        <v/>
      </c>
      <c r="BK554" s="40" t="str">
        <f>IF(AND($G554='Povolené hodnoty'!$B$14,$H554=BK$4),SUM($J554,$M554,$P554,$S554),"")</f>
        <v/>
      </c>
      <c r="BL554" s="40" t="str">
        <f>IF(AND($G554='Povolené hodnoty'!$B$14,$H554=BL$4),SUM($J554,$M554,$P554,$S554),"")</f>
        <v/>
      </c>
      <c r="BM554" s="41" t="str">
        <f>IF(AND($G554='Povolené hodnoty'!$B$14,$H554=BM$4),SUM($J554,$M554,$P554,$S554),"")</f>
        <v/>
      </c>
      <c r="BO554" s="18" t="b">
        <f t="shared" si="316"/>
        <v>0</v>
      </c>
      <c r="BP554" s="18" t="b">
        <f t="shared" si="287"/>
        <v>0</v>
      </c>
      <c r="BQ554" s="18" t="b">
        <f>AND(E554&lt;&gt;'Povolené hodnoty'!$B$6,F554&lt;&gt;'Povolené hodnoty'!$D$7,F554&lt;&gt;'Povolené hodnoty'!$D$8,OR(SUM(I554,L554,O554,R554)&lt;&gt;SUM(W554:X554,AA554:AG554),SUM(J554,M554,P554,S554)&lt;&gt;SUM(Y554:Z554,AH554:AK554),COUNT(I554:J554,L554:M554,O554:P554,R554:S554)&lt;&gt;COUNT(W554:AK554)))</f>
        <v>0</v>
      </c>
      <c r="BR554" s="18" t="b">
        <f>OR(AND(E554='Povolené hodnoty'!$B$6,$BR$5),AND(E554='Povolené hodnoty'!$B$6,H554&lt;&gt;'Povolené hodnoty'!$E$26,H554&lt;&gt;'Povolené hodnoty'!$E$35),AND(E554&lt;&gt;'Povolené hodnoty'!$B$6,OR(H554='Povolené hodnoty'!$E$26,H554='Povolené hodnoty'!$E$35)))</f>
        <v>0</v>
      </c>
      <c r="BS554" s="18" t="b">
        <f>OR(AND(G554&lt;&gt;'Povolené hodnoty'!$B$13,OR(H554='Povolené hodnoty'!$E$21,H554='Povolené hodnoty'!$E$22,H554='Povolené hodnoty'!$E$23,H554='Povolené hodnoty'!$E$24,H554='Povolené hodnoty'!$E$26,H554='Povolené hodnoty'!$E$36)),COUNT(I554:J554,L554:M554,O554:P554,R554:S554)&lt;&gt;COUNT(AL554:BM554))</f>
        <v>0</v>
      </c>
      <c r="BT554" s="18" t="b">
        <f t="shared" si="288"/>
        <v>0</v>
      </c>
      <c r="BV554" s="39" t="str">
        <f t="shared" si="289"/>
        <v/>
      </c>
      <c r="BW554" s="458" t="str">
        <f t="shared" si="290"/>
        <v/>
      </c>
      <c r="BX554" s="458" t="str">
        <f t="shared" si="291"/>
        <v/>
      </c>
      <c r="BY554" s="458" t="str">
        <f t="shared" si="292"/>
        <v/>
      </c>
      <c r="BZ554" s="458" t="str">
        <f t="shared" si="293"/>
        <v/>
      </c>
      <c r="CA554" s="40" t="str">
        <f t="shared" si="294"/>
        <v/>
      </c>
      <c r="CB554" s="40" t="str">
        <f t="shared" si="295"/>
        <v/>
      </c>
      <c r="CC554" s="39" t="str">
        <f t="shared" si="296"/>
        <v/>
      </c>
      <c r="CD554" s="458" t="str">
        <f t="shared" si="297"/>
        <v/>
      </c>
      <c r="CE554" s="41" t="str">
        <f t="shared" si="298"/>
        <v/>
      </c>
      <c r="CF554" s="39" t="str">
        <f t="shared" si="299"/>
        <v/>
      </c>
      <c r="CG554" s="458" t="str">
        <f t="shared" si="300"/>
        <v/>
      </c>
      <c r="CH554" s="458" t="str">
        <f t="shared" si="301"/>
        <v/>
      </c>
      <c r="CI554" s="458" t="str">
        <f t="shared" si="302"/>
        <v/>
      </c>
      <c r="CJ554" s="458" t="str">
        <f t="shared" si="303"/>
        <v/>
      </c>
      <c r="CK554" s="40" t="str">
        <f t="shared" si="304"/>
        <v/>
      </c>
      <c r="CL554" s="40" t="str">
        <f t="shared" si="305"/>
        <v/>
      </c>
      <c r="CM554" s="40" t="str">
        <f t="shared" si="306"/>
        <v/>
      </c>
      <c r="CN554" s="39" t="str">
        <f t="shared" si="307"/>
        <v/>
      </c>
      <c r="CO554" s="458" t="str">
        <f t="shared" si="308"/>
        <v/>
      </c>
      <c r="CP554" s="458" t="str">
        <f t="shared" si="309"/>
        <v/>
      </c>
      <c r="CQ554" s="458" t="str">
        <f t="shared" si="310"/>
        <v/>
      </c>
      <c r="CR554" s="458" t="str">
        <f t="shared" si="311"/>
        <v/>
      </c>
      <c r="CS554" s="40" t="str">
        <f t="shared" si="312"/>
        <v/>
      </c>
      <c r="CT554" s="40" t="str">
        <f t="shared" si="313"/>
        <v/>
      </c>
      <c r="CU554" s="41" t="str">
        <f t="shared" si="314"/>
        <v/>
      </c>
    </row>
    <row r="555" spans="1:99" x14ac:dyDescent="0.2">
      <c r="A555" s="77">
        <f t="shared" si="315"/>
        <v>550</v>
      </c>
      <c r="B555" s="81"/>
      <c r="C555" s="82"/>
      <c r="D555" s="71"/>
      <c r="E555" s="72"/>
      <c r="F555" s="73"/>
      <c r="G555" s="443"/>
      <c r="H555" s="443"/>
      <c r="I555" s="74"/>
      <c r="J555" s="75"/>
      <c r="K555" s="41">
        <f t="shared" si="284"/>
        <v>3625</v>
      </c>
      <c r="L555" s="104"/>
      <c r="M555" s="105"/>
      <c r="N555" s="106">
        <f t="shared" si="285"/>
        <v>537.05999999999995</v>
      </c>
      <c r="O555" s="104"/>
      <c r="P555" s="105"/>
      <c r="Q555" s="106">
        <f t="shared" si="317"/>
        <v>10045.83</v>
      </c>
      <c r="R555" s="104"/>
      <c r="S555" s="105"/>
      <c r="T555" s="106">
        <f t="shared" si="318"/>
        <v>0</v>
      </c>
      <c r="U555" s="439"/>
      <c r="V555" s="42">
        <f t="shared" si="286"/>
        <v>550</v>
      </c>
      <c r="W555" s="39" t="str">
        <f>IF(AND(E555='Povolené hodnoty'!$B$4,F555=2),I555+L555+O555+R555,"")</f>
        <v/>
      </c>
      <c r="X555" s="41" t="str">
        <f>IF(AND(E555='Povolené hodnoty'!$B$4,F555=1),I555+L555+O555+R555,"")</f>
        <v/>
      </c>
      <c r="Y555" s="39" t="str">
        <f>IF(AND(E555='Povolené hodnoty'!$B$4,F555=10),J555+M555+P555+S555,"")</f>
        <v/>
      </c>
      <c r="Z555" s="41" t="str">
        <f>IF(AND(E555='Povolené hodnoty'!$B$4,F555=9),J555+M555+P555+S555,"")</f>
        <v/>
      </c>
      <c r="AA555" s="39" t="str">
        <f>IF(AND(E555&lt;&gt;'Povolené hodnoty'!$B$4,F555=2),I555+L555+O555+R555,"")</f>
        <v/>
      </c>
      <c r="AB555" s="40" t="str">
        <f>IF(AND(E555&lt;&gt;'Povolené hodnoty'!$B$4,F555=3),I555+L555+O555+R555,"")</f>
        <v/>
      </c>
      <c r="AC555" s="40" t="str">
        <f>IF(AND(E555&lt;&gt;'Povolené hodnoty'!$B$4,F555=4),I555+L555+O555+R555,"")</f>
        <v/>
      </c>
      <c r="AD555" s="40" t="str">
        <f>IF(AND(E555&lt;&gt;'Povolené hodnoty'!$B$4,F555="5a"),I555-J555+L555-M555+O555-P555+R555-S555,"")</f>
        <v/>
      </c>
      <c r="AE555" s="40" t="str">
        <f>IF(AND(E555&lt;&gt;'Povolené hodnoty'!$B$4,F555="5b"),I555-J555+L555-M555+O555-P555+R555-S555,"")</f>
        <v/>
      </c>
      <c r="AF555" s="40" t="str">
        <f>IF(AND(E555&lt;&gt;'Povolené hodnoty'!$B$4,F555=6),I555+L555+O555+R555,"")</f>
        <v/>
      </c>
      <c r="AG555" s="41" t="str">
        <f>IF(AND(E555&lt;&gt;'Povolené hodnoty'!$B$4,F555=7),I555+L555+O555+R555,"")</f>
        <v/>
      </c>
      <c r="AH555" s="39" t="str">
        <f>IF(AND(E555&lt;&gt;'Povolené hodnoty'!$B$4,F555=10),J555+M555+P555+S555,"")</f>
        <v/>
      </c>
      <c r="AI555" s="40" t="str">
        <f>IF(AND(E555&lt;&gt;'Povolené hodnoty'!$B$4,F555=11),J555+M555+P555+S555,"")</f>
        <v/>
      </c>
      <c r="AJ555" s="40" t="str">
        <f>IF(AND(E555&lt;&gt;'Povolené hodnoty'!$B$4,F555=12),J555+M555+P555+S555,"")</f>
        <v/>
      </c>
      <c r="AK555" s="41" t="str">
        <f>IF(AND(E555&lt;&gt;'Povolené hodnoty'!$B$4,F555=13),J555+M555+P555+S555,"")</f>
        <v/>
      </c>
      <c r="AL555" s="39" t="str">
        <f>IF(AND($G555='Povolené hodnoty'!$B$13,$H555=AL$4),SUM($I555,$L555,$O555,$R555),"")</f>
        <v/>
      </c>
      <c r="AM555" s="458" t="str">
        <f>IF(AND($G555='Povolené hodnoty'!$B$13,$H555=AM$4),SUM($I555,$L555,$O555,$R555),"")</f>
        <v/>
      </c>
      <c r="AN555" s="458" t="str">
        <f>IF(AND($G555='Povolené hodnoty'!$B$13,$H555=AN$4),SUM($I555,$L555,$O555,$R555),"")</f>
        <v/>
      </c>
      <c r="AO555" s="458" t="str">
        <f>IF(AND($G555='Povolené hodnoty'!$B$13,$H555=AO$4),SUM($I555,$L555,$O555,$R555),"")</f>
        <v/>
      </c>
      <c r="AP555" s="458" t="str">
        <f>IF(AND($G555='Povolené hodnoty'!$B$13,$H555=AP$4),SUM($I555,$L555,$O555,$R555),"")</f>
        <v/>
      </c>
      <c r="AQ555" s="40" t="str">
        <f>IF(AND($G555='Povolené hodnoty'!$B$13,OR($H555=AQ$4,$H555='Povolené hodnoty'!$E$36)),SUM($I555,-$J555,$L555,-$M555,$O555,-$P555,$R555,-$S555),"")</f>
        <v/>
      </c>
      <c r="AR555" s="40" t="str">
        <f>IF(AND($G555='Povolené hodnoty'!$B$13,$H555=AR$4),SUM($I555,$L555,$O555,$R555),"")</f>
        <v/>
      </c>
      <c r="AS555" s="41" t="str">
        <f>IF(AND($G555='Povolené hodnoty'!$B$13,$H555=AS$4),SUM($I555,$L555,$O555,$R555),"")</f>
        <v/>
      </c>
      <c r="AT555" s="39" t="str">
        <f>IF(AND($G555='Povolené hodnoty'!$B$14,$H555=AT$4),SUM($I555,$L555,$O555,$R555),"")</f>
        <v/>
      </c>
      <c r="AU555" s="458" t="str">
        <f>IF(AND($G555='Povolené hodnoty'!$B$14,$H555=AU$4),SUM($I555,$L555,$O555,$R555),"")</f>
        <v/>
      </c>
      <c r="AV555" s="41" t="str">
        <f>IF(AND($G555='Povolené hodnoty'!$B$14,$H555=AV$4),SUM($I555,$L555,$O555,$R555),"")</f>
        <v/>
      </c>
      <c r="AW555" s="39" t="str">
        <f>IF(AND($G555='Povolené hodnoty'!$B$13,$H555=AW$4),SUM($J555,$M555,$P555,$S555),"")</f>
        <v/>
      </c>
      <c r="AX555" s="458" t="str">
        <f>IF(AND($G555='Povolené hodnoty'!$B$13,$H555=AX$4),SUM($J555,$M555,$P555,$S555),"")</f>
        <v/>
      </c>
      <c r="AY555" s="458" t="str">
        <f>IF(AND($G555='Povolené hodnoty'!$B$13,$H555=AY$4),SUM($J555,$M555,$P555,$S555),"")</f>
        <v/>
      </c>
      <c r="AZ555" s="458" t="str">
        <f>IF(AND($G555='Povolené hodnoty'!$B$13,$H555=AZ$4),SUM($J555,$M555,$P555,$S555),"")</f>
        <v/>
      </c>
      <c r="BA555" s="458" t="str">
        <f>IF(AND($G555='Povolené hodnoty'!$B$13,$H555=BA$4),SUM($J555,$M555,$P555,$S555),"")</f>
        <v/>
      </c>
      <c r="BB555" s="40" t="str">
        <f>IF(AND($G555='Povolené hodnoty'!$B$13,$H555=BB$4),SUM($J555,$M555,$P555,$S555),"")</f>
        <v/>
      </c>
      <c r="BC555" s="40" t="str">
        <f>IF(AND($G555='Povolené hodnoty'!$B$13,$H555=BC$4),SUM($J555,$M555,$P555,$S555),"")</f>
        <v/>
      </c>
      <c r="BD555" s="40" t="str">
        <f>IF(AND($G555='Povolené hodnoty'!$B$13,$H555=BD$4),SUM($J555,$M555,$P555,$S555),"")</f>
        <v/>
      </c>
      <c r="BE555" s="41" t="str">
        <f>IF(AND($G555='Povolené hodnoty'!$B$13,$H555=BE$4),SUM($J555,$M555,$P555,$S555),"")</f>
        <v/>
      </c>
      <c r="BF555" s="39" t="str">
        <f>IF(AND($G555='Povolené hodnoty'!$B$14,$H555=BF$4),SUM($J555,$M555,$P555,$S555),"")</f>
        <v/>
      </c>
      <c r="BG555" s="458" t="str">
        <f>IF(AND($G555='Povolené hodnoty'!$B$14,$H555=BG$4),SUM($J555,$M555,$P555,$S555),"")</f>
        <v/>
      </c>
      <c r="BH555" s="458" t="str">
        <f>IF(AND($G555='Povolené hodnoty'!$B$14,$H555=BH$4),SUM($J555,$M555,$P555,$S555),"")</f>
        <v/>
      </c>
      <c r="BI555" s="458" t="str">
        <f>IF(AND($G555='Povolené hodnoty'!$B$14,$H555=BI$4),SUM($J555,$M555,$P555,$S555),"")</f>
        <v/>
      </c>
      <c r="BJ555" s="458" t="str">
        <f>IF(AND($G555='Povolené hodnoty'!$B$14,$H555=BJ$4),SUM($J555,$M555,$P555,$S555),"")</f>
        <v/>
      </c>
      <c r="BK555" s="40" t="str">
        <f>IF(AND($G555='Povolené hodnoty'!$B$14,$H555=BK$4),SUM($J555,$M555,$P555,$S555),"")</f>
        <v/>
      </c>
      <c r="BL555" s="40" t="str">
        <f>IF(AND($G555='Povolené hodnoty'!$B$14,$H555=BL$4),SUM($J555,$M555,$P555,$S555),"")</f>
        <v/>
      </c>
      <c r="BM555" s="41" t="str">
        <f>IF(AND($G555='Povolené hodnoty'!$B$14,$H555=BM$4),SUM($J555,$M555,$P555,$S555),"")</f>
        <v/>
      </c>
      <c r="BO555" s="18" t="b">
        <f t="shared" si="316"/>
        <v>0</v>
      </c>
      <c r="BP555" s="18" t="b">
        <f t="shared" si="287"/>
        <v>0</v>
      </c>
      <c r="BQ555" s="18" t="b">
        <f>AND(E555&lt;&gt;'Povolené hodnoty'!$B$6,F555&lt;&gt;'Povolené hodnoty'!$D$7,F555&lt;&gt;'Povolené hodnoty'!$D$8,OR(SUM(I555,L555,O555,R555)&lt;&gt;SUM(W555:X555,AA555:AG555),SUM(J555,M555,P555,S555)&lt;&gt;SUM(Y555:Z555,AH555:AK555),COUNT(I555:J555,L555:M555,O555:P555,R555:S555)&lt;&gt;COUNT(W555:AK555)))</f>
        <v>0</v>
      </c>
      <c r="BR555" s="18" t="b">
        <f>OR(AND(E555='Povolené hodnoty'!$B$6,$BR$5),AND(E555='Povolené hodnoty'!$B$6,H555&lt;&gt;'Povolené hodnoty'!$E$26,H555&lt;&gt;'Povolené hodnoty'!$E$35),AND(E555&lt;&gt;'Povolené hodnoty'!$B$6,OR(H555='Povolené hodnoty'!$E$26,H555='Povolené hodnoty'!$E$35)))</f>
        <v>0</v>
      </c>
      <c r="BS555" s="18" t="b">
        <f>OR(AND(G555&lt;&gt;'Povolené hodnoty'!$B$13,OR(H555='Povolené hodnoty'!$E$21,H555='Povolené hodnoty'!$E$22,H555='Povolené hodnoty'!$E$23,H555='Povolené hodnoty'!$E$24,H555='Povolené hodnoty'!$E$26,H555='Povolené hodnoty'!$E$36)),COUNT(I555:J555,L555:M555,O555:P555,R555:S555)&lt;&gt;COUNT(AL555:BM555))</f>
        <v>0</v>
      </c>
      <c r="BT555" s="18" t="b">
        <f t="shared" si="288"/>
        <v>0</v>
      </c>
      <c r="BV555" s="39" t="str">
        <f t="shared" si="289"/>
        <v/>
      </c>
      <c r="BW555" s="458" t="str">
        <f t="shared" si="290"/>
        <v/>
      </c>
      <c r="BX555" s="458" t="str">
        <f t="shared" si="291"/>
        <v/>
      </c>
      <c r="BY555" s="458" t="str">
        <f t="shared" si="292"/>
        <v/>
      </c>
      <c r="BZ555" s="458" t="str">
        <f t="shared" si="293"/>
        <v/>
      </c>
      <c r="CA555" s="40" t="str">
        <f t="shared" si="294"/>
        <v/>
      </c>
      <c r="CB555" s="40" t="str">
        <f t="shared" si="295"/>
        <v/>
      </c>
      <c r="CC555" s="39" t="str">
        <f t="shared" si="296"/>
        <v/>
      </c>
      <c r="CD555" s="458" t="str">
        <f t="shared" si="297"/>
        <v/>
      </c>
      <c r="CE555" s="41" t="str">
        <f t="shared" si="298"/>
        <v/>
      </c>
      <c r="CF555" s="39" t="str">
        <f t="shared" si="299"/>
        <v/>
      </c>
      <c r="CG555" s="458" t="str">
        <f t="shared" si="300"/>
        <v/>
      </c>
      <c r="CH555" s="458" t="str">
        <f t="shared" si="301"/>
        <v/>
      </c>
      <c r="CI555" s="458" t="str">
        <f t="shared" si="302"/>
        <v/>
      </c>
      <c r="CJ555" s="458" t="str">
        <f t="shared" si="303"/>
        <v/>
      </c>
      <c r="CK555" s="40" t="str">
        <f t="shared" si="304"/>
        <v/>
      </c>
      <c r="CL555" s="40" t="str">
        <f t="shared" si="305"/>
        <v/>
      </c>
      <c r="CM555" s="40" t="str">
        <f t="shared" si="306"/>
        <v/>
      </c>
      <c r="CN555" s="39" t="str">
        <f t="shared" si="307"/>
        <v/>
      </c>
      <c r="CO555" s="458" t="str">
        <f t="shared" si="308"/>
        <v/>
      </c>
      <c r="CP555" s="458" t="str">
        <f t="shared" si="309"/>
        <v/>
      </c>
      <c r="CQ555" s="458" t="str">
        <f t="shared" si="310"/>
        <v/>
      </c>
      <c r="CR555" s="458" t="str">
        <f t="shared" si="311"/>
        <v/>
      </c>
      <c r="CS555" s="40" t="str">
        <f t="shared" si="312"/>
        <v/>
      </c>
      <c r="CT555" s="40" t="str">
        <f t="shared" si="313"/>
        <v/>
      </c>
      <c r="CU555" s="41" t="str">
        <f t="shared" si="314"/>
        <v/>
      </c>
    </row>
    <row r="556" spans="1:99" x14ac:dyDescent="0.2">
      <c r="A556" s="77">
        <f t="shared" si="315"/>
        <v>551</v>
      </c>
      <c r="B556" s="81"/>
      <c r="C556" s="82"/>
      <c r="D556" s="71"/>
      <c r="E556" s="72"/>
      <c r="F556" s="73"/>
      <c r="G556" s="443"/>
      <c r="H556" s="443"/>
      <c r="I556" s="74"/>
      <c r="J556" s="75"/>
      <c r="K556" s="41">
        <f t="shared" si="284"/>
        <v>3625</v>
      </c>
      <c r="L556" s="104"/>
      <c r="M556" s="105"/>
      <c r="N556" s="106">
        <f t="shared" si="285"/>
        <v>537.05999999999995</v>
      </c>
      <c r="O556" s="104"/>
      <c r="P556" s="105"/>
      <c r="Q556" s="106">
        <f t="shared" si="317"/>
        <v>10045.83</v>
      </c>
      <c r="R556" s="104"/>
      <c r="S556" s="105"/>
      <c r="T556" s="106">
        <f t="shared" si="318"/>
        <v>0</v>
      </c>
      <c r="U556" s="439"/>
      <c r="V556" s="42">
        <f t="shared" si="286"/>
        <v>551</v>
      </c>
      <c r="W556" s="39" t="str">
        <f>IF(AND(E556='Povolené hodnoty'!$B$4,F556=2),I556+L556+O556+R556,"")</f>
        <v/>
      </c>
      <c r="X556" s="41" t="str">
        <f>IF(AND(E556='Povolené hodnoty'!$B$4,F556=1),I556+L556+O556+R556,"")</f>
        <v/>
      </c>
      <c r="Y556" s="39" t="str">
        <f>IF(AND(E556='Povolené hodnoty'!$B$4,F556=10),J556+M556+P556+S556,"")</f>
        <v/>
      </c>
      <c r="Z556" s="41" t="str">
        <f>IF(AND(E556='Povolené hodnoty'!$B$4,F556=9),J556+M556+P556+S556,"")</f>
        <v/>
      </c>
      <c r="AA556" s="39" t="str">
        <f>IF(AND(E556&lt;&gt;'Povolené hodnoty'!$B$4,F556=2),I556+L556+O556+R556,"")</f>
        <v/>
      </c>
      <c r="AB556" s="40" t="str">
        <f>IF(AND(E556&lt;&gt;'Povolené hodnoty'!$B$4,F556=3),I556+L556+O556+R556,"")</f>
        <v/>
      </c>
      <c r="AC556" s="40" t="str">
        <f>IF(AND(E556&lt;&gt;'Povolené hodnoty'!$B$4,F556=4),I556+L556+O556+R556,"")</f>
        <v/>
      </c>
      <c r="AD556" s="40" t="str">
        <f>IF(AND(E556&lt;&gt;'Povolené hodnoty'!$B$4,F556="5a"),I556-J556+L556-M556+O556-P556+R556-S556,"")</f>
        <v/>
      </c>
      <c r="AE556" s="40" t="str">
        <f>IF(AND(E556&lt;&gt;'Povolené hodnoty'!$B$4,F556="5b"),I556-J556+L556-M556+O556-P556+R556-S556,"")</f>
        <v/>
      </c>
      <c r="AF556" s="40" t="str">
        <f>IF(AND(E556&lt;&gt;'Povolené hodnoty'!$B$4,F556=6),I556+L556+O556+R556,"")</f>
        <v/>
      </c>
      <c r="AG556" s="41" t="str">
        <f>IF(AND(E556&lt;&gt;'Povolené hodnoty'!$B$4,F556=7),I556+L556+O556+R556,"")</f>
        <v/>
      </c>
      <c r="AH556" s="39" t="str">
        <f>IF(AND(E556&lt;&gt;'Povolené hodnoty'!$B$4,F556=10),J556+M556+P556+S556,"")</f>
        <v/>
      </c>
      <c r="AI556" s="40" t="str">
        <f>IF(AND(E556&lt;&gt;'Povolené hodnoty'!$B$4,F556=11),J556+M556+P556+S556,"")</f>
        <v/>
      </c>
      <c r="AJ556" s="40" t="str">
        <f>IF(AND(E556&lt;&gt;'Povolené hodnoty'!$B$4,F556=12),J556+M556+P556+S556,"")</f>
        <v/>
      </c>
      <c r="AK556" s="41" t="str">
        <f>IF(AND(E556&lt;&gt;'Povolené hodnoty'!$B$4,F556=13),J556+M556+P556+S556,"")</f>
        <v/>
      </c>
      <c r="AL556" s="39" t="str">
        <f>IF(AND($G556='Povolené hodnoty'!$B$13,$H556=AL$4),SUM($I556,$L556,$O556,$R556),"")</f>
        <v/>
      </c>
      <c r="AM556" s="458" t="str">
        <f>IF(AND($G556='Povolené hodnoty'!$B$13,$H556=AM$4),SUM($I556,$L556,$O556,$R556),"")</f>
        <v/>
      </c>
      <c r="AN556" s="458" t="str">
        <f>IF(AND($G556='Povolené hodnoty'!$B$13,$H556=AN$4),SUM($I556,$L556,$O556,$R556),"")</f>
        <v/>
      </c>
      <c r="AO556" s="458" t="str">
        <f>IF(AND($G556='Povolené hodnoty'!$B$13,$H556=AO$4),SUM($I556,$L556,$O556,$R556),"")</f>
        <v/>
      </c>
      <c r="AP556" s="458" t="str">
        <f>IF(AND($G556='Povolené hodnoty'!$B$13,$H556=AP$4),SUM($I556,$L556,$O556,$R556),"")</f>
        <v/>
      </c>
      <c r="AQ556" s="40" t="str">
        <f>IF(AND($G556='Povolené hodnoty'!$B$13,OR($H556=AQ$4,$H556='Povolené hodnoty'!$E$36)),SUM($I556,-$J556,$L556,-$M556,$O556,-$P556,$R556,-$S556),"")</f>
        <v/>
      </c>
      <c r="AR556" s="40" t="str">
        <f>IF(AND($G556='Povolené hodnoty'!$B$13,$H556=AR$4),SUM($I556,$L556,$O556,$R556),"")</f>
        <v/>
      </c>
      <c r="AS556" s="41" t="str">
        <f>IF(AND($G556='Povolené hodnoty'!$B$13,$H556=AS$4),SUM($I556,$L556,$O556,$R556),"")</f>
        <v/>
      </c>
      <c r="AT556" s="39" t="str">
        <f>IF(AND($G556='Povolené hodnoty'!$B$14,$H556=AT$4),SUM($I556,$L556,$O556,$R556),"")</f>
        <v/>
      </c>
      <c r="AU556" s="458" t="str">
        <f>IF(AND($G556='Povolené hodnoty'!$B$14,$H556=AU$4),SUM($I556,$L556,$O556,$R556),"")</f>
        <v/>
      </c>
      <c r="AV556" s="41" t="str">
        <f>IF(AND($G556='Povolené hodnoty'!$B$14,$H556=AV$4),SUM($I556,$L556,$O556,$R556),"")</f>
        <v/>
      </c>
      <c r="AW556" s="39" t="str">
        <f>IF(AND($G556='Povolené hodnoty'!$B$13,$H556=AW$4),SUM($J556,$M556,$P556,$S556),"")</f>
        <v/>
      </c>
      <c r="AX556" s="458" t="str">
        <f>IF(AND($G556='Povolené hodnoty'!$B$13,$H556=AX$4),SUM($J556,$M556,$P556,$S556),"")</f>
        <v/>
      </c>
      <c r="AY556" s="458" t="str">
        <f>IF(AND($G556='Povolené hodnoty'!$B$13,$H556=AY$4),SUM($J556,$M556,$P556,$S556),"")</f>
        <v/>
      </c>
      <c r="AZ556" s="458" t="str">
        <f>IF(AND($G556='Povolené hodnoty'!$B$13,$H556=AZ$4),SUM($J556,$M556,$P556,$S556),"")</f>
        <v/>
      </c>
      <c r="BA556" s="458" t="str">
        <f>IF(AND($G556='Povolené hodnoty'!$B$13,$H556=BA$4),SUM($J556,$M556,$P556,$S556),"")</f>
        <v/>
      </c>
      <c r="BB556" s="40" t="str">
        <f>IF(AND($G556='Povolené hodnoty'!$B$13,$H556=BB$4),SUM($J556,$M556,$P556,$S556),"")</f>
        <v/>
      </c>
      <c r="BC556" s="40" t="str">
        <f>IF(AND($G556='Povolené hodnoty'!$B$13,$H556=BC$4),SUM($J556,$M556,$P556,$S556),"")</f>
        <v/>
      </c>
      <c r="BD556" s="40" t="str">
        <f>IF(AND($G556='Povolené hodnoty'!$B$13,$H556=BD$4),SUM($J556,$M556,$P556,$S556),"")</f>
        <v/>
      </c>
      <c r="BE556" s="41" t="str">
        <f>IF(AND($G556='Povolené hodnoty'!$B$13,$H556=BE$4),SUM($J556,$M556,$P556,$S556),"")</f>
        <v/>
      </c>
      <c r="BF556" s="39" t="str">
        <f>IF(AND($G556='Povolené hodnoty'!$B$14,$H556=BF$4),SUM($J556,$M556,$P556,$S556),"")</f>
        <v/>
      </c>
      <c r="BG556" s="458" t="str">
        <f>IF(AND($G556='Povolené hodnoty'!$B$14,$H556=BG$4),SUM($J556,$M556,$P556,$S556),"")</f>
        <v/>
      </c>
      <c r="BH556" s="458" t="str">
        <f>IF(AND($G556='Povolené hodnoty'!$B$14,$H556=BH$4),SUM($J556,$M556,$P556,$S556),"")</f>
        <v/>
      </c>
      <c r="BI556" s="458" t="str">
        <f>IF(AND($G556='Povolené hodnoty'!$B$14,$H556=BI$4),SUM($J556,$M556,$P556,$S556),"")</f>
        <v/>
      </c>
      <c r="BJ556" s="458" t="str">
        <f>IF(AND($G556='Povolené hodnoty'!$B$14,$H556=BJ$4),SUM($J556,$M556,$P556,$S556),"")</f>
        <v/>
      </c>
      <c r="BK556" s="40" t="str">
        <f>IF(AND($G556='Povolené hodnoty'!$B$14,$H556=BK$4),SUM($J556,$M556,$P556,$S556),"")</f>
        <v/>
      </c>
      <c r="BL556" s="40" t="str">
        <f>IF(AND($G556='Povolené hodnoty'!$B$14,$H556=BL$4),SUM($J556,$M556,$P556,$S556),"")</f>
        <v/>
      </c>
      <c r="BM556" s="41" t="str">
        <f>IF(AND($G556='Povolené hodnoty'!$B$14,$H556=BM$4),SUM($J556,$M556,$P556,$S556),"")</f>
        <v/>
      </c>
      <c r="BO556" s="18" t="b">
        <f t="shared" si="316"/>
        <v>0</v>
      </c>
      <c r="BP556" s="18" t="b">
        <f t="shared" si="287"/>
        <v>0</v>
      </c>
      <c r="BQ556" s="18" t="b">
        <f>AND(E556&lt;&gt;'Povolené hodnoty'!$B$6,F556&lt;&gt;'Povolené hodnoty'!$D$7,F556&lt;&gt;'Povolené hodnoty'!$D$8,OR(SUM(I556,L556,O556,R556)&lt;&gt;SUM(W556:X556,AA556:AG556),SUM(J556,M556,P556,S556)&lt;&gt;SUM(Y556:Z556,AH556:AK556),COUNT(I556:J556,L556:M556,O556:P556,R556:S556)&lt;&gt;COUNT(W556:AK556)))</f>
        <v>0</v>
      </c>
      <c r="BR556" s="18" t="b">
        <f>OR(AND(E556='Povolené hodnoty'!$B$6,$BR$5),AND(E556='Povolené hodnoty'!$B$6,H556&lt;&gt;'Povolené hodnoty'!$E$26,H556&lt;&gt;'Povolené hodnoty'!$E$35),AND(E556&lt;&gt;'Povolené hodnoty'!$B$6,OR(H556='Povolené hodnoty'!$E$26,H556='Povolené hodnoty'!$E$35)))</f>
        <v>0</v>
      </c>
      <c r="BS556" s="18" t="b">
        <f>OR(AND(G556&lt;&gt;'Povolené hodnoty'!$B$13,OR(H556='Povolené hodnoty'!$E$21,H556='Povolené hodnoty'!$E$22,H556='Povolené hodnoty'!$E$23,H556='Povolené hodnoty'!$E$24,H556='Povolené hodnoty'!$E$26,H556='Povolené hodnoty'!$E$36)),COUNT(I556:J556,L556:M556,O556:P556,R556:S556)&lt;&gt;COUNT(AL556:BM556))</f>
        <v>0</v>
      </c>
      <c r="BT556" s="18" t="b">
        <f t="shared" si="288"/>
        <v>0</v>
      </c>
      <c r="BV556" s="39" t="str">
        <f t="shared" si="289"/>
        <v/>
      </c>
      <c r="BW556" s="458" t="str">
        <f t="shared" si="290"/>
        <v/>
      </c>
      <c r="BX556" s="458" t="str">
        <f t="shared" si="291"/>
        <v/>
      </c>
      <c r="BY556" s="458" t="str">
        <f t="shared" si="292"/>
        <v/>
      </c>
      <c r="BZ556" s="458" t="str">
        <f t="shared" si="293"/>
        <v/>
      </c>
      <c r="CA556" s="40" t="str">
        <f t="shared" si="294"/>
        <v/>
      </c>
      <c r="CB556" s="40" t="str">
        <f t="shared" si="295"/>
        <v/>
      </c>
      <c r="CC556" s="39" t="str">
        <f t="shared" si="296"/>
        <v/>
      </c>
      <c r="CD556" s="458" t="str">
        <f t="shared" si="297"/>
        <v/>
      </c>
      <c r="CE556" s="41" t="str">
        <f t="shared" si="298"/>
        <v/>
      </c>
      <c r="CF556" s="39" t="str">
        <f t="shared" si="299"/>
        <v/>
      </c>
      <c r="CG556" s="458" t="str">
        <f t="shared" si="300"/>
        <v/>
      </c>
      <c r="CH556" s="458" t="str">
        <f t="shared" si="301"/>
        <v/>
      </c>
      <c r="CI556" s="458" t="str">
        <f t="shared" si="302"/>
        <v/>
      </c>
      <c r="CJ556" s="458" t="str">
        <f t="shared" si="303"/>
        <v/>
      </c>
      <c r="CK556" s="40" t="str">
        <f t="shared" si="304"/>
        <v/>
      </c>
      <c r="CL556" s="40" t="str">
        <f t="shared" si="305"/>
        <v/>
      </c>
      <c r="CM556" s="40" t="str">
        <f t="shared" si="306"/>
        <v/>
      </c>
      <c r="CN556" s="39" t="str">
        <f t="shared" si="307"/>
        <v/>
      </c>
      <c r="CO556" s="458" t="str">
        <f t="shared" si="308"/>
        <v/>
      </c>
      <c r="CP556" s="458" t="str">
        <f t="shared" si="309"/>
        <v/>
      </c>
      <c r="CQ556" s="458" t="str">
        <f t="shared" si="310"/>
        <v/>
      </c>
      <c r="CR556" s="458" t="str">
        <f t="shared" si="311"/>
        <v/>
      </c>
      <c r="CS556" s="40" t="str">
        <f t="shared" si="312"/>
        <v/>
      </c>
      <c r="CT556" s="40" t="str">
        <f t="shared" si="313"/>
        <v/>
      </c>
      <c r="CU556" s="41" t="str">
        <f t="shared" si="314"/>
        <v/>
      </c>
    </row>
    <row r="557" spans="1:99" x14ac:dyDescent="0.2">
      <c r="A557" s="77">
        <f t="shared" si="315"/>
        <v>552</v>
      </c>
      <c r="B557" s="81"/>
      <c r="C557" s="82"/>
      <c r="D557" s="71"/>
      <c r="E557" s="72"/>
      <c r="F557" s="73"/>
      <c r="G557" s="443"/>
      <c r="H557" s="443"/>
      <c r="I557" s="74"/>
      <c r="J557" s="75"/>
      <c r="K557" s="41">
        <f t="shared" ref="K557:K604" si="319">K556+I557-J557</f>
        <v>3625</v>
      </c>
      <c r="L557" s="104"/>
      <c r="M557" s="105"/>
      <c r="N557" s="106">
        <f t="shared" ref="N557:N604" si="320">N556+L557-M557</f>
        <v>537.05999999999995</v>
      </c>
      <c r="O557" s="104"/>
      <c r="P557" s="105"/>
      <c r="Q557" s="106">
        <f t="shared" si="317"/>
        <v>10045.83</v>
      </c>
      <c r="R557" s="104"/>
      <c r="S557" s="105"/>
      <c r="T557" s="106">
        <f t="shared" si="318"/>
        <v>0</v>
      </c>
      <c r="U557" s="439"/>
      <c r="V557" s="42">
        <f t="shared" si="286"/>
        <v>552</v>
      </c>
      <c r="W557" s="39" t="str">
        <f>IF(AND(E557='Povolené hodnoty'!$B$4,F557=2),I557+L557+O557+R557,"")</f>
        <v/>
      </c>
      <c r="X557" s="41" t="str">
        <f>IF(AND(E557='Povolené hodnoty'!$B$4,F557=1),I557+L557+O557+R557,"")</f>
        <v/>
      </c>
      <c r="Y557" s="39" t="str">
        <f>IF(AND(E557='Povolené hodnoty'!$B$4,F557=10),J557+M557+P557+S557,"")</f>
        <v/>
      </c>
      <c r="Z557" s="41" t="str">
        <f>IF(AND(E557='Povolené hodnoty'!$B$4,F557=9),J557+M557+P557+S557,"")</f>
        <v/>
      </c>
      <c r="AA557" s="39" t="str">
        <f>IF(AND(E557&lt;&gt;'Povolené hodnoty'!$B$4,F557=2),I557+L557+O557+R557,"")</f>
        <v/>
      </c>
      <c r="AB557" s="40" t="str">
        <f>IF(AND(E557&lt;&gt;'Povolené hodnoty'!$B$4,F557=3),I557+L557+O557+R557,"")</f>
        <v/>
      </c>
      <c r="AC557" s="40" t="str">
        <f>IF(AND(E557&lt;&gt;'Povolené hodnoty'!$B$4,F557=4),I557+L557+O557+R557,"")</f>
        <v/>
      </c>
      <c r="AD557" s="40" t="str">
        <f>IF(AND(E557&lt;&gt;'Povolené hodnoty'!$B$4,F557="5a"),I557-J557+L557-M557+O557-P557+R557-S557,"")</f>
        <v/>
      </c>
      <c r="AE557" s="40" t="str">
        <f>IF(AND(E557&lt;&gt;'Povolené hodnoty'!$B$4,F557="5b"),I557-J557+L557-M557+O557-P557+R557-S557,"")</f>
        <v/>
      </c>
      <c r="AF557" s="40" t="str">
        <f>IF(AND(E557&lt;&gt;'Povolené hodnoty'!$B$4,F557=6),I557+L557+O557+R557,"")</f>
        <v/>
      </c>
      <c r="AG557" s="41" t="str">
        <f>IF(AND(E557&lt;&gt;'Povolené hodnoty'!$B$4,F557=7),I557+L557+O557+R557,"")</f>
        <v/>
      </c>
      <c r="AH557" s="39" t="str">
        <f>IF(AND(E557&lt;&gt;'Povolené hodnoty'!$B$4,F557=10),J557+M557+P557+S557,"")</f>
        <v/>
      </c>
      <c r="AI557" s="40" t="str">
        <f>IF(AND(E557&lt;&gt;'Povolené hodnoty'!$B$4,F557=11),J557+M557+P557+S557,"")</f>
        <v/>
      </c>
      <c r="AJ557" s="40" t="str">
        <f>IF(AND(E557&lt;&gt;'Povolené hodnoty'!$B$4,F557=12),J557+M557+P557+S557,"")</f>
        <v/>
      </c>
      <c r="AK557" s="41" t="str">
        <f>IF(AND(E557&lt;&gt;'Povolené hodnoty'!$B$4,F557=13),J557+M557+P557+S557,"")</f>
        <v/>
      </c>
      <c r="AL557" s="39" t="str">
        <f>IF(AND($G557='Povolené hodnoty'!$B$13,$H557=AL$4),SUM($I557,$L557,$O557,$R557),"")</f>
        <v/>
      </c>
      <c r="AM557" s="458" t="str">
        <f>IF(AND($G557='Povolené hodnoty'!$B$13,$H557=AM$4),SUM($I557,$L557,$O557,$R557),"")</f>
        <v/>
      </c>
      <c r="AN557" s="458" t="str">
        <f>IF(AND($G557='Povolené hodnoty'!$B$13,$H557=AN$4),SUM($I557,$L557,$O557,$R557),"")</f>
        <v/>
      </c>
      <c r="AO557" s="458" t="str">
        <f>IF(AND($G557='Povolené hodnoty'!$B$13,$H557=AO$4),SUM($I557,$L557,$O557,$R557),"")</f>
        <v/>
      </c>
      <c r="AP557" s="458" t="str">
        <f>IF(AND($G557='Povolené hodnoty'!$B$13,$H557=AP$4),SUM($I557,$L557,$O557,$R557),"")</f>
        <v/>
      </c>
      <c r="AQ557" s="40" t="str">
        <f>IF(AND($G557='Povolené hodnoty'!$B$13,OR($H557=AQ$4,$H557='Povolené hodnoty'!$E$36)),SUM($I557,-$J557,$L557,-$M557,$O557,-$P557,$R557,-$S557),"")</f>
        <v/>
      </c>
      <c r="AR557" s="40" t="str">
        <f>IF(AND($G557='Povolené hodnoty'!$B$13,$H557=AR$4),SUM($I557,$L557,$O557,$R557),"")</f>
        <v/>
      </c>
      <c r="AS557" s="41" t="str">
        <f>IF(AND($G557='Povolené hodnoty'!$B$13,$H557=AS$4),SUM($I557,$L557,$O557,$R557),"")</f>
        <v/>
      </c>
      <c r="AT557" s="39" t="str">
        <f>IF(AND($G557='Povolené hodnoty'!$B$14,$H557=AT$4),SUM($I557,$L557,$O557,$R557),"")</f>
        <v/>
      </c>
      <c r="AU557" s="458" t="str">
        <f>IF(AND($G557='Povolené hodnoty'!$B$14,$H557=AU$4),SUM($I557,$L557,$O557,$R557),"")</f>
        <v/>
      </c>
      <c r="AV557" s="41" t="str">
        <f>IF(AND($G557='Povolené hodnoty'!$B$14,$H557=AV$4),SUM($I557,$L557,$O557,$R557),"")</f>
        <v/>
      </c>
      <c r="AW557" s="39" t="str">
        <f>IF(AND($G557='Povolené hodnoty'!$B$13,$H557=AW$4),SUM($J557,$M557,$P557,$S557),"")</f>
        <v/>
      </c>
      <c r="AX557" s="458" t="str">
        <f>IF(AND($G557='Povolené hodnoty'!$B$13,$H557=AX$4),SUM($J557,$M557,$P557,$S557),"")</f>
        <v/>
      </c>
      <c r="AY557" s="458" t="str">
        <f>IF(AND($G557='Povolené hodnoty'!$B$13,$H557=AY$4),SUM($J557,$M557,$P557,$S557),"")</f>
        <v/>
      </c>
      <c r="AZ557" s="458" t="str">
        <f>IF(AND($G557='Povolené hodnoty'!$B$13,$H557=AZ$4),SUM($J557,$M557,$P557,$S557),"")</f>
        <v/>
      </c>
      <c r="BA557" s="458" t="str">
        <f>IF(AND($G557='Povolené hodnoty'!$B$13,$H557=BA$4),SUM($J557,$M557,$P557,$S557),"")</f>
        <v/>
      </c>
      <c r="BB557" s="40" t="str">
        <f>IF(AND($G557='Povolené hodnoty'!$B$13,$H557=BB$4),SUM($J557,$M557,$P557,$S557),"")</f>
        <v/>
      </c>
      <c r="BC557" s="40" t="str">
        <f>IF(AND($G557='Povolené hodnoty'!$B$13,$H557=BC$4),SUM($J557,$M557,$P557,$S557),"")</f>
        <v/>
      </c>
      <c r="BD557" s="40" t="str">
        <f>IF(AND($G557='Povolené hodnoty'!$B$13,$H557=BD$4),SUM($J557,$M557,$P557,$S557),"")</f>
        <v/>
      </c>
      <c r="BE557" s="41" t="str">
        <f>IF(AND($G557='Povolené hodnoty'!$B$13,$H557=BE$4),SUM($J557,$M557,$P557,$S557),"")</f>
        <v/>
      </c>
      <c r="BF557" s="39" t="str">
        <f>IF(AND($G557='Povolené hodnoty'!$B$14,$H557=BF$4),SUM($J557,$M557,$P557,$S557),"")</f>
        <v/>
      </c>
      <c r="BG557" s="458" t="str">
        <f>IF(AND($G557='Povolené hodnoty'!$B$14,$H557=BG$4),SUM($J557,$M557,$P557,$S557),"")</f>
        <v/>
      </c>
      <c r="BH557" s="458" t="str">
        <f>IF(AND($G557='Povolené hodnoty'!$B$14,$H557=BH$4),SUM($J557,$M557,$P557,$S557),"")</f>
        <v/>
      </c>
      <c r="BI557" s="458" t="str">
        <f>IF(AND($G557='Povolené hodnoty'!$B$14,$H557=BI$4),SUM($J557,$M557,$P557,$S557),"")</f>
        <v/>
      </c>
      <c r="BJ557" s="458" t="str">
        <f>IF(AND($G557='Povolené hodnoty'!$B$14,$H557=BJ$4),SUM($J557,$M557,$P557,$S557),"")</f>
        <v/>
      </c>
      <c r="BK557" s="40" t="str">
        <f>IF(AND($G557='Povolené hodnoty'!$B$14,$H557=BK$4),SUM($J557,$M557,$P557,$S557),"")</f>
        <v/>
      </c>
      <c r="BL557" s="40" t="str">
        <f>IF(AND($G557='Povolené hodnoty'!$B$14,$H557=BL$4),SUM($J557,$M557,$P557,$S557),"")</f>
        <v/>
      </c>
      <c r="BM557" s="41" t="str">
        <f>IF(AND($G557='Povolené hodnoty'!$B$14,$H557=BM$4),SUM($J557,$M557,$P557,$S557),"")</f>
        <v/>
      </c>
      <c r="BO557" s="18" t="b">
        <f t="shared" si="316"/>
        <v>0</v>
      </c>
      <c r="BP557" s="18" t="b">
        <f t="shared" si="287"/>
        <v>0</v>
      </c>
      <c r="BQ557" s="18" t="b">
        <f>AND(E557&lt;&gt;'Povolené hodnoty'!$B$6,F557&lt;&gt;'Povolené hodnoty'!$D$7,F557&lt;&gt;'Povolené hodnoty'!$D$8,OR(SUM(I557,L557,O557,R557)&lt;&gt;SUM(W557:X557,AA557:AG557),SUM(J557,M557,P557,S557)&lt;&gt;SUM(Y557:Z557,AH557:AK557),COUNT(I557:J557,L557:M557,O557:P557,R557:S557)&lt;&gt;COUNT(W557:AK557)))</f>
        <v>0</v>
      </c>
      <c r="BR557" s="18" t="b">
        <f>OR(AND(E557='Povolené hodnoty'!$B$6,$BR$5),AND(E557='Povolené hodnoty'!$B$6,H557&lt;&gt;'Povolené hodnoty'!$E$26,H557&lt;&gt;'Povolené hodnoty'!$E$35),AND(E557&lt;&gt;'Povolené hodnoty'!$B$6,OR(H557='Povolené hodnoty'!$E$26,H557='Povolené hodnoty'!$E$35)))</f>
        <v>0</v>
      </c>
      <c r="BS557" s="18" t="b">
        <f>OR(AND(G557&lt;&gt;'Povolené hodnoty'!$B$13,OR(H557='Povolené hodnoty'!$E$21,H557='Povolené hodnoty'!$E$22,H557='Povolené hodnoty'!$E$23,H557='Povolené hodnoty'!$E$24,H557='Povolené hodnoty'!$E$26,H557='Povolené hodnoty'!$E$36)),COUNT(I557:J557,L557:M557,O557:P557,R557:S557)&lt;&gt;COUNT(AL557:BM557))</f>
        <v>0</v>
      </c>
      <c r="BT557" s="18" t="b">
        <f t="shared" si="288"/>
        <v>0</v>
      </c>
      <c r="BV557" s="39" t="str">
        <f t="shared" si="289"/>
        <v/>
      </c>
      <c r="BW557" s="458" t="str">
        <f t="shared" si="290"/>
        <v/>
      </c>
      <c r="BX557" s="458" t="str">
        <f t="shared" si="291"/>
        <v/>
      </c>
      <c r="BY557" s="458" t="str">
        <f t="shared" si="292"/>
        <v/>
      </c>
      <c r="BZ557" s="458" t="str">
        <f t="shared" si="293"/>
        <v/>
      </c>
      <c r="CA557" s="40" t="str">
        <f t="shared" si="294"/>
        <v/>
      </c>
      <c r="CB557" s="40" t="str">
        <f t="shared" si="295"/>
        <v/>
      </c>
      <c r="CC557" s="39" t="str">
        <f t="shared" si="296"/>
        <v/>
      </c>
      <c r="CD557" s="458" t="str">
        <f t="shared" si="297"/>
        <v/>
      </c>
      <c r="CE557" s="41" t="str">
        <f t="shared" si="298"/>
        <v/>
      </c>
      <c r="CF557" s="39" t="str">
        <f t="shared" si="299"/>
        <v/>
      </c>
      <c r="CG557" s="458" t="str">
        <f t="shared" si="300"/>
        <v/>
      </c>
      <c r="CH557" s="458" t="str">
        <f t="shared" si="301"/>
        <v/>
      </c>
      <c r="CI557" s="458" t="str">
        <f t="shared" si="302"/>
        <v/>
      </c>
      <c r="CJ557" s="458" t="str">
        <f t="shared" si="303"/>
        <v/>
      </c>
      <c r="CK557" s="40" t="str">
        <f t="shared" si="304"/>
        <v/>
      </c>
      <c r="CL557" s="40" t="str">
        <f t="shared" si="305"/>
        <v/>
      </c>
      <c r="CM557" s="40" t="str">
        <f t="shared" si="306"/>
        <v/>
      </c>
      <c r="CN557" s="39" t="str">
        <f t="shared" si="307"/>
        <v/>
      </c>
      <c r="CO557" s="458" t="str">
        <f t="shared" si="308"/>
        <v/>
      </c>
      <c r="CP557" s="458" t="str">
        <f t="shared" si="309"/>
        <v/>
      </c>
      <c r="CQ557" s="458" t="str">
        <f t="shared" si="310"/>
        <v/>
      </c>
      <c r="CR557" s="458" t="str">
        <f t="shared" si="311"/>
        <v/>
      </c>
      <c r="CS557" s="40" t="str">
        <f t="shared" si="312"/>
        <v/>
      </c>
      <c r="CT557" s="40" t="str">
        <f t="shared" si="313"/>
        <v/>
      </c>
      <c r="CU557" s="41" t="str">
        <f t="shared" si="314"/>
        <v/>
      </c>
    </row>
    <row r="558" spans="1:99" x14ac:dyDescent="0.2">
      <c r="A558" s="77">
        <f t="shared" si="315"/>
        <v>553</v>
      </c>
      <c r="B558" s="81"/>
      <c r="C558" s="82"/>
      <c r="D558" s="71"/>
      <c r="E558" s="72"/>
      <c r="F558" s="73"/>
      <c r="G558" s="443"/>
      <c r="H558" s="443"/>
      <c r="I558" s="74"/>
      <c r="J558" s="75"/>
      <c r="K558" s="41">
        <f t="shared" si="319"/>
        <v>3625</v>
      </c>
      <c r="L558" s="104"/>
      <c r="M558" s="105"/>
      <c r="N558" s="106">
        <f t="shared" si="320"/>
        <v>537.05999999999995</v>
      </c>
      <c r="O558" s="104"/>
      <c r="P558" s="105"/>
      <c r="Q558" s="106">
        <f t="shared" si="317"/>
        <v>10045.83</v>
      </c>
      <c r="R558" s="104"/>
      <c r="S558" s="105"/>
      <c r="T558" s="106">
        <f t="shared" si="318"/>
        <v>0</v>
      </c>
      <c r="U558" s="439"/>
      <c r="V558" s="42">
        <f t="shared" si="286"/>
        <v>553</v>
      </c>
      <c r="W558" s="39" t="str">
        <f>IF(AND(E558='Povolené hodnoty'!$B$4,F558=2),I558+L558+O558+R558,"")</f>
        <v/>
      </c>
      <c r="X558" s="41" t="str">
        <f>IF(AND(E558='Povolené hodnoty'!$B$4,F558=1),I558+L558+O558+R558,"")</f>
        <v/>
      </c>
      <c r="Y558" s="39" t="str">
        <f>IF(AND(E558='Povolené hodnoty'!$B$4,F558=10),J558+M558+P558+S558,"")</f>
        <v/>
      </c>
      <c r="Z558" s="41" t="str">
        <f>IF(AND(E558='Povolené hodnoty'!$B$4,F558=9),J558+M558+P558+S558,"")</f>
        <v/>
      </c>
      <c r="AA558" s="39" t="str">
        <f>IF(AND(E558&lt;&gt;'Povolené hodnoty'!$B$4,F558=2),I558+L558+O558+R558,"")</f>
        <v/>
      </c>
      <c r="AB558" s="40" t="str">
        <f>IF(AND(E558&lt;&gt;'Povolené hodnoty'!$B$4,F558=3),I558+L558+O558+R558,"")</f>
        <v/>
      </c>
      <c r="AC558" s="40" t="str">
        <f>IF(AND(E558&lt;&gt;'Povolené hodnoty'!$B$4,F558=4),I558+L558+O558+R558,"")</f>
        <v/>
      </c>
      <c r="AD558" s="40" t="str">
        <f>IF(AND(E558&lt;&gt;'Povolené hodnoty'!$B$4,F558="5a"),I558-J558+L558-M558+O558-P558+R558-S558,"")</f>
        <v/>
      </c>
      <c r="AE558" s="40" t="str">
        <f>IF(AND(E558&lt;&gt;'Povolené hodnoty'!$B$4,F558="5b"),I558-J558+L558-M558+O558-P558+R558-S558,"")</f>
        <v/>
      </c>
      <c r="AF558" s="40" t="str">
        <f>IF(AND(E558&lt;&gt;'Povolené hodnoty'!$B$4,F558=6),I558+L558+O558+R558,"")</f>
        <v/>
      </c>
      <c r="AG558" s="41" t="str">
        <f>IF(AND(E558&lt;&gt;'Povolené hodnoty'!$B$4,F558=7),I558+L558+O558+R558,"")</f>
        <v/>
      </c>
      <c r="AH558" s="39" t="str">
        <f>IF(AND(E558&lt;&gt;'Povolené hodnoty'!$B$4,F558=10),J558+M558+P558+S558,"")</f>
        <v/>
      </c>
      <c r="AI558" s="40" t="str">
        <f>IF(AND(E558&lt;&gt;'Povolené hodnoty'!$B$4,F558=11),J558+M558+P558+S558,"")</f>
        <v/>
      </c>
      <c r="AJ558" s="40" t="str">
        <f>IF(AND(E558&lt;&gt;'Povolené hodnoty'!$B$4,F558=12),J558+M558+P558+S558,"")</f>
        <v/>
      </c>
      <c r="AK558" s="41" t="str">
        <f>IF(AND(E558&lt;&gt;'Povolené hodnoty'!$B$4,F558=13),J558+M558+P558+S558,"")</f>
        <v/>
      </c>
      <c r="AL558" s="39" t="str">
        <f>IF(AND($G558='Povolené hodnoty'!$B$13,$H558=AL$4),SUM($I558,$L558,$O558,$R558),"")</f>
        <v/>
      </c>
      <c r="AM558" s="458" t="str">
        <f>IF(AND($G558='Povolené hodnoty'!$B$13,$H558=AM$4),SUM($I558,$L558,$O558,$R558),"")</f>
        <v/>
      </c>
      <c r="AN558" s="458" t="str">
        <f>IF(AND($G558='Povolené hodnoty'!$B$13,$H558=AN$4),SUM($I558,$L558,$O558,$R558),"")</f>
        <v/>
      </c>
      <c r="AO558" s="458" t="str">
        <f>IF(AND($G558='Povolené hodnoty'!$B$13,$H558=AO$4),SUM($I558,$L558,$O558,$R558),"")</f>
        <v/>
      </c>
      <c r="AP558" s="458" t="str">
        <f>IF(AND($G558='Povolené hodnoty'!$B$13,$H558=AP$4),SUM($I558,$L558,$O558,$R558),"")</f>
        <v/>
      </c>
      <c r="AQ558" s="40" t="str">
        <f>IF(AND($G558='Povolené hodnoty'!$B$13,OR($H558=AQ$4,$H558='Povolené hodnoty'!$E$36)),SUM($I558,-$J558,$L558,-$M558,$O558,-$P558,$R558,-$S558),"")</f>
        <v/>
      </c>
      <c r="AR558" s="40" t="str">
        <f>IF(AND($G558='Povolené hodnoty'!$B$13,$H558=AR$4),SUM($I558,$L558,$O558,$R558),"")</f>
        <v/>
      </c>
      <c r="AS558" s="41" t="str">
        <f>IF(AND($G558='Povolené hodnoty'!$B$13,$H558=AS$4),SUM($I558,$L558,$O558,$R558),"")</f>
        <v/>
      </c>
      <c r="AT558" s="39" t="str">
        <f>IF(AND($G558='Povolené hodnoty'!$B$14,$H558=AT$4),SUM($I558,$L558,$O558,$R558),"")</f>
        <v/>
      </c>
      <c r="AU558" s="458" t="str">
        <f>IF(AND($G558='Povolené hodnoty'!$B$14,$H558=AU$4),SUM($I558,$L558,$O558,$R558),"")</f>
        <v/>
      </c>
      <c r="AV558" s="41" t="str">
        <f>IF(AND($G558='Povolené hodnoty'!$B$14,$H558=AV$4),SUM($I558,$L558,$O558,$R558),"")</f>
        <v/>
      </c>
      <c r="AW558" s="39" t="str">
        <f>IF(AND($G558='Povolené hodnoty'!$B$13,$H558=AW$4),SUM($J558,$M558,$P558,$S558),"")</f>
        <v/>
      </c>
      <c r="AX558" s="458" t="str">
        <f>IF(AND($G558='Povolené hodnoty'!$B$13,$H558=AX$4),SUM($J558,$M558,$P558,$S558),"")</f>
        <v/>
      </c>
      <c r="AY558" s="458" t="str">
        <f>IF(AND($G558='Povolené hodnoty'!$B$13,$H558=AY$4),SUM($J558,$M558,$P558,$S558),"")</f>
        <v/>
      </c>
      <c r="AZ558" s="458" t="str">
        <f>IF(AND($G558='Povolené hodnoty'!$B$13,$H558=AZ$4),SUM($J558,$M558,$P558,$S558),"")</f>
        <v/>
      </c>
      <c r="BA558" s="458" t="str">
        <f>IF(AND($G558='Povolené hodnoty'!$B$13,$H558=BA$4),SUM($J558,$M558,$P558,$S558),"")</f>
        <v/>
      </c>
      <c r="BB558" s="40" t="str">
        <f>IF(AND($G558='Povolené hodnoty'!$B$13,$H558=BB$4),SUM($J558,$M558,$P558,$S558),"")</f>
        <v/>
      </c>
      <c r="BC558" s="40" t="str">
        <f>IF(AND($G558='Povolené hodnoty'!$B$13,$H558=BC$4),SUM($J558,$M558,$P558,$S558),"")</f>
        <v/>
      </c>
      <c r="BD558" s="40" t="str">
        <f>IF(AND($G558='Povolené hodnoty'!$B$13,$H558=BD$4),SUM($J558,$M558,$P558,$S558),"")</f>
        <v/>
      </c>
      <c r="BE558" s="41" t="str">
        <f>IF(AND($G558='Povolené hodnoty'!$B$13,$H558=BE$4),SUM($J558,$M558,$P558,$S558),"")</f>
        <v/>
      </c>
      <c r="BF558" s="39" t="str">
        <f>IF(AND($G558='Povolené hodnoty'!$B$14,$H558=BF$4),SUM($J558,$M558,$P558,$S558),"")</f>
        <v/>
      </c>
      <c r="BG558" s="458" t="str">
        <f>IF(AND($G558='Povolené hodnoty'!$B$14,$H558=BG$4),SUM($J558,$M558,$P558,$S558),"")</f>
        <v/>
      </c>
      <c r="BH558" s="458" t="str">
        <f>IF(AND($G558='Povolené hodnoty'!$B$14,$H558=BH$4),SUM($J558,$M558,$P558,$S558),"")</f>
        <v/>
      </c>
      <c r="BI558" s="458" t="str">
        <f>IF(AND($G558='Povolené hodnoty'!$B$14,$H558=BI$4),SUM($J558,$M558,$P558,$S558),"")</f>
        <v/>
      </c>
      <c r="BJ558" s="458" t="str">
        <f>IF(AND($G558='Povolené hodnoty'!$B$14,$H558=BJ$4),SUM($J558,$M558,$P558,$S558),"")</f>
        <v/>
      </c>
      <c r="BK558" s="40" t="str">
        <f>IF(AND($G558='Povolené hodnoty'!$B$14,$H558=BK$4),SUM($J558,$M558,$P558,$S558),"")</f>
        <v/>
      </c>
      <c r="BL558" s="40" t="str">
        <f>IF(AND($G558='Povolené hodnoty'!$B$14,$H558=BL$4),SUM($J558,$M558,$P558,$S558),"")</f>
        <v/>
      </c>
      <c r="BM558" s="41" t="str">
        <f>IF(AND($G558='Povolené hodnoty'!$B$14,$H558=BM$4),SUM($J558,$M558,$P558,$S558),"")</f>
        <v/>
      </c>
      <c r="BO558" s="18" t="b">
        <f t="shared" si="316"/>
        <v>0</v>
      </c>
      <c r="BP558" s="18" t="b">
        <f t="shared" si="287"/>
        <v>0</v>
      </c>
      <c r="BQ558" s="18" t="b">
        <f>AND(E558&lt;&gt;'Povolené hodnoty'!$B$6,F558&lt;&gt;'Povolené hodnoty'!$D$7,F558&lt;&gt;'Povolené hodnoty'!$D$8,OR(SUM(I558,L558,O558,R558)&lt;&gt;SUM(W558:X558,AA558:AG558),SUM(J558,M558,P558,S558)&lt;&gt;SUM(Y558:Z558,AH558:AK558),COUNT(I558:J558,L558:M558,O558:P558,R558:S558)&lt;&gt;COUNT(W558:AK558)))</f>
        <v>0</v>
      </c>
      <c r="BR558" s="18" t="b">
        <f>OR(AND(E558='Povolené hodnoty'!$B$6,$BR$5),AND(E558='Povolené hodnoty'!$B$6,H558&lt;&gt;'Povolené hodnoty'!$E$26,H558&lt;&gt;'Povolené hodnoty'!$E$35),AND(E558&lt;&gt;'Povolené hodnoty'!$B$6,OR(H558='Povolené hodnoty'!$E$26,H558='Povolené hodnoty'!$E$35)))</f>
        <v>0</v>
      </c>
      <c r="BS558" s="18" t="b">
        <f>OR(AND(G558&lt;&gt;'Povolené hodnoty'!$B$13,OR(H558='Povolené hodnoty'!$E$21,H558='Povolené hodnoty'!$E$22,H558='Povolené hodnoty'!$E$23,H558='Povolené hodnoty'!$E$24,H558='Povolené hodnoty'!$E$26,H558='Povolené hodnoty'!$E$36)),COUNT(I558:J558,L558:M558,O558:P558,R558:S558)&lt;&gt;COUNT(AL558:BM558))</f>
        <v>0</v>
      </c>
      <c r="BT558" s="18" t="b">
        <f t="shared" si="288"/>
        <v>0</v>
      </c>
      <c r="BV558" s="39" t="str">
        <f t="shared" si="289"/>
        <v/>
      </c>
      <c r="BW558" s="458" t="str">
        <f t="shared" si="290"/>
        <v/>
      </c>
      <c r="BX558" s="458" t="str">
        <f t="shared" si="291"/>
        <v/>
      </c>
      <c r="BY558" s="458" t="str">
        <f t="shared" si="292"/>
        <v/>
      </c>
      <c r="BZ558" s="458" t="str">
        <f t="shared" si="293"/>
        <v/>
      </c>
      <c r="CA558" s="40" t="str">
        <f t="shared" si="294"/>
        <v/>
      </c>
      <c r="CB558" s="40" t="str">
        <f t="shared" si="295"/>
        <v/>
      </c>
      <c r="CC558" s="39" t="str">
        <f t="shared" si="296"/>
        <v/>
      </c>
      <c r="CD558" s="458" t="str">
        <f t="shared" si="297"/>
        <v/>
      </c>
      <c r="CE558" s="41" t="str">
        <f t="shared" si="298"/>
        <v/>
      </c>
      <c r="CF558" s="39" t="str">
        <f t="shared" si="299"/>
        <v/>
      </c>
      <c r="CG558" s="458" t="str">
        <f t="shared" si="300"/>
        <v/>
      </c>
      <c r="CH558" s="458" t="str">
        <f t="shared" si="301"/>
        <v/>
      </c>
      <c r="CI558" s="458" t="str">
        <f t="shared" si="302"/>
        <v/>
      </c>
      <c r="CJ558" s="458" t="str">
        <f t="shared" si="303"/>
        <v/>
      </c>
      <c r="CK558" s="40" t="str">
        <f t="shared" si="304"/>
        <v/>
      </c>
      <c r="CL558" s="40" t="str">
        <f t="shared" si="305"/>
        <v/>
      </c>
      <c r="CM558" s="40" t="str">
        <f t="shared" si="306"/>
        <v/>
      </c>
      <c r="CN558" s="39" t="str">
        <f t="shared" si="307"/>
        <v/>
      </c>
      <c r="CO558" s="458" t="str">
        <f t="shared" si="308"/>
        <v/>
      </c>
      <c r="CP558" s="458" t="str">
        <f t="shared" si="309"/>
        <v/>
      </c>
      <c r="CQ558" s="458" t="str">
        <f t="shared" si="310"/>
        <v/>
      </c>
      <c r="CR558" s="458" t="str">
        <f t="shared" si="311"/>
        <v/>
      </c>
      <c r="CS558" s="40" t="str">
        <f t="shared" si="312"/>
        <v/>
      </c>
      <c r="CT558" s="40" t="str">
        <f t="shared" si="313"/>
        <v/>
      </c>
      <c r="CU558" s="41" t="str">
        <f t="shared" si="314"/>
        <v/>
      </c>
    </row>
    <row r="559" spans="1:99" x14ac:dyDescent="0.2">
      <c r="A559" s="77">
        <f t="shared" si="315"/>
        <v>554</v>
      </c>
      <c r="B559" s="81"/>
      <c r="C559" s="82"/>
      <c r="D559" s="71"/>
      <c r="E559" s="72"/>
      <c r="F559" s="73"/>
      <c r="G559" s="443"/>
      <c r="H559" s="443"/>
      <c r="I559" s="74"/>
      <c r="J559" s="75"/>
      <c r="K559" s="41">
        <f t="shared" si="319"/>
        <v>3625</v>
      </c>
      <c r="L559" s="104"/>
      <c r="M559" s="105"/>
      <c r="N559" s="106">
        <f t="shared" si="320"/>
        <v>537.05999999999995</v>
      </c>
      <c r="O559" s="104"/>
      <c r="P559" s="105"/>
      <c r="Q559" s="106">
        <f t="shared" si="317"/>
        <v>10045.83</v>
      </c>
      <c r="R559" s="104"/>
      <c r="S559" s="105"/>
      <c r="T559" s="106">
        <f t="shared" si="318"/>
        <v>0</v>
      </c>
      <c r="U559" s="439"/>
      <c r="V559" s="42">
        <f t="shared" si="286"/>
        <v>554</v>
      </c>
      <c r="W559" s="39" t="str">
        <f>IF(AND(E559='Povolené hodnoty'!$B$4,F559=2),I559+L559+O559+R559,"")</f>
        <v/>
      </c>
      <c r="X559" s="41" t="str">
        <f>IF(AND(E559='Povolené hodnoty'!$B$4,F559=1),I559+L559+O559+R559,"")</f>
        <v/>
      </c>
      <c r="Y559" s="39" t="str">
        <f>IF(AND(E559='Povolené hodnoty'!$B$4,F559=10),J559+M559+P559+S559,"")</f>
        <v/>
      </c>
      <c r="Z559" s="41" t="str">
        <f>IF(AND(E559='Povolené hodnoty'!$B$4,F559=9),J559+M559+P559+S559,"")</f>
        <v/>
      </c>
      <c r="AA559" s="39" t="str">
        <f>IF(AND(E559&lt;&gt;'Povolené hodnoty'!$B$4,F559=2),I559+L559+O559+R559,"")</f>
        <v/>
      </c>
      <c r="AB559" s="40" t="str">
        <f>IF(AND(E559&lt;&gt;'Povolené hodnoty'!$B$4,F559=3),I559+L559+O559+R559,"")</f>
        <v/>
      </c>
      <c r="AC559" s="40" t="str">
        <f>IF(AND(E559&lt;&gt;'Povolené hodnoty'!$B$4,F559=4),I559+L559+O559+R559,"")</f>
        <v/>
      </c>
      <c r="AD559" s="40" t="str">
        <f>IF(AND(E559&lt;&gt;'Povolené hodnoty'!$B$4,F559="5a"),I559-J559+L559-M559+O559-P559+R559-S559,"")</f>
        <v/>
      </c>
      <c r="AE559" s="40" t="str">
        <f>IF(AND(E559&lt;&gt;'Povolené hodnoty'!$B$4,F559="5b"),I559-J559+L559-M559+O559-P559+R559-S559,"")</f>
        <v/>
      </c>
      <c r="AF559" s="40" t="str">
        <f>IF(AND(E559&lt;&gt;'Povolené hodnoty'!$B$4,F559=6),I559+L559+O559+R559,"")</f>
        <v/>
      </c>
      <c r="AG559" s="41" t="str">
        <f>IF(AND(E559&lt;&gt;'Povolené hodnoty'!$B$4,F559=7),I559+L559+O559+R559,"")</f>
        <v/>
      </c>
      <c r="AH559" s="39" t="str">
        <f>IF(AND(E559&lt;&gt;'Povolené hodnoty'!$B$4,F559=10),J559+M559+P559+S559,"")</f>
        <v/>
      </c>
      <c r="AI559" s="40" t="str">
        <f>IF(AND(E559&lt;&gt;'Povolené hodnoty'!$B$4,F559=11),J559+M559+P559+S559,"")</f>
        <v/>
      </c>
      <c r="AJ559" s="40" t="str">
        <f>IF(AND(E559&lt;&gt;'Povolené hodnoty'!$B$4,F559=12),J559+M559+P559+S559,"")</f>
        <v/>
      </c>
      <c r="AK559" s="41" t="str">
        <f>IF(AND(E559&lt;&gt;'Povolené hodnoty'!$B$4,F559=13),J559+M559+P559+S559,"")</f>
        <v/>
      </c>
      <c r="AL559" s="39" t="str">
        <f>IF(AND($G559='Povolené hodnoty'!$B$13,$H559=AL$4),SUM($I559,$L559,$O559,$R559),"")</f>
        <v/>
      </c>
      <c r="AM559" s="458" t="str">
        <f>IF(AND($G559='Povolené hodnoty'!$B$13,$H559=AM$4),SUM($I559,$L559,$O559,$R559),"")</f>
        <v/>
      </c>
      <c r="AN559" s="458" t="str">
        <f>IF(AND($G559='Povolené hodnoty'!$B$13,$H559=AN$4),SUM($I559,$L559,$O559,$R559),"")</f>
        <v/>
      </c>
      <c r="AO559" s="458" t="str">
        <f>IF(AND($G559='Povolené hodnoty'!$B$13,$H559=AO$4),SUM($I559,$L559,$O559,$R559),"")</f>
        <v/>
      </c>
      <c r="AP559" s="458" t="str">
        <f>IF(AND($G559='Povolené hodnoty'!$B$13,$H559=AP$4),SUM($I559,$L559,$O559,$R559),"")</f>
        <v/>
      </c>
      <c r="AQ559" s="40" t="str">
        <f>IF(AND($G559='Povolené hodnoty'!$B$13,OR($H559=AQ$4,$H559='Povolené hodnoty'!$E$36)),SUM($I559,-$J559,$L559,-$M559,$O559,-$P559,$R559,-$S559),"")</f>
        <v/>
      </c>
      <c r="AR559" s="40" t="str">
        <f>IF(AND($G559='Povolené hodnoty'!$B$13,$H559=AR$4),SUM($I559,$L559,$O559,$R559),"")</f>
        <v/>
      </c>
      <c r="AS559" s="41" t="str">
        <f>IF(AND($G559='Povolené hodnoty'!$B$13,$H559=AS$4),SUM($I559,$L559,$O559,$R559),"")</f>
        <v/>
      </c>
      <c r="AT559" s="39" t="str">
        <f>IF(AND($G559='Povolené hodnoty'!$B$14,$H559=AT$4),SUM($I559,$L559,$O559,$R559),"")</f>
        <v/>
      </c>
      <c r="AU559" s="458" t="str">
        <f>IF(AND($G559='Povolené hodnoty'!$B$14,$H559=AU$4),SUM($I559,$L559,$O559,$R559),"")</f>
        <v/>
      </c>
      <c r="AV559" s="41" t="str">
        <f>IF(AND($G559='Povolené hodnoty'!$B$14,$H559=AV$4),SUM($I559,$L559,$O559,$R559),"")</f>
        <v/>
      </c>
      <c r="AW559" s="39" t="str">
        <f>IF(AND($G559='Povolené hodnoty'!$B$13,$H559=AW$4),SUM($J559,$M559,$P559,$S559),"")</f>
        <v/>
      </c>
      <c r="AX559" s="458" t="str">
        <f>IF(AND($G559='Povolené hodnoty'!$B$13,$H559=AX$4),SUM($J559,$M559,$P559,$S559),"")</f>
        <v/>
      </c>
      <c r="AY559" s="458" t="str">
        <f>IF(AND($G559='Povolené hodnoty'!$B$13,$H559=AY$4),SUM($J559,$M559,$P559,$S559),"")</f>
        <v/>
      </c>
      <c r="AZ559" s="458" t="str">
        <f>IF(AND($G559='Povolené hodnoty'!$B$13,$H559=AZ$4),SUM($J559,$M559,$P559,$S559),"")</f>
        <v/>
      </c>
      <c r="BA559" s="458" t="str">
        <f>IF(AND($G559='Povolené hodnoty'!$B$13,$H559=BA$4),SUM($J559,$M559,$P559,$S559),"")</f>
        <v/>
      </c>
      <c r="BB559" s="40" t="str">
        <f>IF(AND($G559='Povolené hodnoty'!$B$13,$H559=BB$4),SUM($J559,$M559,$P559,$S559),"")</f>
        <v/>
      </c>
      <c r="BC559" s="40" t="str">
        <f>IF(AND($G559='Povolené hodnoty'!$B$13,$H559=BC$4),SUM($J559,$M559,$P559,$S559),"")</f>
        <v/>
      </c>
      <c r="BD559" s="40" t="str">
        <f>IF(AND($G559='Povolené hodnoty'!$B$13,$H559=BD$4),SUM($J559,$M559,$P559,$S559),"")</f>
        <v/>
      </c>
      <c r="BE559" s="41" t="str">
        <f>IF(AND($G559='Povolené hodnoty'!$B$13,$H559=BE$4),SUM($J559,$M559,$P559,$S559),"")</f>
        <v/>
      </c>
      <c r="BF559" s="39" t="str">
        <f>IF(AND($G559='Povolené hodnoty'!$B$14,$H559=BF$4),SUM($J559,$M559,$P559,$S559),"")</f>
        <v/>
      </c>
      <c r="BG559" s="458" t="str">
        <f>IF(AND($G559='Povolené hodnoty'!$B$14,$H559=BG$4),SUM($J559,$M559,$P559,$S559),"")</f>
        <v/>
      </c>
      <c r="BH559" s="458" t="str">
        <f>IF(AND($G559='Povolené hodnoty'!$B$14,$H559=BH$4),SUM($J559,$M559,$P559,$S559),"")</f>
        <v/>
      </c>
      <c r="BI559" s="458" t="str">
        <f>IF(AND($G559='Povolené hodnoty'!$B$14,$H559=BI$4),SUM($J559,$M559,$P559,$S559),"")</f>
        <v/>
      </c>
      <c r="BJ559" s="458" t="str">
        <f>IF(AND($G559='Povolené hodnoty'!$B$14,$H559=BJ$4),SUM($J559,$M559,$P559,$S559),"")</f>
        <v/>
      </c>
      <c r="BK559" s="40" t="str">
        <f>IF(AND($G559='Povolené hodnoty'!$B$14,$H559=BK$4),SUM($J559,$M559,$P559,$S559),"")</f>
        <v/>
      </c>
      <c r="BL559" s="40" t="str">
        <f>IF(AND($G559='Povolené hodnoty'!$B$14,$H559=BL$4),SUM($J559,$M559,$P559,$S559),"")</f>
        <v/>
      </c>
      <c r="BM559" s="41" t="str">
        <f>IF(AND($G559='Povolené hodnoty'!$B$14,$H559=BM$4),SUM($J559,$M559,$P559,$S559),"")</f>
        <v/>
      </c>
      <c r="BO559" s="18" t="b">
        <f t="shared" si="316"/>
        <v>0</v>
      </c>
      <c r="BP559" s="18" t="b">
        <f t="shared" si="287"/>
        <v>0</v>
      </c>
      <c r="BQ559" s="18" t="b">
        <f>AND(E559&lt;&gt;'Povolené hodnoty'!$B$6,F559&lt;&gt;'Povolené hodnoty'!$D$7,F559&lt;&gt;'Povolené hodnoty'!$D$8,OR(SUM(I559,L559,O559,R559)&lt;&gt;SUM(W559:X559,AA559:AG559),SUM(J559,M559,P559,S559)&lt;&gt;SUM(Y559:Z559,AH559:AK559),COUNT(I559:J559,L559:M559,O559:P559,R559:S559)&lt;&gt;COUNT(W559:AK559)))</f>
        <v>0</v>
      </c>
      <c r="BR559" s="18" t="b">
        <f>OR(AND(E559='Povolené hodnoty'!$B$6,$BR$5),AND(E559='Povolené hodnoty'!$B$6,H559&lt;&gt;'Povolené hodnoty'!$E$26,H559&lt;&gt;'Povolené hodnoty'!$E$35),AND(E559&lt;&gt;'Povolené hodnoty'!$B$6,OR(H559='Povolené hodnoty'!$E$26,H559='Povolené hodnoty'!$E$35)))</f>
        <v>0</v>
      </c>
      <c r="BS559" s="18" t="b">
        <f>OR(AND(G559&lt;&gt;'Povolené hodnoty'!$B$13,OR(H559='Povolené hodnoty'!$E$21,H559='Povolené hodnoty'!$E$22,H559='Povolené hodnoty'!$E$23,H559='Povolené hodnoty'!$E$24,H559='Povolené hodnoty'!$E$26,H559='Povolené hodnoty'!$E$36)),COUNT(I559:J559,L559:M559,O559:P559,R559:S559)&lt;&gt;COUNT(AL559:BM559))</f>
        <v>0</v>
      </c>
      <c r="BT559" s="18" t="b">
        <f t="shared" si="288"/>
        <v>0</v>
      </c>
      <c r="BV559" s="39" t="str">
        <f t="shared" si="289"/>
        <v/>
      </c>
      <c r="BW559" s="458" t="str">
        <f t="shared" si="290"/>
        <v/>
      </c>
      <c r="BX559" s="458" t="str">
        <f t="shared" si="291"/>
        <v/>
      </c>
      <c r="BY559" s="458" t="str">
        <f t="shared" si="292"/>
        <v/>
      </c>
      <c r="BZ559" s="458" t="str">
        <f t="shared" si="293"/>
        <v/>
      </c>
      <c r="CA559" s="40" t="str">
        <f t="shared" si="294"/>
        <v/>
      </c>
      <c r="CB559" s="40" t="str">
        <f t="shared" si="295"/>
        <v/>
      </c>
      <c r="CC559" s="39" t="str">
        <f t="shared" si="296"/>
        <v/>
      </c>
      <c r="CD559" s="458" t="str">
        <f t="shared" si="297"/>
        <v/>
      </c>
      <c r="CE559" s="41" t="str">
        <f t="shared" si="298"/>
        <v/>
      </c>
      <c r="CF559" s="39" t="str">
        <f t="shared" si="299"/>
        <v/>
      </c>
      <c r="CG559" s="458" t="str">
        <f t="shared" si="300"/>
        <v/>
      </c>
      <c r="CH559" s="458" t="str">
        <f t="shared" si="301"/>
        <v/>
      </c>
      <c r="CI559" s="458" t="str">
        <f t="shared" si="302"/>
        <v/>
      </c>
      <c r="CJ559" s="458" t="str">
        <f t="shared" si="303"/>
        <v/>
      </c>
      <c r="CK559" s="40" t="str">
        <f t="shared" si="304"/>
        <v/>
      </c>
      <c r="CL559" s="40" t="str">
        <f t="shared" si="305"/>
        <v/>
      </c>
      <c r="CM559" s="40" t="str">
        <f t="shared" si="306"/>
        <v/>
      </c>
      <c r="CN559" s="39" t="str">
        <f t="shared" si="307"/>
        <v/>
      </c>
      <c r="CO559" s="458" t="str">
        <f t="shared" si="308"/>
        <v/>
      </c>
      <c r="CP559" s="458" t="str">
        <f t="shared" si="309"/>
        <v/>
      </c>
      <c r="CQ559" s="458" t="str">
        <f t="shared" si="310"/>
        <v/>
      </c>
      <c r="CR559" s="458" t="str">
        <f t="shared" si="311"/>
        <v/>
      </c>
      <c r="CS559" s="40" t="str">
        <f t="shared" si="312"/>
        <v/>
      </c>
      <c r="CT559" s="40" t="str">
        <f t="shared" si="313"/>
        <v/>
      </c>
      <c r="CU559" s="41" t="str">
        <f t="shared" si="314"/>
        <v/>
      </c>
    </row>
    <row r="560" spans="1:99" x14ac:dyDescent="0.2">
      <c r="A560" s="77">
        <f t="shared" si="315"/>
        <v>555</v>
      </c>
      <c r="B560" s="81"/>
      <c r="C560" s="82"/>
      <c r="D560" s="71"/>
      <c r="E560" s="72"/>
      <c r="F560" s="73"/>
      <c r="G560" s="443"/>
      <c r="H560" s="443"/>
      <c r="I560" s="74"/>
      <c r="J560" s="75"/>
      <c r="K560" s="41">
        <f t="shared" si="319"/>
        <v>3625</v>
      </c>
      <c r="L560" s="104"/>
      <c r="M560" s="105"/>
      <c r="N560" s="106">
        <f t="shared" si="320"/>
        <v>537.05999999999995</v>
      </c>
      <c r="O560" s="104"/>
      <c r="P560" s="105"/>
      <c r="Q560" s="106">
        <f t="shared" si="317"/>
        <v>10045.83</v>
      </c>
      <c r="R560" s="104"/>
      <c r="S560" s="105"/>
      <c r="T560" s="106">
        <f t="shared" si="318"/>
        <v>0</v>
      </c>
      <c r="U560" s="439"/>
      <c r="V560" s="42">
        <f t="shared" si="286"/>
        <v>555</v>
      </c>
      <c r="W560" s="39" t="str">
        <f>IF(AND(E560='Povolené hodnoty'!$B$4,F560=2),I560+L560+O560+R560,"")</f>
        <v/>
      </c>
      <c r="X560" s="41" t="str">
        <f>IF(AND(E560='Povolené hodnoty'!$B$4,F560=1),I560+L560+O560+R560,"")</f>
        <v/>
      </c>
      <c r="Y560" s="39" t="str">
        <f>IF(AND(E560='Povolené hodnoty'!$B$4,F560=10),J560+M560+P560+S560,"")</f>
        <v/>
      </c>
      <c r="Z560" s="41" t="str">
        <f>IF(AND(E560='Povolené hodnoty'!$B$4,F560=9),J560+M560+P560+S560,"")</f>
        <v/>
      </c>
      <c r="AA560" s="39" t="str">
        <f>IF(AND(E560&lt;&gt;'Povolené hodnoty'!$B$4,F560=2),I560+L560+O560+R560,"")</f>
        <v/>
      </c>
      <c r="AB560" s="40" t="str">
        <f>IF(AND(E560&lt;&gt;'Povolené hodnoty'!$B$4,F560=3),I560+L560+O560+R560,"")</f>
        <v/>
      </c>
      <c r="AC560" s="40" t="str">
        <f>IF(AND(E560&lt;&gt;'Povolené hodnoty'!$B$4,F560=4),I560+L560+O560+R560,"")</f>
        <v/>
      </c>
      <c r="AD560" s="40" t="str">
        <f>IF(AND(E560&lt;&gt;'Povolené hodnoty'!$B$4,F560="5a"),I560-J560+L560-M560+O560-P560+R560-S560,"")</f>
        <v/>
      </c>
      <c r="AE560" s="40" t="str">
        <f>IF(AND(E560&lt;&gt;'Povolené hodnoty'!$B$4,F560="5b"),I560-J560+L560-M560+O560-P560+R560-S560,"")</f>
        <v/>
      </c>
      <c r="AF560" s="40" t="str">
        <f>IF(AND(E560&lt;&gt;'Povolené hodnoty'!$B$4,F560=6),I560+L560+O560+R560,"")</f>
        <v/>
      </c>
      <c r="AG560" s="41" t="str">
        <f>IF(AND(E560&lt;&gt;'Povolené hodnoty'!$B$4,F560=7),I560+L560+O560+R560,"")</f>
        <v/>
      </c>
      <c r="AH560" s="39" t="str">
        <f>IF(AND(E560&lt;&gt;'Povolené hodnoty'!$B$4,F560=10),J560+M560+P560+S560,"")</f>
        <v/>
      </c>
      <c r="AI560" s="40" t="str">
        <f>IF(AND(E560&lt;&gt;'Povolené hodnoty'!$B$4,F560=11),J560+M560+P560+S560,"")</f>
        <v/>
      </c>
      <c r="AJ560" s="40" t="str">
        <f>IF(AND(E560&lt;&gt;'Povolené hodnoty'!$B$4,F560=12),J560+M560+P560+S560,"")</f>
        <v/>
      </c>
      <c r="AK560" s="41" t="str">
        <f>IF(AND(E560&lt;&gt;'Povolené hodnoty'!$B$4,F560=13),J560+M560+P560+S560,"")</f>
        <v/>
      </c>
      <c r="AL560" s="39" t="str">
        <f>IF(AND($G560='Povolené hodnoty'!$B$13,$H560=AL$4),SUM($I560,$L560,$O560,$R560),"")</f>
        <v/>
      </c>
      <c r="AM560" s="458" t="str">
        <f>IF(AND($G560='Povolené hodnoty'!$B$13,$H560=AM$4),SUM($I560,$L560,$O560,$R560),"")</f>
        <v/>
      </c>
      <c r="AN560" s="458" t="str">
        <f>IF(AND($G560='Povolené hodnoty'!$B$13,$H560=AN$4),SUM($I560,$L560,$O560,$R560),"")</f>
        <v/>
      </c>
      <c r="AO560" s="458" t="str">
        <f>IF(AND($G560='Povolené hodnoty'!$B$13,$H560=AO$4),SUM($I560,$L560,$O560,$R560),"")</f>
        <v/>
      </c>
      <c r="AP560" s="458" t="str">
        <f>IF(AND($G560='Povolené hodnoty'!$B$13,$H560=AP$4),SUM($I560,$L560,$O560,$R560),"")</f>
        <v/>
      </c>
      <c r="AQ560" s="40" t="str">
        <f>IF(AND($G560='Povolené hodnoty'!$B$13,OR($H560=AQ$4,$H560='Povolené hodnoty'!$E$36)),SUM($I560,-$J560,$L560,-$M560,$O560,-$P560,$R560,-$S560),"")</f>
        <v/>
      </c>
      <c r="AR560" s="40" t="str">
        <f>IF(AND($G560='Povolené hodnoty'!$B$13,$H560=AR$4),SUM($I560,$L560,$O560,$R560),"")</f>
        <v/>
      </c>
      <c r="AS560" s="41" t="str">
        <f>IF(AND($G560='Povolené hodnoty'!$B$13,$H560=AS$4),SUM($I560,$L560,$O560,$R560),"")</f>
        <v/>
      </c>
      <c r="AT560" s="39" t="str">
        <f>IF(AND($G560='Povolené hodnoty'!$B$14,$H560=AT$4),SUM($I560,$L560,$O560,$R560),"")</f>
        <v/>
      </c>
      <c r="AU560" s="458" t="str">
        <f>IF(AND($G560='Povolené hodnoty'!$B$14,$H560=AU$4),SUM($I560,$L560,$O560,$R560),"")</f>
        <v/>
      </c>
      <c r="AV560" s="41" t="str">
        <f>IF(AND($G560='Povolené hodnoty'!$B$14,$H560=AV$4),SUM($I560,$L560,$O560,$R560),"")</f>
        <v/>
      </c>
      <c r="AW560" s="39" t="str">
        <f>IF(AND($G560='Povolené hodnoty'!$B$13,$H560=AW$4),SUM($J560,$M560,$P560,$S560),"")</f>
        <v/>
      </c>
      <c r="AX560" s="458" t="str">
        <f>IF(AND($G560='Povolené hodnoty'!$B$13,$H560=AX$4),SUM($J560,$M560,$P560,$S560),"")</f>
        <v/>
      </c>
      <c r="AY560" s="458" t="str">
        <f>IF(AND($G560='Povolené hodnoty'!$B$13,$H560=AY$4),SUM($J560,$M560,$P560,$S560),"")</f>
        <v/>
      </c>
      <c r="AZ560" s="458" t="str">
        <f>IF(AND($G560='Povolené hodnoty'!$B$13,$H560=AZ$4),SUM($J560,$M560,$P560,$S560),"")</f>
        <v/>
      </c>
      <c r="BA560" s="458" t="str">
        <f>IF(AND($G560='Povolené hodnoty'!$B$13,$H560=BA$4),SUM($J560,$M560,$P560,$S560),"")</f>
        <v/>
      </c>
      <c r="BB560" s="40" t="str">
        <f>IF(AND($G560='Povolené hodnoty'!$B$13,$H560=BB$4),SUM($J560,$M560,$P560,$S560),"")</f>
        <v/>
      </c>
      <c r="BC560" s="40" t="str">
        <f>IF(AND($G560='Povolené hodnoty'!$B$13,$H560=BC$4),SUM($J560,$M560,$P560,$S560),"")</f>
        <v/>
      </c>
      <c r="BD560" s="40" t="str">
        <f>IF(AND($G560='Povolené hodnoty'!$B$13,$H560=BD$4),SUM($J560,$M560,$P560,$S560),"")</f>
        <v/>
      </c>
      <c r="BE560" s="41" t="str">
        <f>IF(AND($G560='Povolené hodnoty'!$B$13,$H560=BE$4),SUM($J560,$M560,$P560,$S560),"")</f>
        <v/>
      </c>
      <c r="BF560" s="39" t="str">
        <f>IF(AND($G560='Povolené hodnoty'!$B$14,$H560=BF$4),SUM($J560,$M560,$P560,$S560),"")</f>
        <v/>
      </c>
      <c r="BG560" s="458" t="str">
        <f>IF(AND($G560='Povolené hodnoty'!$B$14,$H560=BG$4),SUM($J560,$M560,$P560,$S560),"")</f>
        <v/>
      </c>
      <c r="BH560" s="458" t="str">
        <f>IF(AND($G560='Povolené hodnoty'!$B$14,$H560=BH$4),SUM($J560,$M560,$P560,$S560),"")</f>
        <v/>
      </c>
      <c r="BI560" s="458" t="str">
        <f>IF(AND($G560='Povolené hodnoty'!$B$14,$H560=BI$4),SUM($J560,$M560,$P560,$S560),"")</f>
        <v/>
      </c>
      <c r="BJ560" s="458" t="str">
        <f>IF(AND($G560='Povolené hodnoty'!$B$14,$H560=BJ$4),SUM($J560,$M560,$P560,$S560),"")</f>
        <v/>
      </c>
      <c r="BK560" s="40" t="str">
        <f>IF(AND($G560='Povolené hodnoty'!$B$14,$H560=BK$4),SUM($J560,$M560,$P560,$S560),"")</f>
        <v/>
      </c>
      <c r="BL560" s="40" t="str">
        <f>IF(AND($G560='Povolené hodnoty'!$B$14,$H560=BL$4),SUM($J560,$M560,$P560,$S560),"")</f>
        <v/>
      </c>
      <c r="BM560" s="41" t="str">
        <f>IF(AND($G560='Povolené hodnoty'!$B$14,$H560=BM$4),SUM($J560,$M560,$P560,$S560),"")</f>
        <v/>
      </c>
      <c r="BO560" s="18" t="b">
        <f t="shared" si="316"/>
        <v>0</v>
      </c>
      <c r="BP560" s="18" t="b">
        <f t="shared" si="287"/>
        <v>0</v>
      </c>
      <c r="BQ560" s="18" t="b">
        <f>AND(E560&lt;&gt;'Povolené hodnoty'!$B$6,F560&lt;&gt;'Povolené hodnoty'!$D$7,F560&lt;&gt;'Povolené hodnoty'!$D$8,OR(SUM(I560,L560,O560,R560)&lt;&gt;SUM(W560:X560,AA560:AG560),SUM(J560,M560,P560,S560)&lt;&gt;SUM(Y560:Z560,AH560:AK560),COUNT(I560:J560,L560:M560,O560:P560,R560:S560)&lt;&gt;COUNT(W560:AK560)))</f>
        <v>0</v>
      </c>
      <c r="BR560" s="18" t="b">
        <f>OR(AND(E560='Povolené hodnoty'!$B$6,$BR$5),AND(E560='Povolené hodnoty'!$B$6,H560&lt;&gt;'Povolené hodnoty'!$E$26,H560&lt;&gt;'Povolené hodnoty'!$E$35),AND(E560&lt;&gt;'Povolené hodnoty'!$B$6,OR(H560='Povolené hodnoty'!$E$26,H560='Povolené hodnoty'!$E$35)))</f>
        <v>0</v>
      </c>
      <c r="BS560" s="18" t="b">
        <f>OR(AND(G560&lt;&gt;'Povolené hodnoty'!$B$13,OR(H560='Povolené hodnoty'!$E$21,H560='Povolené hodnoty'!$E$22,H560='Povolené hodnoty'!$E$23,H560='Povolené hodnoty'!$E$24,H560='Povolené hodnoty'!$E$26,H560='Povolené hodnoty'!$E$36)),COUNT(I560:J560,L560:M560,O560:P560,R560:S560)&lt;&gt;COUNT(AL560:BM560))</f>
        <v>0</v>
      </c>
      <c r="BT560" s="18" t="b">
        <f t="shared" si="288"/>
        <v>0</v>
      </c>
      <c r="BV560" s="39" t="str">
        <f t="shared" si="289"/>
        <v/>
      </c>
      <c r="BW560" s="458" t="str">
        <f t="shared" si="290"/>
        <v/>
      </c>
      <c r="BX560" s="458" t="str">
        <f t="shared" si="291"/>
        <v/>
      </c>
      <c r="BY560" s="458" t="str">
        <f t="shared" si="292"/>
        <v/>
      </c>
      <c r="BZ560" s="458" t="str">
        <f t="shared" si="293"/>
        <v/>
      </c>
      <c r="CA560" s="40" t="str">
        <f t="shared" si="294"/>
        <v/>
      </c>
      <c r="CB560" s="40" t="str">
        <f t="shared" si="295"/>
        <v/>
      </c>
      <c r="CC560" s="39" t="str">
        <f t="shared" si="296"/>
        <v/>
      </c>
      <c r="CD560" s="458" t="str">
        <f t="shared" si="297"/>
        <v/>
      </c>
      <c r="CE560" s="41" t="str">
        <f t="shared" si="298"/>
        <v/>
      </c>
      <c r="CF560" s="39" t="str">
        <f t="shared" si="299"/>
        <v/>
      </c>
      <c r="CG560" s="458" t="str">
        <f t="shared" si="300"/>
        <v/>
      </c>
      <c r="CH560" s="458" t="str">
        <f t="shared" si="301"/>
        <v/>
      </c>
      <c r="CI560" s="458" t="str">
        <f t="shared" si="302"/>
        <v/>
      </c>
      <c r="CJ560" s="458" t="str">
        <f t="shared" si="303"/>
        <v/>
      </c>
      <c r="CK560" s="40" t="str">
        <f t="shared" si="304"/>
        <v/>
      </c>
      <c r="CL560" s="40" t="str">
        <f t="shared" si="305"/>
        <v/>
      </c>
      <c r="CM560" s="40" t="str">
        <f t="shared" si="306"/>
        <v/>
      </c>
      <c r="CN560" s="39" t="str">
        <f t="shared" si="307"/>
        <v/>
      </c>
      <c r="CO560" s="458" t="str">
        <f t="shared" si="308"/>
        <v/>
      </c>
      <c r="CP560" s="458" t="str">
        <f t="shared" si="309"/>
        <v/>
      </c>
      <c r="CQ560" s="458" t="str">
        <f t="shared" si="310"/>
        <v/>
      </c>
      <c r="CR560" s="458" t="str">
        <f t="shared" si="311"/>
        <v/>
      </c>
      <c r="CS560" s="40" t="str">
        <f t="shared" si="312"/>
        <v/>
      </c>
      <c r="CT560" s="40" t="str">
        <f t="shared" si="313"/>
        <v/>
      </c>
      <c r="CU560" s="41" t="str">
        <f t="shared" si="314"/>
        <v/>
      </c>
    </row>
    <row r="561" spans="1:99" x14ac:dyDescent="0.2">
      <c r="A561" s="77">
        <f t="shared" si="315"/>
        <v>556</v>
      </c>
      <c r="B561" s="81"/>
      <c r="C561" s="82"/>
      <c r="D561" s="71"/>
      <c r="E561" s="72"/>
      <c r="F561" s="73"/>
      <c r="G561" s="443"/>
      <c r="H561" s="443"/>
      <c r="I561" s="74"/>
      <c r="J561" s="75"/>
      <c r="K561" s="41">
        <f t="shared" si="319"/>
        <v>3625</v>
      </c>
      <c r="L561" s="104"/>
      <c r="M561" s="105"/>
      <c r="N561" s="106">
        <f t="shared" si="320"/>
        <v>537.05999999999995</v>
      </c>
      <c r="O561" s="104"/>
      <c r="P561" s="105"/>
      <c r="Q561" s="106">
        <f t="shared" si="317"/>
        <v>10045.83</v>
      </c>
      <c r="R561" s="104"/>
      <c r="S561" s="105"/>
      <c r="T561" s="106">
        <f t="shared" si="318"/>
        <v>0</v>
      </c>
      <c r="U561" s="439"/>
      <c r="V561" s="42">
        <f t="shared" si="286"/>
        <v>556</v>
      </c>
      <c r="W561" s="39" t="str">
        <f>IF(AND(E561='Povolené hodnoty'!$B$4,F561=2),I561+L561+O561+R561,"")</f>
        <v/>
      </c>
      <c r="X561" s="41" t="str">
        <f>IF(AND(E561='Povolené hodnoty'!$B$4,F561=1),I561+L561+O561+R561,"")</f>
        <v/>
      </c>
      <c r="Y561" s="39" t="str">
        <f>IF(AND(E561='Povolené hodnoty'!$B$4,F561=10),J561+M561+P561+S561,"")</f>
        <v/>
      </c>
      <c r="Z561" s="41" t="str">
        <f>IF(AND(E561='Povolené hodnoty'!$B$4,F561=9),J561+M561+P561+S561,"")</f>
        <v/>
      </c>
      <c r="AA561" s="39" t="str">
        <f>IF(AND(E561&lt;&gt;'Povolené hodnoty'!$B$4,F561=2),I561+L561+O561+R561,"")</f>
        <v/>
      </c>
      <c r="AB561" s="40" t="str">
        <f>IF(AND(E561&lt;&gt;'Povolené hodnoty'!$B$4,F561=3),I561+L561+O561+R561,"")</f>
        <v/>
      </c>
      <c r="AC561" s="40" t="str">
        <f>IF(AND(E561&lt;&gt;'Povolené hodnoty'!$B$4,F561=4),I561+L561+O561+R561,"")</f>
        <v/>
      </c>
      <c r="AD561" s="40" t="str">
        <f>IF(AND(E561&lt;&gt;'Povolené hodnoty'!$B$4,F561="5a"),I561-J561+L561-M561+O561-P561+R561-S561,"")</f>
        <v/>
      </c>
      <c r="AE561" s="40" t="str">
        <f>IF(AND(E561&lt;&gt;'Povolené hodnoty'!$B$4,F561="5b"),I561-J561+L561-M561+O561-P561+R561-S561,"")</f>
        <v/>
      </c>
      <c r="AF561" s="40" t="str">
        <f>IF(AND(E561&lt;&gt;'Povolené hodnoty'!$B$4,F561=6),I561+L561+O561+R561,"")</f>
        <v/>
      </c>
      <c r="AG561" s="41" t="str">
        <f>IF(AND(E561&lt;&gt;'Povolené hodnoty'!$B$4,F561=7),I561+L561+O561+R561,"")</f>
        <v/>
      </c>
      <c r="AH561" s="39" t="str">
        <f>IF(AND(E561&lt;&gt;'Povolené hodnoty'!$B$4,F561=10),J561+M561+P561+S561,"")</f>
        <v/>
      </c>
      <c r="AI561" s="40" t="str">
        <f>IF(AND(E561&lt;&gt;'Povolené hodnoty'!$B$4,F561=11),J561+M561+P561+S561,"")</f>
        <v/>
      </c>
      <c r="AJ561" s="40" t="str">
        <f>IF(AND(E561&lt;&gt;'Povolené hodnoty'!$B$4,F561=12),J561+M561+P561+S561,"")</f>
        <v/>
      </c>
      <c r="AK561" s="41" t="str">
        <f>IF(AND(E561&lt;&gt;'Povolené hodnoty'!$B$4,F561=13),J561+M561+P561+S561,"")</f>
        <v/>
      </c>
      <c r="AL561" s="39" t="str">
        <f>IF(AND($G561='Povolené hodnoty'!$B$13,$H561=AL$4),SUM($I561,$L561,$O561,$R561),"")</f>
        <v/>
      </c>
      <c r="AM561" s="458" t="str">
        <f>IF(AND($G561='Povolené hodnoty'!$B$13,$H561=AM$4),SUM($I561,$L561,$O561,$R561),"")</f>
        <v/>
      </c>
      <c r="AN561" s="458" t="str">
        <f>IF(AND($G561='Povolené hodnoty'!$B$13,$H561=AN$4),SUM($I561,$L561,$O561,$R561),"")</f>
        <v/>
      </c>
      <c r="AO561" s="458" t="str">
        <f>IF(AND($G561='Povolené hodnoty'!$B$13,$H561=AO$4),SUM($I561,$L561,$O561,$R561),"")</f>
        <v/>
      </c>
      <c r="AP561" s="458" t="str">
        <f>IF(AND($G561='Povolené hodnoty'!$B$13,$H561=AP$4),SUM($I561,$L561,$O561,$R561),"")</f>
        <v/>
      </c>
      <c r="AQ561" s="40" t="str">
        <f>IF(AND($G561='Povolené hodnoty'!$B$13,OR($H561=AQ$4,$H561='Povolené hodnoty'!$E$36)),SUM($I561,-$J561,$L561,-$M561,$O561,-$P561,$R561,-$S561),"")</f>
        <v/>
      </c>
      <c r="AR561" s="40" t="str">
        <f>IF(AND($G561='Povolené hodnoty'!$B$13,$H561=AR$4),SUM($I561,$L561,$O561,$R561),"")</f>
        <v/>
      </c>
      <c r="AS561" s="41" t="str">
        <f>IF(AND($G561='Povolené hodnoty'!$B$13,$H561=AS$4),SUM($I561,$L561,$O561,$R561),"")</f>
        <v/>
      </c>
      <c r="AT561" s="39" t="str">
        <f>IF(AND($G561='Povolené hodnoty'!$B$14,$H561=AT$4),SUM($I561,$L561,$O561,$R561),"")</f>
        <v/>
      </c>
      <c r="AU561" s="458" t="str">
        <f>IF(AND($G561='Povolené hodnoty'!$B$14,$H561=AU$4),SUM($I561,$L561,$O561,$R561),"")</f>
        <v/>
      </c>
      <c r="AV561" s="41" t="str">
        <f>IF(AND($G561='Povolené hodnoty'!$B$14,$H561=AV$4),SUM($I561,$L561,$O561,$R561),"")</f>
        <v/>
      </c>
      <c r="AW561" s="39" t="str">
        <f>IF(AND($G561='Povolené hodnoty'!$B$13,$H561=AW$4),SUM($J561,$M561,$P561,$S561),"")</f>
        <v/>
      </c>
      <c r="AX561" s="458" t="str">
        <f>IF(AND($G561='Povolené hodnoty'!$B$13,$H561=AX$4),SUM($J561,$M561,$P561,$S561),"")</f>
        <v/>
      </c>
      <c r="AY561" s="458" t="str">
        <f>IF(AND($G561='Povolené hodnoty'!$B$13,$H561=AY$4),SUM($J561,$M561,$P561,$S561),"")</f>
        <v/>
      </c>
      <c r="AZ561" s="458" t="str">
        <f>IF(AND($G561='Povolené hodnoty'!$B$13,$H561=AZ$4),SUM($J561,$M561,$P561,$S561),"")</f>
        <v/>
      </c>
      <c r="BA561" s="458" t="str">
        <f>IF(AND($G561='Povolené hodnoty'!$B$13,$H561=BA$4),SUM($J561,$M561,$P561,$S561),"")</f>
        <v/>
      </c>
      <c r="BB561" s="40" t="str">
        <f>IF(AND($G561='Povolené hodnoty'!$B$13,$H561=BB$4),SUM($J561,$M561,$P561,$S561),"")</f>
        <v/>
      </c>
      <c r="BC561" s="40" t="str">
        <f>IF(AND($G561='Povolené hodnoty'!$B$13,$H561=BC$4),SUM($J561,$M561,$P561,$S561),"")</f>
        <v/>
      </c>
      <c r="BD561" s="40" t="str">
        <f>IF(AND($G561='Povolené hodnoty'!$B$13,$H561=BD$4),SUM($J561,$M561,$P561,$S561),"")</f>
        <v/>
      </c>
      <c r="BE561" s="41" t="str">
        <f>IF(AND($G561='Povolené hodnoty'!$B$13,$H561=BE$4),SUM($J561,$M561,$P561,$S561),"")</f>
        <v/>
      </c>
      <c r="BF561" s="39" t="str">
        <f>IF(AND($G561='Povolené hodnoty'!$B$14,$H561=BF$4),SUM($J561,$M561,$P561,$S561),"")</f>
        <v/>
      </c>
      <c r="BG561" s="458" t="str">
        <f>IF(AND($G561='Povolené hodnoty'!$B$14,$H561=BG$4),SUM($J561,$M561,$P561,$S561),"")</f>
        <v/>
      </c>
      <c r="BH561" s="458" t="str">
        <f>IF(AND($G561='Povolené hodnoty'!$B$14,$H561=BH$4),SUM($J561,$M561,$P561,$S561),"")</f>
        <v/>
      </c>
      <c r="BI561" s="458" t="str">
        <f>IF(AND($G561='Povolené hodnoty'!$B$14,$H561=BI$4),SUM($J561,$M561,$P561,$S561),"")</f>
        <v/>
      </c>
      <c r="BJ561" s="458" t="str">
        <f>IF(AND($G561='Povolené hodnoty'!$B$14,$H561=BJ$4),SUM($J561,$M561,$P561,$S561),"")</f>
        <v/>
      </c>
      <c r="BK561" s="40" t="str">
        <f>IF(AND($G561='Povolené hodnoty'!$B$14,$H561=BK$4),SUM($J561,$M561,$P561,$S561),"")</f>
        <v/>
      </c>
      <c r="BL561" s="40" t="str">
        <f>IF(AND($G561='Povolené hodnoty'!$B$14,$H561=BL$4),SUM($J561,$M561,$P561,$S561),"")</f>
        <v/>
      </c>
      <c r="BM561" s="41" t="str">
        <f>IF(AND($G561='Povolené hodnoty'!$B$14,$H561=BM$4),SUM($J561,$M561,$P561,$S561),"")</f>
        <v/>
      </c>
      <c r="BO561" s="18" t="b">
        <f t="shared" si="316"/>
        <v>0</v>
      </c>
      <c r="BP561" s="18" t="b">
        <f t="shared" si="287"/>
        <v>0</v>
      </c>
      <c r="BQ561" s="18" t="b">
        <f>AND(E561&lt;&gt;'Povolené hodnoty'!$B$6,F561&lt;&gt;'Povolené hodnoty'!$D$7,F561&lt;&gt;'Povolené hodnoty'!$D$8,OR(SUM(I561,L561,O561,R561)&lt;&gt;SUM(W561:X561,AA561:AG561),SUM(J561,M561,P561,S561)&lt;&gt;SUM(Y561:Z561,AH561:AK561),COUNT(I561:J561,L561:M561,O561:P561,R561:S561)&lt;&gt;COUNT(W561:AK561)))</f>
        <v>0</v>
      </c>
      <c r="BR561" s="18" t="b">
        <f>OR(AND(E561='Povolené hodnoty'!$B$6,$BR$5),AND(E561='Povolené hodnoty'!$B$6,H561&lt;&gt;'Povolené hodnoty'!$E$26,H561&lt;&gt;'Povolené hodnoty'!$E$35),AND(E561&lt;&gt;'Povolené hodnoty'!$B$6,OR(H561='Povolené hodnoty'!$E$26,H561='Povolené hodnoty'!$E$35)))</f>
        <v>0</v>
      </c>
      <c r="BS561" s="18" t="b">
        <f>OR(AND(G561&lt;&gt;'Povolené hodnoty'!$B$13,OR(H561='Povolené hodnoty'!$E$21,H561='Povolené hodnoty'!$E$22,H561='Povolené hodnoty'!$E$23,H561='Povolené hodnoty'!$E$24,H561='Povolené hodnoty'!$E$26,H561='Povolené hodnoty'!$E$36)),COUNT(I561:J561,L561:M561,O561:P561,R561:S561)&lt;&gt;COUNT(AL561:BM561))</f>
        <v>0</v>
      </c>
      <c r="BT561" s="18" t="b">
        <f t="shared" si="288"/>
        <v>0</v>
      </c>
      <c r="BV561" s="39" t="str">
        <f t="shared" si="289"/>
        <v/>
      </c>
      <c r="BW561" s="458" t="str">
        <f t="shared" si="290"/>
        <v/>
      </c>
      <c r="BX561" s="458" t="str">
        <f t="shared" si="291"/>
        <v/>
      </c>
      <c r="BY561" s="458" t="str">
        <f t="shared" si="292"/>
        <v/>
      </c>
      <c r="BZ561" s="458" t="str">
        <f t="shared" si="293"/>
        <v/>
      </c>
      <c r="CA561" s="40" t="str">
        <f t="shared" si="294"/>
        <v/>
      </c>
      <c r="CB561" s="40" t="str">
        <f t="shared" si="295"/>
        <v/>
      </c>
      <c r="CC561" s="39" t="str">
        <f t="shared" si="296"/>
        <v/>
      </c>
      <c r="CD561" s="458" t="str">
        <f t="shared" si="297"/>
        <v/>
      </c>
      <c r="CE561" s="41" t="str">
        <f t="shared" si="298"/>
        <v/>
      </c>
      <c r="CF561" s="39" t="str">
        <f t="shared" si="299"/>
        <v/>
      </c>
      <c r="CG561" s="458" t="str">
        <f t="shared" si="300"/>
        <v/>
      </c>
      <c r="CH561" s="458" t="str">
        <f t="shared" si="301"/>
        <v/>
      </c>
      <c r="CI561" s="458" t="str">
        <f t="shared" si="302"/>
        <v/>
      </c>
      <c r="CJ561" s="458" t="str">
        <f t="shared" si="303"/>
        <v/>
      </c>
      <c r="CK561" s="40" t="str">
        <f t="shared" si="304"/>
        <v/>
      </c>
      <c r="CL561" s="40" t="str">
        <f t="shared" si="305"/>
        <v/>
      </c>
      <c r="CM561" s="40" t="str">
        <f t="shared" si="306"/>
        <v/>
      </c>
      <c r="CN561" s="39" t="str">
        <f t="shared" si="307"/>
        <v/>
      </c>
      <c r="CO561" s="458" t="str">
        <f t="shared" si="308"/>
        <v/>
      </c>
      <c r="CP561" s="458" t="str">
        <f t="shared" si="309"/>
        <v/>
      </c>
      <c r="CQ561" s="458" t="str">
        <f t="shared" si="310"/>
        <v/>
      </c>
      <c r="CR561" s="458" t="str">
        <f t="shared" si="311"/>
        <v/>
      </c>
      <c r="CS561" s="40" t="str">
        <f t="shared" si="312"/>
        <v/>
      </c>
      <c r="CT561" s="40" t="str">
        <f t="shared" si="313"/>
        <v/>
      </c>
      <c r="CU561" s="41" t="str">
        <f t="shared" si="314"/>
        <v/>
      </c>
    </row>
    <row r="562" spans="1:99" x14ac:dyDescent="0.2">
      <c r="A562" s="77">
        <f t="shared" si="315"/>
        <v>557</v>
      </c>
      <c r="B562" s="81"/>
      <c r="C562" s="82"/>
      <c r="D562" s="71"/>
      <c r="E562" s="72"/>
      <c r="F562" s="73"/>
      <c r="G562" s="443"/>
      <c r="H562" s="443"/>
      <c r="I562" s="74"/>
      <c r="J562" s="75"/>
      <c r="K562" s="41">
        <f t="shared" si="319"/>
        <v>3625</v>
      </c>
      <c r="L562" s="104"/>
      <c r="M562" s="105"/>
      <c r="N562" s="106">
        <f t="shared" si="320"/>
        <v>537.05999999999995</v>
      </c>
      <c r="O562" s="104"/>
      <c r="P562" s="105"/>
      <c r="Q562" s="106">
        <f t="shared" si="317"/>
        <v>10045.83</v>
      </c>
      <c r="R562" s="104"/>
      <c r="S562" s="105"/>
      <c r="T562" s="106">
        <f t="shared" si="318"/>
        <v>0</v>
      </c>
      <c r="U562" s="439"/>
      <c r="V562" s="42">
        <f t="shared" si="286"/>
        <v>557</v>
      </c>
      <c r="W562" s="39" t="str">
        <f>IF(AND(E562='Povolené hodnoty'!$B$4,F562=2),I562+L562+O562+R562,"")</f>
        <v/>
      </c>
      <c r="X562" s="41" t="str">
        <f>IF(AND(E562='Povolené hodnoty'!$B$4,F562=1),I562+L562+O562+R562,"")</f>
        <v/>
      </c>
      <c r="Y562" s="39" t="str">
        <f>IF(AND(E562='Povolené hodnoty'!$B$4,F562=10),J562+M562+P562+S562,"")</f>
        <v/>
      </c>
      <c r="Z562" s="41" t="str">
        <f>IF(AND(E562='Povolené hodnoty'!$B$4,F562=9),J562+M562+P562+S562,"")</f>
        <v/>
      </c>
      <c r="AA562" s="39" t="str">
        <f>IF(AND(E562&lt;&gt;'Povolené hodnoty'!$B$4,F562=2),I562+L562+O562+R562,"")</f>
        <v/>
      </c>
      <c r="AB562" s="40" t="str">
        <f>IF(AND(E562&lt;&gt;'Povolené hodnoty'!$B$4,F562=3),I562+L562+O562+R562,"")</f>
        <v/>
      </c>
      <c r="AC562" s="40" t="str">
        <f>IF(AND(E562&lt;&gt;'Povolené hodnoty'!$B$4,F562=4),I562+L562+O562+R562,"")</f>
        <v/>
      </c>
      <c r="AD562" s="40" t="str">
        <f>IF(AND(E562&lt;&gt;'Povolené hodnoty'!$B$4,F562="5a"),I562-J562+L562-M562+O562-P562+R562-S562,"")</f>
        <v/>
      </c>
      <c r="AE562" s="40" t="str">
        <f>IF(AND(E562&lt;&gt;'Povolené hodnoty'!$B$4,F562="5b"),I562-J562+L562-M562+O562-P562+R562-S562,"")</f>
        <v/>
      </c>
      <c r="AF562" s="40" t="str">
        <f>IF(AND(E562&lt;&gt;'Povolené hodnoty'!$B$4,F562=6),I562+L562+O562+R562,"")</f>
        <v/>
      </c>
      <c r="AG562" s="41" t="str">
        <f>IF(AND(E562&lt;&gt;'Povolené hodnoty'!$B$4,F562=7),I562+L562+O562+R562,"")</f>
        <v/>
      </c>
      <c r="AH562" s="39" t="str">
        <f>IF(AND(E562&lt;&gt;'Povolené hodnoty'!$B$4,F562=10),J562+M562+P562+S562,"")</f>
        <v/>
      </c>
      <c r="AI562" s="40" t="str">
        <f>IF(AND(E562&lt;&gt;'Povolené hodnoty'!$B$4,F562=11),J562+M562+P562+S562,"")</f>
        <v/>
      </c>
      <c r="AJ562" s="40" t="str">
        <f>IF(AND(E562&lt;&gt;'Povolené hodnoty'!$B$4,F562=12),J562+M562+P562+S562,"")</f>
        <v/>
      </c>
      <c r="AK562" s="41" t="str">
        <f>IF(AND(E562&lt;&gt;'Povolené hodnoty'!$B$4,F562=13),J562+M562+P562+S562,"")</f>
        <v/>
      </c>
      <c r="AL562" s="39" t="str">
        <f>IF(AND($G562='Povolené hodnoty'!$B$13,$H562=AL$4),SUM($I562,$L562,$O562,$R562),"")</f>
        <v/>
      </c>
      <c r="AM562" s="458" t="str">
        <f>IF(AND($G562='Povolené hodnoty'!$B$13,$H562=AM$4),SUM($I562,$L562,$O562,$R562),"")</f>
        <v/>
      </c>
      <c r="AN562" s="458" t="str">
        <f>IF(AND($G562='Povolené hodnoty'!$B$13,$H562=AN$4),SUM($I562,$L562,$O562,$R562),"")</f>
        <v/>
      </c>
      <c r="AO562" s="458" t="str">
        <f>IF(AND($G562='Povolené hodnoty'!$B$13,$H562=AO$4),SUM($I562,$L562,$O562,$R562),"")</f>
        <v/>
      </c>
      <c r="AP562" s="458" t="str">
        <f>IF(AND($G562='Povolené hodnoty'!$B$13,$H562=AP$4),SUM($I562,$L562,$O562,$R562),"")</f>
        <v/>
      </c>
      <c r="AQ562" s="40" t="str">
        <f>IF(AND($G562='Povolené hodnoty'!$B$13,OR($H562=AQ$4,$H562='Povolené hodnoty'!$E$36)),SUM($I562,-$J562,$L562,-$M562,$O562,-$P562,$R562,-$S562),"")</f>
        <v/>
      </c>
      <c r="AR562" s="40" t="str">
        <f>IF(AND($G562='Povolené hodnoty'!$B$13,$H562=AR$4),SUM($I562,$L562,$O562,$R562),"")</f>
        <v/>
      </c>
      <c r="AS562" s="41" t="str">
        <f>IF(AND($G562='Povolené hodnoty'!$B$13,$H562=AS$4),SUM($I562,$L562,$O562,$R562),"")</f>
        <v/>
      </c>
      <c r="AT562" s="39" t="str">
        <f>IF(AND($G562='Povolené hodnoty'!$B$14,$H562=AT$4),SUM($I562,$L562,$O562,$R562),"")</f>
        <v/>
      </c>
      <c r="AU562" s="458" t="str">
        <f>IF(AND($G562='Povolené hodnoty'!$B$14,$H562=AU$4),SUM($I562,$L562,$O562,$R562),"")</f>
        <v/>
      </c>
      <c r="AV562" s="41" t="str">
        <f>IF(AND($G562='Povolené hodnoty'!$B$14,$H562=AV$4),SUM($I562,$L562,$O562,$R562),"")</f>
        <v/>
      </c>
      <c r="AW562" s="39" t="str">
        <f>IF(AND($G562='Povolené hodnoty'!$B$13,$H562=AW$4),SUM($J562,$M562,$P562,$S562),"")</f>
        <v/>
      </c>
      <c r="AX562" s="458" t="str">
        <f>IF(AND($G562='Povolené hodnoty'!$B$13,$H562=AX$4),SUM($J562,$M562,$P562,$S562),"")</f>
        <v/>
      </c>
      <c r="AY562" s="458" t="str">
        <f>IF(AND($G562='Povolené hodnoty'!$B$13,$H562=AY$4),SUM($J562,$M562,$P562,$S562),"")</f>
        <v/>
      </c>
      <c r="AZ562" s="458" t="str">
        <f>IF(AND($G562='Povolené hodnoty'!$B$13,$H562=AZ$4),SUM($J562,$M562,$P562,$S562),"")</f>
        <v/>
      </c>
      <c r="BA562" s="458" t="str">
        <f>IF(AND($G562='Povolené hodnoty'!$B$13,$H562=BA$4),SUM($J562,$M562,$P562,$S562),"")</f>
        <v/>
      </c>
      <c r="BB562" s="40" t="str">
        <f>IF(AND($G562='Povolené hodnoty'!$B$13,$H562=BB$4),SUM($J562,$M562,$P562,$S562),"")</f>
        <v/>
      </c>
      <c r="BC562" s="40" t="str">
        <f>IF(AND($G562='Povolené hodnoty'!$B$13,$H562=BC$4),SUM($J562,$M562,$P562,$S562),"")</f>
        <v/>
      </c>
      <c r="BD562" s="40" t="str">
        <f>IF(AND($G562='Povolené hodnoty'!$B$13,$H562=BD$4),SUM($J562,$M562,$P562,$S562),"")</f>
        <v/>
      </c>
      <c r="BE562" s="41" t="str">
        <f>IF(AND($G562='Povolené hodnoty'!$B$13,$H562=BE$4),SUM($J562,$M562,$P562,$S562),"")</f>
        <v/>
      </c>
      <c r="BF562" s="39" t="str">
        <f>IF(AND($G562='Povolené hodnoty'!$B$14,$H562=BF$4),SUM($J562,$M562,$P562,$S562),"")</f>
        <v/>
      </c>
      <c r="BG562" s="458" t="str">
        <f>IF(AND($G562='Povolené hodnoty'!$B$14,$H562=BG$4),SUM($J562,$M562,$P562,$S562),"")</f>
        <v/>
      </c>
      <c r="BH562" s="458" t="str">
        <f>IF(AND($G562='Povolené hodnoty'!$B$14,$H562=BH$4),SUM($J562,$M562,$P562,$S562),"")</f>
        <v/>
      </c>
      <c r="BI562" s="458" t="str">
        <f>IF(AND($G562='Povolené hodnoty'!$B$14,$H562=BI$4),SUM($J562,$M562,$P562,$S562),"")</f>
        <v/>
      </c>
      <c r="BJ562" s="458" t="str">
        <f>IF(AND($G562='Povolené hodnoty'!$B$14,$H562=BJ$4),SUM($J562,$M562,$P562,$S562),"")</f>
        <v/>
      </c>
      <c r="BK562" s="40" t="str">
        <f>IF(AND($G562='Povolené hodnoty'!$B$14,$H562=BK$4),SUM($J562,$M562,$P562,$S562),"")</f>
        <v/>
      </c>
      <c r="BL562" s="40" t="str">
        <f>IF(AND($G562='Povolené hodnoty'!$B$14,$H562=BL$4),SUM($J562,$M562,$P562,$S562),"")</f>
        <v/>
      </c>
      <c r="BM562" s="41" t="str">
        <f>IF(AND($G562='Povolené hodnoty'!$B$14,$H562=BM$4),SUM($J562,$M562,$P562,$S562),"")</f>
        <v/>
      </c>
      <c r="BO562" s="18" t="b">
        <f t="shared" si="316"/>
        <v>0</v>
      </c>
      <c r="BP562" s="18" t="b">
        <f t="shared" si="287"/>
        <v>0</v>
      </c>
      <c r="BQ562" s="18" t="b">
        <f>AND(E562&lt;&gt;'Povolené hodnoty'!$B$6,F562&lt;&gt;'Povolené hodnoty'!$D$7,F562&lt;&gt;'Povolené hodnoty'!$D$8,OR(SUM(I562,L562,O562,R562)&lt;&gt;SUM(W562:X562,AA562:AG562),SUM(J562,M562,P562,S562)&lt;&gt;SUM(Y562:Z562,AH562:AK562),COUNT(I562:J562,L562:M562,O562:P562,R562:S562)&lt;&gt;COUNT(W562:AK562)))</f>
        <v>0</v>
      </c>
      <c r="BR562" s="18" t="b">
        <f>OR(AND(E562='Povolené hodnoty'!$B$6,$BR$5),AND(E562='Povolené hodnoty'!$B$6,H562&lt;&gt;'Povolené hodnoty'!$E$26,H562&lt;&gt;'Povolené hodnoty'!$E$35),AND(E562&lt;&gt;'Povolené hodnoty'!$B$6,OR(H562='Povolené hodnoty'!$E$26,H562='Povolené hodnoty'!$E$35)))</f>
        <v>0</v>
      </c>
      <c r="BS562" s="18" t="b">
        <f>OR(AND(G562&lt;&gt;'Povolené hodnoty'!$B$13,OR(H562='Povolené hodnoty'!$E$21,H562='Povolené hodnoty'!$E$22,H562='Povolené hodnoty'!$E$23,H562='Povolené hodnoty'!$E$24,H562='Povolené hodnoty'!$E$26,H562='Povolené hodnoty'!$E$36)),COUNT(I562:J562,L562:M562,O562:P562,R562:S562)&lt;&gt;COUNT(AL562:BM562))</f>
        <v>0</v>
      </c>
      <c r="BT562" s="18" t="b">
        <f t="shared" si="288"/>
        <v>0</v>
      </c>
      <c r="BV562" s="39" t="str">
        <f t="shared" si="289"/>
        <v/>
      </c>
      <c r="BW562" s="458" t="str">
        <f t="shared" si="290"/>
        <v/>
      </c>
      <c r="BX562" s="458" t="str">
        <f t="shared" si="291"/>
        <v/>
      </c>
      <c r="BY562" s="458" t="str">
        <f t="shared" si="292"/>
        <v/>
      </c>
      <c r="BZ562" s="458" t="str">
        <f t="shared" si="293"/>
        <v/>
      </c>
      <c r="CA562" s="40" t="str">
        <f t="shared" si="294"/>
        <v/>
      </c>
      <c r="CB562" s="40" t="str">
        <f t="shared" si="295"/>
        <v/>
      </c>
      <c r="CC562" s="39" t="str">
        <f t="shared" si="296"/>
        <v/>
      </c>
      <c r="CD562" s="458" t="str">
        <f t="shared" si="297"/>
        <v/>
      </c>
      <c r="CE562" s="41" t="str">
        <f t="shared" si="298"/>
        <v/>
      </c>
      <c r="CF562" s="39" t="str">
        <f t="shared" si="299"/>
        <v/>
      </c>
      <c r="CG562" s="458" t="str">
        <f t="shared" si="300"/>
        <v/>
      </c>
      <c r="CH562" s="458" t="str">
        <f t="shared" si="301"/>
        <v/>
      </c>
      <c r="CI562" s="458" t="str">
        <f t="shared" si="302"/>
        <v/>
      </c>
      <c r="CJ562" s="458" t="str">
        <f t="shared" si="303"/>
        <v/>
      </c>
      <c r="CK562" s="40" t="str">
        <f t="shared" si="304"/>
        <v/>
      </c>
      <c r="CL562" s="40" t="str">
        <f t="shared" si="305"/>
        <v/>
      </c>
      <c r="CM562" s="40" t="str">
        <f t="shared" si="306"/>
        <v/>
      </c>
      <c r="CN562" s="39" t="str">
        <f t="shared" si="307"/>
        <v/>
      </c>
      <c r="CO562" s="458" t="str">
        <f t="shared" si="308"/>
        <v/>
      </c>
      <c r="CP562" s="458" t="str">
        <f t="shared" si="309"/>
        <v/>
      </c>
      <c r="CQ562" s="458" t="str">
        <f t="shared" si="310"/>
        <v/>
      </c>
      <c r="CR562" s="458" t="str">
        <f t="shared" si="311"/>
        <v/>
      </c>
      <c r="CS562" s="40" t="str">
        <f t="shared" si="312"/>
        <v/>
      </c>
      <c r="CT562" s="40" t="str">
        <f t="shared" si="313"/>
        <v/>
      </c>
      <c r="CU562" s="41" t="str">
        <f t="shared" si="314"/>
        <v/>
      </c>
    </row>
    <row r="563" spans="1:99" x14ac:dyDescent="0.2">
      <c r="A563" s="77">
        <f t="shared" si="315"/>
        <v>558</v>
      </c>
      <c r="B563" s="81"/>
      <c r="C563" s="82"/>
      <c r="D563" s="71"/>
      <c r="E563" s="72"/>
      <c r="F563" s="73"/>
      <c r="G563" s="443"/>
      <c r="H563" s="443"/>
      <c r="I563" s="74"/>
      <c r="J563" s="75"/>
      <c r="K563" s="41">
        <f t="shared" si="319"/>
        <v>3625</v>
      </c>
      <c r="L563" s="104"/>
      <c r="M563" s="105"/>
      <c r="N563" s="106">
        <f t="shared" si="320"/>
        <v>537.05999999999995</v>
      </c>
      <c r="O563" s="104"/>
      <c r="P563" s="105"/>
      <c r="Q563" s="106">
        <f t="shared" si="317"/>
        <v>10045.83</v>
      </c>
      <c r="R563" s="104"/>
      <c r="S563" s="105"/>
      <c r="T563" s="106">
        <f t="shared" si="318"/>
        <v>0</v>
      </c>
      <c r="U563" s="439"/>
      <c r="V563" s="42">
        <f t="shared" si="286"/>
        <v>558</v>
      </c>
      <c r="W563" s="39" t="str">
        <f>IF(AND(E563='Povolené hodnoty'!$B$4,F563=2),I563+L563+O563+R563,"")</f>
        <v/>
      </c>
      <c r="X563" s="41" t="str">
        <f>IF(AND(E563='Povolené hodnoty'!$B$4,F563=1),I563+L563+O563+R563,"")</f>
        <v/>
      </c>
      <c r="Y563" s="39" t="str">
        <f>IF(AND(E563='Povolené hodnoty'!$B$4,F563=10),J563+M563+P563+S563,"")</f>
        <v/>
      </c>
      <c r="Z563" s="41" t="str">
        <f>IF(AND(E563='Povolené hodnoty'!$B$4,F563=9),J563+M563+P563+S563,"")</f>
        <v/>
      </c>
      <c r="AA563" s="39" t="str">
        <f>IF(AND(E563&lt;&gt;'Povolené hodnoty'!$B$4,F563=2),I563+L563+O563+R563,"")</f>
        <v/>
      </c>
      <c r="AB563" s="40" t="str">
        <f>IF(AND(E563&lt;&gt;'Povolené hodnoty'!$B$4,F563=3),I563+L563+O563+R563,"")</f>
        <v/>
      </c>
      <c r="AC563" s="40" t="str">
        <f>IF(AND(E563&lt;&gt;'Povolené hodnoty'!$B$4,F563=4),I563+L563+O563+R563,"")</f>
        <v/>
      </c>
      <c r="AD563" s="40" t="str">
        <f>IF(AND(E563&lt;&gt;'Povolené hodnoty'!$B$4,F563="5a"),I563-J563+L563-M563+O563-P563+R563-S563,"")</f>
        <v/>
      </c>
      <c r="AE563" s="40" t="str">
        <f>IF(AND(E563&lt;&gt;'Povolené hodnoty'!$B$4,F563="5b"),I563-J563+L563-M563+O563-P563+R563-S563,"")</f>
        <v/>
      </c>
      <c r="AF563" s="40" t="str">
        <f>IF(AND(E563&lt;&gt;'Povolené hodnoty'!$B$4,F563=6),I563+L563+O563+R563,"")</f>
        <v/>
      </c>
      <c r="AG563" s="41" t="str">
        <f>IF(AND(E563&lt;&gt;'Povolené hodnoty'!$B$4,F563=7),I563+L563+O563+R563,"")</f>
        <v/>
      </c>
      <c r="AH563" s="39" t="str">
        <f>IF(AND(E563&lt;&gt;'Povolené hodnoty'!$B$4,F563=10),J563+M563+P563+S563,"")</f>
        <v/>
      </c>
      <c r="AI563" s="40" t="str">
        <f>IF(AND(E563&lt;&gt;'Povolené hodnoty'!$B$4,F563=11),J563+M563+P563+S563,"")</f>
        <v/>
      </c>
      <c r="AJ563" s="40" t="str">
        <f>IF(AND(E563&lt;&gt;'Povolené hodnoty'!$B$4,F563=12),J563+M563+P563+S563,"")</f>
        <v/>
      </c>
      <c r="AK563" s="41" t="str">
        <f>IF(AND(E563&lt;&gt;'Povolené hodnoty'!$B$4,F563=13),J563+M563+P563+S563,"")</f>
        <v/>
      </c>
      <c r="AL563" s="39" t="str">
        <f>IF(AND($G563='Povolené hodnoty'!$B$13,$H563=AL$4),SUM($I563,$L563,$O563,$R563),"")</f>
        <v/>
      </c>
      <c r="AM563" s="458" t="str">
        <f>IF(AND($G563='Povolené hodnoty'!$B$13,$H563=AM$4),SUM($I563,$L563,$O563,$R563),"")</f>
        <v/>
      </c>
      <c r="AN563" s="458" t="str">
        <f>IF(AND($G563='Povolené hodnoty'!$B$13,$H563=AN$4),SUM($I563,$L563,$O563,$R563),"")</f>
        <v/>
      </c>
      <c r="AO563" s="458" t="str">
        <f>IF(AND($G563='Povolené hodnoty'!$B$13,$H563=AO$4),SUM($I563,$L563,$O563,$R563),"")</f>
        <v/>
      </c>
      <c r="AP563" s="458" t="str">
        <f>IF(AND($G563='Povolené hodnoty'!$B$13,$H563=AP$4),SUM($I563,$L563,$O563,$R563),"")</f>
        <v/>
      </c>
      <c r="AQ563" s="40" t="str">
        <f>IF(AND($G563='Povolené hodnoty'!$B$13,OR($H563=AQ$4,$H563='Povolené hodnoty'!$E$36)),SUM($I563,-$J563,$L563,-$M563,$O563,-$P563,$R563,-$S563),"")</f>
        <v/>
      </c>
      <c r="AR563" s="40" t="str">
        <f>IF(AND($G563='Povolené hodnoty'!$B$13,$H563=AR$4),SUM($I563,$L563,$O563,$R563),"")</f>
        <v/>
      </c>
      <c r="AS563" s="41" t="str">
        <f>IF(AND($G563='Povolené hodnoty'!$B$13,$H563=AS$4),SUM($I563,$L563,$O563,$R563),"")</f>
        <v/>
      </c>
      <c r="AT563" s="39" t="str">
        <f>IF(AND($G563='Povolené hodnoty'!$B$14,$H563=AT$4),SUM($I563,$L563,$O563,$R563),"")</f>
        <v/>
      </c>
      <c r="AU563" s="458" t="str">
        <f>IF(AND($G563='Povolené hodnoty'!$B$14,$H563=AU$4),SUM($I563,$L563,$O563,$R563),"")</f>
        <v/>
      </c>
      <c r="AV563" s="41" t="str">
        <f>IF(AND($G563='Povolené hodnoty'!$B$14,$H563=AV$4),SUM($I563,$L563,$O563,$R563),"")</f>
        <v/>
      </c>
      <c r="AW563" s="39" t="str">
        <f>IF(AND($G563='Povolené hodnoty'!$B$13,$H563=AW$4),SUM($J563,$M563,$P563,$S563),"")</f>
        <v/>
      </c>
      <c r="AX563" s="458" t="str">
        <f>IF(AND($G563='Povolené hodnoty'!$B$13,$H563=AX$4),SUM($J563,$M563,$P563,$S563),"")</f>
        <v/>
      </c>
      <c r="AY563" s="458" t="str">
        <f>IF(AND($G563='Povolené hodnoty'!$B$13,$H563=AY$4),SUM($J563,$M563,$P563,$S563),"")</f>
        <v/>
      </c>
      <c r="AZ563" s="458" t="str">
        <f>IF(AND($G563='Povolené hodnoty'!$B$13,$H563=AZ$4),SUM($J563,$M563,$P563,$S563),"")</f>
        <v/>
      </c>
      <c r="BA563" s="458" t="str">
        <f>IF(AND($G563='Povolené hodnoty'!$B$13,$H563=BA$4),SUM($J563,$M563,$P563,$S563),"")</f>
        <v/>
      </c>
      <c r="BB563" s="40" t="str">
        <f>IF(AND($G563='Povolené hodnoty'!$B$13,$H563=BB$4),SUM($J563,$M563,$P563,$S563),"")</f>
        <v/>
      </c>
      <c r="BC563" s="40" t="str">
        <f>IF(AND($G563='Povolené hodnoty'!$B$13,$H563=BC$4),SUM($J563,$M563,$P563,$S563),"")</f>
        <v/>
      </c>
      <c r="BD563" s="40" t="str">
        <f>IF(AND($G563='Povolené hodnoty'!$B$13,$H563=BD$4),SUM($J563,$M563,$P563,$S563),"")</f>
        <v/>
      </c>
      <c r="BE563" s="41" t="str">
        <f>IF(AND($G563='Povolené hodnoty'!$B$13,$H563=BE$4),SUM($J563,$M563,$P563,$S563),"")</f>
        <v/>
      </c>
      <c r="BF563" s="39" t="str">
        <f>IF(AND($G563='Povolené hodnoty'!$B$14,$H563=BF$4),SUM($J563,$M563,$P563,$S563),"")</f>
        <v/>
      </c>
      <c r="BG563" s="458" t="str">
        <f>IF(AND($G563='Povolené hodnoty'!$B$14,$H563=BG$4),SUM($J563,$M563,$P563,$S563),"")</f>
        <v/>
      </c>
      <c r="BH563" s="458" t="str">
        <f>IF(AND($G563='Povolené hodnoty'!$B$14,$H563=BH$4),SUM($J563,$M563,$P563,$S563),"")</f>
        <v/>
      </c>
      <c r="BI563" s="458" t="str">
        <f>IF(AND($G563='Povolené hodnoty'!$B$14,$H563=BI$4),SUM($J563,$M563,$P563,$S563),"")</f>
        <v/>
      </c>
      <c r="BJ563" s="458" t="str">
        <f>IF(AND($G563='Povolené hodnoty'!$B$14,$H563=BJ$4),SUM($J563,$M563,$P563,$S563),"")</f>
        <v/>
      </c>
      <c r="BK563" s="40" t="str">
        <f>IF(AND($G563='Povolené hodnoty'!$B$14,$H563=BK$4),SUM($J563,$M563,$P563,$S563),"")</f>
        <v/>
      </c>
      <c r="BL563" s="40" t="str">
        <f>IF(AND($G563='Povolené hodnoty'!$B$14,$H563=BL$4),SUM($J563,$M563,$P563,$S563),"")</f>
        <v/>
      </c>
      <c r="BM563" s="41" t="str">
        <f>IF(AND($G563='Povolené hodnoty'!$B$14,$H563=BM$4),SUM($J563,$M563,$P563,$S563),"")</f>
        <v/>
      </c>
      <c r="BO563" s="18" t="b">
        <f t="shared" si="316"/>
        <v>0</v>
      </c>
      <c r="BP563" s="18" t="b">
        <f t="shared" si="287"/>
        <v>0</v>
      </c>
      <c r="BQ563" s="18" t="b">
        <f>AND(E563&lt;&gt;'Povolené hodnoty'!$B$6,F563&lt;&gt;'Povolené hodnoty'!$D$7,F563&lt;&gt;'Povolené hodnoty'!$D$8,OR(SUM(I563,L563,O563,R563)&lt;&gt;SUM(W563:X563,AA563:AG563),SUM(J563,M563,P563,S563)&lt;&gt;SUM(Y563:Z563,AH563:AK563),COUNT(I563:J563,L563:M563,O563:P563,R563:S563)&lt;&gt;COUNT(W563:AK563)))</f>
        <v>0</v>
      </c>
      <c r="BR563" s="18" t="b">
        <f>OR(AND(E563='Povolené hodnoty'!$B$6,$BR$5),AND(E563='Povolené hodnoty'!$B$6,H563&lt;&gt;'Povolené hodnoty'!$E$26,H563&lt;&gt;'Povolené hodnoty'!$E$35),AND(E563&lt;&gt;'Povolené hodnoty'!$B$6,OR(H563='Povolené hodnoty'!$E$26,H563='Povolené hodnoty'!$E$35)))</f>
        <v>0</v>
      </c>
      <c r="BS563" s="18" t="b">
        <f>OR(AND(G563&lt;&gt;'Povolené hodnoty'!$B$13,OR(H563='Povolené hodnoty'!$E$21,H563='Povolené hodnoty'!$E$22,H563='Povolené hodnoty'!$E$23,H563='Povolené hodnoty'!$E$24,H563='Povolené hodnoty'!$E$26,H563='Povolené hodnoty'!$E$36)),COUNT(I563:J563,L563:M563,O563:P563,R563:S563)&lt;&gt;COUNT(AL563:BM563))</f>
        <v>0</v>
      </c>
      <c r="BT563" s="18" t="b">
        <f t="shared" si="288"/>
        <v>0</v>
      </c>
      <c r="BV563" s="39" t="str">
        <f t="shared" si="289"/>
        <v/>
      </c>
      <c r="BW563" s="458" t="str">
        <f t="shared" si="290"/>
        <v/>
      </c>
      <c r="BX563" s="458" t="str">
        <f t="shared" si="291"/>
        <v/>
      </c>
      <c r="BY563" s="458" t="str">
        <f t="shared" si="292"/>
        <v/>
      </c>
      <c r="BZ563" s="458" t="str">
        <f t="shared" si="293"/>
        <v/>
      </c>
      <c r="CA563" s="40" t="str">
        <f t="shared" si="294"/>
        <v/>
      </c>
      <c r="CB563" s="40" t="str">
        <f t="shared" si="295"/>
        <v/>
      </c>
      <c r="CC563" s="39" t="str">
        <f t="shared" si="296"/>
        <v/>
      </c>
      <c r="CD563" s="458" t="str">
        <f t="shared" si="297"/>
        <v/>
      </c>
      <c r="CE563" s="41" t="str">
        <f t="shared" si="298"/>
        <v/>
      </c>
      <c r="CF563" s="39" t="str">
        <f t="shared" si="299"/>
        <v/>
      </c>
      <c r="CG563" s="458" t="str">
        <f t="shared" si="300"/>
        <v/>
      </c>
      <c r="CH563" s="458" t="str">
        <f t="shared" si="301"/>
        <v/>
      </c>
      <c r="CI563" s="458" t="str">
        <f t="shared" si="302"/>
        <v/>
      </c>
      <c r="CJ563" s="458" t="str">
        <f t="shared" si="303"/>
        <v/>
      </c>
      <c r="CK563" s="40" t="str">
        <f t="shared" si="304"/>
        <v/>
      </c>
      <c r="CL563" s="40" t="str">
        <f t="shared" si="305"/>
        <v/>
      </c>
      <c r="CM563" s="40" t="str">
        <f t="shared" si="306"/>
        <v/>
      </c>
      <c r="CN563" s="39" t="str">
        <f t="shared" si="307"/>
        <v/>
      </c>
      <c r="CO563" s="458" t="str">
        <f t="shared" si="308"/>
        <v/>
      </c>
      <c r="CP563" s="458" t="str">
        <f t="shared" si="309"/>
        <v/>
      </c>
      <c r="CQ563" s="458" t="str">
        <f t="shared" si="310"/>
        <v/>
      </c>
      <c r="CR563" s="458" t="str">
        <f t="shared" si="311"/>
        <v/>
      </c>
      <c r="CS563" s="40" t="str">
        <f t="shared" si="312"/>
        <v/>
      </c>
      <c r="CT563" s="40" t="str">
        <f t="shared" si="313"/>
        <v/>
      </c>
      <c r="CU563" s="41" t="str">
        <f t="shared" si="314"/>
        <v/>
      </c>
    </row>
    <row r="564" spans="1:99" x14ac:dyDescent="0.2">
      <c r="A564" s="77">
        <f t="shared" si="315"/>
        <v>559</v>
      </c>
      <c r="B564" s="81"/>
      <c r="C564" s="82"/>
      <c r="D564" s="71"/>
      <c r="E564" s="72"/>
      <c r="F564" s="73"/>
      <c r="G564" s="443"/>
      <c r="H564" s="443"/>
      <c r="I564" s="74"/>
      <c r="J564" s="75"/>
      <c r="K564" s="41">
        <f t="shared" si="319"/>
        <v>3625</v>
      </c>
      <c r="L564" s="104"/>
      <c r="M564" s="105"/>
      <c r="N564" s="106">
        <f t="shared" si="320"/>
        <v>537.05999999999995</v>
      </c>
      <c r="O564" s="104"/>
      <c r="P564" s="105"/>
      <c r="Q564" s="106">
        <f t="shared" si="317"/>
        <v>10045.83</v>
      </c>
      <c r="R564" s="104"/>
      <c r="S564" s="105"/>
      <c r="T564" s="106">
        <f t="shared" si="318"/>
        <v>0</v>
      </c>
      <c r="U564" s="439"/>
      <c r="V564" s="42">
        <f t="shared" si="286"/>
        <v>559</v>
      </c>
      <c r="W564" s="39" t="str">
        <f>IF(AND(E564='Povolené hodnoty'!$B$4,F564=2),I564+L564+O564+R564,"")</f>
        <v/>
      </c>
      <c r="X564" s="41" t="str">
        <f>IF(AND(E564='Povolené hodnoty'!$B$4,F564=1),I564+L564+O564+R564,"")</f>
        <v/>
      </c>
      <c r="Y564" s="39" t="str">
        <f>IF(AND(E564='Povolené hodnoty'!$B$4,F564=10),J564+M564+P564+S564,"")</f>
        <v/>
      </c>
      <c r="Z564" s="41" t="str">
        <f>IF(AND(E564='Povolené hodnoty'!$B$4,F564=9),J564+M564+P564+S564,"")</f>
        <v/>
      </c>
      <c r="AA564" s="39" t="str">
        <f>IF(AND(E564&lt;&gt;'Povolené hodnoty'!$B$4,F564=2),I564+L564+O564+R564,"")</f>
        <v/>
      </c>
      <c r="AB564" s="40" t="str">
        <f>IF(AND(E564&lt;&gt;'Povolené hodnoty'!$B$4,F564=3),I564+L564+O564+R564,"")</f>
        <v/>
      </c>
      <c r="AC564" s="40" t="str">
        <f>IF(AND(E564&lt;&gt;'Povolené hodnoty'!$B$4,F564=4),I564+L564+O564+R564,"")</f>
        <v/>
      </c>
      <c r="AD564" s="40" t="str">
        <f>IF(AND(E564&lt;&gt;'Povolené hodnoty'!$B$4,F564="5a"),I564-J564+L564-M564+O564-P564+R564-S564,"")</f>
        <v/>
      </c>
      <c r="AE564" s="40" t="str">
        <f>IF(AND(E564&lt;&gt;'Povolené hodnoty'!$B$4,F564="5b"),I564-J564+L564-M564+O564-P564+R564-S564,"")</f>
        <v/>
      </c>
      <c r="AF564" s="40" t="str">
        <f>IF(AND(E564&lt;&gt;'Povolené hodnoty'!$B$4,F564=6),I564+L564+O564+R564,"")</f>
        <v/>
      </c>
      <c r="AG564" s="41" t="str">
        <f>IF(AND(E564&lt;&gt;'Povolené hodnoty'!$B$4,F564=7),I564+L564+O564+R564,"")</f>
        <v/>
      </c>
      <c r="AH564" s="39" t="str">
        <f>IF(AND(E564&lt;&gt;'Povolené hodnoty'!$B$4,F564=10),J564+M564+P564+S564,"")</f>
        <v/>
      </c>
      <c r="AI564" s="40" t="str">
        <f>IF(AND(E564&lt;&gt;'Povolené hodnoty'!$B$4,F564=11),J564+M564+P564+S564,"")</f>
        <v/>
      </c>
      <c r="AJ564" s="40" t="str">
        <f>IF(AND(E564&lt;&gt;'Povolené hodnoty'!$B$4,F564=12),J564+M564+P564+S564,"")</f>
        <v/>
      </c>
      <c r="AK564" s="41" t="str">
        <f>IF(AND(E564&lt;&gt;'Povolené hodnoty'!$B$4,F564=13),J564+M564+P564+S564,"")</f>
        <v/>
      </c>
      <c r="AL564" s="39" t="str">
        <f>IF(AND($G564='Povolené hodnoty'!$B$13,$H564=AL$4),SUM($I564,$L564,$O564,$R564),"")</f>
        <v/>
      </c>
      <c r="AM564" s="458" t="str">
        <f>IF(AND($G564='Povolené hodnoty'!$B$13,$H564=AM$4),SUM($I564,$L564,$O564,$R564),"")</f>
        <v/>
      </c>
      <c r="AN564" s="458" t="str">
        <f>IF(AND($G564='Povolené hodnoty'!$B$13,$H564=AN$4),SUM($I564,$L564,$O564,$R564),"")</f>
        <v/>
      </c>
      <c r="AO564" s="458" t="str">
        <f>IF(AND($G564='Povolené hodnoty'!$B$13,$H564=AO$4),SUM($I564,$L564,$O564,$R564),"")</f>
        <v/>
      </c>
      <c r="AP564" s="458" t="str">
        <f>IF(AND($G564='Povolené hodnoty'!$B$13,$H564=AP$4),SUM($I564,$L564,$O564,$R564),"")</f>
        <v/>
      </c>
      <c r="AQ564" s="40" t="str">
        <f>IF(AND($G564='Povolené hodnoty'!$B$13,OR($H564=AQ$4,$H564='Povolené hodnoty'!$E$36)),SUM($I564,-$J564,$L564,-$M564,$O564,-$P564,$R564,-$S564),"")</f>
        <v/>
      </c>
      <c r="AR564" s="40" t="str">
        <f>IF(AND($G564='Povolené hodnoty'!$B$13,$H564=AR$4),SUM($I564,$L564,$O564,$R564),"")</f>
        <v/>
      </c>
      <c r="AS564" s="41" t="str">
        <f>IF(AND($G564='Povolené hodnoty'!$B$13,$H564=AS$4),SUM($I564,$L564,$O564,$R564),"")</f>
        <v/>
      </c>
      <c r="AT564" s="39" t="str">
        <f>IF(AND($G564='Povolené hodnoty'!$B$14,$H564=AT$4),SUM($I564,$L564,$O564,$R564),"")</f>
        <v/>
      </c>
      <c r="AU564" s="458" t="str">
        <f>IF(AND($G564='Povolené hodnoty'!$B$14,$H564=AU$4),SUM($I564,$L564,$O564,$R564),"")</f>
        <v/>
      </c>
      <c r="AV564" s="41" t="str">
        <f>IF(AND($G564='Povolené hodnoty'!$B$14,$H564=AV$4),SUM($I564,$L564,$O564,$R564),"")</f>
        <v/>
      </c>
      <c r="AW564" s="39" t="str">
        <f>IF(AND($G564='Povolené hodnoty'!$B$13,$H564=AW$4),SUM($J564,$M564,$P564,$S564),"")</f>
        <v/>
      </c>
      <c r="AX564" s="458" t="str">
        <f>IF(AND($G564='Povolené hodnoty'!$B$13,$H564=AX$4),SUM($J564,$M564,$P564,$S564),"")</f>
        <v/>
      </c>
      <c r="AY564" s="458" t="str">
        <f>IF(AND($G564='Povolené hodnoty'!$B$13,$H564=AY$4),SUM($J564,$M564,$P564,$S564),"")</f>
        <v/>
      </c>
      <c r="AZ564" s="458" t="str">
        <f>IF(AND($G564='Povolené hodnoty'!$B$13,$H564=AZ$4),SUM($J564,$M564,$P564,$S564),"")</f>
        <v/>
      </c>
      <c r="BA564" s="458" t="str">
        <f>IF(AND($G564='Povolené hodnoty'!$B$13,$H564=BA$4),SUM($J564,$M564,$P564,$S564),"")</f>
        <v/>
      </c>
      <c r="BB564" s="40" t="str">
        <f>IF(AND($G564='Povolené hodnoty'!$B$13,$H564=BB$4),SUM($J564,$M564,$P564,$S564),"")</f>
        <v/>
      </c>
      <c r="BC564" s="40" t="str">
        <f>IF(AND($G564='Povolené hodnoty'!$B$13,$H564=BC$4),SUM($J564,$M564,$P564,$S564),"")</f>
        <v/>
      </c>
      <c r="BD564" s="40" t="str">
        <f>IF(AND($G564='Povolené hodnoty'!$B$13,$H564=BD$4),SUM($J564,$M564,$P564,$S564),"")</f>
        <v/>
      </c>
      <c r="BE564" s="41" t="str">
        <f>IF(AND($G564='Povolené hodnoty'!$B$13,$H564=BE$4),SUM($J564,$M564,$P564,$S564),"")</f>
        <v/>
      </c>
      <c r="BF564" s="39" t="str">
        <f>IF(AND($G564='Povolené hodnoty'!$B$14,$H564=BF$4),SUM($J564,$M564,$P564,$S564),"")</f>
        <v/>
      </c>
      <c r="BG564" s="458" t="str">
        <f>IF(AND($G564='Povolené hodnoty'!$B$14,$H564=BG$4),SUM($J564,$M564,$P564,$S564),"")</f>
        <v/>
      </c>
      <c r="BH564" s="458" t="str">
        <f>IF(AND($G564='Povolené hodnoty'!$B$14,$H564=BH$4),SUM($J564,$M564,$P564,$S564),"")</f>
        <v/>
      </c>
      <c r="BI564" s="458" t="str">
        <f>IF(AND($G564='Povolené hodnoty'!$B$14,$H564=BI$4),SUM($J564,$M564,$P564,$S564),"")</f>
        <v/>
      </c>
      <c r="BJ564" s="458" t="str">
        <f>IF(AND($G564='Povolené hodnoty'!$B$14,$H564=BJ$4),SUM($J564,$M564,$P564,$S564),"")</f>
        <v/>
      </c>
      <c r="BK564" s="40" t="str">
        <f>IF(AND($G564='Povolené hodnoty'!$B$14,$H564=BK$4),SUM($J564,$M564,$P564,$S564),"")</f>
        <v/>
      </c>
      <c r="BL564" s="40" t="str">
        <f>IF(AND($G564='Povolené hodnoty'!$B$14,$H564=BL$4),SUM($J564,$M564,$P564,$S564),"")</f>
        <v/>
      </c>
      <c r="BM564" s="41" t="str">
        <f>IF(AND($G564='Povolené hodnoty'!$B$14,$H564=BM$4),SUM($J564,$M564,$P564,$S564),"")</f>
        <v/>
      </c>
      <c r="BO564" s="18" t="b">
        <f t="shared" si="316"/>
        <v>0</v>
      </c>
      <c r="BP564" s="18" t="b">
        <f t="shared" si="287"/>
        <v>0</v>
      </c>
      <c r="BQ564" s="18" t="b">
        <f>AND(E564&lt;&gt;'Povolené hodnoty'!$B$6,F564&lt;&gt;'Povolené hodnoty'!$D$7,F564&lt;&gt;'Povolené hodnoty'!$D$8,OR(SUM(I564,L564,O564,R564)&lt;&gt;SUM(W564:X564,AA564:AG564),SUM(J564,M564,P564,S564)&lt;&gt;SUM(Y564:Z564,AH564:AK564),COUNT(I564:J564,L564:M564,O564:P564,R564:S564)&lt;&gt;COUNT(W564:AK564)))</f>
        <v>0</v>
      </c>
      <c r="BR564" s="18" t="b">
        <f>OR(AND(E564='Povolené hodnoty'!$B$6,$BR$5),AND(E564='Povolené hodnoty'!$B$6,H564&lt;&gt;'Povolené hodnoty'!$E$26,H564&lt;&gt;'Povolené hodnoty'!$E$35),AND(E564&lt;&gt;'Povolené hodnoty'!$B$6,OR(H564='Povolené hodnoty'!$E$26,H564='Povolené hodnoty'!$E$35)))</f>
        <v>0</v>
      </c>
      <c r="BS564" s="18" t="b">
        <f>OR(AND(G564&lt;&gt;'Povolené hodnoty'!$B$13,OR(H564='Povolené hodnoty'!$E$21,H564='Povolené hodnoty'!$E$22,H564='Povolené hodnoty'!$E$23,H564='Povolené hodnoty'!$E$24,H564='Povolené hodnoty'!$E$26,H564='Povolené hodnoty'!$E$36)),COUNT(I564:J564,L564:M564,O564:P564,R564:S564)&lt;&gt;COUNT(AL564:BM564))</f>
        <v>0</v>
      </c>
      <c r="BT564" s="18" t="b">
        <f t="shared" si="288"/>
        <v>0</v>
      </c>
      <c r="BV564" s="39" t="str">
        <f t="shared" si="289"/>
        <v/>
      </c>
      <c r="BW564" s="458" t="str">
        <f t="shared" si="290"/>
        <v/>
      </c>
      <c r="BX564" s="458" t="str">
        <f t="shared" si="291"/>
        <v/>
      </c>
      <c r="BY564" s="458" t="str">
        <f t="shared" si="292"/>
        <v/>
      </c>
      <c r="BZ564" s="458" t="str">
        <f t="shared" si="293"/>
        <v/>
      </c>
      <c r="CA564" s="40" t="str">
        <f t="shared" si="294"/>
        <v/>
      </c>
      <c r="CB564" s="40" t="str">
        <f t="shared" si="295"/>
        <v/>
      </c>
      <c r="CC564" s="39" t="str">
        <f t="shared" si="296"/>
        <v/>
      </c>
      <c r="CD564" s="458" t="str">
        <f t="shared" si="297"/>
        <v/>
      </c>
      <c r="CE564" s="41" t="str">
        <f t="shared" si="298"/>
        <v/>
      </c>
      <c r="CF564" s="39" t="str">
        <f t="shared" si="299"/>
        <v/>
      </c>
      <c r="CG564" s="458" t="str">
        <f t="shared" si="300"/>
        <v/>
      </c>
      <c r="CH564" s="458" t="str">
        <f t="shared" si="301"/>
        <v/>
      </c>
      <c r="CI564" s="458" t="str">
        <f t="shared" si="302"/>
        <v/>
      </c>
      <c r="CJ564" s="458" t="str">
        <f t="shared" si="303"/>
        <v/>
      </c>
      <c r="CK564" s="40" t="str">
        <f t="shared" si="304"/>
        <v/>
      </c>
      <c r="CL564" s="40" t="str">
        <f t="shared" si="305"/>
        <v/>
      </c>
      <c r="CM564" s="40" t="str">
        <f t="shared" si="306"/>
        <v/>
      </c>
      <c r="CN564" s="39" t="str">
        <f t="shared" si="307"/>
        <v/>
      </c>
      <c r="CO564" s="458" t="str">
        <f t="shared" si="308"/>
        <v/>
      </c>
      <c r="CP564" s="458" t="str">
        <f t="shared" si="309"/>
        <v/>
      </c>
      <c r="CQ564" s="458" t="str">
        <f t="shared" si="310"/>
        <v/>
      </c>
      <c r="CR564" s="458" t="str">
        <f t="shared" si="311"/>
        <v/>
      </c>
      <c r="CS564" s="40" t="str">
        <f t="shared" si="312"/>
        <v/>
      </c>
      <c r="CT564" s="40" t="str">
        <f t="shared" si="313"/>
        <v/>
      </c>
      <c r="CU564" s="41" t="str">
        <f t="shared" si="314"/>
        <v/>
      </c>
    </row>
    <row r="565" spans="1:99" x14ac:dyDescent="0.2">
      <c r="A565" s="77">
        <f t="shared" si="315"/>
        <v>560</v>
      </c>
      <c r="B565" s="81"/>
      <c r="C565" s="82"/>
      <c r="D565" s="71"/>
      <c r="E565" s="72"/>
      <c r="F565" s="73"/>
      <c r="G565" s="443"/>
      <c r="H565" s="443"/>
      <c r="I565" s="74"/>
      <c r="J565" s="75"/>
      <c r="K565" s="41">
        <f t="shared" si="319"/>
        <v>3625</v>
      </c>
      <c r="L565" s="104"/>
      <c r="M565" s="105"/>
      <c r="N565" s="106">
        <f t="shared" si="320"/>
        <v>537.05999999999995</v>
      </c>
      <c r="O565" s="104"/>
      <c r="P565" s="105"/>
      <c r="Q565" s="106">
        <f t="shared" si="317"/>
        <v>10045.83</v>
      </c>
      <c r="R565" s="104"/>
      <c r="S565" s="105"/>
      <c r="T565" s="106">
        <f t="shared" si="318"/>
        <v>0</v>
      </c>
      <c r="U565" s="439"/>
      <c r="V565" s="42">
        <f t="shared" si="286"/>
        <v>560</v>
      </c>
      <c r="W565" s="39" t="str">
        <f>IF(AND(E565='Povolené hodnoty'!$B$4,F565=2),I565+L565+O565+R565,"")</f>
        <v/>
      </c>
      <c r="X565" s="41" t="str">
        <f>IF(AND(E565='Povolené hodnoty'!$B$4,F565=1),I565+L565+O565+R565,"")</f>
        <v/>
      </c>
      <c r="Y565" s="39" t="str">
        <f>IF(AND(E565='Povolené hodnoty'!$B$4,F565=10),J565+M565+P565+S565,"")</f>
        <v/>
      </c>
      <c r="Z565" s="41" t="str">
        <f>IF(AND(E565='Povolené hodnoty'!$B$4,F565=9),J565+M565+P565+S565,"")</f>
        <v/>
      </c>
      <c r="AA565" s="39" t="str">
        <f>IF(AND(E565&lt;&gt;'Povolené hodnoty'!$B$4,F565=2),I565+L565+O565+R565,"")</f>
        <v/>
      </c>
      <c r="AB565" s="40" t="str">
        <f>IF(AND(E565&lt;&gt;'Povolené hodnoty'!$B$4,F565=3),I565+L565+O565+R565,"")</f>
        <v/>
      </c>
      <c r="AC565" s="40" t="str">
        <f>IF(AND(E565&lt;&gt;'Povolené hodnoty'!$B$4,F565=4),I565+L565+O565+R565,"")</f>
        <v/>
      </c>
      <c r="AD565" s="40" t="str">
        <f>IF(AND(E565&lt;&gt;'Povolené hodnoty'!$B$4,F565="5a"),I565-J565+L565-M565+O565-P565+R565-S565,"")</f>
        <v/>
      </c>
      <c r="AE565" s="40" t="str">
        <f>IF(AND(E565&lt;&gt;'Povolené hodnoty'!$B$4,F565="5b"),I565-J565+L565-M565+O565-P565+R565-S565,"")</f>
        <v/>
      </c>
      <c r="AF565" s="40" t="str">
        <f>IF(AND(E565&lt;&gt;'Povolené hodnoty'!$B$4,F565=6),I565+L565+O565+R565,"")</f>
        <v/>
      </c>
      <c r="AG565" s="41" t="str">
        <f>IF(AND(E565&lt;&gt;'Povolené hodnoty'!$B$4,F565=7),I565+L565+O565+R565,"")</f>
        <v/>
      </c>
      <c r="AH565" s="39" t="str">
        <f>IF(AND(E565&lt;&gt;'Povolené hodnoty'!$B$4,F565=10),J565+M565+P565+S565,"")</f>
        <v/>
      </c>
      <c r="AI565" s="40" t="str">
        <f>IF(AND(E565&lt;&gt;'Povolené hodnoty'!$B$4,F565=11),J565+M565+P565+S565,"")</f>
        <v/>
      </c>
      <c r="AJ565" s="40" t="str">
        <f>IF(AND(E565&lt;&gt;'Povolené hodnoty'!$B$4,F565=12),J565+M565+P565+S565,"")</f>
        <v/>
      </c>
      <c r="AK565" s="41" t="str">
        <f>IF(AND(E565&lt;&gt;'Povolené hodnoty'!$B$4,F565=13),J565+M565+P565+S565,"")</f>
        <v/>
      </c>
      <c r="AL565" s="39" t="str">
        <f>IF(AND($G565='Povolené hodnoty'!$B$13,$H565=AL$4),SUM($I565,$L565,$O565,$R565),"")</f>
        <v/>
      </c>
      <c r="AM565" s="458" t="str">
        <f>IF(AND($G565='Povolené hodnoty'!$B$13,$H565=AM$4),SUM($I565,$L565,$O565,$R565),"")</f>
        <v/>
      </c>
      <c r="AN565" s="458" t="str">
        <f>IF(AND($G565='Povolené hodnoty'!$B$13,$H565=AN$4),SUM($I565,$L565,$O565,$R565),"")</f>
        <v/>
      </c>
      <c r="AO565" s="458" t="str">
        <f>IF(AND($G565='Povolené hodnoty'!$B$13,$H565=AO$4),SUM($I565,$L565,$O565,$R565),"")</f>
        <v/>
      </c>
      <c r="AP565" s="458" t="str">
        <f>IF(AND($G565='Povolené hodnoty'!$B$13,$H565=AP$4),SUM($I565,$L565,$O565,$R565),"")</f>
        <v/>
      </c>
      <c r="AQ565" s="40" t="str">
        <f>IF(AND($G565='Povolené hodnoty'!$B$13,OR($H565=AQ$4,$H565='Povolené hodnoty'!$E$36)),SUM($I565,-$J565,$L565,-$M565,$O565,-$P565,$R565,-$S565),"")</f>
        <v/>
      </c>
      <c r="AR565" s="40" t="str">
        <f>IF(AND($G565='Povolené hodnoty'!$B$13,$H565=AR$4),SUM($I565,$L565,$O565,$R565),"")</f>
        <v/>
      </c>
      <c r="AS565" s="41" t="str">
        <f>IF(AND($G565='Povolené hodnoty'!$B$13,$H565=AS$4),SUM($I565,$L565,$O565,$R565),"")</f>
        <v/>
      </c>
      <c r="AT565" s="39" t="str">
        <f>IF(AND($G565='Povolené hodnoty'!$B$14,$H565=AT$4),SUM($I565,$L565,$O565,$R565),"")</f>
        <v/>
      </c>
      <c r="AU565" s="458" t="str">
        <f>IF(AND($G565='Povolené hodnoty'!$B$14,$H565=AU$4),SUM($I565,$L565,$O565,$R565),"")</f>
        <v/>
      </c>
      <c r="AV565" s="41" t="str">
        <f>IF(AND($G565='Povolené hodnoty'!$B$14,$H565=AV$4),SUM($I565,$L565,$O565,$R565),"")</f>
        <v/>
      </c>
      <c r="AW565" s="39" t="str">
        <f>IF(AND($G565='Povolené hodnoty'!$B$13,$H565=AW$4),SUM($J565,$M565,$P565,$S565),"")</f>
        <v/>
      </c>
      <c r="AX565" s="458" t="str">
        <f>IF(AND($G565='Povolené hodnoty'!$B$13,$H565=AX$4),SUM($J565,$M565,$P565,$S565),"")</f>
        <v/>
      </c>
      <c r="AY565" s="458" t="str">
        <f>IF(AND($G565='Povolené hodnoty'!$B$13,$H565=AY$4),SUM($J565,$M565,$P565,$S565),"")</f>
        <v/>
      </c>
      <c r="AZ565" s="458" t="str">
        <f>IF(AND($G565='Povolené hodnoty'!$B$13,$H565=AZ$4),SUM($J565,$M565,$P565,$S565),"")</f>
        <v/>
      </c>
      <c r="BA565" s="458" t="str">
        <f>IF(AND($G565='Povolené hodnoty'!$B$13,$H565=BA$4),SUM($J565,$M565,$P565,$S565),"")</f>
        <v/>
      </c>
      <c r="BB565" s="40" t="str">
        <f>IF(AND($G565='Povolené hodnoty'!$B$13,$H565=BB$4),SUM($J565,$M565,$P565,$S565),"")</f>
        <v/>
      </c>
      <c r="BC565" s="40" t="str">
        <f>IF(AND($G565='Povolené hodnoty'!$B$13,$H565=BC$4),SUM($J565,$M565,$P565,$S565),"")</f>
        <v/>
      </c>
      <c r="BD565" s="40" t="str">
        <f>IF(AND($G565='Povolené hodnoty'!$B$13,$H565=BD$4),SUM($J565,$M565,$P565,$S565),"")</f>
        <v/>
      </c>
      <c r="BE565" s="41" t="str">
        <f>IF(AND($G565='Povolené hodnoty'!$B$13,$H565=BE$4),SUM($J565,$M565,$P565,$S565),"")</f>
        <v/>
      </c>
      <c r="BF565" s="39" t="str">
        <f>IF(AND($G565='Povolené hodnoty'!$B$14,$H565=BF$4),SUM($J565,$M565,$P565,$S565),"")</f>
        <v/>
      </c>
      <c r="BG565" s="458" t="str">
        <f>IF(AND($G565='Povolené hodnoty'!$B$14,$H565=BG$4),SUM($J565,$M565,$P565,$S565),"")</f>
        <v/>
      </c>
      <c r="BH565" s="458" t="str">
        <f>IF(AND($G565='Povolené hodnoty'!$B$14,$H565=BH$4),SUM($J565,$M565,$P565,$S565),"")</f>
        <v/>
      </c>
      <c r="BI565" s="458" t="str">
        <f>IF(AND($G565='Povolené hodnoty'!$B$14,$H565=BI$4),SUM($J565,$M565,$P565,$S565),"")</f>
        <v/>
      </c>
      <c r="BJ565" s="458" t="str">
        <f>IF(AND($G565='Povolené hodnoty'!$B$14,$H565=BJ$4),SUM($J565,$M565,$P565,$S565),"")</f>
        <v/>
      </c>
      <c r="BK565" s="40" t="str">
        <f>IF(AND($G565='Povolené hodnoty'!$B$14,$H565=BK$4),SUM($J565,$M565,$P565,$S565),"")</f>
        <v/>
      </c>
      <c r="BL565" s="40" t="str">
        <f>IF(AND($G565='Povolené hodnoty'!$B$14,$H565=BL$4),SUM($J565,$M565,$P565,$S565),"")</f>
        <v/>
      </c>
      <c r="BM565" s="41" t="str">
        <f>IF(AND($G565='Povolené hodnoty'!$B$14,$H565=BM$4),SUM($J565,$M565,$P565,$S565),"")</f>
        <v/>
      </c>
      <c r="BO565" s="18" t="b">
        <f t="shared" si="316"/>
        <v>0</v>
      </c>
      <c r="BP565" s="18" t="b">
        <f t="shared" si="287"/>
        <v>0</v>
      </c>
      <c r="BQ565" s="18" t="b">
        <f>AND(E565&lt;&gt;'Povolené hodnoty'!$B$6,F565&lt;&gt;'Povolené hodnoty'!$D$7,F565&lt;&gt;'Povolené hodnoty'!$D$8,OR(SUM(I565,L565,O565,R565)&lt;&gt;SUM(W565:X565,AA565:AG565),SUM(J565,M565,P565,S565)&lt;&gt;SUM(Y565:Z565,AH565:AK565),COUNT(I565:J565,L565:M565,O565:P565,R565:S565)&lt;&gt;COUNT(W565:AK565)))</f>
        <v>0</v>
      </c>
      <c r="BR565" s="18" t="b">
        <f>OR(AND(E565='Povolené hodnoty'!$B$6,$BR$5),AND(E565='Povolené hodnoty'!$B$6,H565&lt;&gt;'Povolené hodnoty'!$E$26,H565&lt;&gt;'Povolené hodnoty'!$E$35),AND(E565&lt;&gt;'Povolené hodnoty'!$B$6,OR(H565='Povolené hodnoty'!$E$26,H565='Povolené hodnoty'!$E$35)))</f>
        <v>0</v>
      </c>
      <c r="BS565" s="18" t="b">
        <f>OR(AND(G565&lt;&gt;'Povolené hodnoty'!$B$13,OR(H565='Povolené hodnoty'!$E$21,H565='Povolené hodnoty'!$E$22,H565='Povolené hodnoty'!$E$23,H565='Povolené hodnoty'!$E$24,H565='Povolené hodnoty'!$E$26,H565='Povolené hodnoty'!$E$36)),COUNT(I565:J565,L565:M565,O565:P565,R565:S565)&lt;&gt;COUNT(AL565:BM565))</f>
        <v>0</v>
      </c>
      <c r="BT565" s="18" t="b">
        <f t="shared" si="288"/>
        <v>0</v>
      </c>
      <c r="BV565" s="39" t="str">
        <f t="shared" si="289"/>
        <v/>
      </c>
      <c r="BW565" s="458" t="str">
        <f t="shared" si="290"/>
        <v/>
      </c>
      <c r="BX565" s="458" t="str">
        <f t="shared" si="291"/>
        <v/>
      </c>
      <c r="BY565" s="458" t="str">
        <f t="shared" si="292"/>
        <v/>
      </c>
      <c r="BZ565" s="458" t="str">
        <f t="shared" si="293"/>
        <v/>
      </c>
      <c r="CA565" s="40" t="str">
        <f t="shared" si="294"/>
        <v/>
      </c>
      <c r="CB565" s="40" t="str">
        <f t="shared" si="295"/>
        <v/>
      </c>
      <c r="CC565" s="39" t="str">
        <f t="shared" si="296"/>
        <v/>
      </c>
      <c r="CD565" s="458" t="str">
        <f t="shared" si="297"/>
        <v/>
      </c>
      <c r="CE565" s="41" t="str">
        <f t="shared" si="298"/>
        <v/>
      </c>
      <c r="CF565" s="39" t="str">
        <f t="shared" si="299"/>
        <v/>
      </c>
      <c r="CG565" s="458" t="str">
        <f t="shared" si="300"/>
        <v/>
      </c>
      <c r="CH565" s="458" t="str">
        <f t="shared" si="301"/>
        <v/>
      </c>
      <c r="CI565" s="458" t="str">
        <f t="shared" si="302"/>
        <v/>
      </c>
      <c r="CJ565" s="458" t="str">
        <f t="shared" si="303"/>
        <v/>
      </c>
      <c r="CK565" s="40" t="str">
        <f t="shared" si="304"/>
        <v/>
      </c>
      <c r="CL565" s="40" t="str">
        <f t="shared" si="305"/>
        <v/>
      </c>
      <c r="CM565" s="40" t="str">
        <f t="shared" si="306"/>
        <v/>
      </c>
      <c r="CN565" s="39" t="str">
        <f t="shared" si="307"/>
        <v/>
      </c>
      <c r="CO565" s="458" t="str">
        <f t="shared" si="308"/>
        <v/>
      </c>
      <c r="CP565" s="458" t="str">
        <f t="shared" si="309"/>
        <v/>
      </c>
      <c r="CQ565" s="458" t="str">
        <f t="shared" si="310"/>
        <v/>
      </c>
      <c r="CR565" s="458" t="str">
        <f t="shared" si="311"/>
        <v/>
      </c>
      <c r="CS565" s="40" t="str">
        <f t="shared" si="312"/>
        <v/>
      </c>
      <c r="CT565" s="40" t="str">
        <f t="shared" si="313"/>
        <v/>
      </c>
      <c r="CU565" s="41" t="str">
        <f t="shared" si="314"/>
        <v/>
      </c>
    </row>
    <row r="566" spans="1:99" x14ac:dyDescent="0.2">
      <c r="A566" s="77">
        <f t="shared" si="315"/>
        <v>561</v>
      </c>
      <c r="B566" s="81"/>
      <c r="C566" s="82"/>
      <c r="D566" s="71"/>
      <c r="E566" s="72"/>
      <c r="F566" s="73"/>
      <c r="G566" s="443"/>
      <c r="H566" s="443"/>
      <c r="I566" s="74"/>
      <c r="J566" s="75"/>
      <c r="K566" s="41">
        <f t="shared" si="319"/>
        <v>3625</v>
      </c>
      <c r="L566" s="104"/>
      <c r="M566" s="105"/>
      <c r="N566" s="106">
        <f t="shared" si="320"/>
        <v>537.05999999999995</v>
      </c>
      <c r="O566" s="104"/>
      <c r="P566" s="105"/>
      <c r="Q566" s="106">
        <f t="shared" si="317"/>
        <v>10045.83</v>
      </c>
      <c r="R566" s="104"/>
      <c r="S566" s="105"/>
      <c r="T566" s="106">
        <f t="shared" si="318"/>
        <v>0</v>
      </c>
      <c r="U566" s="439"/>
      <c r="V566" s="42">
        <f t="shared" si="286"/>
        <v>561</v>
      </c>
      <c r="W566" s="39" t="str">
        <f>IF(AND(E566='Povolené hodnoty'!$B$4,F566=2),I566+L566+O566+R566,"")</f>
        <v/>
      </c>
      <c r="X566" s="41" t="str">
        <f>IF(AND(E566='Povolené hodnoty'!$B$4,F566=1),I566+L566+O566+R566,"")</f>
        <v/>
      </c>
      <c r="Y566" s="39" t="str">
        <f>IF(AND(E566='Povolené hodnoty'!$B$4,F566=10),J566+M566+P566+S566,"")</f>
        <v/>
      </c>
      <c r="Z566" s="41" t="str">
        <f>IF(AND(E566='Povolené hodnoty'!$B$4,F566=9),J566+M566+P566+S566,"")</f>
        <v/>
      </c>
      <c r="AA566" s="39" t="str">
        <f>IF(AND(E566&lt;&gt;'Povolené hodnoty'!$B$4,F566=2),I566+L566+O566+R566,"")</f>
        <v/>
      </c>
      <c r="AB566" s="40" t="str">
        <f>IF(AND(E566&lt;&gt;'Povolené hodnoty'!$B$4,F566=3),I566+L566+O566+R566,"")</f>
        <v/>
      </c>
      <c r="AC566" s="40" t="str">
        <f>IF(AND(E566&lt;&gt;'Povolené hodnoty'!$B$4,F566=4),I566+L566+O566+R566,"")</f>
        <v/>
      </c>
      <c r="AD566" s="40" t="str">
        <f>IF(AND(E566&lt;&gt;'Povolené hodnoty'!$B$4,F566="5a"),I566-J566+L566-M566+O566-P566+R566-S566,"")</f>
        <v/>
      </c>
      <c r="AE566" s="40" t="str">
        <f>IF(AND(E566&lt;&gt;'Povolené hodnoty'!$B$4,F566="5b"),I566-J566+L566-M566+O566-P566+R566-S566,"")</f>
        <v/>
      </c>
      <c r="AF566" s="40" t="str">
        <f>IF(AND(E566&lt;&gt;'Povolené hodnoty'!$B$4,F566=6),I566+L566+O566+R566,"")</f>
        <v/>
      </c>
      <c r="AG566" s="41" t="str">
        <f>IF(AND(E566&lt;&gt;'Povolené hodnoty'!$B$4,F566=7),I566+L566+O566+R566,"")</f>
        <v/>
      </c>
      <c r="AH566" s="39" t="str">
        <f>IF(AND(E566&lt;&gt;'Povolené hodnoty'!$B$4,F566=10),J566+M566+P566+S566,"")</f>
        <v/>
      </c>
      <c r="AI566" s="40" t="str">
        <f>IF(AND(E566&lt;&gt;'Povolené hodnoty'!$B$4,F566=11),J566+M566+P566+S566,"")</f>
        <v/>
      </c>
      <c r="AJ566" s="40" t="str">
        <f>IF(AND(E566&lt;&gt;'Povolené hodnoty'!$B$4,F566=12),J566+M566+P566+S566,"")</f>
        <v/>
      </c>
      <c r="AK566" s="41" t="str">
        <f>IF(AND(E566&lt;&gt;'Povolené hodnoty'!$B$4,F566=13),J566+M566+P566+S566,"")</f>
        <v/>
      </c>
      <c r="AL566" s="39" t="str">
        <f>IF(AND($G566='Povolené hodnoty'!$B$13,$H566=AL$4),SUM($I566,$L566,$O566,$R566),"")</f>
        <v/>
      </c>
      <c r="AM566" s="458" t="str">
        <f>IF(AND($G566='Povolené hodnoty'!$B$13,$H566=AM$4),SUM($I566,$L566,$O566,$R566),"")</f>
        <v/>
      </c>
      <c r="AN566" s="458" t="str">
        <f>IF(AND($G566='Povolené hodnoty'!$B$13,$H566=AN$4),SUM($I566,$L566,$O566,$R566),"")</f>
        <v/>
      </c>
      <c r="AO566" s="458" t="str">
        <f>IF(AND($G566='Povolené hodnoty'!$B$13,$H566=AO$4),SUM($I566,$L566,$O566,$R566),"")</f>
        <v/>
      </c>
      <c r="AP566" s="458" t="str">
        <f>IF(AND($G566='Povolené hodnoty'!$B$13,$H566=AP$4),SUM($I566,$L566,$O566,$R566),"")</f>
        <v/>
      </c>
      <c r="AQ566" s="40" t="str">
        <f>IF(AND($G566='Povolené hodnoty'!$B$13,OR($H566=AQ$4,$H566='Povolené hodnoty'!$E$36)),SUM($I566,-$J566,$L566,-$M566,$O566,-$P566,$R566,-$S566),"")</f>
        <v/>
      </c>
      <c r="AR566" s="40" t="str">
        <f>IF(AND($G566='Povolené hodnoty'!$B$13,$H566=AR$4),SUM($I566,$L566,$O566,$R566),"")</f>
        <v/>
      </c>
      <c r="AS566" s="41" t="str">
        <f>IF(AND($G566='Povolené hodnoty'!$B$13,$H566=AS$4),SUM($I566,$L566,$O566,$R566),"")</f>
        <v/>
      </c>
      <c r="AT566" s="39" t="str">
        <f>IF(AND($G566='Povolené hodnoty'!$B$14,$H566=AT$4),SUM($I566,$L566,$O566,$R566),"")</f>
        <v/>
      </c>
      <c r="AU566" s="458" t="str">
        <f>IF(AND($G566='Povolené hodnoty'!$B$14,$H566=AU$4),SUM($I566,$L566,$O566,$R566),"")</f>
        <v/>
      </c>
      <c r="AV566" s="41" t="str">
        <f>IF(AND($G566='Povolené hodnoty'!$B$14,$H566=AV$4),SUM($I566,$L566,$O566,$R566),"")</f>
        <v/>
      </c>
      <c r="AW566" s="39" t="str">
        <f>IF(AND($G566='Povolené hodnoty'!$B$13,$H566=AW$4),SUM($J566,$M566,$P566,$S566),"")</f>
        <v/>
      </c>
      <c r="AX566" s="458" t="str">
        <f>IF(AND($G566='Povolené hodnoty'!$B$13,$H566=AX$4),SUM($J566,$M566,$P566,$S566),"")</f>
        <v/>
      </c>
      <c r="AY566" s="458" t="str">
        <f>IF(AND($G566='Povolené hodnoty'!$B$13,$H566=AY$4),SUM($J566,$M566,$P566,$S566),"")</f>
        <v/>
      </c>
      <c r="AZ566" s="458" t="str">
        <f>IF(AND($G566='Povolené hodnoty'!$B$13,$H566=AZ$4),SUM($J566,$M566,$P566,$S566),"")</f>
        <v/>
      </c>
      <c r="BA566" s="458" t="str">
        <f>IF(AND($G566='Povolené hodnoty'!$B$13,$H566=BA$4),SUM($J566,$M566,$P566,$S566),"")</f>
        <v/>
      </c>
      <c r="BB566" s="40" t="str">
        <f>IF(AND($G566='Povolené hodnoty'!$B$13,$H566=BB$4),SUM($J566,$M566,$P566,$S566),"")</f>
        <v/>
      </c>
      <c r="BC566" s="40" t="str">
        <f>IF(AND($G566='Povolené hodnoty'!$B$13,$H566=BC$4),SUM($J566,$M566,$P566,$S566),"")</f>
        <v/>
      </c>
      <c r="BD566" s="40" t="str">
        <f>IF(AND($G566='Povolené hodnoty'!$B$13,$H566=BD$4),SUM($J566,$M566,$P566,$S566),"")</f>
        <v/>
      </c>
      <c r="BE566" s="41" t="str">
        <f>IF(AND($G566='Povolené hodnoty'!$B$13,$H566=BE$4),SUM($J566,$M566,$P566,$S566),"")</f>
        <v/>
      </c>
      <c r="BF566" s="39" t="str">
        <f>IF(AND($G566='Povolené hodnoty'!$B$14,$H566=BF$4),SUM($J566,$M566,$P566,$S566),"")</f>
        <v/>
      </c>
      <c r="BG566" s="458" t="str">
        <f>IF(AND($G566='Povolené hodnoty'!$B$14,$H566=BG$4),SUM($J566,$M566,$P566,$S566),"")</f>
        <v/>
      </c>
      <c r="BH566" s="458" t="str">
        <f>IF(AND($G566='Povolené hodnoty'!$B$14,$H566=BH$4),SUM($J566,$M566,$P566,$S566),"")</f>
        <v/>
      </c>
      <c r="BI566" s="458" t="str">
        <f>IF(AND($G566='Povolené hodnoty'!$B$14,$H566=BI$4),SUM($J566,$M566,$P566,$S566),"")</f>
        <v/>
      </c>
      <c r="BJ566" s="458" t="str">
        <f>IF(AND($G566='Povolené hodnoty'!$B$14,$H566=BJ$4),SUM($J566,$M566,$P566,$S566),"")</f>
        <v/>
      </c>
      <c r="BK566" s="40" t="str">
        <f>IF(AND($G566='Povolené hodnoty'!$B$14,$H566=BK$4),SUM($J566,$M566,$P566,$S566),"")</f>
        <v/>
      </c>
      <c r="BL566" s="40" t="str">
        <f>IF(AND($G566='Povolené hodnoty'!$B$14,$H566=BL$4),SUM($J566,$M566,$P566,$S566),"")</f>
        <v/>
      </c>
      <c r="BM566" s="41" t="str">
        <f>IF(AND($G566='Povolené hodnoty'!$B$14,$H566=BM$4),SUM($J566,$M566,$P566,$S566),"")</f>
        <v/>
      </c>
      <c r="BO566" s="18" t="b">
        <f t="shared" si="316"/>
        <v>0</v>
      </c>
      <c r="BP566" s="18" t="b">
        <f t="shared" si="287"/>
        <v>0</v>
      </c>
      <c r="BQ566" s="18" t="b">
        <f>AND(E566&lt;&gt;'Povolené hodnoty'!$B$6,F566&lt;&gt;'Povolené hodnoty'!$D$7,F566&lt;&gt;'Povolené hodnoty'!$D$8,OR(SUM(I566,L566,O566,R566)&lt;&gt;SUM(W566:X566,AA566:AG566),SUM(J566,M566,P566,S566)&lt;&gt;SUM(Y566:Z566,AH566:AK566),COUNT(I566:J566,L566:M566,O566:P566,R566:S566)&lt;&gt;COUNT(W566:AK566)))</f>
        <v>0</v>
      </c>
      <c r="BR566" s="18" t="b">
        <f>OR(AND(E566='Povolené hodnoty'!$B$6,$BR$5),AND(E566='Povolené hodnoty'!$B$6,H566&lt;&gt;'Povolené hodnoty'!$E$26,H566&lt;&gt;'Povolené hodnoty'!$E$35),AND(E566&lt;&gt;'Povolené hodnoty'!$B$6,OR(H566='Povolené hodnoty'!$E$26,H566='Povolené hodnoty'!$E$35)))</f>
        <v>0</v>
      </c>
      <c r="BS566" s="18" t="b">
        <f>OR(AND(G566&lt;&gt;'Povolené hodnoty'!$B$13,OR(H566='Povolené hodnoty'!$E$21,H566='Povolené hodnoty'!$E$22,H566='Povolené hodnoty'!$E$23,H566='Povolené hodnoty'!$E$24,H566='Povolené hodnoty'!$E$26,H566='Povolené hodnoty'!$E$36)),COUNT(I566:J566,L566:M566,O566:P566,R566:S566)&lt;&gt;COUNT(AL566:BM566))</f>
        <v>0</v>
      </c>
      <c r="BT566" s="18" t="b">
        <f t="shared" si="288"/>
        <v>0</v>
      </c>
      <c r="BV566" s="39" t="str">
        <f t="shared" si="289"/>
        <v/>
      </c>
      <c r="BW566" s="458" t="str">
        <f t="shared" si="290"/>
        <v/>
      </c>
      <c r="BX566" s="458" t="str">
        <f t="shared" si="291"/>
        <v/>
      </c>
      <c r="BY566" s="458" t="str">
        <f t="shared" si="292"/>
        <v/>
      </c>
      <c r="BZ566" s="458" t="str">
        <f t="shared" si="293"/>
        <v/>
      </c>
      <c r="CA566" s="40" t="str">
        <f t="shared" si="294"/>
        <v/>
      </c>
      <c r="CB566" s="40" t="str">
        <f t="shared" si="295"/>
        <v/>
      </c>
      <c r="CC566" s="39" t="str">
        <f t="shared" si="296"/>
        <v/>
      </c>
      <c r="CD566" s="458" t="str">
        <f t="shared" si="297"/>
        <v/>
      </c>
      <c r="CE566" s="41" t="str">
        <f t="shared" si="298"/>
        <v/>
      </c>
      <c r="CF566" s="39" t="str">
        <f t="shared" si="299"/>
        <v/>
      </c>
      <c r="CG566" s="458" t="str">
        <f t="shared" si="300"/>
        <v/>
      </c>
      <c r="CH566" s="458" t="str">
        <f t="shared" si="301"/>
        <v/>
      </c>
      <c r="CI566" s="458" t="str">
        <f t="shared" si="302"/>
        <v/>
      </c>
      <c r="CJ566" s="458" t="str">
        <f t="shared" si="303"/>
        <v/>
      </c>
      <c r="CK566" s="40" t="str">
        <f t="shared" si="304"/>
        <v/>
      </c>
      <c r="CL566" s="40" t="str">
        <f t="shared" si="305"/>
        <v/>
      </c>
      <c r="CM566" s="40" t="str">
        <f t="shared" si="306"/>
        <v/>
      </c>
      <c r="CN566" s="39" t="str">
        <f t="shared" si="307"/>
        <v/>
      </c>
      <c r="CO566" s="458" t="str">
        <f t="shared" si="308"/>
        <v/>
      </c>
      <c r="CP566" s="458" t="str">
        <f t="shared" si="309"/>
        <v/>
      </c>
      <c r="CQ566" s="458" t="str">
        <f t="shared" si="310"/>
        <v/>
      </c>
      <c r="CR566" s="458" t="str">
        <f t="shared" si="311"/>
        <v/>
      </c>
      <c r="CS566" s="40" t="str">
        <f t="shared" si="312"/>
        <v/>
      </c>
      <c r="CT566" s="40" t="str">
        <f t="shared" si="313"/>
        <v/>
      </c>
      <c r="CU566" s="41" t="str">
        <f t="shared" si="314"/>
        <v/>
      </c>
    </row>
    <row r="567" spans="1:99" x14ac:dyDescent="0.2">
      <c r="A567" s="77">
        <f t="shared" si="315"/>
        <v>562</v>
      </c>
      <c r="B567" s="81"/>
      <c r="C567" s="82"/>
      <c r="D567" s="71"/>
      <c r="E567" s="72"/>
      <c r="F567" s="73"/>
      <c r="G567" s="443"/>
      <c r="H567" s="443"/>
      <c r="I567" s="74"/>
      <c r="J567" s="75"/>
      <c r="K567" s="41">
        <f t="shared" si="319"/>
        <v>3625</v>
      </c>
      <c r="L567" s="104"/>
      <c r="M567" s="105"/>
      <c r="N567" s="106">
        <f t="shared" si="320"/>
        <v>537.05999999999995</v>
      </c>
      <c r="O567" s="104"/>
      <c r="P567" s="105"/>
      <c r="Q567" s="106">
        <f t="shared" si="317"/>
        <v>10045.83</v>
      </c>
      <c r="R567" s="104"/>
      <c r="S567" s="105"/>
      <c r="T567" s="106">
        <f t="shared" si="318"/>
        <v>0</v>
      </c>
      <c r="U567" s="439"/>
      <c r="V567" s="42">
        <f t="shared" si="286"/>
        <v>562</v>
      </c>
      <c r="W567" s="39" t="str">
        <f>IF(AND(E567='Povolené hodnoty'!$B$4,F567=2),I567+L567+O567+R567,"")</f>
        <v/>
      </c>
      <c r="X567" s="41" t="str">
        <f>IF(AND(E567='Povolené hodnoty'!$B$4,F567=1),I567+L567+O567+R567,"")</f>
        <v/>
      </c>
      <c r="Y567" s="39" t="str">
        <f>IF(AND(E567='Povolené hodnoty'!$B$4,F567=10),J567+M567+P567+S567,"")</f>
        <v/>
      </c>
      <c r="Z567" s="41" t="str">
        <f>IF(AND(E567='Povolené hodnoty'!$B$4,F567=9),J567+M567+P567+S567,"")</f>
        <v/>
      </c>
      <c r="AA567" s="39" t="str">
        <f>IF(AND(E567&lt;&gt;'Povolené hodnoty'!$B$4,F567=2),I567+L567+O567+R567,"")</f>
        <v/>
      </c>
      <c r="AB567" s="40" t="str">
        <f>IF(AND(E567&lt;&gt;'Povolené hodnoty'!$B$4,F567=3),I567+L567+O567+R567,"")</f>
        <v/>
      </c>
      <c r="AC567" s="40" t="str">
        <f>IF(AND(E567&lt;&gt;'Povolené hodnoty'!$B$4,F567=4),I567+L567+O567+R567,"")</f>
        <v/>
      </c>
      <c r="AD567" s="40" t="str">
        <f>IF(AND(E567&lt;&gt;'Povolené hodnoty'!$B$4,F567="5a"),I567-J567+L567-M567+O567-P567+R567-S567,"")</f>
        <v/>
      </c>
      <c r="AE567" s="40" t="str">
        <f>IF(AND(E567&lt;&gt;'Povolené hodnoty'!$B$4,F567="5b"),I567-J567+L567-M567+O567-P567+R567-S567,"")</f>
        <v/>
      </c>
      <c r="AF567" s="40" t="str">
        <f>IF(AND(E567&lt;&gt;'Povolené hodnoty'!$B$4,F567=6),I567+L567+O567+R567,"")</f>
        <v/>
      </c>
      <c r="AG567" s="41" t="str">
        <f>IF(AND(E567&lt;&gt;'Povolené hodnoty'!$B$4,F567=7),I567+L567+O567+R567,"")</f>
        <v/>
      </c>
      <c r="AH567" s="39" t="str">
        <f>IF(AND(E567&lt;&gt;'Povolené hodnoty'!$B$4,F567=10),J567+M567+P567+S567,"")</f>
        <v/>
      </c>
      <c r="AI567" s="40" t="str">
        <f>IF(AND(E567&lt;&gt;'Povolené hodnoty'!$B$4,F567=11),J567+M567+P567+S567,"")</f>
        <v/>
      </c>
      <c r="AJ567" s="40" t="str">
        <f>IF(AND(E567&lt;&gt;'Povolené hodnoty'!$B$4,F567=12),J567+M567+P567+S567,"")</f>
        <v/>
      </c>
      <c r="AK567" s="41" t="str">
        <f>IF(AND(E567&lt;&gt;'Povolené hodnoty'!$B$4,F567=13),J567+M567+P567+S567,"")</f>
        <v/>
      </c>
      <c r="AL567" s="39" t="str">
        <f>IF(AND($G567='Povolené hodnoty'!$B$13,$H567=AL$4),SUM($I567,$L567,$O567,$R567),"")</f>
        <v/>
      </c>
      <c r="AM567" s="458" t="str">
        <f>IF(AND($G567='Povolené hodnoty'!$B$13,$H567=AM$4),SUM($I567,$L567,$O567,$R567),"")</f>
        <v/>
      </c>
      <c r="AN567" s="458" t="str">
        <f>IF(AND($G567='Povolené hodnoty'!$B$13,$H567=AN$4),SUM($I567,$L567,$O567,$R567),"")</f>
        <v/>
      </c>
      <c r="AO567" s="458" t="str">
        <f>IF(AND($G567='Povolené hodnoty'!$B$13,$H567=AO$4),SUM($I567,$L567,$O567,$R567),"")</f>
        <v/>
      </c>
      <c r="AP567" s="458" t="str">
        <f>IF(AND($G567='Povolené hodnoty'!$B$13,$H567=AP$4),SUM($I567,$L567,$O567,$R567),"")</f>
        <v/>
      </c>
      <c r="AQ567" s="40" t="str">
        <f>IF(AND($G567='Povolené hodnoty'!$B$13,OR($H567=AQ$4,$H567='Povolené hodnoty'!$E$36)),SUM($I567,-$J567,$L567,-$M567,$O567,-$P567,$R567,-$S567),"")</f>
        <v/>
      </c>
      <c r="AR567" s="40" t="str">
        <f>IF(AND($G567='Povolené hodnoty'!$B$13,$H567=AR$4),SUM($I567,$L567,$O567,$R567),"")</f>
        <v/>
      </c>
      <c r="AS567" s="41" t="str">
        <f>IF(AND($G567='Povolené hodnoty'!$B$13,$H567=AS$4),SUM($I567,$L567,$O567,$R567),"")</f>
        <v/>
      </c>
      <c r="AT567" s="39" t="str">
        <f>IF(AND($G567='Povolené hodnoty'!$B$14,$H567=AT$4),SUM($I567,$L567,$O567,$R567),"")</f>
        <v/>
      </c>
      <c r="AU567" s="458" t="str">
        <f>IF(AND($G567='Povolené hodnoty'!$B$14,$H567=AU$4),SUM($I567,$L567,$O567,$R567),"")</f>
        <v/>
      </c>
      <c r="AV567" s="41" t="str">
        <f>IF(AND($G567='Povolené hodnoty'!$B$14,$H567=AV$4),SUM($I567,$L567,$O567,$R567),"")</f>
        <v/>
      </c>
      <c r="AW567" s="39" t="str">
        <f>IF(AND($G567='Povolené hodnoty'!$B$13,$H567=AW$4),SUM($J567,$M567,$P567,$S567),"")</f>
        <v/>
      </c>
      <c r="AX567" s="458" t="str">
        <f>IF(AND($G567='Povolené hodnoty'!$B$13,$H567=AX$4),SUM($J567,$M567,$P567,$S567),"")</f>
        <v/>
      </c>
      <c r="AY567" s="458" t="str">
        <f>IF(AND($G567='Povolené hodnoty'!$B$13,$H567=AY$4),SUM($J567,$M567,$P567,$S567),"")</f>
        <v/>
      </c>
      <c r="AZ567" s="458" t="str">
        <f>IF(AND($G567='Povolené hodnoty'!$B$13,$H567=AZ$4),SUM($J567,$M567,$P567,$S567),"")</f>
        <v/>
      </c>
      <c r="BA567" s="458" t="str">
        <f>IF(AND($G567='Povolené hodnoty'!$B$13,$H567=BA$4),SUM($J567,$M567,$P567,$S567),"")</f>
        <v/>
      </c>
      <c r="BB567" s="40" t="str">
        <f>IF(AND($G567='Povolené hodnoty'!$B$13,$H567=BB$4),SUM($J567,$M567,$P567,$S567),"")</f>
        <v/>
      </c>
      <c r="BC567" s="40" t="str">
        <f>IF(AND($G567='Povolené hodnoty'!$B$13,$H567=BC$4),SUM($J567,$M567,$P567,$S567),"")</f>
        <v/>
      </c>
      <c r="BD567" s="40" t="str">
        <f>IF(AND($G567='Povolené hodnoty'!$B$13,$H567=BD$4),SUM($J567,$M567,$P567,$S567),"")</f>
        <v/>
      </c>
      <c r="BE567" s="41" t="str">
        <f>IF(AND($G567='Povolené hodnoty'!$B$13,$H567=BE$4),SUM($J567,$M567,$P567,$S567),"")</f>
        <v/>
      </c>
      <c r="BF567" s="39" t="str">
        <f>IF(AND($G567='Povolené hodnoty'!$B$14,$H567=BF$4),SUM($J567,$M567,$P567,$S567),"")</f>
        <v/>
      </c>
      <c r="BG567" s="458" t="str">
        <f>IF(AND($G567='Povolené hodnoty'!$B$14,$H567=BG$4),SUM($J567,$M567,$P567,$S567),"")</f>
        <v/>
      </c>
      <c r="BH567" s="458" t="str">
        <f>IF(AND($G567='Povolené hodnoty'!$B$14,$H567=BH$4),SUM($J567,$M567,$P567,$S567),"")</f>
        <v/>
      </c>
      <c r="BI567" s="458" t="str">
        <f>IF(AND($G567='Povolené hodnoty'!$B$14,$H567=BI$4),SUM($J567,$M567,$P567,$S567),"")</f>
        <v/>
      </c>
      <c r="BJ567" s="458" t="str">
        <f>IF(AND($G567='Povolené hodnoty'!$B$14,$H567=BJ$4),SUM($J567,$M567,$P567,$S567),"")</f>
        <v/>
      </c>
      <c r="BK567" s="40" t="str">
        <f>IF(AND($G567='Povolené hodnoty'!$B$14,$H567=BK$4),SUM($J567,$M567,$P567,$S567),"")</f>
        <v/>
      </c>
      <c r="BL567" s="40" t="str">
        <f>IF(AND($G567='Povolené hodnoty'!$B$14,$H567=BL$4),SUM($J567,$M567,$P567,$S567),"")</f>
        <v/>
      </c>
      <c r="BM567" s="41" t="str">
        <f>IF(AND($G567='Povolené hodnoty'!$B$14,$H567=BM$4),SUM($J567,$M567,$P567,$S567),"")</f>
        <v/>
      </c>
      <c r="BO567" s="18" t="b">
        <f t="shared" si="316"/>
        <v>0</v>
      </c>
      <c r="BP567" s="18" t="b">
        <f t="shared" si="287"/>
        <v>0</v>
      </c>
      <c r="BQ567" s="18" t="b">
        <f>AND(E567&lt;&gt;'Povolené hodnoty'!$B$6,F567&lt;&gt;'Povolené hodnoty'!$D$7,F567&lt;&gt;'Povolené hodnoty'!$D$8,OR(SUM(I567,L567,O567,R567)&lt;&gt;SUM(W567:X567,AA567:AG567),SUM(J567,M567,P567,S567)&lt;&gt;SUM(Y567:Z567,AH567:AK567),COUNT(I567:J567,L567:M567,O567:P567,R567:S567)&lt;&gt;COUNT(W567:AK567)))</f>
        <v>0</v>
      </c>
      <c r="BR567" s="18" t="b">
        <f>OR(AND(E567='Povolené hodnoty'!$B$6,$BR$5),AND(E567='Povolené hodnoty'!$B$6,H567&lt;&gt;'Povolené hodnoty'!$E$26,H567&lt;&gt;'Povolené hodnoty'!$E$35),AND(E567&lt;&gt;'Povolené hodnoty'!$B$6,OR(H567='Povolené hodnoty'!$E$26,H567='Povolené hodnoty'!$E$35)))</f>
        <v>0</v>
      </c>
      <c r="BS567" s="18" t="b">
        <f>OR(AND(G567&lt;&gt;'Povolené hodnoty'!$B$13,OR(H567='Povolené hodnoty'!$E$21,H567='Povolené hodnoty'!$E$22,H567='Povolené hodnoty'!$E$23,H567='Povolené hodnoty'!$E$24,H567='Povolené hodnoty'!$E$26,H567='Povolené hodnoty'!$E$36)),COUNT(I567:J567,L567:M567,O567:P567,R567:S567)&lt;&gt;COUNT(AL567:BM567))</f>
        <v>0</v>
      </c>
      <c r="BT567" s="18" t="b">
        <f t="shared" si="288"/>
        <v>0</v>
      </c>
      <c r="BV567" s="39" t="str">
        <f t="shared" si="289"/>
        <v/>
      </c>
      <c r="BW567" s="458" t="str">
        <f t="shared" si="290"/>
        <v/>
      </c>
      <c r="BX567" s="458" t="str">
        <f t="shared" si="291"/>
        <v/>
      </c>
      <c r="BY567" s="458" t="str">
        <f t="shared" si="292"/>
        <v/>
      </c>
      <c r="BZ567" s="458" t="str">
        <f t="shared" si="293"/>
        <v/>
      </c>
      <c r="CA567" s="40" t="str">
        <f t="shared" si="294"/>
        <v/>
      </c>
      <c r="CB567" s="40" t="str">
        <f t="shared" si="295"/>
        <v/>
      </c>
      <c r="CC567" s="39" t="str">
        <f t="shared" si="296"/>
        <v/>
      </c>
      <c r="CD567" s="458" t="str">
        <f t="shared" si="297"/>
        <v/>
      </c>
      <c r="CE567" s="41" t="str">
        <f t="shared" si="298"/>
        <v/>
      </c>
      <c r="CF567" s="39" t="str">
        <f t="shared" si="299"/>
        <v/>
      </c>
      <c r="CG567" s="458" t="str">
        <f t="shared" si="300"/>
        <v/>
      </c>
      <c r="CH567" s="458" t="str">
        <f t="shared" si="301"/>
        <v/>
      </c>
      <c r="CI567" s="458" t="str">
        <f t="shared" si="302"/>
        <v/>
      </c>
      <c r="CJ567" s="458" t="str">
        <f t="shared" si="303"/>
        <v/>
      </c>
      <c r="CK567" s="40" t="str">
        <f t="shared" si="304"/>
        <v/>
      </c>
      <c r="CL567" s="40" t="str">
        <f t="shared" si="305"/>
        <v/>
      </c>
      <c r="CM567" s="40" t="str">
        <f t="shared" si="306"/>
        <v/>
      </c>
      <c r="CN567" s="39" t="str">
        <f t="shared" si="307"/>
        <v/>
      </c>
      <c r="CO567" s="458" t="str">
        <f t="shared" si="308"/>
        <v/>
      </c>
      <c r="CP567" s="458" t="str">
        <f t="shared" si="309"/>
        <v/>
      </c>
      <c r="CQ567" s="458" t="str">
        <f t="shared" si="310"/>
        <v/>
      </c>
      <c r="CR567" s="458" t="str">
        <f t="shared" si="311"/>
        <v/>
      </c>
      <c r="CS567" s="40" t="str">
        <f t="shared" si="312"/>
        <v/>
      </c>
      <c r="CT567" s="40" t="str">
        <f t="shared" si="313"/>
        <v/>
      </c>
      <c r="CU567" s="41" t="str">
        <f t="shared" si="314"/>
        <v/>
      </c>
    </row>
    <row r="568" spans="1:99" x14ac:dyDescent="0.2">
      <c r="A568" s="77">
        <f t="shared" si="315"/>
        <v>563</v>
      </c>
      <c r="B568" s="81"/>
      <c r="C568" s="82"/>
      <c r="D568" s="71"/>
      <c r="E568" s="72"/>
      <c r="F568" s="73"/>
      <c r="G568" s="443"/>
      <c r="H568" s="443"/>
      <c r="I568" s="74"/>
      <c r="J568" s="75"/>
      <c r="K568" s="41">
        <f t="shared" si="319"/>
        <v>3625</v>
      </c>
      <c r="L568" s="104"/>
      <c r="M568" s="105"/>
      <c r="N568" s="106">
        <f t="shared" si="320"/>
        <v>537.05999999999995</v>
      </c>
      <c r="O568" s="104"/>
      <c r="P568" s="105"/>
      <c r="Q568" s="106">
        <f t="shared" si="317"/>
        <v>10045.83</v>
      </c>
      <c r="R568" s="104"/>
      <c r="S568" s="105"/>
      <c r="T568" s="106">
        <f t="shared" si="318"/>
        <v>0</v>
      </c>
      <c r="U568" s="439"/>
      <c r="V568" s="42">
        <f t="shared" si="286"/>
        <v>563</v>
      </c>
      <c r="W568" s="39" t="str">
        <f>IF(AND(E568='Povolené hodnoty'!$B$4,F568=2),I568+L568+O568+R568,"")</f>
        <v/>
      </c>
      <c r="X568" s="41" t="str">
        <f>IF(AND(E568='Povolené hodnoty'!$B$4,F568=1),I568+L568+O568+R568,"")</f>
        <v/>
      </c>
      <c r="Y568" s="39" t="str">
        <f>IF(AND(E568='Povolené hodnoty'!$B$4,F568=10),J568+M568+P568+S568,"")</f>
        <v/>
      </c>
      <c r="Z568" s="41" t="str">
        <f>IF(AND(E568='Povolené hodnoty'!$B$4,F568=9),J568+M568+P568+S568,"")</f>
        <v/>
      </c>
      <c r="AA568" s="39" t="str">
        <f>IF(AND(E568&lt;&gt;'Povolené hodnoty'!$B$4,F568=2),I568+L568+O568+R568,"")</f>
        <v/>
      </c>
      <c r="AB568" s="40" t="str">
        <f>IF(AND(E568&lt;&gt;'Povolené hodnoty'!$B$4,F568=3),I568+L568+O568+R568,"")</f>
        <v/>
      </c>
      <c r="AC568" s="40" t="str">
        <f>IF(AND(E568&lt;&gt;'Povolené hodnoty'!$B$4,F568=4),I568+L568+O568+R568,"")</f>
        <v/>
      </c>
      <c r="AD568" s="40" t="str">
        <f>IF(AND(E568&lt;&gt;'Povolené hodnoty'!$B$4,F568="5a"),I568-J568+L568-M568+O568-P568+R568-S568,"")</f>
        <v/>
      </c>
      <c r="AE568" s="40" t="str">
        <f>IF(AND(E568&lt;&gt;'Povolené hodnoty'!$B$4,F568="5b"),I568-J568+L568-M568+O568-P568+R568-S568,"")</f>
        <v/>
      </c>
      <c r="AF568" s="40" t="str">
        <f>IF(AND(E568&lt;&gt;'Povolené hodnoty'!$B$4,F568=6),I568+L568+O568+R568,"")</f>
        <v/>
      </c>
      <c r="AG568" s="41" t="str">
        <f>IF(AND(E568&lt;&gt;'Povolené hodnoty'!$B$4,F568=7),I568+L568+O568+R568,"")</f>
        <v/>
      </c>
      <c r="AH568" s="39" t="str">
        <f>IF(AND(E568&lt;&gt;'Povolené hodnoty'!$B$4,F568=10),J568+M568+P568+S568,"")</f>
        <v/>
      </c>
      <c r="AI568" s="40" t="str">
        <f>IF(AND(E568&lt;&gt;'Povolené hodnoty'!$B$4,F568=11),J568+M568+P568+S568,"")</f>
        <v/>
      </c>
      <c r="AJ568" s="40" t="str">
        <f>IF(AND(E568&lt;&gt;'Povolené hodnoty'!$B$4,F568=12),J568+M568+P568+S568,"")</f>
        <v/>
      </c>
      <c r="AK568" s="41" t="str">
        <f>IF(AND(E568&lt;&gt;'Povolené hodnoty'!$B$4,F568=13),J568+M568+P568+S568,"")</f>
        <v/>
      </c>
      <c r="AL568" s="39" t="str">
        <f>IF(AND($G568='Povolené hodnoty'!$B$13,$H568=AL$4),SUM($I568,$L568,$O568,$R568),"")</f>
        <v/>
      </c>
      <c r="AM568" s="458" t="str">
        <f>IF(AND($G568='Povolené hodnoty'!$B$13,$H568=AM$4),SUM($I568,$L568,$O568,$R568),"")</f>
        <v/>
      </c>
      <c r="AN568" s="458" t="str">
        <f>IF(AND($G568='Povolené hodnoty'!$B$13,$H568=AN$4),SUM($I568,$L568,$O568,$R568),"")</f>
        <v/>
      </c>
      <c r="AO568" s="458" t="str">
        <f>IF(AND($G568='Povolené hodnoty'!$B$13,$H568=AO$4),SUM($I568,$L568,$O568,$R568),"")</f>
        <v/>
      </c>
      <c r="AP568" s="458" t="str">
        <f>IF(AND($G568='Povolené hodnoty'!$B$13,$H568=AP$4),SUM($I568,$L568,$O568,$R568),"")</f>
        <v/>
      </c>
      <c r="AQ568" s="40" t="str">
        <f>IF(AND($G568='Povolené hodnoty'!$B$13,OR($H568=AQ$4,$H568='Povolené hodnoty'!$E$36)),SUM($I568,-$J568,$L568,-$M568,$O568,-$P568,$R568,-$S568),"")</f>
        <v/>
      </c>
      <c r="AR568" s="40" t="str">
        <f>IF(AND($G568='Povolené hodnoty'!$B$13,$H568=AR$4),SUM($I568,$L568,$O568,$R568),"")</f>
        <v/>
      </c>
      <c r="AS568" s="41" t="str">
        <f>IF(AND($G568='Povolené hodnoty'!$B$13,$H568=AS$4),SUM($I568,$L568,$O568,$R568),"")</f>
        <v/>
      </c>
      <c r="AT568" s="39" t="str">
        <f>IF(AND($G568='Povolené hodnoty'!$B$14,$H568=AT$4),SUM($I568,$L568,$O568,$R568),"")</f>
        <v/>
      </c>
      <c r="AU568" s="458" t="str">
        <f>IF(AND($G568='Povolené hodnoty'!$B$14,$H568=AU$4),SUM($I568,$L568,$O568,$R568),"")</f>
        <v/>
      </c>
      <c r="AV568" s="41" t="str">
        <f>IF(AND($G568='Povolené hodnoty'!$B$14,$H568=AV$4),SUM($I568,$L568,$O568,$R568),"")</f>
        <v/>
      </c>
      <c r="AW568" s="39" t="str">
        <f>IF(AND($G568='Povolené hodnoty'!$B$13,$H568=AW$4),SUM($J568,$M568,$P568,$S568),"")</f>
        <v/>
      </c>
      <c r="AX568" s="458" t="str">
        <f>IF(AND($G568='Povolené hodnoty'!$B$13,$H568=AX$4),SUM($J568,$M568,$P568,$S568),"")</f>
        <v/>
      </c>
      <c r="AY568" s="458" t="str">
        <f>IF(AND($G568='Povolené hodnoty'!$B$13,$H568=AY$4),SUM($J568,$M568,$P568,$S568),"")</f>
        <v/>
      </c>
      <c r="AZ568" s="458" t="str">
        <f>IF(AND($G568='Povolené hodnoty'!$B$13,$H568=AZ$4),SUM($J568,$M568,$P568,$S568),"")</f>
        <v/>
      </c>
      <c r="BA568" s="458" t="str">
        <f>IF(AND($G568='Povolené hodnoty'!$B$13,$H568=BA$4),SUM($J568,$M568,$P568,$S568),"")</f>
        <v/>
      </c>
      <c r="BB568" s="40" t="str">
        <f>IF(AND($G568='Povolené hodnoty'!$B$13,$H568=BB$4),SUM($J568,$M568,$P568,$S568),"")</f>
        <v/>
      </c>
      <c r="BC568" s="40" t="str">
        <f>IF(AND($G568='Povolené hodnoty'!$B$13,$H568=BC$4),SUM($J568,$M568,$P568,$S568),"")</f>
        <v/>
      </c>
      <c r="BD568" s="40" t="str">
        <f>IF(AND($G568='Povolené hodnoty'!$B$13,$H568=BD$4),SUM($J568,$M568,$P568,$S568),"")</f>
        <v/>
      </c>
      <c r="BE568" s="41" t="str">
        <f>IF(AND($G568='Povolené hodnoty'!$B$13,$H568=BE$4),SUM($J568,$M568,$P568,$S568),"")</f>
        <v/>
      </c>
      <c r="BF568" s="39" t="str">
        <f>IF(AND($G568='Povolené hodnoty'!$B$14,$H568=BF$4),SUM($J568,$M568,$P568,$S568),"")</f>
        <v/>
      </c>
      <c r="BG568" s="458" t="str">
        <f>IF(AND($G568='Povolené hodnoty'!$B$14,$H568=BG$4),SUM($J568,$M568,$P568,$S568),"")</f>
        <v/>
      </c>
      <c r="BH568" s="458" t="str">
        <f>IF(AND($G568='Povolené hodnoty'!$B$14,$H568=BH$4),SUM($J568,$M568,$P568,$S568),"")</f>
        <v/>
      </c>
      <c r="BI568" s="458" t="str">
        <f>IF(AND($G568='Povolené hodnoty'!$B$14,$H568=BI$4),SUM($J568,$M568,$P568,$S568),"")</f>
        <v/>
      </c>
      <c r="BJ568" s="458" t="str">
        <f>IF(AND($G568='Povolené hodnoty'!$B$14,$H568=BJ$4),SUM($J568,$M568,$P568,$S568),"")</f>
        <v/>
      </c>
      <c r="BK568" s="40" t="str">
        <f>IF(AND($G568='Povolené hodnoty'!$B$14,$H568=BK$4),SUM($J568,$M568,$P568,$S568),"")</f>
        <v/>
      </c>
      <c r="BL568" s="40" t="str">
        <f>IF(AND($G568='Povolené hodnoty'!$B$14,$H568=BL$4),SUM($J568,$M568,$P568,$S568),"")</f>
        <v/>
      </c>
      <c r="BM568" s="41" t="str">
        <f>IF(AND($G568='Povolené hodnoty'!$B$14,$H568=BM$4),SUM($J568,$M568,$P568,$S568),"")</f>
        <v/>
      </c>
      <c r="BO568" s="18" t="b">
        <f t="shared" si="316"/>
        <v>0</v>
      </c>
      <c r="BP568" s="18" t="b">
        <f t="shared" si="287"/>
        <v>0</v>
      </c>
      <c r="BQ568" s="18" t="b">
        <f>AND(E568&lt;&gt;'Povolené hodnoty'!$B$6,F568&lt;&gt;'Povolené hodnoty'!$D$7,F568&lt;&gt;'Povolené hodnoty'!$D$8,OR(SUM(I568,L568,O568,R568)&lt;&gt;SUM(W568:X568,AA568:AG568),SUM(J568,M568,P568,S568)&lt;&gt;SUM(Y568:Z568,AH568:AK568),COUNT(I568:J568,L568:M568,O568:P568,R568:S568)&lt;&gt;COUNT(W568:AK568)))</f>
        <v>0</v>
      </c>
      <c r="BR568" s="18" t="b">
        <f>OR(AND(E568='Povolené hodnoty'!$B$6,$BR$5),AND(E568='Povolené hodnoty'!$B$6,H568&lt;&gt;'Povolené hodnoty'!$E$26,H568&lt;&gt;'Povolené hodnoty'!$E$35),AND(E568&lt;&gt;'Povolené hodnoty'!$B$6,OR(H568='Povolené hodnoty'!$E$26,H568='Povolené hodnoty'!$E$35)))</f>
        <v>0</v>
      </c>
      <c r="BS568" s="18" t="b">
        <f>OR(AND(G568&lt;&gt;'Povolené hodnoty'!$B$13,OR(H568='Povolené hodnoty'!$E$21,H568='Povolené hodnoty'!$E$22,H568='Povolené hodnoty'!$E$23,H568='Povolené hodnoty'!$E$24,H568='Povolené hodnoty'!$E$26,H568='Povolené hodnoty'!$E$36)),COUNT(I568:J568,L568:M568,O568:P568,R568:S568)&lt;&gt;COUNT(AL568:BM568))</f>
        <v>0</v>
      </c>
      <c r="BT568" s="18" t="b">
        <f t="shared" si="288"/>
        <v>0</v>
      </c>
      <c r="BV568" s="39" t="str">
        <f t="shared" si="289"/>
        <v/>
      </c>
      <c r="BW568" s="458" t="str">
        <f t="shared" si="290"/>
        <v/>
      </c>
      <c r="BX568" s="458" t="str">
        <f t="shared" si="291"/>
        <v/>
      </c>
      <c r="BY568" s="458" t="str">
        <f t="shared" si="292"/>
        <v/>
      </c>
      <c r="BZ568" s="458" t="str">
        <f t="shared" si="293"/>
        <v/>
      </c>
      <c r="CA568" s="40" t="str">
        <f t="shared" si="294"/>
        <v/>
      </c>
      <c r="CB568" s="40" t="str">
        <f t="shared" si="295"/>
        <v/>
      </c>
      <c r="CC568" s="39" t="str">
        <f t="shared" si="296"/>
        <v/>
      </c>
      <c r="CD568" s="458" t="str">
        <f t="shared" si="297"/>
        <v/>
      </c>
      <c r="CE568" s="41" t="str">
        <f t="shared" si="298"/>
        <v/>
      </c>
      <c r="CF568" s="39" t="str">
        <f t="shared" si="299"/>
        <v/>
      </c>
      <c r="CG568" s="458" t="str">
        <f t="shared" si="300"/>
        <v/>
      </c>
      <c r="CH568" s="458" t="str">
        <f t="shared" si="301"/>
        <v/>
      </c>
      <c r="CI568" s="458" t="str">
        <f t="shared" si="302"/>
        <v/>
      </c>
      <c r="CJ568" s="458" t="str">
        <f t="shared" si="303"/>
        <v/>
      </c>
      <c r="CK568" s="40" t="str">
        <f t="shared" si="304"/>
        <v/>
      </c>
      <c r="CL568" s="40" t="str">
        <f t="shared" si="305"/>
        <v/>
      </c>
      <c r="CM568" s="40" t="str">
        <f t="shared" si="306"/>
        <v/>
      </c>
      <c r="CN568" s="39" t="str">
        <f t="shared" si="307"/>
        <v/>
      </c>
      <c r="CO568" s="458" t="str">
        <f t="shared" si="308"/>
        <v/>
      </c>
      <c r="CP568" s="458" t="str">
        <f t="shared" si="309"/>
        <v/>
      </c>
      <c r="CQ568" s="458" t="str">
        <f t="shared" si="310"/>
        <v/>
      </c>
      <c r="CR568" s="458" t="str">
        <f t="shared" si="311"/>
        <v/>
      </c>
      <c r="CS568" s="40" t="str">
        <f t="shared" si="312"/>
        <v/>
      </c>
      <c r="CT568" s="40" t="str">
        <f t="shared" si="313"/>
        <v/>
      </c>
      <c r="CU568" s="41" t="str">
        <f t="shared" si="314"/>
        <v/>
      </c>
    </row>
    <row r="569" spans="1:99" x14ac:dyDescent="0.2">
      <c r="A569" s="77">
        <f t="shared" si="315"/>
        <v>564</v>
      </c>
      <c r="B569" s="81"/>
      <c r="C569" s="82"/>
      <c r="D569" s="71"/>
      <c r="E569" s="72"/>
      <c r="F569" s="73"/>
      <c r="G569" s="443"/>
      <c r="H569" s="443"/>
      <c r="I569" s="74"/>
      <c r="J569" s="75"/>
      <c r="K569" s="41">
        <f t="shared" si="319"/>
        <v>3625</v>
      </c>
      <c r="L569" s="104"/>
      <c r="M569" s="105"/>
      <c r="N569" s="106">
        <f t="shared" si="320"/>
        <v>537.05999999999995</v>
      </c>
      <c r="O569" s="104"/>
      <c r="P569" s="105"/>
      <c r="Q569" s="106">
        <f t="shared" si="317"/>
        <v>10045.83</v>
      </c>
      <c r="R569" s="104"/>
      <c r="S569" s="105"/>
      <c r="T569" s="106">
        <f t="shared" si="318"/>
        <v>0</v>
      </c>
      <c r="U569" s="439"/>
      <c r="V569" s="42">
        <f t="shared" si="286"/>
        <v>564</v>
      </c>
      <c r="W569" s="39" t="str">
        <f>IF(AND(E569='Povolené hodnoty'!$B$4,F569=2),I569+L569+O569+R569,"")</f>
        <v/>
      </c>
      <c r="X569" s="41" t="str">
        <f>IF(AND(E569='Povolené hodnoty'!$B$4,F569=1),I569+L569+O569+R569,"")</f>
        <v/>
      </c>
      <c r="Y569" s="39" t="str">
        <f>IF(AND(E569='Povolené hodnoty'!$B$4,F569=10),J569+M569+P569+S569,"")</f>
        <v/>
      </c>
      <c r="Z569" s="41" t="str">
        <f>IF(AND(E569='Povolené hodnoty'!$B$4,F569=9),J569+M569+P569+S569,"")</f>
        <v/>
      </c>
      <c r="AA569" s="39" t="str">
        <f>IF(AND(E569&lt;&gt;'Povolené hodnoty'!$B$4,F569=2),I569+L569+O569+R569,"")</f>
        <v/>
      </c>
      <c r="AB569" s="40" t="str">
        <f>IF(AND(E569&lt;&gt;'Povolené hodnoty'!$B$4,F569=3),I569+L569+O569+R569,"")</f>
        <v/>
      </c>
      <c r="AC569" s="40" t="str">
        <f>IF(AND(E569&lt;&gt;'Povolené hodnoty'!$B$4,F569=4),I569+L569+O569+R569,"")</f>
        <v/>
      </c>
      <c r="AD569" s="40" t="str">
        <f>IF(AND(E569&lt;&gt;'Povolené hodnoty'!$B$4,F569="5a"),I569-J569+L569-M569+O569-P569+R569-S569,"")</f>
        <v/>
      </c>
      <c r="AE569" s="40" t="str">
        <f>IF(AND(E569&lt;&gt;'Povolené hodnoty'!$B$4,F569="5b"),I569-J569+L569-M569+O569-P569+R569-S569,"")</f>
        <v/>
      </c>
      <c r="AF569" s="40" t="str">
        <f>IF(AND(E569&lt;&gt;'Povolené hodnoty'!$B$4,F569=6),I569+L569+O569+R569,"")</f>
        <v/>
      </c>
      <c r="AG569" s="41" t="str">
        <f>IF(AND(E569&lt;&gt;'Povolené hodnoty'!$B$4,F569=7),I569+L569+O569+R569,"")</f>
        <v/>
      </c>
      <c r="AH569" s="39" t="str">
        <f>IF(AND(E569&lt;&gt;'Povolené hodnoty'!$B$4,F569=10),J569+M569+P569+S569,"")</f>
        <v/>
      </c>
      <c r="AI569" s="40" t="str">
        <f>IF(AND(E569&lt;&gt;'Povolené hodnoty'!$B$4,F569=11),J569+M569+P569+S569,"")</f>
        <v/>
      </c>
      <c r="AJ569" s="40" t="str">
        <f>IF(AND(E569&lt;&gt;'Povolené hodnoty'!$B$4,F569=12),J569+M569+P569+S569,"")</f>
        <v/>
      </c>
      <c r="AK569" s="41" t="str">
        <f>IF(AND(E569&lt;&gt;'Povolené hodnoty'!$B$4,F569=13),J569+M569+P569+S569,"")</f>
        <v/>
      </c>
      <c r="AL569" s="39" t="str">
        <f>IF(AND($G569='Povolené hodnoty'!$B$13,$H569=AL$4),SUM($I569,$L569,$O569,$R569),"")</f>
        <v/>
      </c>
      <c r="AM569" s="458" t="str">
        <f>IF(AND($G569='Povolené hodnoty'!$B$13,$H569=AM$4),SUM($I569,$L569,$O569,$R569),"")</f>
        <v/>
      </c>
      <c r="AN569" s="458" t="str">
        <f>IF(AND($G569='Povolené hodnoty'!$B$13,$H569=AN$4),SUM($I569,$L569,$O569,$R569),"")</f>
        <v/>
      </c>
      <c r="AO569" s="458" t="str">
        <f>IF(AND($G569='Povolené hodnoty'!$B$13,$H569=AO$4),SUM($I569,$L569,$O569,$R569),"")</f>
        <v/>
      </c>
      <c r="AP569" s="458" t="str">
        <f>IF(AND($G569='Povolené hodnoty'!$B$13,$H569=AP$4),SUM($I569,$L569,$O569,$R569),"")</f>
        <v/>
      </c>
      <c r="AQ569" s="40" t="str">
        <f>IF(AND($G569='Povolené hodnoty'!$B$13,OR($H569=AQ$4,$H569='Povolené hodnoty'!$E$36)),SUM($I569,-$J569,$L569,-$M569,$O569,-$P569,$R569,-$S569),"")</f>
        <v/>
      </c>
      <c r="AR569" s="40" t="str">
        <f>IF(AND($G569='Povolené hodnoty'!$B$13,$H569=AR$4),SUM($I569,$L569,$O569,$R569),"")</f>
        <v/>
      </c>
      <c r="AS569" s="41" t="str">
        <f>IF(AND($G569='Povolené hodnoty'!$B$13,$H569=AS$4),SUM($I569,$L569,$O569,$R569),"")</f>
        <v/>
      </c>
      <c r="AT569" s="39" t="str">
        <f>IF(AND($G569='Povolené hodnoty'!$B$14,$H569=AT$4),SUM($I569,$L569,$O569,$R569),"")</f>
        <v/>
      </c>
      <c r="AU569" s="458" t="str">
        <f>IF(AND($G569='Povolené hodnoty'!$B$14,$H569=AU$4),SUM($I569,$L569,$O569,$R569),"")</f>
        <v/>
      </c>
      <c r="AV569" s="41" t="str">
        <f>IF(AND($G569='Povolené hodnoty'!$B$14,$H569=AV$4),SUM($I569,$L569,$O569,$R569),"")</f>
        <v/>
      </c>
      <c r="AW569" s="39" t="str">
        <f>IF(AND($G569='Povolené hodnoty'!$B$13,$H569=AW$4),SUM($J569,$M569,$P569,$S569),"")</f>
        <v/>
      </c>
      <c r="AX569" s="458" t="str">
        <f>IF(AND($G569='Povolené hodnoty'!$B$13,$H569=AX$4),SUM($J569,$M569,$P569,$S569),"")</f>
        <v/>
      </c>
      <c r="AY569" s="458" t="str">
        <f>IF(AND($G569='Povolené hodnoty'!$B$13,$H569=AY$4),SUM($J569,$M569,$P569,$S569),"")</f>
        <v/>
      </c>
      <c r="AZ569" s="458" t="str">
        <f>IF(AND($G569='Povolené hodnoty'!$B$13,$H569=AZ$4),SUM($J569,$M569,$P569,$S569),"")</f>
        <v/>
      </c>
      <c r="BA569" s="458" t="str">
        <f>IF(AND($G569='Povolené hodnoty'!$B$13,$H569=BA$4),SUM($J569,$M569,$P569,$S569),"")</f>
        <v/>
      </c>
      <c r="BB569" s="40" t="str">
        <f>IF(AND($G569='Povolené hodnoty'!$B$13,$H569=BB$4),SUM($J569,$M569,$P569,$S569),"")</f>
        <v/>
      </c>
      <c r="BC569" s="40" t="str">
        <f>IF(AND($G569='Povolené hodnoty'!$B$13,$H569=BC$4),SUM($J569,$M569,$P569,$S569),"")</f>
        <v/>
      </c>
      <c r="BD569" s="40" t="str">
        <f>IF(AND($G569='Povolené hodnoty'!$B$13,$H569=BD$4),SUM($J569,$M569,$P569,$S569),"")</f>
        <v/>
      </c>
      <c r="BE569" s="41" t="str">
        <f>IF(AND($G569='Povolené hodnoty'!$B$13,$H569=BE$4),SUM($J569,$M569,$P569,$S569),"")</f>
        <v/>
      </c>
      <c r="BF569" s="39" t="str">
        <f>IF(AND($G569='Povolené hodnoty'!$B$14,$H569=BF$4),SUM($J569,$M569,$P569,$S569),"")</f>
        <v/>
      </c>
      <c r="BG569" s="458" t="str">
        <f>IF(AND($G569='Povolené hodnoty'!$B$14,$H569=BG$4),SUM($J569,$M569,$P569,$S569),"")</f>
        <v/>
      </c>
      <c r="BH569" s="458" t="str">
        <f>IF(AND($G569='Povolené hodnoty'!$B$14,$H569=BH$4),SUM($J569,$M569,$P569,$S569),"")</f>
        <v/>
      </c>
      <c r="BI569" s="458" t="str">
        <f>IF(AND($G569='Povolené hodnoty'!$B$14,$H569=BI$4),SUM($J569,$M569,$P569,$S569),"")</f>
        <v/>
      </c>
      <c r="BJ569" s="458" t="str">
        <f>IF(AND($G569='Povolené hodnoty'!$B$14,$H569=BJ$4),SUM($J569,$M569,$P569,$S569),"")</f>
        <v/>
      </c>
      <c r="BK569" s="40" t="str">
        <f>IF(AND($G569='Povolené hodnoty'!$B$14,$H569=BK$4),SUM($J569,$M569,$P569,$S569),"")</f>
        <v/>
      </c>
      <c r="BL569" s="40" t="str">
        <f>IF(AND($G569='Povolené hodnoty'!$B$14,$H569=BL$4),SUM($J569,$M569,$P569,$S569),"")</f>
        <v/>
      </c>
      <c r="BM569" s="41" t="str">
        <f>IF(AND($G569='Povolené hodnoty'!$B$14,$H569=BM$4),SUM($J569,$M569,$P569,$S569),"")</f>
        <v/>
      </c>
      <c r="BO569" s="18" t="b">
        <f t="shared" si="316"/>
        <v>0</v>
      </c>
      <c r="BP569" s="18" t="b">
        <f t="shared" si="287"/>
        <v>0</v>
      </c>
      <c r="BQ569" s="18" t="b">
        <f>AND(E569&lt;&gt;'Povolené hodnoty'!$B$6,F569&lt;&gt;'Povolené hodnoty'!$D$7,F569&lt;&gt;'Povolené hodnoty'!$D$8,OR(SUM(I569,L569,O569,R569)&lt;&gt;SUM(W569:X569,AA569:AG569),SUM(J569,M569,P569,S569)&lt;&gt;SUM(Y569:Z569,AH569:AK569),COUNT(I569:J569,L569:M569,O569:P569,R569:S569)&lt;&gt;COUNT(W569:AK569)))</f>
        <v>0</v>
      </c>
      <c r="BR569" s="18" t="b">
        <f>OR(AND(E569='Povolené hodnoty'!$B$6,$BR$5),AND(E569='Povolené hodnoty'!$B$6,H569&lt;&gt;'Povolené hodnoty'!$E$26,H569&lt;&gt;'Povolené hodnoty'!$E$35),AND(E569&lt;&gt;'Povolené hodnoty'!$B$6,OR(H569='Povolené hodnoty'!$E$26,H569='Povolené hodnoty'!$E$35)))</f>
        <v>0</v>
      </c>
      <c r="BS569" s="18" t="b">
        <f>OR(AND(G569&lt;&gt;'Povolené hodnoty'!$B$13,OR(H569='Povolené hodnoty'!$E$21,H569='Povolené hodnoty'!$E$22,H569='Povolené hodnoty'!$E$23,H569='Povolené hodnoty'!$E$24,H569='Povolené hodnoty'!$E$26,H569='Povolené hodnoty'!$E$36)),COUNT(I569:J569,L569:M569,O569:P569,R569:S569)&lt;&gt;COUNT(AL569:BM569))</f>
        <v>0</v>
      </c>
      <c r="BT569" s="18" t="b">
        <f t="shared" si="288"/>
        <v>0</v>
      </c>
      <c r="BV569" s="39" t="str">
        <f t="shared" si="289"/>
        <v/>
      </c>
      <c r="BW569" s="458" t="str">
        <f t="shared" si="290"/>
        <v/>
      </c>
      <c r="BX569" s="458" t="str">
        <f t="shared" si="291"/>
        <v/>
      </c>
      <c r="BY569" s="458" t="str">
        <f t="shared" si="292"/>
        <v/>
      </c>
      <c r="BZ569" s="458" t="str">
        <f t="shared" si="293"/>
        <v/>
      </c>
      <c r="CA569" s="40" t="str">
        <f t="shared" si="294"/>
        <v/>
      </c>
      <c r="CB569" s="40" t="str">
        <f t="shared" si="295"/>
        <v/>
      </c>
      <c r="CC569" s="39" t="str">
        <f t="shared" si="296"/>
        <v/>
      </c>
      <c r="CD569" s="458" t="str">
        <f t="shared" si="297"/>
        <v/>
      </c>
      <c r="CE569" s="41" t="str">
        <f t="shared" si="298"/>
        <v/>
      </c>
      <c r="CF569" s="39" t="str">
        <f t="shared" si="299"/>
        <v/>
      </c>
      <c r="CG569" s="458" t="str">
        <f t="shared" si="300"/>
        <v/>
      </c>
      <c r="CH569" s="458" t="str">
        <f t="shared" si="301"/>
        <v/>
      </c>
      <c r="CI569" s="458" t="str">
        <f t="shared" si="302"/>
        <v/>
      </c>
      <c r="CJ569" s="458" t="str">
        <f t="shared" si="303"/>
        <v/>
      </c>
      <c r="CK569" s="40" t="str">
        <f t="shared" si="304"/>
        <v/>
      </c>
      <c r="CL569" s="40" t="str">
        <f t="shared" si="305"/>
        <v/>
      </c>
      <c r="CM569" s="40" t="str">
        <f t="shared" si="306"/>
        <v/>
      </c>
      <c r="CN569" s="39" t="str">
        <f t="shared" si="307"/>
        <v/>
      </c>
      <c r="CO569" s="458" t="str">
        <f t="shared" si="308"/>
        <v/>
      </c>
      <c r="CP569" s="458" t="str">
        <f t="shared" si="309"/>
        <v/>
      </c>
      <c r="CQ569" s="458" t="str">
        <f t="shared" si="310"/>
        <v/>
      </c>
      <c r="CR569" s="458" t="str">
        <f t="shared" si="311"/>
        <v/>
      </c>
      <c r="CS569" s="40" t="str">
        <f t="shared" si="312"/>
        <v/>
      </c>
      <c r="CT569" s="40" t="str">
        <f t="shared" si="313"/>
        <v/>
      </c>
      <c r="CU569" s="41" t="str">
        <f t="shared" si="314"/>
        <v/>
      </c>
    </row>
    <row r="570" spans="1:99" x14ac:dyDescent="0.2">
      <c r="A570" s="77">
        <f t="shared" si="315"/>
        <v>565</v>
      </c>
      <c r="B570" s="81"/>
      <c r="C570" s="82"/>
      <c r="D570" s="71"/>
      <c r="E570" s="72"/>
      <c r="F570" s="73"/>
      <c r="G570" s="443"/>
      <c r="H570" s="443"/>
      <c r="I570" s="74"/>
      <c r="J570" s="75"/>
      <c r="K570" s="41">
        <f t="shared" si="319"/>
        <v>3625</v>
      </c>
      <c r="L570" s="104"/>
      <c r="M570" s="105"/>
      <c r="N570" s="106">
        <f t="shared" si="320"/>
        <v>537.05999999999995</v>
      </c>
      <c r="O570" s="104"/>
      <c r="P570" s="105"/>
      <c r="Q570" s="106">
        <f t="shared" si="317"/>
        <v>10045.83</v>
      </c>
      <c r="R570" s="104"/>
      <c r="S570" s="105"/>
      <c r="T570" s="106">
        <f t="shared" si="318"/>
        <v>0</v>
      </c>
      <c r="U570" s="439"/>
      <c r="V570" s="42">
        <f t="shared" si="286"/>
        <v>565</v>
      </c>
      <c r="W570" s="39" t="str">
        <f>IF(AND(E570='Povolené hodnoty'!$B$4,F570=2),I570+L570+O570+R570,"")</f>
        <v/>
      </c>
      <c r="X570" s="41" t="str">
        <f>IF(AND(E570='Povolené hodnoty'!$B$4,F570=1),I570+L570+O570+R570,"")</f>
        <v/>
      </c>
      <c r="Y570" s="39" t="str">
        <f>IF(AND(E570='Povolené hodnoty'!$B$4,F570=10),J570+M570+P570+S570,"")</f>
        <v/>
      </c>
      <c r="Z570" s="41" t="str">
        <f>IF(AND(E570='Povolené hodnoty'!$B$4,F570=9),J570+M570+P570+S570,"")</f>
        <v/>
      </c>
      <c r="AA570" s="39" t="str">
        <f>IF(AND(E570&lt;&gt;'Povolené hodnoty'!$B$4,F570=2),I570+L570+O570+R570,"")</f>
        <v/>
      </c>
      <c r="AB570" s="40" t="str">
        <f>IF(AND(E570&lt;&gt;'Povolené hodnoty'!$B$4,F570=3),I570+L570+O570+R570,"")</f>
        <v/>
      </c>
      <c r="AC570" s="40" t="str">
        <f>IF(AND(E570&lt;&gt;'Povolené hodnoty'!$B$4,F570=4),I570+L570+O570+R570,"")</f>
        <v/>
      </c>
      <c r="AD570" s="40" t="str">
        <f>IF(AND(E570&lt;&gt;'Povolené hodnoty'!$B$4,F570="5a"),I570-J570+L570-M570+O570-P570+R570-S570,"")</f>
        <v/>
      </c>
      <c r="AE570" s="40" t="str">
        <f>IF(AND(E570&lt;&gt;'Povolené hodnoty'!$B$4,F570="5b"),I570-J570+L570-M570+O570-P570+R570-S570,"")</f>
        <v/>
      </c>
      <c r="AF570" s="40" t="str">
        <f>IF(AND(E570&lt;&gt;'Povolené hodnoty'!$B$4,F570=6),I570+L570+O570+R570,"")</f>
        <v/>
      </c>
      <c r="AG570" s="41" t="str">
        <f>IF(AND(E570&lt;&gt;'Povolené hodnoty'!$B$4,F570=7),I570+L570+O570+R570,"")</f>
        <v/>
      </c>
      <c r="AH570" s="39" t="str">
        <f>IF(AND(E570&lt;&gt;'Povolené hodnoty'!$B$4,F570=10),J570+M570+P570+S570,"")</f>
        <v/>
      </c>
      <c r="AI570" s="40" t="str">
        <f>IF(AND(E570&lt;&gt;'Povolené hodnoty'!$B$4,F570=11),J570+M570+P570+S570,"")</f>
        <v/>
      </c>
      <c r="AJ570" s="40" t="str">
        <f>IF(AND(E570&lt;&gt;'Povolené hodnoty'!$B$4,F570=12),J570+M570+P570+S570,"")</f>
        <v/>
      </c>
      <c r="AK570" s="41" t="str">
        <f>IF(AND(E570&lt;&gt;'Povolené hodnoty'!$B$4,F570=13),J570+M570+P570+S570,"")</f>
        <v/>
      </c>
      <c r="AL570" s="39" t="str">
        <f>IF(AND($G570='Povolené hodnoty'!$B$13,$H570=AL$4),SUM($I570,$L570,$O570,$R570),"")</f>
        <v/>
      </c>
      <c r="AM570" s="458" t="str">
        <f>IF(AND($G570='Povolené hodnoty'!$B$13,$H570=AM$4),SUM($I570,$L570,$O570,$R570),"")</f>
        <v/>
      </c>
      <c r="AN570" s="458" t="str">
        <f>IF(AND($G570='Povolené hodnoty'!$B$13,$H570=AN$4),SUM($I570,$L570,$O570,$R570),"")</f>
        <v/>
      </c>
      <c r="AO570" s="458" t="str">
        <f>IF(AND($G570='Povolené hodnoty'!$B$13,$H570=AO$4),SUM($I570,$L570,$O570,$R570),"")</f>
        <v/>
      </c>
      <c r="AP570" s="458" t="str">
        <f>IF(AND($G570='Povolené hodnoty'!$B$13,$H570=AP$4),SUM($I570,$L570,$O570,$R570),"")</f>
        <v/>
      </c>
      <c r="AQ570" s="40" t="str">
        <f>IF(AND($G570='Povolené hodnoty'!$B$13,OR($H570=AQ$4,$H570='Povolené hodnoty'!$E$36)),SUM($I570,-$J570,$L570,-$M570,$O570,-$P570,$R570,-$S570),"")</f>
        <v/>
      </c>
      <c r="AR570" s="40" t="str">
        <f>IF(AND($G570='Povolené hodnoty'!$B$13,$H570=AR$4),SUM($I570,$L570,$O570,$R570),"")</f>
        <v/>
      </c>
      <c r="AS570" s="41" t="str">
        <f>IF(AND($G570='Povolené hodnoty'!$B$13,$H570=AS$4),SUM($I570,$L570,$O570,$R570),"")</f>
        <v/>
      </c>
      <c r="AT570" s="39" t="str">
        <f>IF(AND($G570='Povolené hodnoty'!$B$14,$H570=AT$4),SUM($I570,$L570,$O570,$R570),"")</f>
        <v/>
      </c>
      <c r="AU570" s="458" t="str">
        <f>IF(AND($G570='Povolené hodnoty'!$B$14,$H570=AU$4),SUM($I570,$L570,$O570,$R570),"")</f>
        <v/>
      </c>
      <c r="AV570" s="41" t="str">
        <f>IF(AND($G570='Povolené hodnoty'!$B$14,$H570=AV$4),SUM($I570,$L570,$O570,$R570),"")</f>
        <v/>
      </c>
      <c r="AW570" s="39" t="str">
        <f>IF(AND($G570='Povolené hodnoty'!$B$13,$H570=AW$4),SUM($J570,$M570,$P570,$S570),"")</f>
        <v/>
      </c>
      <c r="AX570" s="458" t="str">
        <f>IF(AND($G570='Povolené hodnoty'!$B$13,$H570=AX$4),SUM($J570,$M570,$P570,$S570),"")</f>
        <v/>
      </c>
      <c r="AY570" s="458" t="str">
        <f>IF(AND($G570='Povolené hodnoty'!$B$13,$H570=AY$4),SUM($J570,$M570,$P570,$S570),"")</f>
        <v/>
      </c>
      <c r="AZ570" s="458" t="str">
        <f>IF(AND($G570='Povolené hodnoty'!$B$13,$H570=AZ$4),SUM($J570,$M570,$P570,$S570),"")</f>
        <v/>
      </c>
      <c r="BA570" s="458" t="str">
        <f>IF(AND($G570='Povolené hodnoty'!$B$13,$H570=BA$4),SUM($J570,$M570,$P570,$S570),"")</f>
        <v/>
      </c>
      <c r="BB570" s="40" t="str">
        <f>IF(AND($G570='Povolené hodnoty'!$B$13,$H570=BB$4),SUM($J570,$M570,$P570,$S570),"")</f>
        <v/>
      </c>
      <c r="BC570" s="40" t="str">
        <f>IF(AND($G570='Povolené hodnoty'!$B$13,$H570=BC$4),SUM($J570,$M570,$P570,$S570),"")</f>
        <v/>
      </c>
      <c r="BD570" s="40" t="str">
        <f>IF(AND($G570='Povolené hodnoty'!$B$13,$H570=BD$4),SUM($J570,$M570,$P570,$S570),"")</f>
        <v/>
      </c>
      <c r="BE570" s="41" t="str">
        <f>IF(AND($G570='Povolené hodnoty'!$B$13,$H570=BE$4),SUM($J570,$M570,$P570,$S570),"")</f>
        <v/>
      </c>
      <c r="BF570" s="39" t="str">
        <f>IF(AND($G570='Povolené hodnoty'!$B$14,$H570=BF$4),SUM($J570,$M570,$P570,$S570),"")</f>
        <v/>
      </c>
      <c r="BG570" s="458" t="str">
        <f>IF(AND($G570='Povolené hodnoty'!$B$14,$H570=BG$4),SUM($J570,$M570,$P570,$S570),"")</f>
        <v/>
      </c>
      <c r="BH570" s="458" t="str">
        <f>IF(AND($G570='Povolené hodnoty'!$B$14,$H570=BH$4),SUM($J570,$M570,$P570,$S570),"")</f>
        <v/>
      </c>
      <c r="BI570" s="458" t="str">
        <f>IF(AND($G570='Povolené hodnoty'!$B$14,$H570=BI$4),SUM($J570,$M570,$P570,$S570),"")</f>
        <v/>
      </c>
      <c r="BJ570" s="458" t="str">
        <f>IF(AND($G570='Povolené hodnoty'!$B$14,$H570=BJ$4),SUM($J570,$M570,$P570,$S570),"")</f>
        <v/>
      </c>
      <c r="BK570" s="40" t="str">
        <f>IF(AND($G570='Povolené hodnoty'!$B$14,$H570=BK$4),SUM($J570,$M570,$P570,$S570),"")</f>
        <v/>
      </c>
      <c r="BL570" s="40" t="str">
        <f>IF(AND($G570='Povolené hodnoty'!$B$14,$H570=BL$4),SUM($J570,$M570,$P570,$S570),"")</f>
        <v/>
      </c>
      <c r="BM570" s="41" t="str">
        <f>IF(AND($G570='Povolené hodnoty'!$B$14,$H570=BM$4),SUM($J570,$M570,$P570,$S570),"")</f>
        <v/>
      </c>
      <c r="BO570" s="18" t="b">
        <f t="shared" si="316"/>
        <v>0</v>
      </c>
      <c r="BP570" s="18" t="b">
        <f t="shared" si="287"/>
        <v>0</v>
      </c>
      <c r="BQ570" s="18" t="b">
        <f>AND(E570&lt;&gt;'Povolené hodnoty'!$B$6,F570&lt;&gt;'Povolené hodnoty'!$D$7,F570&lt;&gt;'Povolené hodnoty'!$D$8,OR(SUM(I570,L570,O570,R570)&lt;&gt;SUM(W570:X570,AA570:AG570),SUM(J570,M570,P570,S570)&lt;&gt;SUM(Y570:Z570,AH570:AK570),COUNT(I570:J570,L570:M570,O570:P570,R570:S570)&lt;&gt;COUNT(W570:AK570)))</f>
        <v>0</v>
      </c>
      <c r="BR570" s="18" t="b">
        <f>OR(AND(E570='Povolené hodnoty'!$B$6,$BR$5),AND(E570='Povolené hodnoty'!$B$6,H570&lt;&gt;'Povolené hodnoty'!$E$26,H570&lt;&gt;'Povolené hodnoty'!$E$35),AND(E570&lt;&gt;'Povolené hodnoty'!$B$6,OR(H570='Povolené hodnoty'!$E$26,H570='Povolené hodnoty'!$E$35)))</f>
        <v>0</v>
      </c>
      <c r="BS570" s="18" t="b">
        <f>OR(AND(G570&lt;&gt;'Povolené hodnoty'!$B$13,OR(H570='Povolené hodnoty'!$E$21,H570='Povolené hodnoty'!$E$22,H570='Povolené hodnoty'!$E$23,H570='Povolené hodnoty'!$E$24,H570='Povolené hodnoty'!$E$26,H570='Povolené hodnoty'!$E$36)),COUNT(I570:J570,L570:M570,O570:P570,R570:S570)&lt;&gt;COUNT(AL570:BM570))</f>
        <v>0</v>
      </c>
      <c r="BT570" s="18" t="b">
        <f t="shared" si="288"/>
        <v>0</v>
      </c>
      <c r="BV570" s="39" t="str">
        <f t="shared" si="289"/>
        <v/>
      </c>
      <c r="BW570" s="458" t="str">
        <f t="shared" si="290"/>
        <v/>
      </c>
      <c r="BX570" s="458" t="str">
        <f t="shared" si="291"/>
        <v/>
      </c>
      <c r="BY570" s="458" t="str">
        <f t="shared" si="292"/>
        <v/>
      </c>
      <c r="BZ570" s="458" t="str">
        <f t="shared" si="293"/>
        <v/>
      </c>
      <c r="CA570" s="40" t="str">
        <f t="shared" si="294"/>
        <v/>
      </c>
      <c r="CB570" s="40" t="str">
        <f t="shared" si="295"/>
        <v/>
      </c>
      <c r="CC570" s="39" t="str">
        <f t="shared" si="296"/>
        <v/>
      </c>
      <c r="CD570" s="458" t="str">
        <f t="shared" si="297"/>
        <v/>
      </c>
      <c r="CE570" s="41" t="str">
        <f t="shared" si="298"/>
        <v/>
      </c>
      <c r="CF570" s="39" t="str">
        <f t="shared" si="299"/>
        <v/>
      </c>
      <c r="CG570" s="458" t="str">
        <f t="shared" si="300"/>
        <v/>
      </c>
      <c r="CH570" s="458" t="str">
        <f t="shared" si="301"/>
        <v/>
      </c>
      <c r="CI570" s="458" t="str">
        <f t="shared" si="302"/>
        <v/>
      </c>
      <c r="CJ570" s="458" t="str">
        <f t="shared" si="303"/>
        <v/>
      </c>
      <c r="CK570" s="40" t="str">
        <f t="shared" si="304"/>
        <v/>
      </c>
      <c r="CL570" s="40" t="str">
        <f t="shared" si="305"/>
        <v/>
      </c>
      <c r="CM570" s="40" t="str">
        <f t="shared" si="306"/>
        <v/>
      </c>
      <c r="CN570" s="39" t="str">
        <f t="shared" si="307"/>
        <v/>
      </c>
      <c r="CO570" s="458" t="str">
        <f t="shared" si="308"/>
        <v/>
      </c>
      <c r="CP570" s="458" t="str">
        <f t="shared" si="309"/>
        <v/>
      </c>
      <c r="CQ570" s="458" t="str">
        <f t="shared" si="310"/>
        <v/>
      </c>
      <c r="CR570" s="458" t="str">
        <f t="shared" si="311"/>
        <v/>
      </c>
      <c r="CS570" s="40" t="str">
        <f t="shared" si="312"/>
        <v/>
      </c>
      <c r="CT570" s="40" t="str">
        <f t="shared" si="313"/>
        <v/>
      </c>
      <c r="CU570" s="41" t="str">
        <f t="shared" si="314"/>
        <v/>
      </c>
    </row>
    <row r="571" spans="1:99" x14ac:dyDescent="0.2">
      <c r="A571" s="77">
        <f t="shared" si="315"/>
        <v>566</v>
      </c>
      <c r="B571" s="81"/>
      <c r="C571" s="82"/>
      <c r="D571" s="71"/>
      <c r="E571" s="72"/>
      <c r="F571" s="73"/>
      <c r="G571" s="443"/>
      <c r="H571" s="443"/>
      <c r="I571" s="74"/>
      <c r="J571" s="75"/>
      <c r="K571" s="41">
        <f t="shared" si="319"/>
        <v>3625</v>
      </c>
      <c r="L571" s="104"/>
      <c r="M571" s="105"/>
      <c r="N571" s="106">
        <f t="shared" si="320"/>
        <v>537.05999999999995</v>
      </c>
      <c r="O571" s="104"/>
      <c r="P571" s="105"/>
      <c r="Q571" s="106">
        <f t="shared" si="317"/>
        <v>10045.83</v>
      </c>
      <c r="R571" s="104"/>
      <c r="S571" s="105"/>
      <c r="T571" s="106">
        <f t="shared" si="318"/>
        <v>0</v>
      </c>
      <c r="U571" s="439"/>
      <c r="V571" s="42">
        <f t="shared" si="286"/>
        <v>566</v>
      </c>
      <c r="W571" s="39" t="str">
        <f>IF(AND(E571='Povolené hodnoty'!$B$4,F571=2),I571+L571+O571+R571,"")</f>
        <v/>
      </c>
      <c r="X571" s="41" t="str">
        <f>IF(AND(E571='Povolené hodnoty'!$B$4,F571=1),I571+L571+O571+R571,"")</f>
        <v/>
      </c>
      <c r="Y571" s="39" t="str">
        <f>IF(AND(E571='Povolené hodnoty'!$B$4,F571=10),J571+M571+P571+S571,"")</f>
        <v/>
      </c>
      <c r="Z571" s="41" t="str">
        <f>IF(AND(E571='Povolené hodnoty'!$B$4,F571=9),J571+M571+P571+S571,"")</f>
        <v/>
      </c>
      <c r="AA571" s="39" t="str">
        <f>IF(AND(E571&lt;&gt;'Povolené hodnoty'!$B$4,F571=2),I571+L571+O571+R571,"")</f>
        <v/>
      </c>
      <c r="AB571" s="40" t="str">
        <f>IF(AND(E571&lt;&gt;'Povolené hodnoty'!$B$4,F571=3),I571+L571+O571+R571,"")</f>
        <v/>
      </c>
      <c r="AC571" s="40" t="str">
        <f>IF(AND(E571&lt;&gt;'Povolené hodnoty'!$B$4,F571=4),I571+L571+O571+R571,"")</f>
        <v/>
      </c>
      <c r="AD571" s="40" t="str">
        <f>IF(AND(E571&lt;&gt;'Povolené hodnoty'!$B$4,F571="5a"),I571-J571+L571-M571+O571-P571+R571-S571,"")</f>
        <v/>
      </c>
      <c r="AE571" s="40" t="str">
        <f>IF(AND(E571&lt;&gt;'Povolené hodnoty'!$B$4,F571="5b"),I571-J571+L571-M571+O571-P571+R571-S571,"")</f>
        <v/>
      </c>
      <c r="AF571" s="40" t="str">
        <f>IF(AND(E571&lt;&gt;'Povolené hodnoty'!$B$4,F571=6),I571+L571+O571+R571,"")</f>
        <v/>
      </c>
      <c r="AG571" s="41" t="str">
        <f>IF(AND(E571&lt;&gt;'Povolené hodnoty'!$B$4,F571=7),I571+L571+O571+R571,"")</f>
        <v/>
      </c>
      <c r="AH571" s="39" t="str">
        <f>IF(AND(E571&lt;&gt;'Povolené hodnoty'!$B$4,F571=10),J571+M571+P571+S571,"")</f>
        <v/>
      </c>
      <c r="AI571" s="40" t="str">
        <f>IF(AND(E571&lt;&gt;'Povolené hodnoty'!$B$4,F571=11),J571+M571+P571+S571,"")</f>
        <v/>
      </c>
      <c r="AJ571" s="40" t="str">
        <f>IF(AND(E571&lt;&gt;'Povolené hodnoty'!$B$4,F571=12),J571+M571+P571+S571,"")</f>
        <v/>
      </c>
      <c r="AK571" s="41" t="str">
        <f>IF(AND(E571&lt;&gt;'Povolené hodnoty'!$B$4,F571=13),J571+M571+P571+S571,"")</f>
        <v/>
      </c>
      <c r="AL571" s="39" t="str">
        <f>IF(AND($G571='Povolené hodnoty'!$B$13,$H571=AL$4),SUM($I571,$L571,$O571,$R571),"")</f>
        <v/>
      </c>
      <c r="AM571" s="458" t="str">
        <f>IF(AND($G571='Povolené hodnoty'!$B$13,$H571=AM$4),SUM($I571,$L571,$O571,$R571),"")</f>
        <v/>
      </c>
      <c r="AN571" s="458" t="str">
        <f>IF(AND($G571='Povolené hodnoty'!$B$13,$H571=AN$4),SUM($I571,$L571,$O571,$R571),"")</f>
        <v/>
      </c>
      <c r="AO571" s="458" t="str">
        <f>IF(AND($G571='Povolené hodnoty'!$B$13,$H571=AO$4),SUM($I571,$L571,$O571,$R571),"")</f>
        <v/>
      </c>
      <c r="AP571" s="458" t="str">
        <f>IF(AND($G571='Povolené hodnoty'!$B$13,$H571=AP$4),SUM($I571,$L571,$O571,$R571),"")</f>
        <v/>
      </c>
      <c r="AQ571" s="40" t="str">
        <f>IF(AND($G571='Povolené hodnoty'!$B$13,OR($H571=AQ$4,$H571='Povolené hodnoty'!$E$36)),SUM($I571,-$J571,$L571,-$M571,$O571,-$P571,$R571,-$S571),"")</f>
        <v/>
      </c>
      <c r="AR571" s="40" t="str">
        <f>IF(AND($G571='Povolené hodnoty'!$B$13,$H571=AR$4),SUM($I571,$L571,$O571,$R571),"")</f>
        <v/>
      </c>
      <c r="AS571" s="41" t="str">
        <f>IF(AND($G571='Povolené hodnoty'!$B$13,$H571=AS$4),SUM($I571,$L571,$O571,$R571),"")</f>
        <v/>
      </c>
      <c r="AT571" s="39" t="str">
        <f>IF(AND($G571='Povolené hodnoty'!$B$14,$H571=AT$4),SUM($I571,$L571,$O571,$R571),"")</f>
        <v/>
      </c>
      <c r="AU571" s="458" t="str">
        <f>IF(AND($G571='Povolené hodnoty'!$B$14,$H571=AU$4),SUM($I571,$L571,$O571,$R571),"")</f>
        <v/>
      </c>
      <c r="AV571" s="41" t="str">
        <f>IF(AND($G571='Povolené hodnoty'!$B$14,$H571=AV$4),SUM($I571,$L571,$O571,$R571),"")</f>
        <v/>
      </c>
      <c r="AW571" s="39" t="str">
        <f>IF(AND($G571='Povolené hodnoty'!$B$13,$H571=AW$4),SUM($J571,$M571,$P571,$S571),"")</f>
        <v/>
      </c>
      <c r="AX571" s="458" t="str">
        <f>IF(AND($G571='Povolené hodnoty'!$B$13,$H571=AX$4),SUM($J571,$M571,$P571,$S571),"")</f>
        <v/>
      </c>
      <c r="AY571" s="458" t="str">
        <f>IF(AND($G571='Povolené hodnoty'!$B$13,$H571=AY$4),SUM($J571,$M571,$P571,$S571),"")</f>
        <v/>
      </c>
      <c r="AZ571" s="458" t="str">
        <f>IF(AND($G571='Povolené hodnoty'!$B$13,$H571=AZ$4),SUM($J571,$M571,$P571,$S571),"")</f>
        <v/>
      </c>
      <c r="BA571" s="458" t="str">
        <f>IF(AND($G571='Povolené hodnoty'!$B$13,$H571=BA$4),SUM($J571,$M571,$P571,$S571),"")</f>
        <v/>
      </c>
      <c r="BB571" s="40" t="str">
        <f>IF(AND($G571='Povolené hodnoty'!$B$13,$H571=BB$4),SUM($J571,$M571,$P571,$S571),"")</f>
        <v/>
      </c>
      <c r="BC571" s="40" t="str">
        <f>IF(AND($G571='Povolené hodnoty'!$B$13,$H571=BC$4),SUM($J571,$M571,$P571,$S571),"")</f>
        <v/>
      </c>
      <c r="BD571" s="40" t="str">
        <f>IF(AND($G571='Povolené hodnoty'!$B$13,$H571=BD$4),SUM($J571,$M571,$P571,$S571),"")</f>
        <v/>
      </c>
      <c r="BE571" s="41" t="str">
        <f>IF(AND($G571='Povolené hodnoty'!$B$13,$H571=BE$4),SUM($J571,$M571,$P571,$S571),"")</f>
        <v/>
      </c>
      <c r="BF571" s="39" t="str">
        <f>IF(AND($G571='Povolené hodnoty'!$B$14,$H571=BF$4),SUM($J571,$M571,$P571,$S571),"")</f>
        <v/>
      </c>
      <c r="BG571" s="458" t="str">
        <f>IF(AND($G571='Povolené hodnoty'!$B$14,$H571=BG$4),SUM($J571,$M571,$P571,$S571),"")</f>
        <v/>
      </c>
      <c r="BH571" s="458" t="str">
        <f>IF(AND($G571='Povolené hodnoty'!$B$14,$H571=BH$4),SUM($J571,$M571,$P571,$S571),"")</f>
        <v/>
      </c>
      <c r="BI571" s="458" t="str">
        <f>IF(AND($G571='Povolené hodnoty'!$B$14,$H571=BI$4),SUM($J571,$M571,$P571,$S571),"")</f>
        <v/>
      </c>
      <c r="BJ571" s="458" t="str">
        <f>IF(AND($G571='Povolené hodnoty'!$B$14,$H571=BJ$4),SUM($J571,$M571,$P571,$S571),"")</f>
        <v/>
      </c>
      <c r="BK571" s="40" t="str">
        <f>IF(AND($G571='Povolené hodnoty'!$B$14,$H571=BK$4),SUM($J571,$M571,$P571,$S571),"")</f>
        <v/>
      </c>
      <c r="BL571" s="40" t="str">
        <f>IF(AND($G571='Povolené hodnoty'!$B$14,$H571=BL$4),SUM($J571,$M571,$P571,$S571),"")</f>
        <v/>
      </c>
      <c r="BM571" s="41" t="str">
        <f>IF(AND($G571='Povolené hodnoty'!$B$14,$H571=BM$4),SUM($J571,$M571,$P571,$S571),"")</f>
        <v/>
      </c>
      <c r="BO571" s="18" t="b">
        <f t="shared" si="316"/>
        <v>0</v>
      </c>
      <c r="BP571" s="18" t="b">
        <f t="shared" si="287"/>
        <v>0</v>
      </c>
      <c r="BQ571" s="18" t="b">
        <f>AND(E571&lt;&gt;'Povolené hodnoty'!$B$6,F571&lt;&gt;'Povolené hodnoty'!$D$7,F571&lt;&gt;'Povolené hodnoty'!$D$8,OR(SUM(I571,L571,O571,R571)&lt;&gt;SUM(W571:X571,AA571:AG571),SUM(J571,M571,P571,S571)&lt;&gt;SUM(Y571:Z571,AH571:AK571),COUNT(I571:J571,L571:M571,O571:P571,R571:S571)&lt;&gt;COUNT(W571:AK571)))</f>
        <v>0</v>
      </c>
      <c r="BR571" s="18" t="b">
        <f>OR(AND(E571='Povolené hodnoty'!$B$6,$BR$5),AND(E571='Povolené hodnoty'!$B$6,H571&lt;&gt;'Povolené hodnoty'!$E$26,H571&lt;&gt;'Povolené hodnoty'!$E$35),AND(E571&lt;&gt;'Povolené hodnoty'!$B$6,OR(H571='Povolené hodnoty'!$E$26,H571='Povolené hodnoty'!$E$35)))</f>
        <v>0</v>
      </c>
      <c r="BS571" s="18" t="b">
        <f>OR(AND(G571&lt;&gt;'Povolené hodnoty'!$B$13,OR(H571='Povolené hodnoty'!$E$21,H571='Povolené hodnoty'!$E$22,H571='Povolené hodnoty'!$E$23,H571='Povolené hodnoty'!$E$24,H571='Povolené hodnoty'!$E$26,H571='Povolené hodnoty'!$E$36)),COUNT(I571:J571,L571:M571,O571:P571,R571:S571)&lt;&gt;COUNT(AL571:BM571))</f>
        <v>0</v>
      </c>
      <c r="BT571" s="18" t="b">
        <f t="shared" si="288"/>
        <v>0</v>
      </c>
      <c r="BV571" s="39" t="str">
        <f t="shared" si="289"/>
        <v/>
      </c>
      <c r="BW571" s="458" t="str">
        <f t="shared" si="290"/>
        <v/>
      </c>
      <c r="BX571" s="458" t="str">
        <f t="shared" si="291"/>
        <v/>
      </c>
      <c r="BY571" s="458" t="str">
        <f t="shared" si="292"/>
        <v/>
      </c>
      <c r="BZ571" s="458" t="str">
        <f t="shared" si="293"/>
        <v/>
      </c>
      <c r="CA571" s="40" t="str">
        <f t="shared" si="294"/>
        <v/>
      </c>
      <c r="CB571" s="40" t="str">
        <f t="shared" si="295"/>
        <v/>
      </c>
      <c r="CC571" s="39" t="str">
        <f t="shared" si="296"/>
        <v/>
      </c>
      <c r="CD571" s="458" t="str">
        <f t="shared" si="297"/>
        <v/>
      </c>
      <c r="CE571" s="41" t="str">
        <f t="shared" si="298"/>
        <v/>
      </c>
      <c r="CF571" s="39" t="str">
        <f t="shared" si="299"/>
        <v/>
      </c>
      <c r="CG571" s="458" t="str">
        <f t="shared" si="300"/>
        <v/>
      </c>
      <c r="CH571" s="458" t="str">
        <f t="shared" si="301"/>
        <v/>
      </c>
      <c r="CI571" s="458" t="str">
        <f t="shared" si="302"/>
        <v/>
      </c>
      <c r="CJ571" s="458" t="str">
        <f t="shared" si="303"/>
        <v/>
      </c>
      <c r="CK571" s="40" t="str">
        <f t="shared" si="304"/>
        <v/>
      </c>
      <c r="CL571" s="40" t="str">
        <f t="shared" si="305"/>
        <v/>
      </c>
      <c r="CM571" s="40" t="str">
        <f t="shared" si="306"/>
        <v/>
      </c>
      <c r="CN571" s="39" t="str">
        <f t="shared" si="307"/>
        <v/>
      </c>
      <c r="CO571" s="458" t="str">
        <f t="shared" si="308"/>
        <v/>
      </c>
      <c r="CP571" s="458" t="str">
        <f t="shared" si="309"/>
        <v/>
      </c>
      <c r="CQ571" s="458" t="str">
        <f t="shared" si="310"/>
        <v/>
      </c>
      <c r="CR571" s="458" t="str">
        <f t="shared" si="311"/>
        <v/>
      </c>
      <c r="CS571" s="40" t="str">
        <f t="shared" si="312"/>
        <v/>
      </c>
      <c r="CT571" s="40" t="str">
        <f t="shared" si="313"/>
        <v/>
      </c>
      <c r="CU571" s="41" t="str">
        <f t="shared" si="314"/>
        <v/>
      </c>
    </row>
    <row r="572" spans="1:99" x14ac:dyDescent="0.2">
      <c r="A572" s="77">
        <f t="shared" si="315"/>
        <v>567</v>
      </c>
      <c r="B572" s="81"/>
      <c r="C572" s="82"/>
      <c r="D572" s="71"/>
      <c r="E572" s="72"/>
      <c r="F572" s="73"/>
      <c r="G572" s="443"/>
      <c r="H572" s="443"/>
      <c r="I572" s="74"/>
      <c r="J572" s="75"/>
      <c r="K572" s="41">
        <f t="shared" si="319"/>
        <v>3625</v>
      </c>
      <c r="L572" s="104"/>
      <c r="M572" s="105"/>
      <c r="N572" s="106">
        <f t="shared" si="320"/>
        <v>537.05999999999995</v>
      </c>
      <c r="O572" s="104"/>
      <c r="P572" s="105"/>
      <c r="Q572" s="106">
        <f t="shared" si="317"/>
        <v>10045.83</v>
      </c>
      <c r="R572" s="104"/>
      <c r="S572" s="105"/>
      <c r="T572" s="106">
        <f t="shared" si="318"/>
        <v>0</v>
      </c>
      <c r="U572" s="439"/>
      <c r="V572" s="42">
        <f t="shared" si="286"/>
        <v>567</v>
      </c>
      <c r="W572" s="39" t="str">
        <f>IF(AND(E572='Povolené hodnoty'!$B$4,F572=2),I572+L572+O572+R572,"")</f>
        <v/>
      </c>
      <c r="X572" s="41" t="str">
        <f>IF(AND(E572='Povolené hodnoty'!$B$4,F572=1),I572+L572+O572+R572,"")</f>
        <v/>
      </c>
      <c r="Y572" s="39" t="str">
        <f>IF(AND(E572='Povolené hodnoty'!$B$4,F572=10),J572+M572+P572+S572,"")</f>
        <v/>
      </c>
      <c r="Z572" s="41" t="str">
        <f>IF(AND(E572='Povolené hodnoty'!$B$4,F572=9),J572+M572+P572+S572,"")</f>
        <v/>
      </c>
      <c r="AA572" s="39" t="str">
        <f>IF(AND(E572&lt;&gt;'Povolené hodnoty'!$B$4,F572=2),I572+L572+O572+R572,"")</f>
        <v/>
      </c>
      <c r="AB572" s="40" t="str">
        <f>IF(AND(E572&lt;&gt;'Povolené hodnoty'!$B$4,F572=3),I572+L572+O572+R572,"")</f>
        <v/>
      </c>
      <c r="AC572" s="40" t="str">
        <f>IF(AND(E572&lt;&gt;'Povolené hodnoty'!$B$4,F572=4),I572+L572+O572+R572,"")</f>
        <v/>
      </c>
      <c r="AD572" s="40" t="str">
        <f>IF(AND(E572&lt;&gt;'Povolené hodnoty'!$B$4,F572="5a"),I572-J572+L572-M572+O572-P572+R572-S572,"")</f>
        <v/>
      </c>
      <c r="AE572" s="40" t="str">
        <f>IF(AND(E572&lt;&gt;'Povolené hodnoty'!$B$4,F572="5b"),I572-J572+L572-M572+O572-P572+R572-S572,"")</f>
        <v/>
      </c>
      <c r="AF572" s="40" t="str">
        <f>IF(AND(E572&lt;&gt;'Povolené hodnoty'!$B$4,F572=6),I572+L572+O572+R572,"")</f>
        <v/>
      </c>
      <c r="AG572" s="41" t="str">
        <f>IF(AND(E572&lt;&gt;'Povolené hodnoty'!$B$4,F572=7),I572+L572+O572+R572,"")</f>
        <v/>
      </c>
      <c r="AH572" s="39" t="str">
        <f>IF(AND(E572&lt;&gt;'Povolené hodnoty'!$B$4,F572=10),J572+M572+P572+S572,"")</f>
        <v/>
      </c>
      <c r="AI572" s="40" t="str">
        <f>IF(AND(E572&lt;&gt;'Povolené hodnoty'!$B$4,F572=11),J572+M572+P572+S572,"")</f>
        <v/>
      </c>
      <c r="AJ572" s="40" t="str">
        <f>IF(AND(E572&lt;&gt;'Povolené hodnoty'!$B$4,F572=12),J572+M572+P572+S572,"")</f>
        <v/>
      </c>
      <c r="AK572" s="41" t="str">
        <f>IF(AND(E572&lt;&gt;'Povolené hodnoty'!$B$4,F572=13),J572+M572+P572+S572,"")</f>
        <v/>
      </c>
      <c r="AL572" s="39" t="str">
        <f>IF(AND($G572='Povolené hodnoty'!$B$13,$H572=AL$4),SUM($I572,$L572,$O572,$R572),"")</f>
        <v/>
      </c>
      <c r="AM572" s="458" t="str">
        <f>IF(AND($G572='Povolené hodnoty'!$B$13,$H572=AM$4),SUM($I572,$L572,$O572,$R572),"")</f>
        <v/>
      </c>
      <c r="AN572" s="458" t="str">
        <f>IF(AND($G572='Povolené hodnoty'!$B$13,$H572=AN$4),SUM($I572,$L572,$O572,$R572),"")</f>
        <v/>
      </c>
      <c r="AO572" s="458" t="str">
        <f>IF(AND($G572='Povolené hodnoty'!$B$13,$H572=AO$4),SUM($I572,$L572,$O572,$R572),"")</f>
        <v/>
      </c>
      <c r="AP572" s="458" t="str">
        <f>IF(AND($G572='Povolené hodnoty'!$B$13,$H572=AP$4),SUM($I572,$L572,$O572,$R572),"")</f>
        <v/>
      </c>
      <c r="AQ572" s="40" t="str">
        <f>IF(AND($G572='Povolené hodnoty'!$B$13,OR($H572=AQ$4,$H572='Povolené hodnoty'!$E$36)),SUM($I572,-$J572,$L572,-$M572,$O572,-$P572,$R572,-$S572),"")</f>
        <v/>
      </c>
      <c r="AR572" s="40" t="str">
        <f>IF(AND($G572='Povolené hodnoty'!$B$13,$H572=AR$4),SUM($I572,$L572,$O572,$R572),"")</f>
        <v/>
      </c>
      <c r="AS572" s="41" t="str">
        <f>IF(AND($G572='Povolené hodnoty'!$B$13,$H572=AS$4),SUM($I572,$L572,$O572,$R572),"")</f>
        <v/>
      </c>
      <c r="AT572" s="39" t="str">
        <f>IF(AND($G572='Povolené hodnoty'!$B$14,$H572=AT$4),SUM($I572,$L572,$O572,$R572),"")</f>
        <v/>
      </c>
      <c r="AU572" s="458" t="str">
        <f>IF(AND($G572='Povolené hodnoty'!$B$14,$H572=AU$4),SUM($I572,$L572,$O572,$R572),"")</f>
        <v/>
      </c>
      <c r="AV572" s="41" t="str">
        <f>IF(AND($G572='Povolené hodnoty'!$B$14,$H572=AV$4),SUM($I572,$L572,$O572,$R572),"")</f>
        <v/>
      </c>
      <c r="AW572" s="39" t="str">
        <f>IF(AND($G572='Povolené hodnoty'!$B$13,$H572=AW$4),SUM($J572,$M572,$P572,$S572),"")</f>
        <v/>
      </c>
      <c r="AX572" s="458" t="str">
        <f>IF(AND($G572='Povolené hodnoty'!$B$13,$H572=AX$4),SUM($J572,$M572,$P572,$S572),"")</f>
        <v/>
      </c>
      <c r="AY572" s="458" t="str">
        <f>IF(AND($G572='Povolené hodnoty'!$B$13,$H572=AY$4),SUM($J572,$M572,$P572,$S572),"")</f>
        <v/>
      </c>
      <c r="AZ572" s="458" t="str">
        <f>IF(AND($G572='Povolené hodnoty'!$B$13,$H572=AZ$4),SUM($J572,$M572,$P572,$S572),"")</f>
        <v/>
      </c>
      <c r="BA572" s="458" t="str">
        <f>IF(AND($G572='Povolené hodnoty'!$B$13,$H572=BA$4),SUM($J572,$M572,$P572,$S572),"")</f>
        <v/>
      </c>
      <c r="BB572" s="40" t="str">
        <f>IF(AND($G572='Povolené hodnoty'!$B$13,$H572=BB$4),SUM($J572,$M572,$P572,$S572),"")</f>
        <v/>
      </c>
      <c r="BC572" s="40" t="str">
        <f>IF(AND($G572='Povolené hodnoty'!$B$13,$H572=BC$4),SUM($J572,$M572,$P572,$S572),"")</f>
        <v/>
      </c>
      <c r="BD572" s="40" t="str">
        <f>IF(AND($G572='Povolené hodnoty'!$B$13,$H572=BD$4),SUM($J572,$M572,$P572,$S572),"")</f>
        <v/>
      </c>
      <c r="BE572" s="41" t="str">
        <f>IF(AND($G572='Povolené hodnoty'!$B$13,$H572=BE$4),SUM($J572,$M572,$P572,$S572),"")</f>
        <v/>
      </c>
      <c r="BF572" s="39" t="str">
        <f>IF(AND($G572='Povolené hodnoty'!$B$14,$H572=BF$4),SUM($J572,$M572,$P572,$S572),"")</f>
        <v/>
      </c>
      <c r="BG572" s="458" t="str">
        <f>IF(AND($G572='Povolené hodnoty'!$B$14,$H572=BG$4),SUM($J572,$M572,$P572,$S572),"")</f>
        <v/>
      </c>
      <c r="BH572" s="458" t="str">
        <f>IF(AND($G572='Povolené hodnoty'!$B$14,$H572=BH$4),SUM($J572,$M572,$P572,$S572),"")</f>
        <v/>
      </c>
      <c r="BI572" s="458" t="str">
        <f>IF(AND($G572='Povolené hodnoty'!$B$14,$H572=BI$4),SUM($J572,$M572,$P572,$S572),"")</f>
        <v/>
      </c>
      <c r="BJ572" s="458" t="str">
        <f>IF(AND($G572='Povolené hodnoty'!$B$14,$H572=BJ$4),SUM($J572,$M572,$P572,$S572),"")</f>
        <v/>
      </c>
      <c r="BK572" s="40" t="str">
        <f>IF(AND($G572='Povolené hodnoty'!$B$14,$H572=BK$4),SUM($J572,$M572,$P572,$S572),"")</f>
        <v/>
      </c>
      <c r="BL572" s="40" t="str">
        <f>IF(AND($G572='Povolené hodnoty'!$B$14,$H572=BL$4),SUM($J572,$M572,$P572,$S572),"")</f>
        <v/>
      </c>
      <c r="BM572" s="41" t="str">
        <f>IF(AND($G572='Povolené hodnoty'!$B$14,$H572=BM$4),SUM($J572,$M572,$P572,$S572),"")</f>
        <v/>
      </c>
      <c r="BO572" s="18" t="b">
        <f t="shared" si="316"/>
        <v>0</v>
      </c>
      <c r="BP572" s="18" t="b">
        <f t="shared" si="287"/>
        <v>0</v>
      </c>
      <c r="BQ572" s="18" t="b">
        <f>AND(E572&lt;&gt;'Povolené hodnoty'!$B$6,F572&lt;&gt;'Povolené hodnoty'!$D$7,F572&lt;&gt;'Povolené hodnoty'!$D$8,OR(SUM(I572,L572,O572,R572)&lt;&gt;SUM(W572:X572,AA572:AG572),SUM(J572,M572,P572,S572)&lt;&gt;SUM(Y572:Z572,AH572:AK572),COUNT(I572:J572,L572:M572,O572:P572,R572:S572)&lt;&gt;COUNT(W572:AK572)))</f>
        <v>0</v>
      </c>
      <c r="BR572" s="18" t="b">
        <f>OR(AND(E572='Povolené hodnoty'!$B$6,$BR$5),AND(E572='Povolené hodnoty'!$B$6,H572&lt;&gt;'Povolené hodnoty'!$E$26,H572&lt;&gt;'Povolené hodnoty'!$E$35),AND(E572&lt;&gt;'Povolené hodnoty'!$B$6,OR(H572='Povolené hodnoty'!$E$26,H572='Povolené hodnoty'!$E$35)))</f>
        <v>0</v>
      </c>
      <c r="BS572" s="18" t="b">
        <f>OR(AND(G572&lt;&gt;'Povolené hodnoty'!$B$13,OR(H572='Povolené hodnoty'!$E$21,H572='Povolené hodnoty'!$E$22,H572='Povolené hodnoty'!$E$23,H572='Povolené hodnoty'!$E$24,H572='Povolené hodnoty'!$E$26,H572='Povolené hodnoty'!$E$36)),COUNT(I572:J572,L572:M572,O572:P572,R572:S572)&lt;&gt;COUNT(AL572:BM572))</f>
        <v>0</v>
      </c>
      <c r="BT572" s="18" t="b">
        <f t="shared" si="288"/>
        <v>0</v>
      </c>
      <c r="BV572" s="39" t="str">
        <f t="shared" si="289"/>
        <v/>
      </c>
      <c r="BW572" s="458" t="str">
        <f t="shared" si="290"/>
        <v/>
      </c>
      <c r="BX572" s="458" t="str">
        <f t="shared" si="291"/>
        <v/>
      </c>
      <c r="BY572" s="458" t="str">
        <f t="shared" si="292"/>
        <v/>
      </c>
      <c r="BZ572" s="458" t="str">
        <f t="shared" si="293"/>
        <v/>
      </c>
      <c r="CA572" s="40" t="str">
        <f t="shared" si="294"/>
        <v/>
      </c>
      <c r="CB572" s="40" t="str">
        <f t="shared" si="295"/>
        <v/>
      </c>
      <c r="CC572" s="39" t="str">
        <f t="shared" si="296"/>
        <v/>
      </c>
      <c r="CD572" s="458" t="str">
        <f t="shared" si="297"/>
        <v/>
      </c>
      <c r="CE572" s="41" t="str">
        <f t="shared" si="298"/>
        <v/>
      </c>
      <c r="CF572" s="39" t="str">
        <f t="shared" si="299"/>
        <v/>
      </c>
      <c r="CG572" s="458" t="str">
        <f t="shared" si="300"/>
        <v/>
      </c>
      <c r="CH572" s="458" t="str">
        <f t="shared" si="301"/>
        <v/>
      </c>
      <c r="CI572" s="458" t="str">
        <f t="shared" si="302"/>
        <v/>
      </c>
      <c r="CJ572" s="458" t="str">
        <f t="shared" si="303"/>
        <v/>
      </c>
      <c r="CK572" s="40" t="str">
        <f t="shared" si="304"/>
        <v/>
      </c>
      <c r="CL572" s="40" t="str">
        <f t="shared" si="305"/>
        <v/>
      </c>
      <c r="CM572" s="40" t="str">
        <f t="shared" si="306"/>
        <v/>
      </c>
      <c r="CN572" s="39" t="str">
        <f t="shared" si="307"/>
        <v/>
      </c>
      <c r="CO572" s="458" t="str">
        <f t="shared" si="308"/>
        <v/>
      </c>
      <c r="CP572" s="458" t="str">
        <f t="shared" si="309"/>
        <v/>
      </c>
      <c r="CQ572" s="458" t="str">
        <f t="shared" si="310"/>
        <v/>
      </c>
      <c r="CR572" s="458" t="str">
        <f t="shared" si="311"/>
        <v/>
      </c>
      <c r="CS572" s="40" t="str">
        <f t="shared" si="312"/>
        <v/>
      </c>
      <c r="CT572" s="40" t="str">
        <f t="shared" si="313"/>
        <v/>
      </c>
      <c r="CU572" s="41" t="str">
        <f t="shared" si="314"/>
        <v/>
      </c>
    </row>
    <row r="573" spans="1:99" x14ac:dyDescent="0.2">
      <c r="A573" s="77">
        <f t="shared" si="315"/>
        <v>568</v>
      </c>
      <c r="B573" s="81"/>
      <c r="C573" s="82"/>
      <c r="D573" s="71"/>
      <c r="E573" s="72"/>
      <c r="F573" s="73"/>
      <c r="G573" s="443"/>
      <c r="H573" s="443"/>
      <c r="I573" s="74"/>
      <c r="J573" s="75"/>
      <c r="K573" s="41">
        <f t="shared" si="319"/>
        <v>3625</v>
      </c>
      <c r="L573" s="104"/>
      <c r="M573" s="105"/>
      <c r="N573" s="106">
        <f t="shared" si="320"/>
        <v>537.05999999999995</v>
      </c>
      <c r="O573" s="104"/>
      <c r="P573" s="105"/>
      <c r="Q573" s="106">
        <f t="shared" si="317"/>
        <v>10045.83</v>
      </c>
      <c r="R573" s="104"/>
      <c r="S573" s="105"/>
      <c r="T573" s="106">
        <f t="shared" si="318"/>
        <v>0</v>
      </c>
      <c r="U573" s="439"/>
      <c r="V573" s="42">
        <f t="shared" si="286"/>
        <v>568</v>
      </c>
      <c r="W573" s="39" t="str">
        <f>IF(AND(E573='Povolené hodnoty'!$B$4,F573=2),I573+L573+O573+R573,"")</f>
        <v/>
      </c>
      <c r="X573" s="41" t="str">
        <f>IF(AND(E573='Povolené hodnoty'!$B$4,F573=1),I573+L573+O573+R573,"")</f>
        <v/>
      </c>
      <c r="Y573" s="39" t="str">
        <f>IF(AND(E573='Povolené hodnoty'!$B$4,F573=10),J573+M573+P573+S573,"")</f>
        <v/>
      </c>
      <c r="Z573" s="41" t="str">
        <f>IF(AND(E573='Povolené hodnoty'!$B$4,F573=9),J573+M573+P573+S573,"")</f>
        <v/>
      </c>
      <c r="AA573" s="39" t="str">
        <f>IF(AND(E573&lt;&gt;'Povolené hodnoty'!$B$4,F573=2),I573+L573+O573+R573,"")</f>
        <v/>
      </c>
      <c r="AB573" s="40" t="str">
        <f>IF(AND(E573&lt;&gt;'Povolené hodnoty'!$B$4,F573=3),I573+L573+O573+R573,"")</f>
        <v/>
      </c>
      <c r="AC573" s="40" t="str">
        <f>IF(AND(E573&lt;&gt;'Povolené hodnoty'!$B$4,F573=4),I573+L573+O573+R573,"")</f>
        <v/>
      </c>
      <c r="AD573" s="40" t="str">
        <f>IF(AND(E573&lt;&gt;'Povolené hodnoty'!$B$4,F573="5a"),I573-J573+L573-M573+O573-P573+R573-S573,"")</f>
        <v/>
      </c>
      <c r="AE573" s="40" t="str">
        <f>IF(AND(E573&lt;&gt;'Povolené hodnoty'!$B$4,F573="5b"),I573-J573+L573-M573+O573-P573+R573-S573,"")</f>
        <v/>
      </c>
      <c r="AF573" s="40" t="str">
        <f>IF(AND(E573&lt;&gt;'Povolené hodnoty'!$B$4,F573=6),I573+L573+O573+R573,"")</f>
        <v/>
      </c>
      <c r="AG573" s="41" t="str">
        <f>IF(AND(E573&lt;&gt;'Povolené hodnoty'!$B$4,F573=7),I573+L573+O573+R573,"")</f>
        <v/>
      </c>
      <c r="AH573" s="39" t="str">
        <f>IF(AND(E573&lt;&gt;'Povolené hodnoty'!$B$4,F573=10),J573+M573+P573+S573,"")</f>
        <v/>
      </c>
      <c r="AI573" s="40" t="str">
        <f>IF(AND(E573&lt;&gt;'Povolené hodnoty'!$B$4,F573=11),J573+M573+P573+S573,"")</f>
        <v/>
      </c>
      <c r="AJ573" s="40" t="str">
        <f>IF(AND(E573&lt;&gt;'Povolené hodnoty'!$B$4,F573=12),J573+M573+P573+S573,"")</f>
        <v/>
      </c>
      <c r="AK573" s="41" t="str">
        <f>IF(AND(E573&lt;&gt;'Povolené hodnoty'!$B$4,F573=13),J573+M573+P573+S573,"")</f>
        <v/>
      </c>
      <c r="AL573" s="39" t="str">
        <f>IF(AND($G573='Povolené hodnoty'!$B$13,$H573=AL$4),SUM($I573,$L573,$O573,$R573),"")</f>
        <v/>
      </c>
      <c r="AM573" s="458" t="str">
        <f>IF(AND($G573='Povolené hodnoty'!$B$13,$H573=AM$4),SUM($I573,$L573,$O573,$R573),"")</f>
        <v/>
      </c>
      <c r="AN573" s="458" t="str">
        <f>IF(AND($G573='Povolené hodnoty'!$B$13,$H573=AN$4),SUM($I573,$L573,$O573,$R573),"")</f>
        <v/>
      </c>
      <c r="AO573" s="458" t="str">
        <f>IF(AND($G573='Povolené hodnoty'!$B$13,$H573=AO$4),SUM($I573,$L573,$O573,$R573),"")</f>
        <v/>
      </c>
      <c r="AP573" s="458" t="str">
        <f>IF(AND($G573='Povolené hodnoty'!$B$13,$H573=AP$4),SUM($I573,$L573,$O573,$R573),"")</f>
        <v/>
      </c>
      <c r="AQ573" s="40" t="str">
        <f>IF(AND($G573='Povolené hodnoty'!$B$13,OR($H573=AQ$4,$H573='Povolené hodnoty'!$E$36)),SUM($I573,-$J573,$L573,-$M573,$O573,-$P573,$R573,-$S573),"")</f>
        <v/>
      </c>
      <c r="AR573" s="40" t="str">
        <f>IF(AND($G573='Povolené hodnoty'!$B$13,$H573=AR$4),SUM($I573,$L573,$O573,$R573),"")</f>
        <v/>
      </c>
      <c r="AS573" s="41" t="str">
        <f>IF(AND($G573='Povolené hodnoty'!$B$13,$H573=AS$4),SUM($I573,$L573,$O573,$R573),"")</f>
        <v/>
      </c>
      <c r="AT573" s="39" t="str">
        <f>IF(AND($G573='Povolené hodnoty'!$B$14,$H573=AT$4),SUM($I573,$L573,$O573,$R573),"")</f>
        <v/>
      </c>
      <c r="AU573" s="458" t="str">
        <f>IF(AND($G573='Povolené hodnoty'!$B$14,$H573=AU$4),SUM($I573,$L573,$O573,$R573),"")</f>
        <v/>
      </c>
      <c r="AV573" s="41" t="str">
        <f>IF(AND($G573='Povolené hodnoty'!$B$14,$H573=AV$4),SUM($I573,$L573,$O573,$R573),"")</f>
        <v/>
      </c>
      <c r="AW573" s="39" t="str">
        <f>IF(AND($G573='Povolené hodnoty'!$B$13,$H573=AW$4),SUM($J573,$M573,$P573,$S573),"")</f>
        <v/>
      </c>
      <c r="AX573" s="458" t="str">
        <f>IF(AND($G573='Povolené hodnoty'!$B$13,$H573=AX$4),SUM($J573,$M573,$P573,$S573),"")</f>
        <v/>
      </c>
      <c r="AY573" s="458" t="str">
        <f>IF(AND($G573='Povolené hodnoty'!$B$13,$H573=AY$4),SUM($J573,$M573,$P573,$S573),"")</f>
        <v/>
      </c>
      <c r="AZ573" s="458" t="str">
        <f>IF(AND($G573='Povolené hodnoty'!$B$13,$H573=AZ$4),SUM($J573,$M573,$P573,$S573),"")</f>
        <v/>
      </c>
      <c r="BA573" s="458" t="str">
        <f>IF(AND($G573='Povolené hodnoty'!$B$13,$H573=BA$4),SUM($J573,$M573,$P573,$S573),"")</f>
        <v/>
      </c>
      <c r="BB573" s="40" t="str">
        <f>IF(AND($G573='Povolené hodnoty'!$B$13,$H573=BB$4),SUM($J573,$M573,$P573,$S573),"")</f>
        <v/>
      </c>
      <c r="BC573" s="40" t="str">
        <f>IF(AND($G573='Povolené hodnoty'!$B$13,$H573=BC$4),SUM($J573,$M573,$P573,$S573),"")</f>
        <v/>
      </c>
      <c r="BD573" s="40" t="str">
        <f>IF(AND($G573='Povolené hodnoty'!$B$13,$H573=BD$4),SUM($J573,$M573,$P573,$S573),"")</f>
        <v/>
      </c>
      <c r="BE573" s="41" t="str">
        <f>IF(AND($G573='Povolené hodnoty'!$B$13,$H573=BE$4),SUM($J573,$M573,$P573,$S573),"")</f>
        <v/>
      </c>
      <c r="BF573" s="39" t="str">
        <f>IF(AND($G573='Povolené hodnoty'!$B$14,$H573=BF$4),SUM($J573,$M573,$P573,$S573),"")</f>
        <v/>
      </c>
      <c r="BG573" s="458" t="str">
        <f>IF(AND($G573='Povolené hodnoty'!$B$14,$H573=BG$4),SUM($J573,$M573,$P573,$S573),"")</f>
        <v/>
      </c>
      <c r="BH573" s="458" t="str">
        <f>IF(AND($G573='Povolené hodnoty'!$B$14,$H573=BH$4),SUM($J573,$M573,$P573,$S573),"")</f>
        <v/>
      </c>
      <c r="BI573" s="458" t="str">
        <f>IF(AND($G573='Povolené hodnoty'!$B$14,$H573=BI$4),SUM($J573,$M573,$P573,$S573),"")</f>
        <v/>
      </c>
      <c r="BJ573" s="458" t="str">
        <f>IF(AND($G573='Povolené hodnoty'!$B$14,$H573=BJ$4),SUM($J573,$M573,$P573,$S573),"")</f>
        <v/>
      </c>
      <c r="BK573" s="40" t="str">
        <f>IF(AND($G573='Povolené hodnoty'!$B$14,$H573=BK$4),SUM($J573,$M573,$P573,$S573),"")</f>
        <v/>
      </c>
      <c r="BL573" s="40" t="str">
        <f>IF(AND($G573='Povolené hodnoty'!$B$14,$H573=BL$4),SUM($J573,$M573,$P573,$S573),"")</f>
        <v/>
      </c>
      <c r="BM573" s="41" t="str">
        <f>IF(AND($G573='Povolené hodnoty'!$B$14,$H573=BM$4),SUM($J573,$M573,$P573,$S573),"")</f>
        <v/>
      </c>
      <c r="BO573" s="18" t="b">
        <f t="shared" si="316"/>
        <v>0</v>
      </c>
      <c r="BP573" s="18" t="b">
        <f t="shared" si="287"/>
        <v>0</v>
      </c>
      <c r="BQ573" s="18" t="b">
        <f>AND(E573&lt;&gt;'Povolené hodnoty'!$B$6,F573&lt;&gt;'Povolené hodnoty'!$D$7,F573&lt;&gt;'Povolené hodnoty'!$D$8,OR(SUM(I573,L573,O573,R573)&lt;&gt;SUM(W573:X573,AA573:AG573),SUM(J573,M573,P573,S573)&lt;&gt;SUM(Y573:Z573,AH573:AK573),COUNT(I573:J573,L573:M573,O573:P573,R573:S573)&lt;&gt;COUNT(W573:AK573)))</f>
        <v>0</v>
      </c>
      <c r="BR573" s="18" t="b">
        <f>OR(AND(E573='Povolené hodnoty'!$B$6,$BR$5),AND(E573='Povolené hodnoty'!$B$6,H573&lt;&gt;'Povolené hodnoty'!$E$26,H573&lt;&gt;'Povolené hodnoty'!$E$35),AND(E573&lt;&gt;'Povolené hodnoty'!$B$6,OR(H573='Povolené hodnoty'!$E$26,H573='Povolené hodnoty'!$E$35)))</f>
        <v>0</v>
      </c>
      <c r="BS573" s="18" t="b">
        <f>OR(AND(G573&lt;&gt;'Povolené hodnoty'!$B$13,OR(H573='Povolené hodnoty'!$E$21,H573='Povolené hodnoty'!$E$22,H573='Povolené hodnoty'!$E$23,H573='Povolené hodnoty'!$E$24,H573='Povolené hodnoty'!$E$26,H573='Povolené hodnoty'!$E$36)),COUNT(I573:J573,L573:M573,O573:P573,R573:S573)&lt;&gt;COUNT(AL573:BM573))</f>
        <v>0</v>
      </c>
      <c r="BT573" s="18" t="b">
        <f t="shared" si="288"/>
        <v>0</v>
      </c>
      <c r="BV573" s="39" t="str">
        <f t="shared" si="289"/>
        <v/>
      </c>
      <c r="BW573" s="458" t="str">
        <f t="shared" si="290"/>
        <v/>
      </c>
      <c r="BX573" s="458" t="str">
        <f t="shared" si="291"/>
        <v/>
      </c>
      <c r="BY573" s="458" t="str">
        <f t="shared" si="292"/>
        <v/>
      </c>
      <c r="BZ573" s="458" t="str">
        <f t="shared" si="293"/>
        <v/>
      </c>
      <c r="CA573" s="40" t="str">
        <f t="shared" si="294"/>
        <v/>
      </c>
      <c r="CB573" s="40" t="str">
        <f t="shared" si="295"/>
        <v/>
      </c>
      <c r="CC573" s="39" t="str">
        <f t="shared" si="296"/>
        <v/>
      </c>
      <c r="CD573" s="458" t="str">
        <f t="shared" si="297"/>
        <v/>
      </c>
      <c r="CE573" s="41" t="str">
        <f t="shared" si="298"/>
        <v/>
      </c>
      <c r="CF573" s="39" t="str">
        <f t="shared" si="299"/>
        <v/>
      </c>
      <c r="CG573" s="458" t="str">
        <f t="shared" si="300"/>
        <v/>
      </c>
      <c r="CH573" s="458" t="str">
        <f t="shared" si="301"/>
        <v/>
      </c>
      <c r="CI573" s="458" t="str">
        <f t="shared" si="302"/>
        <v/>
      </c>
      <c r="CJ573" s="458" t="str">
        <f t="shared" si="303"/>
        <v/>
      </c>
      <c r="CK573" s="40" t="str">
        <f t="shared" si="304"/>
        <v/>
      </c>
      <c r="CL573" s="40" t="str">
        <f t="shared" si="305"/>
        <v/>
      </c>
      <c r="CM573" s="40" t="str">
        <f t="shared" si="306"/>
        <v/>
      </c>
      <c r="CN573" s="39" t="str">
        <f t="shared" si="307"/>
        <v/>
      </c>
      <c r="CO573" s="458" t="str">
        <f t="shared" si="308"/>
        <v/>
      </c>
      <c r="CP573" s="458" t="str">
        <f t="shared" si="309"/>
        <v/>
      </c>
      <c r="CQ573" s="458" t="str">
        <f t="shared" si="310"/>
        <v/>
      </c>
      <c r="CR573" s="458" t="str">
        <f t="shared" si="311"/>
        <v/>
      </c>
      <c r="CS573" s="40" t="str">
        <f t="shared" si="312"/>
        <v/>
      </c>
      <c r="CT573" s="40" t="str">
        <f t="shared" si="313"/>
        <v/>
      </c>
      <c r="CU573" s="41" t="str">
        <f t="shared" si="314"/>
        <v/>
      </c>
    </row>
    <row r="574" spans="1:99" x14ac:dyDescent="0.2">
      <c r="A574" s="77">
        <f t="shared" si="315"/>
        <v>569</v>
      </c>
      <c r="B574" s="81"/>
      <c r="C574" s="82"/>
      <c r="D574" s="71"/>
      <c r="E574" s="72"/>
      <c r="F574" s="73"/>
      <c r="G574" s="443"/>
      <c r="H574" s="443"/>
      <c r="I574" s="74"/>
      <c r="J574" s="75"/>
      <c r="K574" s="41">
        <f t="shared" si="319"/>
        <v>3625</v>
      </c>
      <c r="L574" s="104"/>
      <c r="M574" s="105"/>
      <c r="N574" s="106">
        <f t="shared" si="320"/>
        <v>537.05999999999995</v>
      </c>
      <c r="O574" s="104"/>
      <c r="P574" s="105"/>
      <c r="Q574" s="106">
        <f t="shared" si="317"/>
        <v>10045.83</v>
      </c>
      <c r="R574" s="104"/>
      <c r="S574" s="105"/>
      <c r="T574" s="106">
        <f t="shared" si="318"/>
        <v>0</v>
      </c>
      <c r="U574" s="439"/>
      <c r="V574" s="42">
        <f t="shared" si="286"/>
        <v>569</v>
      </c>
      <c r="W574" s="39" t="str">
        <f>IF(AND(E574='Povolené hodnoty'!$B$4,F574=2),I574+L574+O574+R574,"")</f>
        <v/>
      </c>
      <c r="X574" s="41" t="str">
        <f>IF(AND(E574='Povolené hodnoty'!$B$4,F574=1),I574+L574+O574+R574,"")</f>
        <v/>
      </c>
      <c r="Y574" s="39" t="str">
        <f>IF(AND(E574='Povolené hodnoty'!$B$4,F574=10),J574+M574+P574+S574,"")</f>
        <v/>
      </c>
      <c r="Z574" s="41" t="str">
        <f>IF(AND(E574='Povolené hodnoty'!$B$4,F574=9),J574+M574+P574+S574,"")</f>
        <v/>
      </c>
      <c r="AA574" s="39" t="str">
        <f>IF(AND(E574&lt;&gt;'Povolené hodnoty'!$B$4,F574=2),I574+L574+O574+R574,"")</f>
        <v/>
      </c>
      <c r="AB574" s="40" t="str">
        <f>IF(AND(E574&lt;&gt;'Povolené hodnoty'!$B$4,F574=3),I574+L574+O574+R574,"")</f>
        <v/>
      </c>
      <c r="AC574" s="40" t="str">
        <f>IF(AND(E574&lt;&gt;'Povolené hodnoty'!$B$4,F574=4),I574+L574+O574+R574,"")</f>
        <v/>
      </c>
      <c r="AD574" s="40" t="str">
        <f>IF(AND(E574&lt;&gt;'Povolené hodnoty'!$B$4,F574="5a"),I574-J574+L574-M574+O574-P574+R574-S574,"")</f>
        <v/>
      </c>
      <c r="AE574" s="40" t="str">
        <f>IF(AND(E574&lt;&gt;'Povolené hodnoty'!$B$4,F574="5b"),I574-J574+L574-M574+O574-P574+R574-S574,"")</f>
        <v/>
      </c>
      <c r="AF574" s="40" t="str">
        <f>IF(AND(E574&lt;&gt;'Povolené hodnoty'!$B$4,F574=6),I574+L574+O574+R574,"")</f>
        <v/>
      </c>
      <c r="AG574" s="41" t="str">
        <f>IF(AND(E574&lt;&gt;'Povolené hodnoty'!$B$4,F574=7),I574+L574+O574+R574,"")</f>
        <v/>
      </c>
      <c r="AH574" s="39" t="str">
        <f>IF(AND(E574&lt;&gt;'Povolené hodnoty'!$B$4,F574=10),J574+M574+P574+S574,"")</f>
        <v/>
      </c>
      <c r="AI574" s="40" t="str">
        <f>IF(AND(E574&lt;&gt;'Povolené hodnoty'!$B$4,F574=11),J574+M574+P574+S574,"")</f>
        <v/>
      </c>
      <c r="AJ574" s="40" t="str">
        <f>IF(AND(E574&lt;&gt;'Povolené hodnoty'!$B$4,F574=12),J574+M574+P574+S574,"")</f>
        <v/>
      </c>
      <c r="AK574" s="41" t="str">
        <f>IF(AND(E574&lt;&gt;'Povolené hodnoty'!$B$4,F574=13),J574+M574+P574+S574,"")</f>
        <v/>
      </c>
      <c r="AL574" s="39" t="str">
        <f>IF(AND($G574='Povolené hodnoty'!$B$13,$H574=AL$4),SUM($I574,$L574,$O574,$R574),"")</f>
        <v/>
      </c>
      <c r="AM574" s="458" t="str">
        <f>IF(AND($G574='Povolené hodnoty'!$B$13,$H574=AM$4),SUM($I574,$L574,$O574,$R574),"")</f>
        <v/>
      </c>
      <c r="AN574" s="458" t="str">
        <f>IF(AND($G574='Povolené hodnoty'!$B$13,$H574=AN$4),SUM($I574,$L574,$O574,$R574),"")</f>
        <v/>
      </c>
      <c r="AO574" s="458" t="str">
        <f>IF(AND($G574='Povolené hodnoty'!$B$13,$H574=AO$4),SUM($I574,$L574,$O574,$R574),"")</f>
        <v/>
      </c>
      <c r="AP574" s="458" t="str">
        <f>IF(AND($G574='Povolené hodnoty'!$B$13,$H574=AP$4),SUM($I574,$L574,$O574,$R574),"")</f>
        <v/>
      </c>
      <c r="AQ574" s="40" t="str">
        <f>IF(AND($G574='Povolené hodnoty'!$B$13,OR($H574=AQ$4,$H574='Povolené hodnoty'!$E$36)),SUM($I574,-$J574,$L574,-$M574,$O574,-$P574,$R574,-$S574),"")</f>
        <v/>
      </c>
      <c r="AR574" s="40" t="str">
        <f>IF(AND($G574='Povolené hodnoty'!$B$13,$H574=AR$4),SUM($I574,$L574,$O574,$R574),"")</f>
        <v/>
      </c>
      <c r="AS574" s="41" t="str">
        <f>IF(AND($G574='Povolené hodnoty'!$B$13,$H574=AS$4),SUM($I574,$L574,$O574,$R574),"")</f>
        <v/>
      </c>
      <c r="AT574" s="39" t="str">
        <f>IF(AND($G574='Povolené hodnoty'!$B$14,$H574=AT$4),SUM($I574,$L574,$O574,$R574),"")</f>
        <v/>
      </c>
      <c r="AU574" s="458" t="str">
        <f>IF(AND($G574='Povolené hodnoty'!$B$14,$H574=AU$4),SUM($I574,$L574,$O574,$R574),"")</f>
        <v/>
      </c>
      <c r="AV574" s="41" t="str">
        <f>IF(AND($G574='Povolené hodnoty'!$B$14,$H574=AV$4),SUM($I574,$L574,$O574,$R574),"")</f>
        <v/>
      </c>
      <c r="AW574" s="39" t="str">
        <f>IF(AND($G574='Povolené hodnoty'!$B$13,$H574=AW$4),SUM($J574,$M574,$P574,$S574),"")</f>
        <v/>
      </c>
      <c r="AX574" s="458" t="str">
        <f>IF(AND($G574='Povolené hodnoty'!$B$13,$H574=AX$4),SUM($J574,$M574,$P574,$S574),"")</f>
        <v/>
      </c>
      <c r="AY574" s="458" t="str">
        <f>IF(AND($G574='Povolené hodnoty'!$B$13,$H574=AY$4),SUM($J574,$M574,$P574,$S574),"")</f>
        <v/>
      </c>
      <c r="AZ574" s="458" t="str">
        <f>IF(AND($G574='Povolené hodnoty'!$B$13,$H574=AZ$4),SUM($J574,$M574,$P574,$S574),"")</f>
        <v/>
      </c>
      <c r="BA574" s="458" t="str">
        <f>IF(AND($G574='Povolené hodnoty'!$B$13,$H574=BA$4),SUM($J574,$M574,$P574,$S574),"")</f>
        <v/>
      </c>
      <c r="BB574" s="40" t="str">
        <f>IF(AND($G574='Povolené hodnoty'!$B$13,$H574=BB$4),SUM($J574,$M574,$P574,$S574),"")</f>
        <v/>
      </c>
      <c r="BC574" s="40" t="str">
        <f>IF(AND($G574='Povolené hodnoty'!$B$13,$H574=BC$4),SUM($J574,$M574,$P574,$S574),"")</f>
        <v/>
      </c>
      <c r="BD574" s="40" t="str">
        <f>IF(AND($G574='Povolené hodnoty'!$B$13,$H574=BD$4),SUM($J574,$M574,$P574,$S574),"")</f>
        <v/>
      </c>
      <c r="BE574" s="41" t="str">
        <f>IF(AND($G574='Povolené hodnoty'!$B$13,$H574=BE$4),SUM($J574,$M574,$P574,$S574),"")</f>
        <v/>
      </c>
      <c r="BF574" s="39" t="str">
        <f>IF(AND($G574='Povolené hodnoty'!$B$14,$H574=BF$4),SUM($J574,$M574,$P574,$S574),"")</f>
        <v/>
      </c>
      <c r="BG574" s="458" t="str">
        <f>IF(AND($G574='Povolené hodnoty'!$B$14,$H574=BG$4),SUM($J574,$M574,$P574,$S574),"")</f>
        <v/>
      </c>
      <c r="BH574" s="458" t="str">
        <f>IF(AND($G574='Povolené hodnoty'!$B$14,$H574=BH$4),SUM($J574,$M574,$P574,$S574),"")</f>
        <v/>
      </c>
      <c r="BI574" s="458" t="str">
        <f>IF(AND($G574='Povolené hodnoty'!$B$14,$H574=BI$4),SUM($J574,$M574,$P574,$S574),"")</f>
        <v/>
      </c>
      <c r="BJ574" s="458" t="str">
        <f>IF(AND($G574='Povolené hodnoty'!$B$14,$H574=BJ$4),SUM($J574,$M574,$P574,$S574),"")</f>
        <v/>
      </c>
      <c r="BK574" s="40" t="str">
        <f>IF(AND($G574='Povolené hodnoty'!$B$14,$H574=BK$4),SUM($J574,$M574,$P574,$S574),"")</f>
        <v/>
      </c>
      <c r="BL574" s="40" t="str">
        <f>IF(AND($G574='Povolené hodnoty'!$B$14,$H574=BL$4),SUM($J574,$M574,$P574,$S574),"")</f>
        <v/>
      </c>
      <c r="BM574" s="41" t="str">
        <f>IF(AND($G574='Povolené hodnoty'!$B$14,$H574=BM$4),SUM($J574,$M574,$P574,$S574),"")</f>
        <v/>
      </c>
      <c r="BO574" s="18" t="b">
        <f t="shared" si="316"/>
        <v>0</v>
      </c>
      <c r="BP574" s="18" t="b">
        <f t="shared" si="287"/>
        <v>0</v>
      </c>
      <c r="BQ574" s="18" t="b">
        <f>AND(E574&lt;&gt;'Povolené hodnoty'!$B$6,F574&lt;&gt;'Povolené hodnoty'!$D$7,F574&lt;&gt;'Povolené hodnoty'!$D$8,OR(SUM(I574,L574,O574,R574)&lt;&gt;SUM(W574:X574,AA574:AG574),SUM(J574,M574,P574,S574)&lt;&gt;SUM(Y574:Z574,AH574:AK574),COUNT(I574:J574,L574:M574,O574:P574,R574:S574)&lt;&gt;COUNT(W574:AK574)))</f>
        <v>0</v>
      </c>
      <c r="BR574" s="18" t="b">
        <f>OR(AND(E574='Povolené hodnoty'!$B$6,$BR$5),AND(E574='Povolené hodnoty'!$B$6,H574&lt;&gt;'Povolené hodnoty'!$E$26,H574&lt;&gt;'Povolené hodnoty'!$E$35),AND(E574&lt;&gt;'Povolené hodnoty'!$B$6,OR(H574='Povolené hodnoty'!$E$26,H574='Povolené hodnoty'!$E$35)))</f>
        <v>0</v>
      </c>
      <c r="BS574" s="18" t="b">
        <f>OR(AND(G574&lt;&gt;'Povolené hodnoty'!$B$13,OR(H574='Povolené hodnoty'!$E$21,H574='Povolené hodnoty'!$E$22,H574='Povolené hodnoty'!$E$23,H574='Povolené hodnoty'!$E$24,H574='Povolené hodnoty'!$E$26,H574='Povolené hodnoty'!$E$36)),COUNT(I574:J574,L574:M574,O574:P574,R574:S574)&lt;&gt;COUNT(AL574:BM574))</f>
        <v>0</v>
      </c>
      <c r="BT574" s="18" t="b">
        <f t="shared" si="288"/>
        <v>0</v>
      </c>
      <c r="BV574" s="39" t="str">
        <f t="shared" si="289"/>
        <v/>
      </c>
      <c r="BW574" s="458" t="str">
        <f t="shared" si="290"/>
        <v/>
      </c>
      <c r="BX574" s="458" t="str">
        <f t="shared" si="291"/>
        <v/>
      </c>
      <c r="BY574" s="458" t="str">
        <f t="shared" si="292"/>
        <v/>
      </c>
      <c r="BZ574" s="458" t="str">
        <f t="shared" si="293"/>
        <v/>
      </c>
      <c r="CA574" s="40" t="str">
        <f t="shared" si="294"/>
        <v/>
      </c>
      <c r="CB574" s="40" t="str">
        <f t="shared" si="295"/>
        <v/>
      </c>
      <c r="CC574" s="39" t="str">
        <f t="shared" si="296"/>
        <v/>
      </c>
      <c r="CD574" s="458" t="str">
        <f t="shared" si="297"/>
        <v/>
      </c>
      <c r="CE574" s="41" t="str">
        <f t="shared" si="298"/>
        <v/>
      </c>
      <c r="CF574" s="39" t="str">
        <f t="shared" si="299"/>
        <v/>
      </c>
      <c r="CG574" s="458" t="str">
        <f t="shared" si="300"/>
        <v/>
      </c>
      <c r="CH574" s="458" t="str">
        <f t="shared" si="301"/>
        <v/>
      </c>
      <c r="CI574" s="458" t="str">
        <f t="shared" si="302"/>
        <v/>
      </c>
      <c r="CJ574" s="458" t="str">
        <f t="shared" si="303"/>
        <v/>
      </c>
      <c r="CK574" s="40" t="str">
        <f t="shared" si="304"/>
        <v/>
      </c>
      <c r="CL574" s="40" t="str">
        <f t="shared" si="305"/>
        <v/>
      </c>
      <c r="CM574" s="40" t="str">
        <f t="shared" si="306"/>
        <v/>
      </c>
      <c r="CN574" s="39" t="str">
        <f t="shared" si="307"/>
        <v/>
      </c>
      <c r="CO574" s="458" t="str">
        <f t="shared" si="308"/>
        <v/>
      </c>
      <c r="CP574" s="458" t="str">
        <f t="shared" si="309"/>
        <v/>
      </c>
      <c r="CQ574" s="458" t="str">
        <f t="shared" si="310"/>
        <v/>
      </c>
      <c r="CR574" s="458" t="str">
        <f t="shared" si="311"/>
        <v/>
      </c>
      <c r="CS574" s="40" t="str">
        <f t="shared" si="312"/>
        <v/>
      </c>
      <c r="CT574" s="40" t="str">
        <f t="shared" si="313"/>
        <v/>
      </c>
      <c r="CU574" s="41" t="str">
        <f t="shared" si="314"/>
        <v/>
      </c>
    </row>
    <row r="575" spans="1:99" x14ac:dyDescent="0.2">
      <c r="A575" s="77">
        <f t="shared" si="315"/>
        <v>570</v>
      </c>
      <c r="B575" s="81"/>
      <c r="C575" s="82"/>
      <c r="D575" s="71"/>
      <c r="E575" s="72"/>
      <c r="F575" s="73"/>
      <c r="G575" s="443"/>
      <c r="H575" s="443"/>
      <c r="I575" s="74"/>
      <c r="J575" s="75"/>
      <c r="K575" s="41">
        <f t="shared" si="319"/>
        <v>3625</v>
      </c>
      <c r="L575" s="104"/>
      <c r="M575" s="105"/>
      <c r="N575" s="106">
        <f t="shared" si="320"/>
        <v>537.05999999999995</v>
      </c>
      <c r="O575" s="104"/>
      <c r="P575" s="105"/>
      <c r="Q575" s="106">
        <f t="shared" si="317"/>
        <v>10045.83</v>
      </c>
      <c r="R575" s="104"/>
      <c r="S575" s="105"/>
      <c r="T575" s="106">
        <f t="shared" si="318"/>
        <v>0</v>
      </c>
      <c r="U575" s="439"/>
      <c r="V575" s="42">
        <f t="shared" si="286"/>
        <v>570</v>
      </c>
      <c r="W575" s="39" t="str">
        <f>IF(AND(E575='Povolené hodnoty'!$B$4,F575=2),I575+L575+O575+R575,"")</f>
        <v/>
      </c>
      <c r="X575" s="41" t="str">
        <f>IF(AND(E575='Povolené hodnoty'!$B$4,F575=1),I575+L575+O575+R575,"")</f>
        <v/>
      </c>
      <c r="Y575" s="39" t="str">
        <f>IF(AND(E575='Povolené hodnoty'!$B$4,F575=10),J575+M575+P575+S575,"")</f>
        <v/>
      </c>
      <c r="Z575" s="41" t="str">
        <f>IF(AND(E575='Povolené hodnoty'!$B$4,F575=9),J575+M575+P575+S575,"")</f>
        <v/>
      </c>
      <c r="AA575" s="39" t="str">
        <f>IF(AND(E575&lt;&gt;'Povolené hodnoty'!$B$4,F575=2),I575+L575+O575+R575,"")</f>
        <v/>
      </c>
      <c r="AB575" s="40" t="str">
        <f>IF(AND(E575&lt;&gt;'Povolené hodnoty'!$B$4,F575=3),I575+L575+O575+R575,"")</f>
        <v/>
      </c>
      <c r="AC575" s="40" t="str">
        <f>IF(AND(E575&lt;&gt;'Povolené hodnoty'!$B$4,F575=4),I575+L575+O575+R575,"")</f>
        <v/>
      </c>
      <c r="AD575" s="40" t="str">
        <f>IF(AND(E575&lt;&gt;'Povolené hodnoty'!$B$4,F575="5a"),I575-J575+L575-M575+O575-P575+R575-S575,"")</f>
        <v/>
      </c>
      <c r="AE575" s="40" t="str">
        <f>IF(AND(E575&lt;&gt;'Povolené hodnoty'!$B$4,F575="5b"),I575-J575+L575-M575+O575-P575+R575-S575,"")</f>
        <v/>
      </c>
      <c r="AF575" s="40" t="str">
        <f>IF(AND(E575&lt;&gt;'Povolené hodnoty'!$B$4,F575=6),I575+L575+O575+R575,"")</f>
        <v/>
      </c>
      <c r="AG575" s="41" t="str">
        <f>IF(AND(E575&lt;&gt;'Povolené hodnoty'!$B$4,F575=7),I575+L575+O575+R575,"")</f>
        <v/>
      </c>
      <c r="AH575" s="39" t="str">
        <f>IF(AND(E575&lt;&gt;'Povolené hodnoty'!$B$4,F575=10),J575+M575+P575+S575,"")</f>
        <v/>
      </c>
      <c r="AI575" s="40" t="str">
        <f>IF(AND(E575&lt;&gt;'Povolené hodnoty'!$B$4,F575=11),J575+M575+P575+S575,"")</f>
        <v/>
      </c>
      <c r="AJ575" s="40" t="str">
        <f>IF(AND(E575&lt;&gt;'Povolené hodnoty'!$B$4,F575=12),J575+M575+P575+S575,"")</f>
        <v/>
      </c>
      <c r="AK575" s="41" t="str">
        <f>IF(AND(E575&lt;&gt;'Povolené hodnoty'!$B$4,F575=13),J575+M575+P575+S575,"")</f>
        <v/>
      </c>
      <c r="AL575" s="39" t="str">
        <f>IF(AND($G575='Povolené hodnoty'!$B$13,$H575=AL$4),SUM($I575,$L575,$O575,$R575),"")</f>
        <v/>
      </c>
      <c r="AM575" s="458" t="str">
        <f>IF(AND($G575='Povolené hodnoty'!$B$13,$H575=AM$4),SUM($I575,$L575,$O575,$R575),"")</f>
        <v/>
      </c>
      <c r="AN575" s="458" t="str">
        <f>IF(AND($G575='Povolené hodnoty'!$B$13,$H575=AN$4),SUM($I575,$L575,$O575,$R575),"")</f>
        <v/>
      </c>
      <c r="AO575" s="458" t="str">
        <f>IF(AND($G575='Povolené hodnoty'!$B$13,$H575=AO$4),SUM($I575,$L575,$O575,$R575),"")</f>
        <v/>
      </c>
      <c r="AP575" s="458" t="str">
        <f>IF(AND($G575='Povolené hodnoty'!$B$13,$H575=AP$4),SUM($I575,$L575,$O575,$R575),"")</f>
        <v/>
      </c>
      <c r="AQ575" s="40" t="str">
        <f>IF(AND($G575='Povolené hodnoty'!$B$13,OR($H575=AQ$4,$H575='Povolené hodnoty'!$E$36)),SUM($I575,-$J575,$L575,-$M575,$O575,-$P575,$R575,-$S575),"")</f>
        <v/>
      </c>
      <c r="AR575" s="40" t="str">
        <f>IF(AND($G575='Povolené hodnoty'!$B$13,$H575=AR$4),SUM($I575,$L575,$O575,$R575),"")</f>
        <v/>
      </c>
      <c r="AS575" s="41" t="str">
        <f>IF(AND($G575='Povolené hodnoty'!$B$13,$H575=AS$4),SUM($I575,$L575,$O575,$R575),"")</f>
        <v/>
      </c>
      <c r="AT575" s="39" t="str">
        <f>IF(AND($G575='Povolené hodnoty'!$B$14,$H575=AT$4),SUM($I575,$L575,$O575,$R575),"")</f>
        <v/>
      </c>
      <c r="AU575" s="458" t="str">
        <f>IF(AND($G575='Povolené hodnoty'!$B$14,$H575=AU$4),SUM($I575,$L575,$O575,$R575),"")</f>
        <v/>
      </c>
      <c r="AV575" s="41" t="str">
        <f>IF(AND($G575='Povolené hodnoty'!$B$14,$H575=AV$4),SUM($I575,$L575,$O575,$R575),"")</f>
        <v/>
      </c>
      <c r="AW575" s="39" t="str">
        <f>IF(AND($G575='Povolené hodnoty'!$B$13,$H575=AW$4),SUM($J575,$M575,$P575,$S575),"")</f>
        <v/>
      </c>
      <c r="AX575" s="458" t="str">
        <f>IF(AND($G575='Povolené hodnoty'!$B$13,$H575=AX$4),SUM($J575,$M575,$P575,$S575),"")</f>
        <v/>
      </c>
      <c r="AY575" s="458" t="str">
        <f>IF(AND($G575='Povolené hodnoty'!$B$13,$H575=AY$4),SUM($J575,$M575,$P575,$S575),"")</f>
        <v/>
      </c>
      <c r="AZ575" s="458" t="str">
        <f>IF(AND($G575='Povolené hodnoty'!$B$13,$H575=AZ$4),SUM($J575,$M575,$P575,$S575),"")</f>
        <v/>
      </c>
      <c r="BA575" s="458" t="str">
        <f>IF(AND($G575='Povolené hodnoty'!$B$13,$H575=BA$4),SUM($J575,$M575,$P575,$S575),"")</f>
        <v/>
      </c>
      <c r="BB575" s="40" t="str">
        <f>IF(AND($G575='Povolené hodnoty'!$B$13,$H575=BB$4),SUM($J575,$M575,$P575,$S575),"")</f>
        <v/>
      </c>
      <c r="BC575" s="40" t="str">
        <f>IF(AND($G575='Povolené hodnoty'!$B$13,$H575=BC$4),SUM($J575,$M575,$P575,$S575),"")</f>
        <v/>
      </c>
      <c r="BD575" s="40" t="str">
        <f>IF(AND($G575='Povolené hodnoty'!$B$13,$H575=BD$4),SUM($J575,$M575,$P575,$S575),"")</f>
        <v/>
      </c>
      <c r="BE575" s="41" t="str">
        <f>IF(AND($G575='Povolené hodnoty'!$B$13,$H575=BE$4),SUM($J575,$M575,$P575,$S575),"")</f>
        <v/>
      </c>
      <c r="BF575" s="39" t="str">
        <f>IF(AND($G575='Povolené hodnoty'!$B$14,$H575=BF$4),SUM($J575,$M575,$P575,$S575),"")</f>
        <v/>
      </c>
      <c r="BG575" s="458" t="str">
        <f>IF(AND($G575='Povolené hodnoty'!$B$14,$H575=BG$4),SUM($J575,$M575,$P575,$S575),"")</f>
        <v/>
      </c>
      <c r="BH575" s="458" t="str">
        <f>IF(AND($G575='Povolené hodnoty'!$B$14,$H575=BH$4),SUM($J575,$M575,$P575,$S575),"")</f>
        <v/>
      </c>
      <c r="BI575" s="458" t="str">
        <f>IF(AND($G575='Povolené hodnoty'!$B$14,$H575=BI$4),SUM($J575,$M575,$P575,$S575),"")</f>
        <v/>
      </c>
      <c r="BJ575" s="458" t="str">
        <f>IF(AND($G575='Povolené hodnoty'!$B$14,$H575=BJ$4),SUM($J575,$M575,$P575,$S575),"")</f>
        <v/>
      </c>
      <c r="BK575" s="40" t="str">
        <f>IF(AND($G575='Povolené hodnoty'!$B$14,$H575=BK$4),SUM($J575,$M575,$P575,$S575),"")</f>
        <v/>
      </c>
      <c r="BL575" s="40" t="str">
        <f>IF(AND($G575='Povolené hodnoty'!$B$14,$H575=BL$4),SUM($J575,$M575,$P575,$S575),"")</f>
        <v/>
      </c>
      <c r="BM575" s="41" t="str">
        <f>IF(AND($G575='Povolené hodnoty'!$B$14,$H575=BM$4),SUM($J575,$M575,$P575,$S575),"")</f>
        <v/>
      </c>
      <c r="BO575" s="18" t="b">
        <f t="shared" si="316"/>
        <v>0</v>
      </c>
      <c r="BP575" s="18" t="b">
        <f t="shared" si="287"/>
        <v>0</v>
      </c>
      <c r="BQ575" s="18" t="b">
        <f>AND(E575&lt;&gt;'Povolené hodnoty'!$B$6,F575&lt;&gt;'Povolené hodnoty'!$D$7,F575&lt;&gt;'Povolené hodnoty'!$D$8,OR(SUM(I575,L575,O575,R575)&lt;&gt;SUM(W575:X575,AA575:AG575),SUM(J575,M575,P575,S575)&lt;&gt;SUM(Y575:Z575,AH575:AK575),COUNT(I575:J575,L575:M575,O575:P575,R575:S575)&lt;&gt;COUNT(W575:AK575)))</f>
        <v>0</v>
      </c>
      <c r="BR575" s="18" t="b">
        <f>OR(AND(E575='Povolené hodnoty'!$B$6,$BR$5),AND(E575='Povolené hodnoty'!$B$6,H575&lt;&gt;'Povolené hodnoty'!$E$26,H575&lt;&gt;'Povolené hodnoty'!$E$35),AND(E575&lt;&gt;'Povolené hodnoty'!$B$6,OR(H575='Povolené hodnoty'!$E$26,H575='Povolené hodnoty'!$E$35)))</f>
        <v>0</v>
      </c>
      <c r="BS575" s="18" t="b">
        <f>OR(AND(G575&lt;&gt;'Povolené hodnoty'!$B$13,OR(H575='Povolené hodnoty'!$E$21,H575='Povolené hodnoty'!$E$22,H575='Povolené hodnoty'!$E$23,H575='Povolené hodnoty'!$E$24,H575='Povolené hodnoty'!$E$26,H575='Povolené hodnoty'!$E$36)),COUNT(I575:J575,L575:M575,O575:P575,R575:S575)&lt;&gt;COUNT(AL575:BM575))</f>
        <v>0</v>
      </c>
      <c r="BT575" s="18" t="b">
        <f t="shared" si="288"/>
        <v>0</v>
      </c>
      <c r="BV575" s="39" t="str">
        <f t="shared" si="289"/>
        <v/>
      </c>
      <c r="BW575" s="458" t="str">
        <f t="shared" si="290"/>
        <v/>
      </c>
      <c r="BX575" s="458" t="str">
        <f t="shared" si="291"/>
        <v/>
      </c>
      <c r="BY575" s="458" t="str">
        <f t="shared" si="292"/>
        <v/>
      </c>
      <c r="BZ575" s="458" t="str">
        <f t="shared" si="293"/>
        <v/>
      </c>
      <c r="CA575" s="40" t="str">
        <f t="shared" si="294"/>
        <v/>
      </c>
      <c r="CB575" s="40" t="str">
        <f t="shared" si="295"/>
        <v/>
      </c>
      <c r="CC575" s="39" t="str">
        <f t="shared" si="296"/>
        <v/>
      </c>
      <c r="CD575" s="458" t="str">
        <f t="shared" si="297"/>
        <v/>
      </c>
      <c r="CE575" s="41" t="str">
        <f t="shared" si="298"/>
        <v/>
      </c>
      <c r="CF575" s="39" t="str">
        <f t="shared" si="299"/>
        <v/>
      </c>
      <c r="CG575" s="458" t="str">
        <f t="shared" si="300"/>
        <v/>
      </c>
      <c r="CH575" s="458" t="str">
        <f t="shared" si="301"/>
        <v/>
      </c>
      <c r="CI575" s="458" t="str">
        <f t="shared" si="302"/>
        <v/>
      </c>
      <c r="CJ575" s="458" t="str">
        <f t="shared" si="303"/>
        <v/>
      </c>
      <c r="CK575" s="40" t="str">
        <f t="shared" si="304"/>
        <v/>
      </c>
      <c r="CL575" s="40" t="str">
        <f t="shared" si="305"/>
        <v/>
      </c>
      <c r="CM575" s="40" t="str">
        <f t="shared" si="306"/>
        <v/>
      </c>
      <c r="CN575" s="39" t="str">
        <f t="shared" si="307"/>
        <v/>
      </c>
      <c r="CO575" s="458" t="str">
        <f t="shared" si="308"/>
        <v/>
      </c>
      <c r="CP575" s="458" t="str">
        <f t="shared" si="309"/>
        <v/>
      </c>
      <c r="CQ575" s="458" t="str">
        <f t="shared" si="310"/>
        <v/>
      </c>
      <c r="CR575" s="458" t="str">
        <f t="shared" si="311"/>
        <v/>
      </c>
      <c r="CS575" s="40" t="str">
        <f t="shared" si="312"/>
        <v/>
      </c>
      <c r="CT575" s="40" t="str">
        <f t="shared" si="313"/>
        <v/>
      </c>
      <c r="CU575" s="41" t="str">
        <f t="shared" si="314"/>
        <v/>
      </c>
    </row>
    <row r="576" spans="1:99" x14ac:dyDescent="0.2">
      <c r="A576" s="77">
        <f t="shared" si="315"/>
        <v>571</v>
      </c>
      <c r="B576" s="81"/>
      <c r="C576" s="82"/>
      <c r="D576" s="71"/>
      <c r="E576" s="72"/>
      <c r="F576" s="73"/>
      <c r="G576" s="443"/>
      <c r="H576" s="443"/>
      <c r="I576" s="74"/>
      <c r="J576" s="75"/>
      <c r="K576" s="41">
        <f t="shared" si="319"/>
        <v>3625</v>
      </c>
      <c r="L576" s="104"/>
      <c r="M576" s="105"/>
      <c r="N576" s="106">
        <f t="shared" si="320"/>
        <v>537.05999999999995</v>
      </c>
      <c r="O576" s="104"/>
      <c r="P576" s="105"/>
      <c r="Q576" s="106">
        <f t="shared" si="317"/>
        <v>10045.83</v>
      </c>
      <c r="R576" s="104"/>
      <c r="S576" s="105"/>
      <c r="T576" s="106">
        <f t="shared" si="318"/>
        <v>0</v>
      </c>
      <c r="U576" s="439"/>
      <c r="V576" s="42">
        <f t="shared" si="286"/>
        <v>571</v>
      </c>
      <c r="W576" s="39" t="str">
        <f>IF(AND(E576='Povolené hodnoty'!$B$4,F576=2),I576+L576+O576+R576,"")</f>
        <v/>
      </c>
      <c r="X576" s="41" t="str">
        <f>IF(AND(E576='Povolené hodnoty'!$B$4,F576=1),I576+L576+O576+R576,"")</f>
        <v/>
      </c>
      <c r="Y576" s="39" t="str">
        <f>IF(AND(E576='Povolené hodnoty'!$B$4,F576=10),J576+M576+P576+S576,"")</f>
        <v/>
      </c>
      <c r="Z576" s="41" t="str">
        <f>IF(AND(E576='Povolené hodnoty'!$B$4,F576=9),J576+M576+P576+S576,"")</f>
        <v/>
      </c>
      <c r="AA576" s="39" t="str">
        <f>IF(AND(E576&lt;&gt;'Povolené hodnoty'!$B$4,F576=2),I576+L576+O576+R576,"")</f>
        <v/>
      </c>
      <c r="AB576" s="40" t="str">
        <f>IF(AND(E576&lt;&gt;'Povolené hodnoty'!$B$4,F576=3),I576+L576+O576+R576,"")</f>
        <v/>
      </c>
      <c r="AC576" s="40" t="str">
        <f>IF(AND(E576&lt;&gt;'Povolené hodnoty'!$B$4,F576=4),I576+L576+O576+R576,"")</f>
        <v/>
      </c>
      <c r="AD576" s="40" t="str">
        <f>IF(AND(E576&lt;&gt;'Povolené hodnoty'!$B$4,F576="5a"),I576-J576+L576-M576+O576-P576+R576-S576,"")</f>
        <v/>
      </c>
      <c r="AE576" s="40" t="str">
        <f>IF(AND(E576&lt;&gt;'Povolené hodnoty'!$B$4,F576="5b"),I576-J576+L576-M576+O576-P576+R576-S576,"")</f>
        <v/>
      </c>
      <c r="AF576" s="40" t="str">
        <f>IF(AND(E576&lt;&gt;'Povolené hodnoty'!$B$4,F576=6),I576+L576+O576+R576,"")</f>
        <v/>
      </c>
      <c r="AG576" s="41" t="str">
        <f>IF(AND(E576&lt;&gt;'Povolené hodnoty'!$B$4,F576=7),I576+L576+O576+R576,"")</f>
        <v/>
      </c>
      <c r="AH576" s="39" t="str">
        <f>IF(AND(E576&lt;&gt;'Povolené hodnoty'!$B$4,F576=10),J576+M576+P576+S576,"")</f>
        <v/>
      </c>
      <c r="AI576" s="40" t="str">
        <f>IF(AND(E576&lt;&gt;'Povolené hodnoty'!$B$4,F576=11),J576+M576+P576+S576,"")</f>
        <v/>
      </c>
      <c r="AJ576" s="40" t="str">
        <f>IF(AND(E576&lt;&gt;'Povolené hodnoty'!$B$4,F576=12),J576+M576+P576+S576,"")</f>
        <v/>
      </c>
      <c r="AK576" s="41" t="str">
        <f>IF(AND(E576&lt;&gt;'Povolené hodnoty'!$B$4,F576=13),J576+M576+P576+S576,"")</f>
        <v/>
      </c>
      <c r="AL576" s="39" t="str">
        <f>IF(AND($G576='Povolené hodnoty'!$B$13,$H576=AL$4),SUM($I576,$L576,$O576,$R576),"")</f>
        <v/>
      </c>
      <c r="AM576" s="458" t="str">
        <f>IF(AND($G576='Povolené hodnoty'!$B$13,$H576=AM$4),SUM($I576,$L576,$O576,$R576),"")</f>
        <v/>
      </c>
      <c r="AN576" s="458" t="str">
        <f>IF(AND($G576='Povolené hodnoty'!$B$13,$H576=AN$4),SUM($I576,$L576,$O576,$R576),"")</f>
        <v/>
      </c>
      <c r="AO576" s="458" t="str">
        <f>IF(AND($G576='Povolené hodnoty'!$B$13,$H576=AO$4),SUM($I576,$L576,$O576,$R576),"")</f>
        <v/>
      </c>
      <c r="AP576" s="458" t="str">
        <f>IF(AND($G576='Povolené hodnoty'!$B$13,$H576=AP$4),SUM($I576,$L576,$O576,$R576),"")</f>
        <v/>
      </c>
      <c r="AQ576" s="40" t="str">
        <f>IF(AND($G576='Povolené hodnoty'!$B$13,OR($H576=AQ$4,$H576='Povolené hodnoty'!$E$36)),SUM($I576,-$J576,$L576,-$M576,$O576,-$P576,$R576,-$S576),"")</f>
        <v/>
      </c>
      <c r="AR576" s="40" t="str">
        <f>IF(AND($G576='Povolené hodnoty'!$B$13,$H576=AR$4),SUM($I576,$L576,$O576,$R576),"")</f>
        <v/>
      </c>
      <c r="AS576" s="41" t="str">
        <f>IF(AND($G576='Povolené hodnoty'!$B$13,$H576=AS$4),SUM($I576,$L576,$O576,$R576),"")</f>
        <v/>
      </c>
      <c r="AT576" s="39" t="str">
        <f>IF(AND($G576='Povolené hodnoty'!$B$14,$H576=AT$4),SUM($I576,$L576,$O576,$R576),"")</f>
        <v/>
      </c>
      <c r="AU576" s="458" t="str">
        <f>IF(AND($G576='Povolené hodnoty'!$B$14,$H576=AU$4),SUM($I576,$L576,$O576,$R576),"")</f>
        <v/>
      </c>
      <c r="AV576" s="41" t="str">
        <f>IF(AND($G576='Povolené hodnoty'!$B$14,$H576=AV$4),SUM($I576,$L576,$O576,$R576),"")</f>
        <v/>
      </c>
      <c r="AW576" s="39" t="str">
        <f>IF(AND($G576='Povolené hodnoty'!$B$13,$H576=AW$4),SUM($J576,$M576,$P576,$S576),"")</f>
        <v/>
      </c>
      <c r="AX576" s="458" t="str">
        <f>IF(AND($G576='Povolené hodnoty'!$B$13,$H576=AX$4),SUM($J576,$M576,$P576,$S576),"")</f>
        <v/>
      </c>
      <c r="AY576" s="458" t="str">
        <f>IF(AND($G576='Povolené hodnoty'!$B$13,$H576=AY$4),SUM($J576,$M576,$P576,$S576),"")</f>
        <v/>
      </c>
      <c r="AZ576" s="458" t="str">
        <f>IF(AND($G576='Povolené hodnoty'!$B$13,$H576=AZ$4),SUM($J576,$M576,$P576,$S576),"")</f>
        <v/>
      </c>
      <c r="BA576" s="458" t="str">
        <f>IF(AND($G576='Povolené hodnoty'!$B$13,$H576=BA$4),SUM($J576,$M576,$P576,$S576),"")</f>
        <v/>
      </c>
      <c r="BB576" s="40" t="str">
        <f>IF(AND($G576='Povolené hodnoty'!$B$13,$H576=BB$4),SUM($J576,$M576,$P576,$S576),"")</f>
        <v/>
      </c>
      <c r="BC576" s="40" t="str">
        <f>IF(AND($G576='Povolené hodnoty'!$B$13,$H576=BC$4),SUM($J576,$M576,$P576,$S576),"")</f>
        <v/>
      </c>
      <c r="BD576" s="40" t="str">
        <f>IF(AND($G576='Povolené hodnoty'!$B$13,$H576=BD$4),SUM($J576,$M576,$P576,$S576),"")</f>
        <v/>
      </c>
      <c r="BE576" s="41" t="str">
        <f>IF(AND($G576='Povolené hodnoty'!$B$13,$H576=BE$4),SUM($J576,$M576,$P576,$S576),"")</f>
        <v/>
      </c>
      <c r="BF576" s="39" t="str">
        <f>IF(AND($G576='Povolené hodnoty'!$B$14,$H576=BF$4),SUM($J576,$M576,$P576,$S576),"")</f>
        <v/>
      </c>
      <c r="BG576" s="458" t="str">
        <f>IF(AND($G576='Povolené hodnoty'!$B$14,$H576=BG$4),SUM($J576,$M576,$P576,$S576),"")</f>
        <v/>
      </c>
      <c r="BH576" s="458" t="str">
        <f>IF(AND($G576='Povolené hodnoty'!$B$14,$H576=BH$4),SUM($J576,$M576,$P576,$S576),"")</f>
        <v/>
      </c>
      <c r="BI576" s="458" t="str">
        <f>IF(AND($G576='Povolené hodnoty'!$B$14,$H576=BI$4),SUM($J576,$M576,$P576,$S576),"")</f>
        <v/>
      </c>
      <c r="BJ576" s="458" t="str">
        <f>IF(AND($G576='Povolené hodnoty'!$B$14,$H576=BJ$4),SUM($J576,$M576,$P576,$S576),"")</f>
        <v/>
      </c>
      <c r="BK576" s="40" t="str">
        <f>IF(AND($G576='Povolené hodnoty'!$B$14,$H576=BK$4),SUM($J576,$M576,$P576,$S576),"")</f>
        <v/>
      </c>
      <c r="BL576" s="40" t="str">
        <f>IF(AND($G576='Povolené hodnoty'!$B$14,$H576=BL$4),SUM($J576,$M576,$P576,$S576),"")</f>
        <v/>
      </c>
      <c r="BM576" s="41" t="str">
        <f>IF(AND($G576='Povolené hodnoty'!$B$14,$H576=BM$4),SUM($J576,$M576,$P576,$S576),"")</f>
        <v/>
      </c>
      <c r="BO576" s="18" t="b">
        <f t="shared" si="316"/>
        <v>0</v>
      </c>
      <c r="BP576" s="18" t="b">
        <f t="shared" si="287"/>
        <v>0</v>
      </c>
      <c r="BQ576" s="18" t="b">
        <f>AND(E576&lt;&gt;'Povolené hodnoty'!$B$6,F576&lt;&gt;'Povolené hodnoty'!$D$7,F576&lt;&gt;'Povolené hodnoty'!$D$8,OR(SUM(I576,L576,O576,R576)&lt;&gt;SUM(W576:X576,AA576:AG576),SUM(J576,M576,P576,S576)&lt;&gt;SUM(Y576:Z576,AH576:AK576),COUNT(I576:J576,L576:M576,O576:P576,R576:S576)&lt;&gt;COUNT(W576:AK576)))</f>
        <v>0</v>
      </c>
      <c r="BR576" s="18" t="b">
        <f>OR(AND(E576='Povolené hodnoty'!$B$6,$BR$5),AND(E576='Povolené hodnoty'!$B$6,H576&lt;&gt;'Povolené hodnoty'!$E$26,H576&lt;&gt;'Povolené hodnoty'!$E$35),AND(E576&lt;&gt;'Povolené hodnoty'!$B$6,OR(H576='Povolené hodnoty'!$E$26,H576='Povolené hodnoty'!$E$35)))</f>
        <v>0</v>
      </c>
      <c r="BS576" s="18" t="b">
        <f>OR(AND(G576&lt;&gt;'Povolené hodnoty'!$B$13,OR(H576='Povolené hodnoty'!$E$21,H576='Povolené hodnoty'!$E$22,H576='Povolené hodnoty'!$E$23,H576='Povolené hodnoty'!$E$24,H576='Povolené hodnoty'!$E$26,H576='Povolené hodnoty'!$E$36)),COUNT(I576:J576,L576:M576,O576:P576,R576:S576)&lt;&gt;COUNT(AL576:BM576))</f>
        <v>0</v>
      </c>
      <c r="BT576" s="18" t="b">
        <f t="shared" si="288"/>
        <v>0</v>
      </c>
      <c r="BV576" s="39" t="str">
        <f t="shared" si="289"/>
        <v/>
      </c>
      <c r="BW576" s="458" t="str">
        <f t="shared" si="290"/>
        <v/>
      </c>
      <c r="BX576" s="458" t="str">
        <f t="shared" si="291"/>
        <v/>
      </c>
      <c r="BY576" s="458" t="str">
        <f t="shared" si="292"/>
        <v/>
      </c>
      <c r="BZ576" s="458" t="str">
        <f t="shared" si="293"/>
        <v/>
      </c>
      <c r="CA576" s="40" t="str">
        <f t="shared" si="294"/>
        <v/>
      </c>
      <c r="CB576" s="40" t="str">
        <f t="shared" si="295"/>
        <v/>
      </c>
      <c r="CC576" s="39" t="str">
        <f t="shared" si="296"/>
        <v/>
      </c>
      <c r="CD576" s="458" t="str">
        <f t="shared" si="297"/>
        <v/>
      </c>
      <c r="CE576" s="41" t="str">
        <f t="shared" si="298"/>
        <v/>
      </c>
      <c r="CF576" s="39" t="str">
        <f t="shared" si="299"/>
        <v/>
      </c>
      <c r="CG576" s="458" t="str">
        <f t="shared" si="300"/>
        <v/>
      </c>
      <c r="CH576" s="458" t="str">
        <f t="shared" si="301"/>
        <v/>
      </c>
      <c r="CI576" s="458" t="str">
        <f t="shared" si="302"/>
        <v/>
      </c>
      <c r="CJ576" s="458" t="str">
        <f t="shared" si="303"/>
        <v/>
      </c>
      <c r="CK576" s="40" t="str">
        <f t="shared" si="304"/>
        <v/>
      </c>
      <c r="CL576" s="40" t="str">
        <f t="shared" si="305"/>
        <v/>
      </c>
      <c r="CM576" s="40" t="str">
        <f t="shared" si="306"/>
        <v/>
      </c>
      <c r="CN576" s="39" t="str">
        <f t="shared" si="307"/>
        <v/>
      </c>
      <c r="CO576" s="458" t="str">
        <f t="shared" si="308"/>
        <v/>
      </c>
      <c r="CP576" s="458" t="str">
        <f t="shared" si="309"/>
        <v/>
      </c>
      <c r="CQ576" s="458" t="str">
        <f t="shared" si="310"/>
        <v/>
      </c>
      <c r="CR576" s="458" t="str">
        <f t="shared" si="311"/>
        <v/>
      </c>
      <c r="CS576" s="40" t="str">
        <f t="shared" si="312"/>
        <v/>
      </c>
      <c r="CT576" s="40" t="str">
        <f t="shared" si="313"/>
        <v/>
      </c>
      <c r="CU576" s="41" t="str">
        <f t="shared" si="314"/>
        <v/>
      </c>
    </row>
    <row r="577" spans="1:99" x14ac:dyDescent="0.2">
      <c r="A577" s="77">
        <f t="shared" si="315"/>
        <v>572</v>
      </c>
      <c r="B577" s="81"/>
      <c r="C577" s="82"/>
      <c r="D577" s="71"/>
      <c r="E577" s="72"/>
      <c r="F577" s="73"/>
      <c r="G577" s="443"/>
      <c r="H577" s="443"/>
      <c r="I577" s="74"/>
      <c r="J577" s="75"/>
      <c r="K577" s="41">
        <f t="shared" si="319"/>
        <v>3625</v>
      </c>
      <c r="L577" s="104"/>
      <c r="M577" s="105"/>
      <c r="N577" s="106">
        <f t="shared" si="320"/>
        <v>537.05999999999995</v>
      </c>
      <c r="O577" s="104"/>
      <c r="P577" s="105"/>
      <c r="Q577" s="106">
        <f t="shared" si="317"/>
        <v>10045.83</v>
      </c>
      <c r="R577" s="104"/>
      <c r="S577" s="105"/>
      <c r="T577" s="106">
        <f t="shared" si="318"/>
        <v>0</v>
      </c>
      <c r="U577" s="439"/>
      <c r="V577" s="42">
        <f t="shared" si="286"/>
        <v>572</v>
      </c>
      <c r="W577" s="39" t="str">
        <f>IF(AND(E577='Povolené hodnoty'!$B$4,F577=2),I577+L577+O577+R577,"")</f>
        <v/>
      </c>
      <c r="X577" s="41" t="str">
        <f>IF(AND(E577='Povolené hodnoty'!$B$4,F577=1),I577+L577+O577+R577,"")</f>
        <v/>
      </c>
      <c r="Y577" s="39" t="str">
        <f>IF(AND(E577='Povolené hodnoty'!$B$4,F577=10),J577+M577+P577+S577,"")</f>
        <v/>
      </c>
      <c r="Z577" s="41" t="str">
        <f>IF(AND(E577='Povolené hodnoty'!$B$4,F577=9),J577+M577+P577+S577,"")</f>
        <v/>
      </c>
      <c r="AA577" s="39" t="str">
        <f>IF(AND(E577&lt;&gt;'Povolené hodnoty'!$B$4,F577=2),I577+L577+O577+R577,"")</f>
        <v/>
      </c>
      <c r="AB577" s="40" t="str">
        <f>IF(AND(E577&lt;&gt;'Povolené hodnoty'!$B$4,F577=3),I577+L577+O577+R577,"")</f>
        <v/>
      </c>
      <c r="AC577" s="40" t="str">
        <f>IF(AND(E577&lt;&gt;'Povolené hodnoty'!$B$4,F577=4),I577+L577+O577+R577,"")</f>
        <v/>
      </c>
      <c r="AD577" s="40" t="str">
        <f>IF(AND(E577&lt;&gt;'Povolené hodnoty'!$B$4,F577="5a"),I577-J577+L577-M577+O577-P577+R577-S577,"")</f>
        <v/>
      </c>
      <c r="AE577" s="40" t="str">
        <f>IF(AND(E577&lt;&gt;'Povolené hodnoty'!$B$4,F577="5b"),I577-J577+L577-M577+O577-P577+R577-S577,"")</f>
        <v/>
      </c>
      <c r="AF577" s="40" t="str">
        <f>IF(AND(E577&lt;&gt;'Povolené hodnoty'!$B$4,F577=6),I577+L577+O577+R577,"")</f>
        <v/>
      </c>
      <c r="AG577" s="41" t="str">
        <f>IF(AND(E577&lt;&gt;'Povolené hodnoty'!$B$4,F577=7),I577+L577+O577+R577,"")</f>
        <v/>
      </c>
      <c r="AH577" s="39" t="str">
        <f>IF(AND(E577&lt;&gt;'Povolené hodnoty'!$B$4,F577=10),J577+M577+P577+S577,"")</f>
        <v/>
      </c>
      <c r="AI577" s="40" t="str">
        <f>IF(AND(E577&lt;&gt;'Povolené hodnoty'!$B$4,F577=11),J577+M577+P577+S577,"")</f>
        <v/>
      </c>
      <c r="AJ577" s="40" t="str">
        <f>IF(AND(E577&lt;&gt;'Povolené hodnoty'!$B$4,F577=12),J577+M577+P577+S577,"")</f>
        <v/>
      </c>
      <c r="AK577" s="41" t="str">
        <f>IF(AND(E577&lt;&gt;'Povolené hodnoty'!$B$4,F577=13),J577+M577+P577+S577,"")</f>
        <v/>
      </c>
      <c r="AL577" s="39" t="str">
        <f>IF(AND($G577='Povolené hodnoty'!$B$13,$H577=AL$4),SUM($I577,$L577,$O577,$R577),"")</f>
        <v/>
      </c>
      <c r="AM577" s="458" t="str">
        <f>IF(AND($G577='Povolené hodnoty'!$B$13,$H577=AM$4),SUM($I577,$L577,$O577,$R577),"")</f>
        <v/>
      </c>
      <c r="AN577" s="458" t="str">
        <f>IF(AND($G577='Povolené hodnoty'!$B$13,$H577=AN$4),SUM($I577,$L577,$O577,$R577),"")</f>
        <v/>
      </c>
      <c r="AO577" s="458" t="str">
        <f>IF(AND($G577='Povolené hodnoty'!$B$13,$H577=AO$4),SUM($I577,$L577,$O577,$R577),"")</f>
        <v/>
      </c>
      <c r="AP577" s="458" t="str">
        <f>IF(AND($G577='Povolené hodnoty'!$B$13,$H577=AP$4),SUM($I577,$L577,$O577,$R577),"")</f>
        <v/>
      </c>
      <c r="AQ577" s="40" t="str">
        <f>IF(AND($G577='Povolené hodnoty'!$B$13,OR($H577=AQ$4,$H577='Povolené hodnoty'!$E$36)),SUM($I577,-$J577,$L577,-$M577,$O577,-$P577,$R577,-$S577),"")</f>
        <v/>
      </c>
      <c r="AR577" s="40" t="str">
        <f>IF(AND($G577='Povolené hodnoty'!$B$13,$H577=AR$4),SUM($I577,$L577,$O577,$R577),"")</f>
        <v/>
      </c>
      <c r="AS577" s="41" t="str">
        <f>IF(AND($G577='Povolené hodnoty'!$B$13,$H577=AS$4),SUM($I577,$L577,$O577,$R577),"")</f>
        <v/>
      </c>
      <c r="AT577" s="39" t="str">
        <f>IF(AND($G577='Povolené hodnoty'!$B$14,$H577=AT$4),SUM($I577,$L577,$O577,$R577),"")</f>
        <v/>
      </c>
      <c r="AU577" s="458" t="str">
        <f>IF(AND($G577='Povolené hodnoty'!$B$14,$H577=AU$4),SUM($I577,$L577,$O577,$R577),"")</f>
        <v/>
      </c>
      <c r="AV577" s="41" t="str">
        <f>IF(AND($G577='Povolené hodnoty'!$B$14,$H577=AV$4),SUM($I577,$L577,$O577,$R577),"")</f>
        <v/>
      </c>
      <c r="AW577" s="39" t="str">
        <f>IF(AND($G577='Povolené hodnoty'!$B$13,$H577=AW$4),SUM($J577,$M577,$P577,$S577),"")</f>
        <v/>
      </c>
      <c r="AX577" s="458" t="str">
        <f>IF(AND($G577='Povolené hodnoty'!$B$13,$H577=AX$4),SUM($J577,$M577,$P577,$S577),"")</f>
        <v/>
      </c>
      <c r="AY577" s="458" t="str">
        <f>IF(AND($G577='Povolené hodnoty'!$B$13,$H577=AY$4),SUM($J577,$M577,$P577,$S577),"")</f>
        <v/>
      </c>
      <c r="AZ577" s="458" t="str">
        <f>IF(AND($G577='Povolené hodnoty'!$B$13,$H577=AZ$4),SUM($J577,$M577,$P577,$S577),"")</f>
        <v/>
      </c>
      <c r="BA577" s="458" t="str">
        <f>IF(AND($G577='Povolené hodnoty'!$B$13,$H577=BA$4),SUM($J577,$M577,$P577,$S577),"")</f>
        <v/>
      </c>
      <c r="BB577" s="40" t="str">
        <f>IF(AND($G577='Povolené hodnoty'!$B$13,$H577=BB$4),SUM($J577,$M577,$P577,$S577),"")</f>
        <v/>
      </c>
      <c r="BC577" s="40" t="str">
        <f>IF(AND($G577='Povolené hodnoty'!$B$13,$H577=BC$4),SUM($J577,$M577,$P577,$S577),"")</f>
        <v/>
      </c>
      <c r="BD577" s="40" t="str">
        <f>IF(AND($G577='Povolené hodnoty'!$B$13,$H577=BD$4),SUM($J577,$M577,$P577,$S577),"")</f>
        <v/>
      </c>
      <c r="BE577" s="41" t="str">
        <f>IF(AND($G577='Povolené hodnoty'!$B$13,$H577=BE$4),SUM($J577,$M577,$P577,$S577),"")</f>
        <v/>
      </c>
      <c r="BF577" s="39" t="str">
        <f>IF(AND($G577='Povolené hodnoty'!$B$14,$H577=BF$4),SUM($J577,$M577,$P577,$S577),"")</f>
        <v/>
      </c>
      <c r="BG577" s="458" t="str">
        <f>IF(AND($G577='Povolené hodnoty'!$B$14,$H577=BG$4),SUM($J577,$M577,$P577,$S577),"")</f>
        <v/>
      </c>
      <c r="BH577" s="458" t="str">
        <f>IF(AND($G577='Povolené hodnoty'!$B$14,$H577=BH$4),SUM($J577,$M577,$P577,$S577),"")</f>
        <v/>
      </c>
      <c r="BI577" s="458" t="str">
        <f>IF(AND($G577='Povolené hodnoty'!$B$14,$H577=BI$4),SUM($J577,$M577,$P577,$S577),"")</f>
        <v/>
      </c>
      <c r="BJ577" s="458" t="str">
        <f>IF(AND($G577='Povolené hodnoty'!$B$14,$H577=BJ$4),SUM($J577,$M577,$P577,$S577),"")</f>
        <v/>
      </c>
      <c r="BK577" s="40" t="str">
        <f>IF(AND($G577='Povolené hodnoty'!$B$14,$H577=BK$4),SUM($J577,$M577,$P577,$S577),"")</f>
        <v/>
      </c>
      <c r="BL577" s="40" t="str">
        <f>IF(AND($G577='Povolené hodnoty'!$B$14,$H577=BL$4),SUM($J577,$M577,$P577,$S577),"")</f>
        <v/>
      </c>
      <c r="BM577" s="41" t="str">
        <f>IF(AND($G577='Povolené hodnoty'!$B$14,$H577=BM$4),SUM($J577,$M577,$P577,$S577),"")</f>
        <v/>
      </c>
      <c r="BO577" s="18" t="b">
        <f t="shared" si="316"/>
        <v>0</v>
      </c>
      <c r="BP577" s="18" t="b">
        <f t="shared" si="287"/>
        <v>0</v>
      </c>
      <c r="BQ577" s="18" t="b">
        <f>AND(E577&lt;&gt;'Povolené hodnoty'!$B$6,F577&lt;&gt;'Povolené hodnoty'!$D$7,F577&lt;&gt;'Povolené hodnoty'!$D$8,OR(SUM(I577,L577,O577,R577)&lt;&gt;SUM(W577:X577,AA577:AG577),SUM(J577,M577,P577,S577)&lt;&gt;SUM(Y577:Z577,AH577:AK577),COUNT(I577:J577,L577:M577,O577:P577,R577:S577)&lt;&gt;COUNT(W577:AK577)))</f>
        <v>0</v>
      </c>
      <c r="BR577" s="18" t="b">
        <f>OR(AND(E577='Povolené hodnoty'!$B$6,$BR$5),AND(E577='Povolené hodnoty'!$B$6,H577&lt;&gt;'Povolené hodnoty'!$E$26,H577&lt;&gt;'Povolené hodnoty'!$E$35),AND(E577&lt;&gt;'Povolené hodnoty'!$B$6,OR(H577='Povolené hodnoty'!$E$26,H577='Povolené hodnoty'!$E$35)))</f>
        <v>0</v>
      </c>
      <c r="BS577" s="18" t="b">
        <f>OR(AND(G577&lt;&gt;'Povolené hodnoty'!$B$13,OR(H577='Povolené hodnoty'!$E$21,H577='Povolené hodnoty'!$E$22,H577='Povolené hodnoty'!$E$23,H577='Povolené hodnoty'!$E$24,H577='Povolené hodnoty'!$E$26,H577='Povolené hodnoty'!$E$36)),COUNT(I577:J577,L577:M577,O577:P577,R577:S577)&lt;&gt;COUNT(AL577:BM577))</f>
        <v>0</v>
      </c>
      <c r="BT577" s="18" t="b">
        <f t="shared" si="288"/>
        <v>0</v>
      </c>
      <c r="BV577" s="39" t="str">
        <f t="shared" si="289"/>
        <v/>
      </c>
      <c r="BW577" s="458" t="str">
        <f t="shared" si="290"/>
        <v/>
      </c>
      <c r="BX577" s="458" t="str">
        <f t="shared" si="291"/>
        <v/>
      </c>
      <c r="BY577" s="458" t="str">
        <f t="shared" si="292"/>
        <v/>
      </c>
      <c r="BZ577" s="458" t="str">
        <f t="shared" si="293"/>
        <v/>
      </c>
      <c r="CA577" s="40" t="str">
        <f t="shared" si="294"/>
        <v/>
      </c>
      <c r="CB577" s="40" t="str">
        <f t="shared" si="295"/>
        <v/>
      </c>
      <c r="CC577" s="39" t="str">
        <f t="shared" si="296"/>
        <v/>
      </c>
      <c r="CD577" s="458" t="str">
        <f t="shared" si="297"/>
        <v/>
      </c>
      <c r="CE577" s="41" t="str">
        <f t="shared" si="298"/>
        <v/>
      </c>
      <c r="CF577" s="39" t="str">
        <f t="shared" si="299"/>
        <v/>
      </c>
      <c r="CG577" s="458" t="str">
        <f t="shared" si="300"/>
        <v/>
      </c>
      <c r="CH577" s="458" t="str">
        <f t="shared" si="301"/>
        <v/>
      </c>
      <c r="CI577" s="458" t="str">
        <f t="shared" si="302"/>
        <v/>
      </c>
      <c r="CJ577" s="458" t="str">
        <f t="shared" si="303"/>
        <v/>
      </c>
      <c r="CK577" s="40" t="str">
        <f t="shared" si="304"/>
        <v/>
      </c>
      <c r="CL577" s="40" t="str">
        <f t="shared" si="305"/>
        <v/>
      </c>
      <c r="CM577" s="40" t="str">
        <f t="shared" si="306"/>
        <v/>
      </c>
      <c r="CN577" s="39" t="str">
        <f t="shared" si="307"/>
        <v/>
      </c>
      <c r="CO577" s="458" t="str">
        <f t="shared" si="308"/>
        <v/>
      </c>
      <c r="CP577" s="458" t="str">
        <f t="shared" si="309"/>
        <v/>
      </c>
      <c r="CQ577" s="458" t="str">
        <f t="shared" si="310"/>
        <v/>
      </c>
      <c r="CR577" s="458" t="str">
        <f t="shared" si="311"/>
        <v/>
      </c>
      <c r="CS577" s="40" t="str">
        <f t="shared" si="312"/>
        <v/>
      </c>
      <c r="CT577" s="40" t="str">
        <f t="shared" si="313"/>
        <v/>
      </c>
      <c r="CU577" s="41" t="str">
        <f t="shared" si="314"/>
        <v/>
      </c>
    </row>
    <row r="578" spans="1:99" x14ac:dyDescent="0.2">
      <c r="A578" s="77">
        <f t="shared" si="315"/>
        <v>573</v>
      </c>
      <c r="B578" s="81"/>
      <c r="C578" s="82"/>
      <c r="D578" s="71"/>
      <c r="E578" s="72"/>
      <c r="F578" s="73"/>
      <c r="G578" s="443"/>
      <c r="H578" s="443"/>
      <c r="I578" s="74"/>
      <c r="J578" s="75"/>
      <c r="K578" s="41">
        <f t="shared" si="319"/>
        <v>3625</v>
      </c>
      <c r="L578" s="104"/>
      <c r="M578" s="105"/>
      <c r="N578" s="106">
        <f t="shared" si="320"/>
        <v>537.05999999999995</v>
      </c>
      <c r="O578" s="104"/>
      <c r="P578" s="105"/>
      <c r="Q578" s="106">
        <f t="shared" si="317"/>
        <v>10045.83</v>
      </c>
      <c r="R578" s="104"/>
      <c r="S578" s="105"/>
      <c r="T578" s="106">
        <f t="shared" si="318"/>
        <v>0</v>
      </c>
      <c r="U578" s="439"/>
      <c r="V578" s="42">
        <f t="shared" si="286"/>
        <v>573</v>
      </c>
      <c r="W578" s="39" t="str">
        <f>IF(AND(E578='Povolené hodnoty'!$B$4,F578=2),I578+L578+O578+R578,"")</f>
        <v/>
      </c>
      <c r="X578" s="41" t="str">
        <f>IF(AND(E578='Povolené hodnoty'!$B$4,F578=1),I578+L578+O578+R578,"")</f>
        <v/>
      </c>
      <c r="Y578" s="39" t="str">
        <f>IF(AND(E578='Povolené hodnoty'!$B$4,F578=10),J578+M578+P578+S578,"")</f>
        <v/>
      </c>
      <c r="Z578" s="41" t="str">
        <f>IF(AND(E578='Povolené hodnoty'!$B$4,F578=9),J578+M578+P578+S578,"")</f>
        <v/>
      </c>
      <c r="AA578" s="39" t="str">
        <f>IF(AND(E578&lt;&gt;'Povolené hodnoty'!$B$4,F578=2),I578+L578+O578+R578,"")</f>
        <v/>
      </c>
      <c r="AB578" s="40" t="str">
        <f>IF(AND(E578&lt;&gt;'Povolené hodnoty'!$B$4,F578=3),I578+L578+O578+R578,"")</f>
        <v/>
      </c>
      <c r="AC578" s="40" t="str">
        <f>IF(AND(E578&lt;&gt;'Povolené hodnoty'!$B$4,F578=4),I578+L578+O578+R578,"")</f>
        <v/>
      </c>
      <c r="AD578" s="40" t="str">
        <f>IF(AND(E578&lt;&gt;'Povolené hodnoty'!$B$4,F578="5a"),I578-J578+L578-M578+O578-P578+R578-S578,"")</f>
        <v/>
      </c>
      <c r="AE578" s="40" t="str">
        <f>IF(AND(E578&lt;&gt;'Povolené hodnoty'!$B$4,F578="5b"),I578-J578+L578-M578+O578-P578+R578-S578,"")</f>
        <v/>
      </c>
      <c r="AF578" s="40" t="str">
        <f>IF(AND(E578&lt;&gt;'Povolené hodnoty'!$B$4,F578=6),I578+L578+O578+R578,"")</f>
        <v/>
      </c>
      <c r="AG578" s="41" t="str">
        <f>IF(AND(E578&lt;&gt;'Povolené hodnoty'!$B$4,F578=7),I578+L578+O578+R578,"")</f>
        <v/>
      </c>
      <c r="AH578" s="39" t="str">
        <f>IF(AND(E578&lt;&gt;'Povolené hodnoty'!$B$4,F578=10),J578+M578+P578+S578,"")</f>
        <v/>
      </c>
      <c r="AI578" s="40" t="str">
        <f>IF(AND(E578&lt;&gt;'Povolené hodnoty'!$B$4,F578=11),J578+M578+P578+S578,"")</f>
        <v/>
      </c>
      <c r="AJ578" s="40" t="str">
        <f>IF(AND(E578&lt;&gt;'Povolené hodnoty'!$B$4,F578=12),J578+M578+P578+S578,"")</f>
        <v/>
      </c>
      <c r="AK578" s="41" t="str">
        <f>IF(AND(E578&lt;&gt;'Povolené hodnoty'!$B$4,F578=13),J578+M578+P578+S578,"")</f>
        <v/>
      </c>
      <c r="AL578" s="39" t="str">
        <f>IF(AND($G578='Povolené hodnoty'!$B$13,$H578=AL$4),SUM($I578,$L578,$O578,$R578),"")</f>
        <v/>
      </c>
      <c r="AM578" s="458" t="str">
        <f>IF(AND($G578='Povolené hodnoty'!$B$13,$H578=AM$4),SUM($I578,$L578,$O578,$R578),"")</f>
        <v/>
      </c>
      <c r="AN578" s="458" t="str">
        <f>IF(AND($G578='Povolené hodnoty'!$B$13,$H578=AN$4),SUM($I578,$L578,$O578,$R578),"")</f>
        <v/>
      </c>
      <c r="AO578" s="458" t="str">
        <f>IF(AND($G578='Povolené hodnoty'!$B$13,$H578=AO$4),SUM($I578,$L578,$O578,$R578),"")</f>
        <v/>
      </c>
      <c r="AP578" s="458" t="str">
        <f>IF(AND($G578='Povolené hodnoty'!$B$13,$H578=AP$4),SUM($I578,$L578,$O578,$R578),"")</f>
        <v/>
      </c>
      <c r="AQ578" s="40" t="str">
        <f>IF(AND($G578='Povolené hodnoty'!$B$13,OR($H578=AQ$4,$H578='Povolené hodnoty'!$E$36)),SUM($I578,-$J578,$L578,-$M578,$O578,-$P578,$R578,-$S578),"")</f>
        <v/>
      </c>
      <c r="AR578" s="40" t="str">
        <f>IF(AND($G578='Povolené hodnoty'!$B$13,$H578=AR$4),SUM($I578,$L578,$O578,$R578),"")</f>
        <v/>
      </c>
      <c r="AS578" s="41" t="str">
        <f>IF(AND($G578='Povolené hodnoty'!$B$13,$H578=AS$4),SUM($I578,$L578,$O578,$R578),"")</f>
        <v/>
      </c>
      <c r="AT578" s="39" t="str">
        <f>IF(AND($G578='Povolené hodnoty'!$B$14,$H578=AT$4),SUM($I578,$L578,$O578,$R578),"")</f>
        <v/>
      </c>
      <c r="AU578" s="458" t="str">
        <f>IF(AND($G578='Povolené hodnoty'!$B$14,$H578=AU$4),SUM($I578,$L578,$O578,$R578),"")</f>
        <v/>
      </c>
      <c r="AV578" s="41" t="str">
        <f>IF(AND($G578='Povolené hodnoty'!$B$14,$H578=AV$4),SUM($I578,$L578,$O578,$R578),"")</f>
        <v/>
      </c>
      <c r="AW578" s="39" t="str">
        <f>IF(AND($G578='Povolené hodnoty'!$B$13,$H578=AW$4),SUM($J578,$M578,$P578,$S578),"")</f>
        <v/>
      </c>
      <c r="AX578" s="458" t="str">
        <f>IF(AND($G578='Povolené hodnoty'!$B$13,$H578=AX$4),SUM($J578,$M578,$P578,$S578),"")</f>
        <v/>
      </c>
      <c r="AY578" s="458" t="str">
        <f>IF(AND($G578='Povolené hodnoty'!$B$13,$H578=AY$4),SUM($J578,$M578,$P578,$S578),"")</f>
        <v/>
      </c>
      <c r="AZ578" s="458" t="str">
        <f>IF(AND($G578='Povolené hodnoty'!$B$13,$H578=AZ$4),SUM($J578,$M578,$P578,$S578),"")</f>
        <v/>
      </c>
      <c r="BA578" s="458" t="str">
        <f>IF(AND($G578='Povolené hodnoty'!$B$13,$H578=BA$4),SUM($J578,$M578,$P578,$S578),"")</f>
        <v/>
      </c>
      <c r="BB578" s="40" t="str">
        <f>IF(AND($G578='Povolené hodnoty'!$B$13,$H578=BB$4),SUM($J578,$M578,$P578,$S578),"")</f>
        <v/>
      </c>
      <c r="BC578" s="40" t="str">
        <f>IF(AND($G578='Povolené hodnoty'!$B$13,$H578=BC$4),SUM($J578,$M578,$P578,$S578),"")</f>
        <v/>
      </c>
      <c r="BD578" s="40" t="str">
        <f>IF(AND($G578='Povolené hodnoty'!$B$13,$H578=BD$4),SUM($J578,$M578,$P578,$S578),"")</f>
        <v/>
      </c>
      <c r="BE578" s="41" t="str">
        <f>IF(AND($G578='Povolené hodnoty'!$B$13,$H578=BE$4),SUM($J578,$M578,$P578,$S578),"")</f>
        <v/>
      </c>
      <c r="BF578" s="39" t="str">
        <f>IF(AND($G578='Povolené hodnoty'!$B$14,$H578=BF$4),SUM($J578,$M578,$P578,$S578),"")</f>
        <v/>
      </c>
      <c r="BG578" s="458" t="str">
        <f>IF(AND($G578='Povolené hodnoty'!$B$14,$H578=BG$4),SUM($J578,$M578,$P578,$S578),"")</f>
        <v/>
      </c>
      <c r="BH578" s="458" t="str">
        <f>IF(AND($G578='Povolené hodnoty'!$B$14,$H578=BH$4),SUM($J578,$M578,$P578,$S578),"")</f>
        <v/>
      </c>
      <c r="BI578" s="458" t="str">
        <f>IF(AND($G578='Povolené hodnoty'!$B$14,$H578=BI$4),SUM($J578,$M578,$P578,$S578),"")</f>
        <v/>
      </c>
      <c r="BJ578" s="458" t="str">
        <f>IF(AND($G578='Povolené hodnoty'!$B$14,$H578=BJ$4),SUM($J578,$M578,$P578,$S578),"")</f>
        <v/>
      </c>
      <c r="BK578" s="40" t="str">
        <f>IF(AND($G578='Povolené hodnoty'!$B$14,$H578=BK$4),SUM($J578,$M578,$P578,$S578),"")</f>
        <v/>
      </c>
      <c r="BL578" s="40" t="str">
        <f>IF(AND($G578='Povolené hodnoty'!$B$14,$H578=BL$4),SUM($J578,$M578,$P578,$S578),"")</f>
        <v/>
      </c>
      <c r="BM578" s="41" t="str">
        <f>IF(AND($G578='Povolené hodnoty'!$B$14,$H578=BM$4),SUM($J578,$M578,$P578,$S578),"")</f>
        <v/>
      </c>
      <c r="BO578" s="18" t="b">
        <f t="shared" si="316"/>
        <v>0</v>
      </c>
      <c r="BP578" s="18" t="b">
        <f t="shared" si="287"/>
        <v>0</v>
      </c>
      <c r="BQ578" s="18" t="b">
        <f>AND(E578&lt;&gt;'Povolené hodnoty'!$B$6,F578&lt;&gt;'Povolené hodnoty'!$D$7,F578&lt;&gt;'Povolené hodnoty'!$D$8,OR(SUM(I578,L578,O578,R578)&lt;&gt;SUM(W578:X578,AA578:AG578),SUM(J578,M578,P578,S578)&lt;&gt;SUM(Y578:Z578,AH578:AK578),COUNT(I578:J578,L578:M578,O578:P578,R578:S578)&lt;&gt;COUNT(W578:AK578)))</f>
        <v>0</v>
      </c>
      <c r="BR578" s="18" t="b">
        <f>OR(AND(E578='Povolené hodnoty'!$B$6,$BR$5),AND(E578='Povolené hodnoty'!$B$6,H578&lt;&gt;'Povolené hodnoty'!$E$26,H578&lt;&gt;'Povolené hodnoty'!$E$35),AND(E578&lt;&gt;'Povolené hodnoty'!$B$6,OR(H578='Povolené hodnoty'!$E$26,H578='Povolené hodnoty'!$E$35)))</f>
        <v>0</v>
      </c>
      <c r="BS578" s="18" t="b">
        <f>OR(AND(G578&lt;&gt;'Povolené hodnoty'!$B$13,OR(H578='Povolené hodnoty'!$E$21,H578='Povolené hodnoty'!$E$22,H578='Povolené hodnoty'!$E$23,H578='Povolené hodnoty'!$E$24,H578='Povolené hodnoty'!$E$26,H578='Povolené hodnoty'!$E$36)),COUNT(I578:J578,L578:M578,O578:P578,R578:S578)&lt;&gt;COUNT(AL578:BM578))</f>
        <v>0</v>
      </c>
      <c r="BT578" s="18" t="b">
        <f t="shared" si="288"/>
        <v>0</v>
      </c>
      <c r="BV578" s="39" t="str">
        <f t="shared" si="289"/>
        <v/>
      </c>
      <c r="BW578" s="458" t="str">
        <f t="shared" si="290"/>
        <v/>
      </c>
      <c r="BX578" s="458" t="str">
        <f t="shared" si="291"/>
        <v/>
      </c>
      <c r="BY578" s="458" t="str">
        <f t="shared" si="292"/>
        <v/>
      </c>
      <c r="BZ578" s="458" t="str">
        <f t="shared" si="293"/>
        <v/>
      </c>
      <c r="CA578" s="40" t="str">
        <f t="shared" si="294"/>
        <v/>
      </c>
      <c r="CB578" s="40" t="str">
        <f t="shared" si="295"/>
        <v/>
      </c>
      <c r="CC578" s="39" t="str">
        <f t="shared" si="296"/>
        <v/>
      </c>
      <c r="CD578" s="458" t="str">
        <f t="shared" si="297"/>
        <v/>
      </c>
      <c r="CE578" s="41" t="str">
        <f t="shared" si="298"/>
        <v/>
      </c>
      <c r="CF578" s="39" t="str">
        <f t="shared" si="299"/>
        <v/>
      </c>
      <c r="CG578" s="458" t="str">
        <f t="shared" si="300"/>
        <v/>
      </c>
      <c r="CH578" s="458" t="str">
        <f t="shared" si="301"/>
        <v/>
      </c>
      <c r="CI578" s="458" t="str">
        <f t="shared" si="302"/>
        <v/>
      </c>
      <c r="CJ578" s="458" t="str">
        <f t="shared" si="303"/>
        <v/>
      </c>
      <c r="CK578" s="40" t="str">
        <f t="shared" si="304"/>
        <v/>
      </c>
      <c r="CL578" s="40" t="str">
        <f t="shared" si="305"/>
        <v/>
      </c>
      <c r="CM578" s="40" t="str">
        <f t="shared" si="306"/>
        <v/>
      </c>
      <c r="CN578" s="39" t="str">
        <f t="shared" si="307"/>
        <v/>
      </c>
      <c r="CO578" s="458" t="str">
        <f t="shared" si="308"/>
        <v/>
      </c>
      <c r="CP578" s="458" t="str">
        <f t="shared" si="309"/>
        <v/>
      </c>
      <c r="CQ578" s="458" t="str">
        <f t="shared" si="310"/>
        <v/>
      </c>
      <c r="CR578" s="458" t="str">
        <f t="shared" si="311"/>
        <v/>
      </c>
      <c r="CS578" s="40" t="str">
        <f t="shared" si="312"/>
        <v/>
      </c>
      <c r="CT578" s="40" t="str">
        <f t="shared" si="313"/>
        <v/>
      </c>
      <c r="CU578" s="41" t="str">
        <f t="shared" si="314"/>
        <v/>
      </c>
    </row>
    <row r="579" spans="1:99" x14ac:dyDescent="0.2">
      <c r="A579" s="77">
        <f t="shared" si="315"/>
        <v>574</v>
      </c>
      <c r="B579" s="81"/>
      <c r="C579" s="82"/>
      <c r="D579" s="71"/>
      <c r="E579" s="72"/>
      <c r="F579" s="73"/>
      <c r="G579" s="443"/>
      <c r="H579" s="443"/>
      <c r="I579" s="74"/>
      <c r="J579" s="75"/>
      <c r="K579" s="41">
        <f t="shared" si="319"/>
        <v>3625</v>
      </c>
      <c r="L579" s="104"/>
      <c r="M579" s="105"/>
      <c r="N579" s="106">
        <f t="shared" si="320"/>
        <v>537.05999999999995</v>
      </c>
      <c r="O579" s="104"/>
      <c r="P579" s="105"/>
      <c r="Q579" s="106">
        <f t="shared" si="317"/>
        <v>10045.83</v>
      </c>
      <c r="R579" s="104"/>
      <c r="S579" s="105"/>
      <c r="T579" s="106">
        <f t="shared" si="318"/>
        <v>0</v>
      </c>
      <c r="U579" s="439"/>
      <c r="V579" s="42">
        <f t="shared" si="286"/>
        <v>574</v>
      </c>
      <c r="W579" s="39" t="str">
        <f>IF(AND(E579='Povolené hodnoty'!$B$4,F579=2),I579+L579+O579+R579,"")</f>
        <v/>
      </c>
      <c r="X579" s="41" t="str">
        <f>IF(AND(E579='Povolené hodnoty'!$B$4,F579=1),I579+L579+O579+R579,"")</f>
        <v/>
      </c>
      <c r="Y579" s="39" t="str">
        <f>IF(AND(E579='Povolené hodnoty'!$B$4,F579=10),J579+M579+P579+S579,"")</f>
        <v/>
      </c>
      <c r="Z579" s="41" t="str">
        <f>IF(AND(E579='Povolené hodnoty'!$B$4,F579=9),J579+M579+P579+S579,"")</f>
        <v/>
      </c>
      <c r="AA579" s="39" t="str">
        <f>IF(AND(E579&lt;&gt;'Povolené hodnoty'!$B$4,F579=2),I579+L579+O579+R579,"")</f>
        <v/>
      </c>
      <c r="AB579" s="40" t="str">
        <f>IF(AND(E579&lt;&gt;'Povolené hodnoty'!$B$4,F579=3),I579+L579+O579+R579,"")</f>
        <v/>
      </c>
      <c r="AC579" s="40" t="str">
        <f>IF(AND(E579&lt;&gt;'Povolené hodnoty'!$B$4,F579=4),I579+L579+O579+R579,"")</f>
        <v/>
      </c>
      <c r="AD579" s="40" t="str">
        <f>IF(AND(E579&lt;&gt;'Povolené hodnoty'!$B$4,F579="5a"),I579-J579+L579-M579+O579-P579+R579-S579,"")</f>
        <v/>
      </c>
      <c r="AE579" s="40" t="str">
        <f>IF(AND(E579&lt;&gt;'Povolené hodnoty'!$B$4,F579="5b"),I579-J579+L579-M579+O579-P579+R579-S579,"")</f>
        <v/>
      </c>
      <c r="AF579" s="40" t="str">
        <f>IF(AND(E579&lt;&gt;'Povolené hodnoty'!$B$4,F579=6),I579+L579+O579+R579,"")</f>
        <v/>
      </c>
      <c r="AG579" s="41" t="str">
        <f>IF(AND(E579&lt;&gt;'Povolené hodnoty'!$B$4,F579=7),I579+L579+O579+R579,"")</f>
        <v/>
      </c>
      <c r="AH579" s="39" t="str">
        <f>IF(AND(E579&lt;&gt;'Povolené hodnoty'!$B$4,F579=10),J579+M579+P579+S579,"")</f>
        <v/>
      </c>
      <c r="AI579" s="40" t="str">
        <f>IF(AND(E579&lt;&gt;'Povolené hodnoty'!$B$4,F579=11),J579+M579+P579+S579,"")</f>
        <v/>
      </c>
      <c r="AJ579" s="40" t="str">
        <f>IF(AND(E579&lt;&gt;'Povolené hodnoty'!$B$4,F579=12),J579+M579+P579+S579,"")</f>
        <v/>
      </c>
      <c r="AK579" s="41" t="str">
        <f>IF(AND(E579&lt;&gt;'Povolené hodnoty'!$B$4,F579=13),J579+M579+P579+S579,"")</f>
        <v/>
      </c>
      <c r="AL579" s="39" t="str">
        <f>IF(AND($G579='Povolené hodnoty'!$B$13,$H579=AL$4),SUM($I579,$L579,$O579,$R579),"")</f>
        <v/>
      </c>
      <c r="AM579" s="458" t="str">
        <f>IF(AND($G579='Povolené hodnoty'!$B$13,$H579=AM$4),SUM($I579,$L579,$O579,$R579),"")</f>
        <v/>
      </c>
      <c r="AN579" s="458" t="str">
        <f>IF(AND($G579='Povolené hodnoty'!$B$13,$H579=AN$4),SUM($I579,$L579,$O579,$R579),"")</f>
        <v/>
      </c>
      <c r="AO579" s="458" t="str">
        <f>IF(AND($G579='Povolené hodnoty'!$B$13,$H579=AO$4),SUM($I579,$L579,$O579,$R579),"")</f>
        <v/>
      </c>
      <c r="AP579" s="458" t="str">
        <f>IF(AND($G579='Povolené hodnoty'!$B$13,$H579=AP$4),SUM($I579,$L579,$O579,$R579),"")</f>
        <v/>
      </c>
      <c r="AQ579" s="40" t="str">
        <f>IF(AND($G579='Povolené hodnoty'!$B$13,OR($H579=AQ$4,$H579='Povolené hodnoty'!$E$36)),SUM($I579,-$J579,$L579,-$M579,$O579,-$P579,$R579,-$S579),"")</f>
        <v/>
      </c>
      <c r="AR579" s="40" t="str">
        <f>IF(AND($G579='Povolené hodnoty'!$B$13,$H579=AR$4),SUM($I579,$L579,$O579,$R579),"")</f>
        <v/>
      </c>
      <c r="AS579" s="41" t="str">
        <f>IF(AND($G579='Povolené hodnoty'!$B$13,$H579=AS$4),SUM($I579,$L579,$O579,$R579),"")</f>
        <v/>
      </c>
      <c r="AT579" s="39" t="str">
        <f>IF(AND($G579='Povolené hodnoty'!$B$14,$H579=AT$4),SUM($I579,$L579,$O579,$R579),"")</f>
        <v/>
      </c>
      <c r="AU579" s="458" t="str">
        <f>IF(AND($G579='Povolené hodnoty'!$B$14,$H579=AU$4),SUM($I579,$L579,$O579,$R579),"")</f>
        <v/>
      </c>
      <c r="AV579" s="41" t="str">
        <f>IF(AND($G579='Povolené hodnoty'!$B$14,$H579=AV$4),SUM($I579,$L579,$O579,$R579),"")</f>
        <v/>
      </c>
      <c r="AW579" s="39" t="str">
        <f>IF(AND($G579='Povolené hodnoty'!$B$13,$H579=AW$4),SUM($J579,$M579,$P579,$S579),"")</f>
        <v/>
      </c>
      <c r="AX579" s="458" t="str">
        <f>IF(AND($G579='Povolené hodnoty'!$B$13,$H579=AX$4),SUM($J579,$M579,$P579,$S579),"")</f>
        <v/>
      </c>
      <c r="AY579" s="458" t="str">
        <f>IF(AND($G579='Povolené hodnoty'!$B$13,$H579=AY$4),SUM($J579,$M579,$P579,$S579),"")</f>
        <v/>
      </c>
      <c r="AZ579" s="458" t="str">
        <f>IF(AND($G579='Povolené hodnoty'!$B$13,$H579=AZ$4),SUM($J579,$M579,$P579,$S579),"")</f>
        <v/>
      </c>
      <c r="BA579" s="458" t="str">
        <f>IF(AND($G579='Povolené hodnoty'!$B$13,$H579=BA$4),SUM($J579,$M579,$P579,$S579),"")</f>
        <v/>
      </c>
      <c r="BB579" s="40" t="str">
        <f>IF(AND($G579='Povolené hodnoty'!$B$13,$H579=BB$4),SUM($J579,$M579,$P579,$S579),"")</f>
        <v/>
      </c>
      <c r="BC579" s="40" t="str">
        <f>IF(AND($G579='Povolené hodnoty'!$B$13,$H579=BC$4),SUM($J579,$M579,$P579,$S579),"")</f>
        <v/>
      </c>
      <c r="BD579" s="40" t="str">
        <f>IF(AND($G579='Povolené hodnoty'!$B$13,$H579=BD$4),SUM($J579,$M579,$P579,$S579),"")</f>
        <v/>
      </c>
      <c r="BE579" s="41" t="str">
        <f>IF(AND($G579='Povolené hodnoty'!$B$13,$H579=BE$4),SUM($J579,$M579,$P579,$S579),"")</f>
        <v/>
      </c>
      <c r="BF579" s="39" t="str">
        <f>IF(AND($G579='Povolené hodnoty'!$B$14,$H579=BF$4),SUM($J579,$M579,$P579,$S579),"")</f>
        <v/>
      </c>
      <c r="BG579" s="458" t="str">
        <f>IF(AND($G579='Povolené hodnoty'!$B$14,$H579=BG$4),SUM($J579,$M579,$P579,$S579),"")</f>
        <v/>
      </c>
      <c r="BH579" s="458" t="str">
        <f>IF(AND($G579='Povolené hodnoty'!$B$14,$H579=BH$4),SUM($J579,$M579,$P579,$S579),"")</f>
        <v/>
      </c>
      <c r="BI579" s="458" t="str">
        <f>IF(AND($G579='Povolené hodnoty'!$B$14,$H579=BI$4),SUM($J579,$M579,$P579,$S579),"")</f>
        <v/>
      </c>
      <c r="BJ579" s="458" t="str">
        <f>IF(AND($G579='Povolené hodnoty'!$B$14,$H579=BJ$4),SUM($J579,$M579,$P579,$S579),"")</f>
        <v/>
      </c>
      <c r="BK579" s="40" t="str">
        <f>IF(AND($G579='Povolené hodnoty'!$B$14,$H579=BK$4),SUM($J579,$M579,$P579,$S579),"")</f>
        <v/>
      </c>
      <c r="BL579" s="40" t="str">
        <f>IF(AND($G579='Povolené hodnoty'!$B$14,$H579=BL$4),SUM($J579,$M579,$P579,$S579),"")</f>
        <v/>
      </c>
      <c r="BM579" s="41" t="str">
        <f>IF(AND($G579='Povolené hodnoty'!$B$14,$H579=BM$4),SUM($J579,$M579,$P579,$S579),"")</f>
        <v/>
      </c>
      <c r="BO579" s="18" t="b">
        <f t="shared" si="316"/>
        <v>0</v>
      </c>
      <c r="BP579" s="18" t="b">
        <f t="shared" si="287"/>
        <v>0</v>
      </c>
      <c r="BQ579" s="18" t="b">
        <f>AND(E579&lt;&gt;'Povolené hodnoty'!$B$6,F579&lt;&gt;'Povolené hodnoty'!$D$7,F579&lt;&gt;'Povolené hodnoty'!$D$8,OR(SUM(I579,L579,O579,R579)&lt;&gt;SUM(W579:X579,AA579:AG579),SUM(J579,M579,P579,S579)&lt;&gt;SUM(Y579:Z579,AH579:AK579),COUNT(I579:J579,L579:M579,O579:P579,R579:S579)&lt;&gt;COUNT(W579:AK579)))</f>
        <v>0</v>
      </c>
      <c r="BR579" s="18" t="b">
        <f>OR(AND(E579='Povolené hodnoty'!$B$6,$BR$5),AND(E579='Povolené hodnoty'!$B$6,H579&lt;&gt;'Povolené hodnoty'!$E$26,H579&lt;&gt;'Povolené hodnoty'!$E$35),AND(E579&lt;&gt;'Povolené hodnoty'!$B$6,OR(H579='Povolené hodnoty'!$E$26,H579='Povolené hodnoty'!$E$35)))</f>
        <v>0</v>
      </c>
      <c r="BS579" s="18" t="b">
        <f>OR(AND(G579&lt;&gt;'Povolené hodnoty'!$B$13,OR(H579='Povolené hodnoty'!$E$21,H579='Povolené hodnoty'!$E$22,H579='Povolené hodnoty'!$E$23,H579='Povolené hodnoty'!$E$24,H579='Povolené hodnoty'!$E$26,H579='Povolené hodnoty'!$E$36)),COUNT(I579:J579,L579:M579,O579:P579,R579:S579)&lt;&gt;COUNT(AL579:BM579))</f>
        <v>0</v>
      </c>
      <c r="BT579" s="18" t="b">
        <f t="shared" si="288"/>
        <v>0</v>
      </c>
      <c r="BV579" s="39" t="str">
        <f t="shared" si="289"/>
        <v/>
      </c>
      <c r="BW579" s="458" t="str">
        <f t="shared" si="290"/>
        <v/>
      </c>
      <c r="BX579" s="458" t="str">
        <f t="shared" si="291"/>
        <v/>
      </c>
      <c r="BY579" s="458" t="str">
        <f t="shared" si="292"/>
        <v/>
      </c>
      <c r="BZ579" s="458" t="str">
        <f t="shared" si="293"/>
        <v/>
      </c>
      <c r="CA579" s="40" t="str">
        <f t="shared" si="294"/>
        <v/>
      </c>
      <c r="CB579" s="40" t="str">
        <f t="shared" si="295"/>
        <v/>
      </c>
      <c r="CC579" s="39" t="str">
        <f t="shared" si="296"/>
        <v/>
      </c>
      <c r="CD579" s="458" t="str">
        <f t="shared" si="297"/>
        <v/>
      </c>
      <c r="CE579" s="41" t="str">
        <f t="shared" si="298"/>
        <v/>
      </c>
      <c r="CF579" s="39" t="str">
        <f t="shared" si="299"/>
        <v/>
      </c>
      <c r="CG579" s="458" t="str">
        <f t="shared" si="300"/>
        <v/>
      </c>
      <c r="CH579" s="458" t="str">
        <f t="shared" si="301"/>
        <v/>
      </c>
      <c r="CI579" s="458" t="str">
        <f t="shared" si="302"/>
        <v/>
      </c>
      <c r="CJ579" s="458" t="str">
        <f t="shared" si="303"/>
        <v/>
      </c>
      <c r="CK579" s="40" t="str">
        <f t="shared" si="304"/>
        <v/>
      </c>
      <c r="CL579" s="40" t="str">
        <f t="shared" si="305"/>
        <v/>
      </c>
      <c r="CM579" s="40" t="str">
        <f t="shared" si="306"/>
        <v/>
      </c>
      <c r="CN579" s="39" t="str">
        <f t="shared" si="307"/>
        <v/>
      </c>
      <c r="CO579" s="458" t="str">
        <f t="shared" si="308"/>
        <v/>
      </c>
      <c r="CP579" s="458" t="str">
        <f t="shared" si="309"/>
        <v/>
      </c>
      <c r="CQ579" s="458" t="str">
        <f t="shared" si="310"/>
        <v/>
      </c>
      <c r="CR579" s="458" t="str">
        <f t="shared" si="311"/>
        <v/>
      </c>
      <c r="CS579" s="40" t="str">
        <f t="shared" si="312"/>
        <v/>
      </c>
      <c r="CT579" s="40" t="str">
        <f t="shared" si="313"/>
        <v/>
      </c>
      <c r="CU579" s="41" t="str">
        <f t="shared" si="314"/>
        <v/>
      </c>
    </row>
    <row r="580" spans="1:99" x14ac:dyDescent="0.2">
      <c r="A580" s="77">
        <f t="shared" si="315"/>
        <v>575</v>
      </c>
      <c r="B580" s="81"/>
      <c r="C580" s="82"/>
      <c r="D580" s="71"/>
      <c r="E580" s="72"/>
      <c r="F580" s="73"/>
      <c r="G580" s="443"/>
      <c r="H580" s="443"/>
      <c r="I580" s="74"/>
      <c r="J580" s="75"/>
      <c r="K580" s="41">
        <f t="shared" si="319"/>
        <v>3625</v>
      </c>
      <c r="L580" s="104"/>
      <c r="M580" s="105"/>
      <c r="N580" s="106">
        <f t="shared" si="320"/>
        <v>537.05999999999995</v>
      </c>
      <c r="O580" s="104"/>
      <c r="P580" s="105"/>
      <c r="Q580" s="106">
        <f t="shared" si="317"/>
        <v>10045.83</v>
      </c>
      <c r="R580" s="104"/>
      <c r="S580" s="105"/>
      <c r="T580" s="106">
        <f t="shared" si="318"/>
        <v>0</v>
      </c>
      <c r="U580" s="439"/>
      <c r="V580" s="42">
        <f t="shared" si="286"/>
        <v>575</v>
      </c>
      <c r="W580" s="39" t="str">
        <f>IF(AND(E580='Povolené hodnoty'!$B$4,F580=2),I580+L580+O580+R580,"")</f>
        <v/>
      </c>
      <c r="X580" s="41" t="str">
        <f>IF(AND(E580='Povolené hodnoty'!$B$4,F580=1),I580+L580+O580+R580,"")</f>
        <v/>
      </c>
      <c r="Y580" s="39" t="str">
        <f>IF(AND(E580='Povolené hodnoty'!$B$4,F580=10),J580+M580+P580+S580,"")</f>
        <v/>
      </c>
      <c r="Z580" s="41" t="str">
        <f>IF(AND(E580='Povolené hodnoty'!$B$4,F580=9),J580+M580+P580+S580,"")</f>
        <v/>
      </c>
      <c r="AA580" s="39" t="str">
        <f>IF(AND(E580&lt;&gt;'Povolené hodnoty'!$B$4,F580=2),I580+L580+O580+R580,"")</f>
        <v/>
      </c>
      <c r="AB580" s="40" t="str">
        <f>IF(AND(E580&lt;&gt;'Povolené hodnoty'!$B$4,F580=3),I580+L580+O580+R580,"")</f>
        <v/>
      </c>
      <c r="AC580" s="40" t="str">
        <f>IF(AND(E580&lt;&gt;'Povolené hodnoty'!$B$4,F580=4),I580+L580+O580+R580,"")</f>
        <v/>
      </c>
      <c r="AD580" s="40" t="str">
        <f>IF(AND(E580&lt;&gt;'Povolené hodnoty'!$B$4,F580="5a"),I580-J580+L580-M580+O580-P580+R580-S580,"")</f>
        <v/>
      </c>
      <c r="AE580" s="40" t="str">
        <f>IF(AND(E580&lt;&gt;'Povolené hodnoty'!$B$4,F580="5b"),I580-J580+L580-M580+O580-P580+R580-S580,"")</f>
        <v/>
      </c>
      <c r="AF580" s="40" t="str">
        <f>IF(AND(E580&lt;&gt;'Povolené hodnoty'!$B$4,F580=6),I580+L580+O580+R580,"")</f>
        <v/>
      </c>
      <c r="AG580" s="41" t="str">
        <f>IF(AND(E580&lt;&gt;'Povolené hodnoty'!$B$4,F580=7),I580+L580+O580+R580,"")</f>
        <v/>
      </c>
      <c r="AH580" s="39" t="str">
        <f>IF(AND(E580&lt;&gt;'Povolené hodnoty'!$B$4,F580=10),J580+M580+P580+S580,"")</f>
        <v/>
      </c>
      <c r="AI580" s="40" t="str">
        <f>IF(AND(E580&lt;&gt;'Povolené hodnoty'!$B$4,F580=11),J580+M580+P580+S580,"")</f>
        <v/>
      </c>
      <c r="AJ580" s="40" t="str">
        <f>IF(AND(E580&lt;&gt;'Povolené hodnoty'!$B$4,F580=12),J580+M580+P580+S580,"")</f>
        <v/>
      </c>
      <c r="AK580" s="41" t="str">
        <f>IF(AND(E580&lt;&gt;'Povolené hodnoty'!$B$4,F580=13),J580+M580+P580+S580,"")</f>
        <v/>
      </c>
      <c r="AL580" s="39" t="str">
        <f>IF(AND($G580='Povolené hodnoty'!$B$13,$H580=AL$4),SUM($I580,$L580,$O580,$R580),"")</f>
        <v/>
      </c>
      <c r="AM580" s="458" t="str">
        <f>IF(AND($G580='Povolené hodnoty'!$B$13,$H580=AM$4),SUM($I580,$L580,$O580,$R580),"")</f>
        <v/>
      </c>
      <c r="AN580" s="458" t="str">
        <f>IF(AND($G580='Povolené hodnoty'!$B$13,$H580=AN$4),SUM($I580,$L580,$O580,$R580),"")</f>
        <v/>
      </c>
      <c r="AO580" s="458" t="str">
        <f>IF(AND($G580='Povolené hodnoty'!$B$13,$H580=AO$4),SUM($I580,$L580,$O580,$R580),"")</f>
        <v/>
      </c>
      <c r="AP580" s="458" t="str">
        <f>IF(AND($G580='Povolené hodnoty'!$B$13,$H580=AP$4),SUM($I580,$L580,$O580,$R580),"")</f>
        <v/>
      </c>
      <c r="AQ580" s="40" t="str">
        <f>IF(AND($G580='Povolené hodnoty'!$B$13,OR($H580=AQ$4,$H580='Povolené hodnoty'!$E$36)),SUM($I580,-$J580,$L580,-$M580,$O580,-$P580,$R580,-$S580),"")</f>
        <v/>
      </c>
      <c r="AR580" s="40" t="str">
        <f>IF(AND($G580='Povolené hodnoty'!$B$13,$H580=AR$4),SUM($I580,$L580,$O580,$R580),"")</f>
        <v/>
      </c>
      <c r="AS580" s="41" t="str">
        <f>IF(AND($G580='Povolené hodnoty'!$B$13,$H580=AS$4),SUM($I580,$L580,$O580,$R580),"")</f>
        <v/>
      </c>
      <c r="AT580" s="39" t="str">
        <f>IF(AND($G580='Povolené hodnoty'!$B$14,$H580=AT$4),SUM($I580,$L580,$O580,$R580),"")</f>
        <v/>
      </c>
      <c r="AU580" s="458" t="str">
        <f>IF(AND($G580='Povolené hodnoty'!$B$14,$H580=AU$4),SUM($I580,$L580,$O580,$R580),"")</f>
        <v/>
      </c>
      <c r="AV580" s="41" t="str">
        <f>IF(AND($G580='Povolené hodnoty'!$B$14,$H580=AV$4),SUM($I580,$L580,$O580,$R580),"")</f>
        <v/>
      </c>
      <c r="AW580" s="39" t="str">
        <f>IF(AND($G580='Povolené hodnoty'!$B$13,$H580=AW$4),SUM($J580,$M580,$P580,$S580),"")</f>
        <v/>
      </c>
      <c r="AX580" s="458" t="str">
        <f>IF(AND($G580='Povolené hodnoty'!$B$13,$H580=AX$4),SUM($J580,$M580,$P580,$S580),"")</f>
        <v/>
      </c>
      <c r="AY580" s="458" t="str">
        <f>IF(AND($G580='Povolené hodnoty'!$B$13,$H580=AY$4),SUM($J580,$M580,$P580,$S580),"")</f>
        <v/>
      </c>
      <c r="AZ580" s="458" t="str">
        <f>IF(AND($G580='Povolené hodnoty'!$B$13,$H580=AZ$4),SUM($J580,$M580,$P580,$S580),"")</f>
        <v/>
      </c>
      <c r="BA580" s="458" t="str">
        <f>IF(AND($G580='Povolené hodnoty'!$B$13,$H580=BA$4),SUM($J580,$M580,$P580,$S580),"")</f>
        <v/>
      </c>
      <c r="BB580" s="40" t="str">
        <f>IF(AND($G580='Povolené hodnoty'!$B$13,$H580=BB$4),SUM($J580,$M580,$P580,$S580),"")</f>
        <v/>
      </c>
      <c r="BC580" s="40" t="str">
        <f>IF(AND($G580='Povolené hodnoty'!$B$13,$H580=BC$4),SUM($J580,$M580,$P580,$S580),"")</f>
        <v/>
      </c>
      <c r="BD580" s="40" t="str">
        <f>IF(AND($G580='Povolené hodnoty'!$B$13,$H580=BD$4),SUM($J580,$M580,$P580,$S580),"")</f>
        <v/>
      </c>
      <c r="BE580" s="41" t="str">
        <f>IF(AND($G580='Povolené hodnoty'!$B$13,$H580=BE$4),SUM($J580,$M580,$P580,$S580),"")</f>
        <v/>
      </c>
      <c r="BF580" s="39" t="str">
        <f>IF(AND($G580='Povolené hodnoty'!$B$14,$H580=BF$4),SUM($J580,$M580,$P580,$S580),"")</f>
        <v/>
      </c>
      <c r="BG580" s="458" t="str">
        <f>IF(AND($G580='Povolené hodnoty'!$B$14,$H580=BG$4),SUM($J580,$M580,$P580,$S580),"")</f>
        <v/>
      </c>
      <c r="BH580" s="458" t="str">
        <f>IF(AND($G580='Povolené hodnoty'!$B$14,$H580=BH$4),SUM($J580,$M580,$P580,$S580),"")</f>
        <v/>
      </c>
      <c r="BI580" s="458" t="str">
        <f>IF(AND($G580='Povolené hodnoty'!$B$14,$H580=BI$4),SUM($J580,$M580,$P580,$S580),"")</f>
        <v/>
      </c>
      <c r="BJ580" s="458" t="str">
        <f>IF(AND($G580='Povolené hodnoty'!$B$14,$H580=BJ$4),SUM($J580,$M580,$P580,$S580),"")</f>
        <v/>
      </c>
      <c r="BK580" s="40" t="str">
        <f>IF(AND($G580='Povolené hodnoty'!$B$14,$H580=BK$4),SUM($J580,$M580,$P580,$S580),"")</f>
        <v/>
      </c>
      <c r="BL580" s="40" t="str">
        <f>IF(AND($G580='Povolené hodnoty'!$B$14,$H580=BL$4),SUM($J580,$M580,$P580,$S580),"")</f>
        <v/>
      </c>
      <c r="BM580" s="41" t="str">
        <f>IF(AND($G580='Povolené hodnoty'!$B$14,$H580=BM$4),SUM($J580,$M580,$P580,$S580),"")</f>
        <v/>
      </c>
      <c r="BO580" s="18" t="b">
        <f t="shared" si="316"/>
        <v>0</v>
      </c>
      <c r="BP580" s="18" t="b">
        <f t="shared" si="287"/>
        <v>0</v>
      </c>
      <c r="BQ580" s="18" t="b">
        <f>AND(E580&lt;&gt;'Povolené hodnoty'!$B$6,F580&lt;&gt;'Povolené hodnoty'!$D$7,F580&lt;&gt;'Povolené hodnoty'!$D$8,OR(SUM(I580,L580,O580,R580)&lt;&gt;SUM(W580:X580,AA580:AG580),SUM(J580,M580,P580,S580)&lt;&gt;SUM(Y580:Z580,AH580:AK580),COUNT(I580:J580,L580:M580,O580:P580,R580:S580)&lt;&gt;COUNT(W580:AK580)))</f>
        <v>0</v>
      </c>
      <c r="BR580" s="18" t="b">
        <f>OR(AND(E580='Povolené hodnoty'!$B$6,$BR$5),AND(E580='Povolené hodnoty'!$B$6,H580&lt;&gt;'Povolené hodnoty'!$E$26,H580&lt;&gt;'Povolené hodnoty'!$E$35),AND(E580&lt;&gt;'Povolené hodnoty'!$B$6,OR(H580='Povolené hodnoty'!$E$26,H580='Povolené hodnoty'!$E$35)))</f>
        <v>0</v>
      </c>
      <c r="BS580" s="18" t="b">
        <f>OR(AND(G580&lt;&gt;'Povolené hodnoty'!$B$13,OR(H580='Povolené hodnoty'!$E$21,H580='Povolené hodnoty'!$E$22,H580='Povolené hodnoty'!$E$23,H580='Povolené hodnoty'!$E$24,H580='Povolené hodnoty'!$E$26,H580='Povolené hodnoty'!$E$36)),COUNT(I580:J580,L580:M580,O580:P580,R580:S580)&lt;&gt;COUNT(AL580:BM580))</f>
        <v>0</v>
      </c>
      <c r="BT580" s="18" t="b">
        <f t="shared" si="288"/>
        <v>0</v>
      </c>
      <c r="BV580" s="39" t="str">
        <f t="shared" si="289"/>
        <v/>
      </c>
      <c r="BW580" s="458" t="str">
        <f t="shared" si="290"/>
        <v/>
      </c>
      <c r="BX580" s="458" t="str">
        <f t="shared" si="291"/>
        <v/>
      </c>
      <c r="BY580" s="458" t="str">
        <f t="shared" si="292"/>
        <v/>
      </c>
      <c r="BZ580" s="458" t="str">
        <f t="shared" si="293"/>
        <v/>
      </c>
      <c r="CA580" s="40" t="str">
        <f t="shared" si="294"/>
        <v/>
      </c>
      <c r="CB580" s="40" t="str">
        <f t="shared" si="295"/>
        <v/>
      </c>
      <c r="CC580" s="39" t="str">
        <f t="shared" si="296"/>
        <v/>
      </c>
      <c r="CD580" s="458" t="str">
        <f t="shared" si="297"/>
        <v/>
      </c>
      <c r="CE580" s="41" t="str">
        <f t="shared" si="298"/>
        <v/>
      </c>
      <c r="CF580" s="39" t="str">
        <f t="shared" si="299"/>
        <v/>
      </c>
      <c r="CG580" s="458" t="str">
        <f t="shared" si="300"/>
        <v/>
      </c>
      <c r="CH580" s="458" t="str">
        <f t="shared" si="301"/>
        <v/>
      </c>
      <c r="CI580" s="458" t="str">
        <f t="shared" si="302"/>
        <v/>
      </c>
      <c r="CJ580" s="458" t="str">
        <f t="shared" si="303"/>
        <v/>
      </c>
      <c r="CK580" s="40" t="str">
        <f t="shared" si="304"/>
        <v/>
      </c>
      <c r="CL580" s="40" t="str">
        <f t="shared" si="305"/>
        <v/>
      </c>
      <c r="CM580" s="40" t="str">
        <f t="shared" si="306"/>
        <v/>
      </c>
      <c r="CN580" s="39" t="str">
        <f t="shared" si="307"/>
        <v/>
      </c>
      <c r="CO580" s="458" t="str">
        <f t="shared" si="308"/>
        <v/>
      </c>
      <c r="CP580" s="458" t="str">
        <f t="shared" si="309"/>
        <v/>
      </c>
      <c r="CQ580" s="458" t="str">
        <f t="shared" si="310"/>
        <v/>
      </c>
      <c r="CR580" s="458" t="str">
        <f t="shared" si="311"/>
        <v/>
      </c>
      <c r="CS580" s="40" t="str">
        <f t="shared" si="312"/>
        <v/>
      </c>
      <c r="CT580" s="40" t="str">
        <f t="shared" si="313"/>
        <v/>
      </c>
      <c r="CU580" s="41" t="str">
        <f t="shared" si="314"/>
        <v/>
      </c>
    </row>
    <row r="581" spans="1:99" x14ac:dyDescent="0.2">
      <c r="A581" s="77">
        <f t="shared" si="315"/>
        <v>576</v>
      </c>
      <c r="B581" s="81"/>
      <c r="C581" s="82"/>
      <c r="D581" s="71"/>
      <c r="E581" s="72"/>
      <c r="F581" s="73"/>
      <c r="G581" s="443"/>
      <c r="H581" s="443"/>
      <c r="I581" s="74"/>
      <c r="J581" s="75"/>
      <c r="K581" s="41">
        <f t="shared" si="319"/>
        <v>3625</v>
      </c>
      <c r="L581" s="104"/>
      <c r="M581" s="105"/>
      <c r="N581" s="106">
        <f t="shared" si="320"/>
        <v>537.05999999999995</v>
      </c>
      <c r="O581" s="104"/>
      <c r="P581" s="105"/>
      <c r="Q581" s="106">
        <f t="shared" si="317"/>
        <v>10045.83</v>
      </c>
      <c r="R581" s="104"/>
      <c r="S581" s="105"/>
      <c r="T581" s="106">
        <f t="shared" si="318"/>
        <v>0</v>
      </c>
      <c r="U581" s="439"/>
      <c r="V581" s="42">
        <f t="shared" ref="V581:V605" si="321">A581</f>
        <v>576</v>
      </c>
      <c r="W581" s="39" t="str">
        <f>IF(AND(E581='Povolené hodnoty'!$B$4,F581=2),I581+L581+O581+R581,"")</f>
        <v/>
      </c>
      <c r="X581" s="41" t="str">
        <f>IF(AND(E581='Povolené hodnoty'!$B$4,F581=1),I581+L581+O581+R581,"")</f>
        <v/>
      </c>
      <c r="Y581" s="39" t="str">
        <f>IF(AND(E581='Povolené hodnoty'!$B$4,F581=10),J581+M581+P581+S581,"")</f>
        <v/>
      </c>
      <c r="Z581" s="41" t="str">
        <f>IF(AND(E581='Povolené hodnoty'!$B$4,F581=9),J581+M581+P581+S581,"")</f>
        <v/>
      </c>
      <c r="AA581" s="39" t="str">
        <f>IF(AND(E581&lt;&gt;'Povolené hodnoty'!$B$4,F581=2),I581+L581+O581+R581,"")</f>
        <v/>
      </c>
      <c r="AB581" s="40" t="str">
        <f>IF(AND(E581&lt;&gt;'Povolené hodnoty'!$B$4,F581=3),I581+L581+O581+R581,"")</f>
        <v/>
      </c>
      <c r="AC581" s="40" t="str">
        <f>IF(AND(E581&lt;&gt;'Povolené hodnoty'!$B$4,F581=4),I581+L581+O581+R581,"")</f>
        <v/>
      </c>
      <c r="AD581" s="40" t="str">
        <f>IF(AND(E581&lt;&gt;'Povolené hodnoty'!$B$4,F581="5a"),I581-J581+L581-M581+O581-P581+R581-S581,"")</f>
        <v/>
      </c>
      <c r="AE581" s="40" t="str">
        <f>IF(AND(E581&lt;&gt;'Povolené hodnoty'!$B$4,F581="5b"),I581-J581+L581-M581+O581-P581+R581-S581,"")</f>
        <v/>
      </c>
      <c r="AF581" s="40" t="str">
        <f>IF(AND(E581&lt;&gt;'Povolené hodnoty'!$B$4,F581=6),I581+L581+O581+R581,"")</f>
        <v/>
      </c>
      <c r="AG581" s="41" t="str">
        <f>IF(AND(E581&lt;&gt;'Povolené hodnoty'!$B$4,F581=7),I581+L581+O581+R581,"")</f>
        <v/>
      </c>
      <c r="AH581" s="39" t="str">
        <f>IF(AND(E581&lt;&gt;'Povolené hodnoty'!$B$4,F581=10),J581+M581+P581+S581,"")</f>
        <v/>
      </c>
      <c r="AI581" s="40" t="str">
        <f>IF(AND(E581&lt;&gt;'Povolené hodnoty'!$B$4,F581=11),J581+M581+P581+S581,"")</f>
        <v/>
      </c>
      <c r="AJ581" s="40" t="str">
        <f>IF(AND(E581&lt;&gt;'Povolené hodnoty'!$B$4,F581=12),J581+M581+P581+S581,"")</f>
        <v/>
      </c>
      <c r="AK581" s="41" t="str">
        <f>IF(AND(E581&lt;&gt;'Povolené hodnoty'!$B$4,F581=13),J581+M581+P581+S581,"")</f>
        <v/>
      </c>
      <c r="AL581" s="39" t="str">
        <f>IF(AND($G581='Povolené hodnoty'!$B$13,$H581=AL$4),SUM($I581,$L581,$O581,$R581),"")</f>
        <v/>
      </c>
      <c r="AM581" s="458" t="str">
        <f>IF(AND($G581='Povolené hodnoty'!$B$13,$H581=AM$4),SUM($I581,$L581,$O581,$R581),"")</f>
        <v/>
      </c>
      <c r="AN581" s="458" t="str">
        <f>IF(AND($G581='Povolené hodnoty'!$B$13,$H581=AN$4),SUM($I581,$L581,$O581,$R581),"")</f>
        <v/>
      </c>
      <c r="AO581" s="458" t="str">
        <f>IF(AND($G581='Povolené hodnoty'!$B$13,$H581=AO$4),SUM($I581,$L581,$O581,$R581),"")</f>
        <v/>
      </c>
      <c r="AP581" s="458" t="str">
        <f>IF(AND($G581='Povolené hodnoty'!$B$13,$H581=AP$4),SUM($I581,$L581,$O581,$R581),"")</f>
        <v/>
      </c>
      <c r="AQ581" s="40" t="str">
        <f>IF(AND($G581='Povolené hodnoty'!$B$13,OR($H581=AQ$4,$H581='Povolené hodnoty'!$E$36)),SUM($I581,-$J581,$L581,-$M581,$O581,-$P581,$R581,-$S581),"")</f>
        <v/>
      </c>
      <c r="AR581" s="40" t="str">
        <f>IF(AND($G581='Povolené hodnoty'!$B$13,$H581=AR$4),SUM($I581,$L581,$O581,$R581),"")</f>
        <v/>
      </c>
      <c r="AS581" s="41" t="str">
        <f>IF(AND($G581='Povolené hodnoty'!$B$13,$H581=AS$4),SUM($I581,$L581,$O581,$R581),"")</f>
        <v/>
      </c>
      <c r="AT581" s="39" t="str">
        <f>IF(AND($G581='Povolené hodnoty'!$B$14,$H581=AT$4),SUM($I581,$L581,$O581,$R581),"")</f>
        <v/>
      </c>
      <c r="AU581" s="458" t="str">
        <f>IF(AND($G581='Povolené hodnoty'!$B$14,$H581=AU$4),SUM($I581,$L581,$O581,$R581),"")</f>
        <v/>
      </c>
      <c r="AV581" s="41" t="str">
        <f>IF(AND($G581='Povolené hodnoty'!$B$14,$H581=AV$4),SUM($I581,$L581,$O581,$R581),"")</f>
        <v/>
      </c>
      <c r="AW581" s="39" t="str">
        <f>IF(AND($G581='Povolené hodnoty'!$B$13,$H581=AW$4),SUM($J581,$M581,$P581,$S581),"")</f>
        <v/>
      </c>
      <c r="AX581" s="458" t="str">
        <f>IF(AND($G581='Povolené hodnoty'!$B$13,$H581=AX$4),SUM($J581,$M581,$P581,$S581),"")</f>
        <v/>
      </c>
      <c r="AY581" s="458" t="str">
        <f>IF(AND($G581='Povolené hodnoty'!$B$13,$H581=AY$4),SUM($J581,$M581,$P581,$S581),"")</f>
        <v/>
      </c>
      <c r="AZ581" s="458" t="str">
        <f>IF(AND($G581='Povolené hodnoty'!$B$13,$H581=AZ$4),SUM($J581,$M581,$P581,$S581),"")</f>
        <v/>
      </c>
      <c r="BA581" s="458" t="str">
        <f>IF(AND($G581='Povolené hodnoty'!$B$13,$H581=BA$4),SUM($J581,$M581,$P581,$S581),"")</f>
        <v/>
      </c>
      <c r="BB581" s="40" t="str">
        <f>IF(AND($G581='Povolené hodnoty'!$B$13,$H581=BB$4),SUM($J581,$M581,$P581,$S581),"")</f>
        <v/>
      </c>
      <c r="BC581" s="40" t="str">
        <f>IF(AND($G581='Povolené hodnoty'!$B$13,$H581=BC$4),SUM($J581,$M581,$P581,$S581),"")</f>
        <v/>
      </c>
      <c r="BD581" s="40" t="str">
        <f>IF(AND($G581='Povolené hodnoty'!$B$13,$H581=BD$4),SUM($J581,$M581,$P581,$S581),"")</f>
        <v/>
      </c>
      <c r="BE581" s="41" t="str">
        <f>IF(AND($G581='Povolené hodnoty'!$B$13,$H581=BE$4),SUM($J581,$M581,$P581,$S581),"")</f>
        <v/>
      </c>
      <c r="BF581" s="39" t="str">
        <f>IF(AND($G581='Povolené hodnoty'!$B$14,$H581=BF$4),SUM($J581,$M581,$P581,$S581),"")</f>
        <v/>
      </c>
      <c r="BG581" s="458" t="str">
        <f>IF(AND($G581='Povolené hodnoty'!$B$14,$H581=BG$4),SUM($J581,$M581,$P581,$S581),"")</f>
        <v/>
      </c>
      <c r="BH581" s="458" t="str">
        <f>IF(AND($G581='Povolené hodnoty'!$B$14,$H581=BH$4),SUM($J581,$M581,$P581,$S581),"")</f>
        <v/>
      </c>
      <c r="BI581" s="458" t="str">
        <f>IF(AND($G581='Povolené hodnoty'!$B$14,$H581=BI$4),SUM($J581,$M581,$P581,$S581),"")</f>
        <v/>
      </c>
      <c r="BJ581" s="458" t="str">
        <f>IF(AND($G581='Povolené hodnoty'!$B$14,$H581=BJ$4),SUM($J581,$M581,$P581,$S581),"")</f>
        <v/>
      </c>
      <c r="BK581" s="40" t="str">
        <f>IF(AND($G581='Povolené hodnoty'!$B$14,$H581=BK$4),SUM($J581,$M581,$P581,$S581),"")</f>
        <v/>
      </c>
      <c r="BL581" s="40" t="str">
        <f>IF(AND($G581='Povolené hodnoty'!$B$14,$H581=BL$4),SUM($J581,$M581,$P581,$S581),"")</f>
        <v/>
      </c>
      <c r="BM581" s="41" t="str">
        <f>IF(AND($G581='Povolené hodnoty'!$B$14,$H581=BM$4),SUM($J581,$M581,$P581,$S581),"")</f>
        <v/>
      </c>
      <c r="BO581" s="18" t="b">
        <f t="shared" si="316"/>
        <v>0</v>
      </c>
      <c r="BP581" s="18" t="b">
        <f t="shared" si="287"/>
        <v>0</v>
      </c>
      <c r="BQ581" s="18" t="b">
        <f>AND(E581&lt;&gt;'Povolené hodnoty'!$B$6,F581&lt;&gt;'Povolené hodnoty'!$D$7,F581&lt;&gt;'Povolené hodnoty'!$D$8,OR(SUM(I581,L581,O581,R581)&lt;&gt;SUM(W581:X581,AA581:AG581),SUM(J581,M581,P581,S581)&lt;&gt;SUM(Y581:Z581,AH581:AK581),COUNT(I581:J581,L581:M581,O581:P581,R581:S581)&lt;&gt;COUNT(W581:AK581)))</f>
        <v>0</v>
      </c>
      <c r="BR581" s="18" t="b">
        <f>OR(AND(E581='Povolené hodnoty'!$B$6,$BR$5),AND(E581='Povolené hodnoty'!$B$6,H581&lt;&gt;'Povolené hodnoty'!$E$26,H581&lt;&gt;'Povolené hodnoty'!$E$35),AND(E581&lt;&gt;'Povolené hodnoty'!$B$6,OR(H581='Povolené hodnoty'!$E$26,H581='Povolené hodnoty'!$E$35)))</f>
        <v>0</v>
      </c>
      <c r="BS581" s="18" t="b">
        <f>OR(AND(G581&lt;&gt;'Povolené hodnoty'!$B$13,OR(H581='Povolené hodnoty'!$E$21,H581='Povolené hodnoty'!$E$22,H581='Povolené hodnoty'!$E$23,H581='Povolené hodnoty'!$E$24,H581='Povolené hodnoty'!$E$26,H581='Povolené hodnoty'!$E$36)),COUNT(I581:J581,L581:M581,O581:P581,R581:S581)&lt;&gt;COUNT(AL581:BM581))</f>
        <v>0</v>
      </c>
      <c r="BT581" s="18" t="b">
        <f t="shared" si="288"/>
        <v>0</v>
      </c>
      <c r="BV581" s="39" t="str">
        <f t="shared" si="289"/>
        <v/>
      </c>
      <c r="BW581" s="458" t="str">
        <f t="shared" si="290"/>
        <v/>
      </c>
      <c r="BX581" s="458" t="str">
        <f t="shared" si="291"/>
        <v/>
      </c>
      <c r="BY581" s="458" t="str">
        <f t="shared" si="292"/>
        <v/>
      </c>
      <c r="BZ581" s="458" t="str">
        <f t="shared" si="293"/>
        <v/>
      </c>
      <c r="CA581" s="40" t="str">
        <f t="shared" si="294"/>
        <v/>
      </c>
      <c r="CB581" s="40" t="str">
        <f t="shared" si="295"/>
        <v/>
      </c>
      <c r="CC581" s="39" t="str">
        <f t="shared" si="296"/>
        <v/>
      </c>
      <c r="CD581" s="458" t="str">
        <f t="shared" si="297"/>
        <v/>
      </c>
      <c r="CE581" s="41" t="str">
        <f t="shared" si="298"/>
        <v/>
      </c>
      <c r="CF581" s="39" t="str">
        <f t="shared" si="299"/>
        <v/>
      </c>
      <c r="CG581" s="458" t="str">
        <f t="shared" si="300"/>
        <v/>
      </c>
      <c r="CH581" s="458" t="str">
        <f t="shared" si="301"/>
        <v/>
      </c>
      <c r="CI581" s="458" t="str">
        <f t="shared" si="302"/>
        <v/>
      </c>
      <c r="CJ581" s="458" t="str">
        <f t="shared" si="303"/>
        <v/>
      </c>
      <c r="CK581" s="40" t="str">
        <f t="shared" si="304"/>
        <v/>
      </c>
      <c r="CL581" s="40" t="str">
        <f t="shared" si="305"/>
        <v/>
      </c>
      <c r="CM581" s="40" t="str">
        <f t="shared" si="306"/>
        <v/>
      </c>
      <c r="CN581" s="39" t="str">
        <f t="shared" si="307"/>
        <v/>
      </c>
      <c r="CO581" s="458" t="str">
        <f t="shared" si="308"/>
        <v/>
      </c>
      <c r="CP581" s="458" t="str">
        <f t="shared" si="309"/>
        <v/>
      </c>
      <c r="CQ581" s="458" t="str">
        <f t="shared" si="310"/>
        <v/>
      </c>
      <c r="CR581" s="458" t="str">
        <f t="shared" si="311"/>
        <v/>
      </c>
      <c r="CS581" s="40" t="str">
        <f t="shared" si="312"/>
        <v/>
      </c>
      <c r="CT581" s="40" t="str">
        <f t="shared" si="313"/>
        <v/>
      </c>
      <c r="CU581" s="41" t="str">
        <f t="shared" si="314"/>
        <v/>
      </c>
    </row>
    <row r="582" spans="1:99" x14ac:dyDescent="0.2">
      <c r="A582" s="77">
        <f t="shared" si="315"/>
        <v>577</v>
      </c>
      <c r="B582" s="81"/>
      <c r="C582" s="82"/>
      <c r="D582" s="71"/>
      <c r="E582" s="72"/>
      <c r="F582" s="73"/>
      <c r="G582" s="443"/>
      <c r="H582" s="443"/>
      <c r="I582" s="74"/>
      <c r="J582" s="75"/>
      <c r="K582" s="41">
        <f t="shared" si="319"/>
        <v>3625</v>
      </c>
      <c r="L582" s="104"/>
      <c r="M582" s="105"/>
      <c r="N582" s="106">
        <f t="shared" si="320"/>
        <v>537.05999999999995</v>
      </c>
      <c r="O582" s="104"/>
      <c r="P582" s="105"/>
      <c r="Q582" s="106">
        <f t="shared" si="317"/>
        <v>10045.83</v>
      </c>
      <c r="R582" s="104"/>
      <c r="S582" s="105"/>
      <c r="T582" s="106">
        <f t="shared" si="318"/>
        <v>0</v>
      </c>
      <c r="U582" s="439"/>
      <c r="V582" s="42">
        <f t="shared" si="321"/>
        <v>577</v>
      </c>
      <c r="W582" s="39" t="str">
        <f>IF(AND(E582='Povolené hodnoty'!$B$4,F582=2),I582+L582+O582+R582,"")</f>
        <v/>
      </c>
      <c r="X582" s="41" t="str">
        <f>IF(AND(E582='Povolené hodnoty'!$B$4,F582=1),I582+L582+O582+R582,"")</f>
        <v/>
      </c>
      <c r="Y582" s="39" t="str">
        <f>IF(AND(E582='Povolené hodnoty'!$B$4,F582=10),J582+M582+P582+S582,"")</f>
        <v/>
      </c>
      <c r="Z582" s="41" t="str">
        <f>IF(AND(E582='Povolené hodnoty'!$B$4,F582=9),J582+M582+P582+S582,"")</f>
        <v/>
      </c>
      <c r="AA582" s="39" t="str">
        <f>IF(AND(E582&lt;&gt;'Povolené hodnoty'!$B$4,F582=2),I582+L582+O582+R582,"")</f>
        <v/>
      </c>
      <c r="AB582" s="40" t="str">
        <f>IF(AND(E582&lt;&gt;'Povolené hodnoty'!$B$4,F582=3),I582+L582+O582+R582,"")</f>
        <v/>
      </c>
      <c r="AC582" s="40" t="str">
        <f>IF(AND(E582&lt;&gt;'Povolené hodnoty'!$B$4,F582=4),I582+L582+O582+R582,"")</f>
        <v/>
      </c>
      <c r="AD582" s="40" t="str">
        <f>IF(AND(E582&lt;&gt;'Povolené hodnoty'!$B$4,F582="5a"),I582-J582+L582-M582+O582-P582+R582-S582,"")</f>
        <v/>
      </c>
      <c r="AE582" s="40" t="str">
        <f>IF(AND(E582&lt;&gt;'Povolené hodnoty'!$B$4,F582="5b"),I582-J582+L582-M582+O582-P582+R582-S582,"")</f>
        <v/>
      </c>
      <c r="AF582" s="40" t="str">
        <f>IF(AND(E582&lt;&gt;'Povolené hodnoty'!$B$4,F582=6),I582+L582+O582+R582,"")</f>
        <v/>
      </c>
      <c r="AG582" s="41" t="str">
        <f>IF(AND(E582&lt;&gt;'Povolené hodnoty'!$B$4,F582=7),I582+L582+O582+R582,"")</f>
        <v/>
      </c>
      <c r="AH582" s="39" t="str">
        <f>IF(AND(E582&lt;&gt;'Povolené hodnoty'!$B$4,F582=10),J582+M582+P582+S582,"")</f>
        <v/>
      </c>
      <c r="AI582" s="40" t="str">
        <f>IF(AND(E582&lt;&gt;'Povolené hodnoty'!$B$4,F582=11),J582+M582+P582+S582,"")</f>
        <v/>
      </c>
      <c r="AJ582" s="40" t="str">
        <f>IF(AND(E582&lt;&gt;'Povolené hodnoty'!$B$4,F582=12),J582+M582+P582+S582,"")</f>
        <v/>
      </c>
      <c r="AK582" s="41" t="str">
        <f>IF(AND(E582&lt;&gt;'Povolené hodnoty'!$B$4,F582=13),J582+M582+P582+S582,"")</f>
        <v/>
      </c>
      <c r="AL582" s="39" t="str">
        <f>IF(AND($G582='Povolené hodnoty'!$B$13,$H582=AL$4),SUM($I582,$L582,$O582,$R582),"")</f>
        <v/>
      </c>
      <c r="AM582" s="458" t="str">
        <f>IF(AND($G582='Povolené hodnoty'!$B$13,$H582=AM$4),SUM($I582,$L582,$O582,$R582),"")</f>
        <v/>
      </c>
      <c r="AN582" s="458" t="str">
        <f>IF(AND($G582='Povolené hodnoty'!$B$13,$H582=AN$4),SUM($I582,$L582,$O582,$R582),"")</f>
        <v/>
      </c>
      <c r="AO582" s="458" t="str">
        <f>IF(AND($G582='Povolené hodnoty'!$B$13,$H582=AO$4),SUM($I582,$L582,$O582,$R582),"")</f>
        <v/>
      </c>
      <c r="AP582" s="458" t="str">
        <f>IF(AND($G582='Povolené hodnoty'!$B$13,$H582=AP$4),SUM($I582,$L582,$O582,$R582),"")</f>
        <v/>
      </c>
      <c r="AQ582" s="40" t="str">
        <f>IF(AND($G582='Povolené hodnoty'!$B$13,OR($H582=AQ$4,$H582='Povolené hodnoty'!$E$36)),SUM($I582,-$J582,$L582,-$M582,$O582,-$P582,$R582,-$S582),"")</f>
        <v/>
      </c>
      <c r="AR582" s="40" t="str">
        <f>IF(AND($G582='Povolené hodnoty'!$B$13,$H582=AR$4),SUM($I582,$L582,$O582,$R582),"")</f>
        <v/>
      </c>
      <c r="AS582" s="41" t="str">
        <f>IF(AND($G582='Povolené hodnoty'!$B$13,$H582=AS$4),SUM($I582,$L582,$O582,$R582),"")</f>
        <v/>
      </c>
      <c r="AT582" s="39" t="str">
        <f>IF(AND($G582='Povolené hodnoty'!$B$14,$H582=AT$4),SUM($I582,$L582,$O582,$R582),"")</f>
        <v/>
      </c>
      <c r="AU582" s="458" t="str">
        <f>IF(AND($G582='Povolené hodnoty'!$B$14,$H582=AU$4),SUM($I582,$L582,$O582,$R582),"")</f>
        <v/>
      </c>
      <c r="AV582" s="41" t="str">
        <f>IF(AND($G582='Povolené hodnoty'!$B$14,$H582=AV$4),SUM($I582,$L582,$O582,$R582),"")</f>
        <v/>
      </c>
      <c r="AW582" s="39" t="str">
        <f>IF(AND($G582='Povolené hodnoty'!$B$13,$H582=AW$4),SUM($J582,$M582,$P582,$S582),"")</f>
        <v/>
      </c>
      <c r="AX582" s="458" t="str">
        <f>IF(AND($G582='Povolené hodnoty'!$B$13,$H582=AX$4),SUM($J582,$M582,$P582,$S582),"")</f>
        <v/>
      </c>
      <c r="AY582" s="458" t="str">
        <f>IF(AND($G582='Povolené hodnoty'!$B$13,$H582=AY$4),SUM($J582,$M582,$P582,$S582),"")</f>
        <v/>
      </c>
      <c r="AZ582" s="458" t="str">
        <f>IF(AND($G582='Povolené hodnoty'!$B$13,$H582=AZ$4),SUM($J582,$M582,$P582,$S582),"")</f>
        <v/>
      </c>
      <c r="BA582" s="458" t="str">
        <f>IF(AND($G582='Povolené hodnoty'!$B$13,$H582=BA$4),SUM($J582,$M582,$P582,$S582),"")</f>
        <v/>
      </c>
      <c r="BB582" s="40" t="str">
        <f>IF(AND($G582='Povolené hodnoty'!$B$13,$H582=BB$4),SUM($J582,$M582,$P582,$S582),"")</f>
        <v/>
      </c>
      <c r="BC582" s="40" t="str">
        <f>IF(AND($G582='Povolené hodnoty'!$B$13,$H582=BC$4),SUM($J582,$M582,$P582,$S582),"")</f>
        <v/>
      </c>
      <c r="BD582" s="40" t="str">
        <f>IF(AND($G582='Povolené hodnoty'!$B$13,$H582=BD$4),SUM($J582,$M582,$P582,$S582),"")</f>
        <v/>
      </c>
      <c r="BE582" s="41" t="str">
        <f>IF(AND($G582='Povolené hodnoty'!$B$13,$H582=BE$4),SUM($J582,$M582,$P582,$S582),"")</f>
        <v/>
      </c>
      <c r="BF582" s="39" t="str">
        <f>IF(AND($G582='Povolené hodnoty'!$B$14,$H582=BF$4),SUM($J582,$M582,$P582,$S582),"")</f>
        <v/>
      </c>
      <c r="BG582" s="458" t="str">
        <f>IF(AND($G582='Povolené hodnoty'!$B$14,$H582=BG$4),SUM($J582,$M582,$P582,$S582),"")</f>
        <v/>
      </c>
      <c r="BH582" s="458" t="str">
        <f>IF(AND($G582='Povolené hodnoty'!$B$14,$H582=BH$4),SUM($J582,$M582,$P582,$S582),"")</f>
        <v/>
      </c>
      <c r="BI582" s="458" t="str">
        <f>IF(AND($G582='Povolené hodnoty'!$B$14,$H582=BI$4),SUM($J582,$M582,$P582,$S582),"")</f>
        <v/>
      </c>
      <c r="BJ582" s="458" t="str">
        <f>IF(AND($G582='Povolené hodnoty'!$B$14,$H582=BJ$4),SUM($J582,$M582,$P582,$S582),"")</f>
        <v/>
      </c>
      <c r="BK582" s="40" t="str">
        <f>IF(AND($G582='Povolené hodnoty'!$B$14,$H582=BK$4),SUM($J582,$M582,$P582,$S582),"")</f>
        <v/>
      </c>
      <c r="BL582" s="40" t="str">
        <f>IF(AND($G582='Povolené hodnoty'!$B$14,$H582=BL$4),SUM($J582,$M582,$P582,$S582),"")</f>
        <v/>
      </c>
      <c r="BM582" s="41" t="str">
        <f>IF(AND($G582='Povolené hodnoty'!$B$14,$H582=BM$4),SUM($J582,$M582,$P582,$S582),"")</f>
        <v/>
      </c>
      <c r="BO582" s="18" t="b">
        <f t="shared" si="316"/>
        <v>0</v>
      </c>
      <c r="BP582" s="18" t="b">
        <f t="shared" ref="BP582:BP605" si="322">COUNT(I582:J582,L582:M582,O582:P582,R582:S582)&gt;1</f>
        <v>0</v>
      </c>
      <c r="BQ582" s="18" t="b">
        <f>AND(E582&lt;&gt;'Povolené hodnoty'!$B$6,F582&lt;&gt;'Povolené hodnoty'!$D$7,F582&lt;&gt;'Povolené hodnoty'!$D$8,OR(SUM(I582,L582,O582,R582)&lt;&gt;SUM(W582:X582,AA582:AG582),SUM(J582,M582,P582,S582)&lt;&gt;SUM(Y582:Z582,AH582:AK582),COUNT(I582:J582,L582:M582,O582:P582,R582:S582)&lt;&gt;COUNT(W582:AK582)))</f>
        <v>0</v>
      </c>
      <c r="BR582" s="18" t="b">
        <f>OR(AND(E582='Povolené hodnoty'!$B$6,$BR$5),AND(E582='Povolené hodnoty'!$B$6,H582&lt;&gt;'Povolené hodnoty'!$E$26,H582&lt;&gt;'Povolené hodnoty'!$E$35),AND(E582&lt;&gt;'Povolené hodnoty'!$B$6,OR(H582='Povolené hodnoty'!$E$26,H582='Povolené hodnoty'!$E$35)))</f>
        <v>0</v>
      </c>
      <c r="BS582" s="18" t="b">
        <f>OR(AND(G582&lt;&gt;'Povolené hodnoty'!$B$13,OR(H582='Povolené hodnoty'!$E$21,H582='Povolené hodnoty'!$E$22,H582='Povolené hodnoty'!$E$23,H582='Povolené hodnoty'!$E$24,H582='Povolené hodnoty'!$E$26,H582='Povolené hodnoty'!$E$36)),COUNT(I582:J582,L582:M582,O582:P582,R582:S582)&lt;&gt;COUNT(AL582:BM582))</f>
        <v>0</v>
      </c>
      <c r="BT582" s="18" t="b">
        <f t="shared" ref="BT582:BT605" si="323">OR(AND(LEFT(H582,1)="V",COUNT(I582,L582,O582,R582)&gt;0),AND(LEFT(H582,1)="P",COUNT(J582,M582,P582,S582)&gt;0))</f>
        <v>0</v>
      </c>
      <c r="BV582" s="39" t="str">
        <f t="shared" ref="BV582:BV605" si="324">IF(SUM($W582:$X582)=AL582,AL582,"")</f>
        <v/>
      </c>
      <c r="BW582" s="458" t="str">
        <f t="shared" ref="BW582:BW605" si="325">IF(SUM($W582:$X582)=AM582,AM582,"")</f>
        <v/>
      </c>
      <c r="BX582" s="458" t="str">
        <f t="shared" ref="BX582:BX605" si="326">IF(SUM($W582:$X582)=AN582,AN582,"")</f>
        <v/>
      </c>
      <c r="BY582" s="458" t="str">
        <f t="shared" ref="BY582:BY605" si="327">IF(SUM($W582:$X582)=AO582,AO582,"")</f>
        <v/>
      </c>
      <c r="BZ582" s="458" t="str">
        <f t="shared" ref="BZ582:BZ605" si="328">IF(SUM($W582:$X582)=AP582,AP582,"")</f>
        <v/>
      </c>
      <c r="CA582" s="40" t="str">
        <f t="shared" ref="CA582:CA605" si="329">IF(SUM($W582:$X582)=AQ582,AQ582,"")</f>
        <v/>
      </c>
      <c r="CB582" s="40" t="str">
        <f t="shared" ref="CB582:CB605" si="330">IF(SUM($W582:$X582)=AR582,AR582,"")</f>
        <v/>
      </c>
      <c r="CC582" s="39" t="str">
        <f t="shared" ref="CC582:CC605" si="331">IF(SUM($W582:$X582)=AT582,AT582,"")</f>
        <v/>
      </c>
      <c r="CD582" s="458" t="str">
        <f t="shared" ref="CD582:CD605" si="332">IF(SUM($W582:$X582)=AU582,AU582,"")</f>
        <v/>
      </c>
      <c r="CE582" s="41" t="str">
        <f t="shared" ref="CE582:CE605" si="333">IF(SUM($W582:$X582)=AV582,AV582,"")</f>
        <v/>
      </c>
      <c r="CF582" s="39" t="str">
        <f t="shared" ref="CF582:CF605" si="334">IF(SUM($Y582:$Z582)=AW582,AW582,"")</f>
        <v/>
      </c>
      <c r="CG582" s="458" t="str">
        <f t="shared" ref="CG582:CG605" si="335">IF(SUM($Y582:$Z582)=AX582,AX582,"")</f>
        <v/>
      </c>
      <c r="CH582" s="458" t="str">
        <f t="shared" ref="CH582:CH605" si="336">IF(SUM($Y582:$Z582)=AY582,AY582,"")</f>
        <v/>
      </c>
      <c r="CI582" s="458" t="str">
        <f t="shared" ref="CI582:CI605" si="337">IF(SUM($Y582:$Z582)=AZ582,AZ582,"")</f>
        <v/>
      </c>
      <c r="CJ582" s="458" t="str">
        <f t="shared" ref="CJ582:CJ605" si="338">IF(SUM($Y582:$Z582)=BA582,BA582,"")</f>
        <v/>
      </c>
      <c r="CK582" s="40" t="str">
        <f t="shared" ref="CK582:CK605" si="339">IF(SUM($Y582:$Z582)=BB582,BB582,"")</f>
        <v/>
      </c>
      <c r="CL582" s="40" t="str">
        <f t="shared" ref="CL582:CL605" si="340">IF(SUM($Y582:$Z582)=BC582,BC582,"")</f>
        <v/>
      </c>
      <c r="CM582" s="40" t="str">
        <f t="shared" ref="CM582:CM605" si="341">IF(SUM($Y582:$Z582)=BD582,BD582,"")</f>
        <v/>
      </c>
      <c r="CN582" s="39" t="str">
        <f t="shared" ref="CN582:CN605" si="342">IF(SUM($Y582:$Z582)=BF582,BF582,"")</f>
        <v/>
      </c>
      <c r="CO582" s="458" t="str">
        <f t="shared" ref="CO582:CO605" si="343">IF(SUM($Y582:$Z582)=BG582,BG582,"")</f>
        <v/>
      </c>
      <c r="CP582" s="458" t="str">
        <f t="shared" ref="CP582:CP605" si="344">IF(SUM($Y582:$Z582)=BH582,BH582,"")</f>
        <v/>
      </c>
      <c r="CQ582" s="458" t="str">
        <f t="shared" ref="CQ582:CQ605" si="345">IF(SUM($Y582:$Z582)=BI582,BI582,"")</f>
        <v/>
      </c>
      <c r="CR582" s="458" t="str">
        <f t="shared" ref="CR582:CR605" si="346">IF(SUM($Y582:$Z582)=BJ582,BJ582,"")</f>
        <v/>
      </c>
      <c r="CS582" s="40" t="str">
        <f t="shared" ref="CS582:CS605" si="347">IF(SUM($Y582:$Z582)=BK582,BK582,"")</f>
        <v/>
      </c>
      <c r="CT582" s="40" t="str">
        <f t="shared" ref="CT582:CT605" si="348">IF(SUM($Y582:$Z582)=BL582,BL582,"")</f>
        <v/>
      </c>
      <c r="CU582" s="41" t="str">
        <f t="shared" ref="CU582:CU605" si="349">IF(SUM($Y582:$Z582)=BM582,BM582,"")</f>
        <v/>
      </c>
    </row>
    <row r="583" spans="1:99" x14ac:dyDescent="0.2">
      <c r="A583" s="77">
        <f t="shared" ref="A583:A605" si="350">A582+1</f>
        <v>578</v>
      </c>
      <c r="B583" s="81"/>
      <c r="C583" s="82"/>
      <c r="D583" s="71"/>
      <c r="E583" s="72"/>
      <c r="F583" s="73"/>
      <c r="G583" s="443"/>
      <c r="H583" s="443"/>
      <c r="I583" s="74"/>
      <c r="J583" s="75"/>
      <c r="K583" s="41">
        <f t="shared" si="319"/>
        <v>3625</v>
      </c>
      <c r="L583" s="104"/>
      <c r="M583" s="105"/>
      <c r="N583" s="106">
        <f t="shared" si="320"/>
        <v>537.05999999999995</v>
      </c>
      <c r="O583" s="104"/>
      <c r="P583" s="105"/>
      <c r="Q583" s="106">
        <f t="shared" si="317"/>
        <v>10045.83</v>
      </c>
      <c r="R583" s="104"/>
      <c r="S583" s="105"/>
      <c r="T583" s="106">
        <f t="shared" si="318"/>
        <v>0</v>
      </c>
      <c r="U583" s="439"/>
      <c r="V583" s="42">
        <f t="shared" si="321"/>
        <v>578</v>
      </c>
      <c r="W583" s="39" t="str">
        <f>IF(AND(E583='Povolené hodnoty'!$B$4,F583=2),I583+L583+O583+R583,"")</f>
        <v/>
      </c>
      <c r="X583" s="41" t="str">
        <f>IF(AND(E583='Povolené hodnoty'!$B$4,F583=1),I583+L583+O583+R583,"")</f>
        <v/>
      </c>
      <c r="Y583" s="39" t="str">
        <f>IF(AND(E583='Povolené hodnoty'!$B$4,F583=10),J583+M583+P583+S583,"")</f>
        <v/>
      </c>
      <c r="Z583" s="41" t="str">
        <f>IF(AND(E583='Povolené hodnoty'!$B$4,F583=9),J583+M583+P583+S583,"")</f>
        <v/>
      </c>
      <c r="AA583" s="39" t="str">
        <f>IF(AND(E583&lt;&gt;'Povolené hodnoty'!$B$4,F583=2),I583+L583+O583+R583,"")</f>
        <v/>
      </c>
      <c r="AB583" s="40" t="str">
        <f>IF(AND(E583&lt;&gt;'Povolené hodnoty'!$B$4,F583=3),I583+L583+O583+R583,"")</f>
        <v/>
      </c>
      <c r="AC583" s="40" t="str">
        <f>IF(AND(E583&lt;&gt;'Povolené hodnoty'!$B$4,F583=4),I583+L583+O583+R583,"")</f>
        <v/>
      </c>
      <c r="AD583" s="40" t="str">
        <f>IF(AND(E583&lt;&gt;'Povolené hodnoty'!$B$4,F583="5a"),I583-J583+L583-M583+O583-P583+R583-S583,"")</f>
        <v/>
      </c>
      <c r="AE583" s="40" t="str">
        <f>IF(AND(E583&lt;&gt;'Povolené hodnoty'!$B$4,F583="5b"),I583-J583+L583-M583+O583-P583+R583-S583,"")</f>
        <v/>
      </c>
      <c r="AF583" s="40" t="str">
        <f>IF(AND(E583&lt;&gt;'Povolené hodnoty'!$B$4,F583=6),I583+L583+O583+R583,"")</f>
        <v/>
      </c>
      <c r="AG583" s="41" t="str">
        <f>IF(AND(E583&lt;&gt;'Povolené hodnoty'!$B$4,F583=7),I583+L583+O583+R583,"")</f>
        <v/>
      </c>
      <c r="AH583" s="39" t="str">
        <f>IF(AND(E583&lt;&gt;'Povolené hodnoty'!$B$4,F583=10),J583+M583+P583+S583,"")</f>
        <v/>
      </c>
      <c r="AI583" s="40" t="str">
        <f>IF(AND(E583&lt;&gt;'Povolené hodnoty'!$B$4,F583=11),J583+M583+P583+S583,"")</f>
        <v/>
      </c>
      <c r="AJ583" s="40" t="str">
        <f>IF(AND(E583&lt;&gt;'Povolené hodnoty'!$B$4,F583=12),J583+M583+P583+S583,"")</f>
        <v/>
      </c>
      <c r="AK583" s="41" t="str">
        <f>IF(AND(E583&lt;&gt;'Povolené hodnoty'!$B$4,F583=13),J583+M583+P583+S583,"")</f>
        <v/>
      </c>
      <c r="AL583" s="39" t="str">
        <f>IF(AND($G583='Povolené hodnoty'!$B$13,$H583=AL$4),SUM($I583,$L583,$O583,$R583),"")</f>
        <v/>
      </c>
      <c r="AM583" s="458" t="str">
        <f>IF(AND($G583='Povolené hodnoty'!$B$13,$H583=AM$4),SUM($I583,$L583,$O583,$R583),"")</f>
        <v/>
      </c>
      <c r="AN583" s="458" t="str">
        <f>IF(AND($G583='Povolené hodnoty'!$B$13,$H583=AN$4),SUM($I583,$L583,$O583,$R583),"")</f>
        <v/>
      </c>
      <c r="AO583" s="458" t="str">
        <f>IF(AND($G583='Povolené hodnoty'!$B$13,$H583=AO$4),SUM($I583,$L583,$O583,$R583),"")</f>
        <v/>
      </c>
      <c r="AP583" s="458" t="str">
        <f>IF(AND($G583='Povolené hodnoty'!$B$13,$H583=AP$4),SUM($I583,$L583,$O583,$R583),"")</f>
        <v/>
      </c>
      <c r="AQ583" s="40" t="str">
        <f>IF(AND($G583='Povolené hodnoty'!$B$13,OR($H583=AQ$4,$H583='Povolené hodnoty'!$E$36)),SUM($I583,-$J583,$L583,-$M583,$O583,-$P583,$R583,-$S583),"")</f>
        <v/>
      </c>
      <c r="AR583" s="40" t="str">
        <f>IF(AND($G583='Povolené hodnoty'!$B$13,$H583=AR$4),SUM($I583,$L583,$O583,$R583),"")</f>
        <v/>
      </c>
      <c r="AS583" s="41" t="str">
        <f>IF(AND($G583='Povolené hodnoty'!$B$13,$H583=AS$4),SUM($I583,$L583,$O583,$R583),"")</f>
        <v/>
      </c>
      <c r="AT583" s="39" t="str">
        <f>IF(AND($G583='Povolené hodnoty'!$B$14,$H583=AT$4),SUM($I583,$L583,$O583,$R583),"")</f>
        <v/>
      </c>
      <c r="AU583" s="458" t="str">
        <f>IF(AND($G583='Povolené hodnoty'!$B$14,$H583=AU$4),SUM($I583,$L583,$O583,$R583),"")</f>
        <v/>
      </c>
      <c r="AV583" s="41" t="str">
        <f>IF(AND($G583='Povolené hodnoty'!$B$14,$H583=AV$4),SUM($I583,$L583,$O583,$R583),"")</f>
        <v/>
      </c>
      <c r="AW583" s="39" t="str">
        <f>IF(AND($G583='Povolené hodnoty'!$B$13,$H583=AW$4),SUM($J583,$M583,$P583,$S583),"")</f>
        <v/>
      </c>
      <c r="AX583" s="458" t="str">
        <f>IF(AND($G583='Povolené hodnoty'!$B$13,$H583=AX$4),SUM($J583,$M583,$P583,$S583),"")</f>
        <v/>
      </c>
      <c r="AY583" s="458" t="str">
        <f>IF(AND($G583='Povolené hodnoty'!$B$13,$H583=AY$4),SUM($J583,$M583,$P583,$S583),"")</f>
        <v/>
      </c>
      <c r="AZ583" s="458" t="str">
        <f>IF(AND($G583='Povolené hodnoty'!$B$13,$H583=AZ$4),SUM($J583,$M583,$P583,$S583),"")</f>
        <v/>
      </c>
      <c r="BA583" s="458" t="str">
        <f>IF(AND($G583='Povolené hodnoty'!$B$13,$H583=BA$4),SUM($J583,$M583,$P583,$S583),"")</f>
        <v/>
      </c>
      <c r="BB583" s="40" t="str">
        <f>IF(AND($G583='Povolené hodnoty'!$B$13,$H583=BB$4),SUM($J583,$M583,$P583,$S583),"")</f>
        <v/>
      </c>
      <c r="BC583" s="40" t="str">
        <f>IF(AND($G583='Povolené hodnoty'!$B$13,$H583=BC$4),SUM($J583,$M583,$P583,$S583),"")</f>
        <v/>
      </c>
      <c r="BD583" s="40" t="str">
        <f>IF(AND($G583='Povolené hodnoty'!$B$13,$H583=BD$4),SUM($J583,$M583,$P583,$S583),"")</f>
        <v/>
      </c>
      <c r="BE583" s="41" t="str">
        <f>IF(AND($G583='Povolené hodnoty'!$B$13,$H583=BE$4),SUM($J583,$M583,$P583,$S583),"")</f>
        <v/>
      </c>
      <c r="BF583" s="39" t="str">
        <f>IF(AND($G583='Povolené hodnoty'!$B$14,$H583=BF$4),SUM($J583,$M583,$P583,$S583),"")</f>
        <v/>
      </c>
      <c r="BG583" s="458" t="str">
        <f>IF(AND($G583='Povolené hodnoty'!$B$14,$H583=BG$4),SUM($J583,$M583,$P583,$S583),"")</f>
        <v/>
      </c>
      <c r="BH583" s="458" t="str">
        <f>IF(AND($G583='Povolené hodnoty'!$B$14,$H583=BH$4),SUM($J583,$M583,$P583,$S583),"")</f>
        <v/>
      </c>
      <c r="BI583" s="458" t="str">
        <f>IF(AND($G583='Povolené hodnoty'!$B$14,$H583=BI$4),SUM($J583,$M583,$P583,$S583),"")</f>
        <v/>
      </c>
      <c r="BJ583" s="458" t="str">
        <f>IF(AND($G583='Povolené hodnoty'!$B$14,$H583=BJ$4),SUM($J583,$M583,$P583,$S583),"")</f>
        <v/>
      </c>
      <c r="BK583" s="40" t="str">
        <f>IF(AND($G583='Povolené hodnoty'!$B$14,$H583=BK$4),SUM($J583,$M583,$P583,$S583),"")</f>
        <v/>
      </c>
      <c r="BL583" s="40" t="str">
        <f>IF(AND($G583='Povolené hodnoty'!$B$14,$H583=BL$4),SUM($J583,$M583,$P583,$S583),"")</f>
        <v/>
      </c>
      <c r="BM583" s="41" t="str">
        <f>IF(AND($G583='Povolené hodnoty'!$B$14,$H583=BM$4),SUM($J583,$M583,$P583,$S583),"")</f>
        <v/>
      </c>
      <c r="BO583" s="18" t="b">
        <f t="shared" ref="BO583:BO605" si="351">OR(BP583:BT583)</f>
        <v>0</v>
      </c>
      <c r="BP583" s="18" t="b">
        <f t="shared" si="322"/>
        <v>0</v>
      </c>
      <c r="BQ583" s="18" t="b">
        <f>AND(E583&lt;&gt;'Povolené hodnoty'!$B$6,F583&lt;&gt;'Povolené hodnoty'!$D$7,F583&lt;&gt;'Povolené hodnoty'!$D$8,OR(SUM(I583,L583,O583,R583)&lt;&gt;SUM(W583:X583,AA583:AG583),SUM(J583,M583,P583,S583)&lt;&gt;SUM(Y583:Z583,AH583:AK583),COUNT(I583:J583,L583:M583,O583:P583,R583:S583)&lt;&gt;COUNT(W583:AK583)))</f>
        <v>0</v>
      </c>
      <c r="BR583" s="18" t="b">
        <f>OR(AND(E583='Povolené hodnoty'!$B$6,$BR$5),AND(E583='Povolené hodnoty'!$B$6,H583&lt;&gt;'Povolené hodnoty'!$E$26,H583&lt;&gt;'Povolené hodnoty'!$E$35),AND(E583&lt;&gt;'Povolené hodnoty'!$B$6,OR(H583='Povolené hodnoty'!$E$26,H583='Povolené hodnoty'!$E$35)))</f>
        <v>0</v>
      </c>
      <c r="BS583" s="18" t="b">
        <f>OR(AND(G583&lt;&gt;'Povolené hodnoty'!$B$13,OR(H583='Povolené hodnoty'!$E$21,H583='Povolené hodnoty'!$E$22,H583='Povolené hodnoty'!$E$23,H583='Povolené hodnoty'!$E$24,H583='Povolené hodnoty'!$E$26,H583='Povolené hodnoty'!$E$36)),COUNT(I583:J583,L583:M583,O583:P583,R583:S583)&lt;&gt;COUNT(AL583:BM583))</f>
        <v>0</v>
      </c>
      <c r="BT583" s="18" t="b">
        <f t="shared" si="323"/>
        <v>0</v>
      </c>
      <c r="BV583" s="39" t="str">
        <f t="shared" si="324"/>
        <v/>
      </c>
      <c r="BW583" s="458" t="str">
        <f t="shared" si="325"/>
        <v/>
      </c>
      <c r="BX583" s="458" t="str">
        <f t="shared" si="326"/>
        <v/>
      </c>
      <c r="BY583" s="458" t="str">
        <f t="shared" si="327"/>
        <v/>
      </c>
      <c r="BZ583" s="458" t="str">
        <f t="shared" si="328"/>
        <v/>
      </c>
      <c r="CA583" s="40" t="str">
        <f t="shared" si="329"/>
        <v/>
      </c>
      <c r="CB583" s="40" t="str">
        <f t="shared" si="330"/>
        <v/>
      </c>
      <c r="CC583" s="39" t="str">
        <f t="shared" si="331"/>
        <v/>
      </c>
      <c r="CD583" s="458" t="str">
        <f t="shared" si="332"/>
        <v/>
      </c>
      <c r="CE583" s="41" t="str">
        <f t="shared" si="333"/>
        <v/>
      </c>
      <c r="CF583" s="39" t="str">
        <f t="shared" si="334"/>
        <v/>
      </c>
      <c r="CG583" s="458" t="str">
        <f t="shared" si="335"/>
        <v/>
      </c>
      <c r="CH583" s="458" t="str">
        <f t="shared" si="336"/>
        <v/>
      </c>
      <c r="CI583" s="458" t="str">
        <f t="shared" si="337"/>
        <v/>
      </c>
      <c r="CJ583" s="458" t="str">
        <f t="shared" si="338"/>
        <v/>
      </c>
      <c r="CK583" s="40" t="str">
        <f t="shared" si="339"/>
        <v/>
      </c>
      <c r="CL583" s="40" t="str">
        <f t="shared" si="340"/>
        <v/>
      </c>
      <c r="CM583" s="40" t="str">
        <f t="shared" si="341"/>
        <v/>
      </c>
      <c r="CN583" s="39" t="str">
        <f t="shared" si="342"/>
        <v/>
      </c>
      <c r="CO583" s="458" t="str">
        <f t="shared" si="343"/>
        <v/>
      </c>
      <c r="CP583" s="458" t="str">
        <f t="shared" si="344"/>
        <v/>
      </c>
      <c r="CQ583" s="458" t="str">
        <f t="shared" si="345"/>
        <v/>
      </c>
      <c r="CR583" s="458" t="str">
        <f t="shared" si="346"/>
        <v/>
      </c>
      <c r="CS583" s="40" t="str">
        <f t="shared" si="347"/>
        <v/>
      </c>
      <c r="CT583" s="40" t="str">
        <f t="shared" si="348"/>
        <v/>
      </c>
      <c r="CU583" s="41" t="str">
        <f t="shared" si="349"/>
        <v/>
      </c>
    </row>
    <row r="584" spans="1:99" x14ac:dyDescent="0.2">
      <c r="A584" s="77">
        <f t="shared" si="350"/>
        <v>579</v>
      </c>
      <c r="B584" s="81"/>
      <c r="C584" s="82"/>
      <c r="D584" s="71"/>
      <c r="E584" s="72"/>
      <c r="F584" s="73"/>
      <c r="G584" s="443"/>
      <c r="H584" s="443"/>
      <c r="I584" s="74"/>
      <c r="J584" s="75"/>
      <c r="K584" s="41">
        <f t="shared" si="319"/>
        <v>3625</v>
      </c>
      <c r="L584" s="104"/>
      <c r="M584" s="105"/>
      <c r="N584" s="106">
        <f t="shared" si="320"/>
        <v>537.05999999999995</v>
      </c>
      <c r="O584" s="104"/>
      <c r="P584" s="105"/>
      <c r="Q584" s="106">
        <f t="shared" ref="Q584:Q605" si="352">Q583+O584-P584</f>
        <v>10045.83</v>
      </c>
      <c r="R584" s="104"/>
      <c r="S584" s="105"/>
      <c r="T584" s="106">
        <f t="shared" ref="T584:T605" si="353">T583+R584-S584</f>
        <v>0</v>
      </c>
      <c r="U584" s="439"/>
      <c r="V584" s="42">
        <f t="shared" si="321"/>
        <v>579</v>
      </c>
      <c r="W584" s="39" t="str">
        <f>IF(AND(E584='Povolené hodnoty'!$B$4,F584=2),I584+L584+O584+R584,"")</f>
        <v/>
      </c>
      <c r="X584" s="41" t="str">
        <f>IF(AND(E584='Povolené hodnoty'!$B$4,F584=1),I584+L584+O584+R584,"")</f>
        <v/>
      </c>
      <c r="Y584" s="39" t="str">
        <f>IF(AND(E584='Povolené hodnoty'!$B$4,F584=10),J584+M584+P584+S584,"")</f>
        <v/>
      </c>
      <c r="Z584" s="41" t="str">
        <f>IF(AND(E584='Povolené hodnoty'!$B$4,F584=9),J584+M584+P584+S584,"")</f>
        <v/>
      </c>
      <c r="AA584" s="39" t="str">
        <f>IF(AND(E584&lt;&gt;'Povolené hodnoty'!$B$4,F584=2),I584+L584+O584+R584,"")</f>
        <v/>
      </c>
      <c r="AB584" s="40" t="str">
        <f>IF(AND(E584&lt;&gt;'Povolené hodnoty'!$B$4,F584=3),I584+L584+O584+R584,"")</f>
        <v/>
      </c>
      <c r="AC584" s="40" t="str">
        <f>IF(AND(E584&lt;&gt;'Povolené hodnoty'!$B$4,F584=4),I584+L584+O584+R584,"")</f>
        <v/>
      </c>
      <c r="AD584" s="40" t="str">
        <f>IF(AND(E584&lt;&gt;'Povolené hodnoty'!$B$4,F584="5a"),I584-J584+L584-M584+O584-P584+R584-S584,"")</f>
        <v/>
      </c>
      <c r="AE584" s="40" t="str">
        <f>IF(AND(E584&lt;&gt;'Povolené hodnoty'!$B$4,F584="5b"),I584-J584+L584-M584+O584-P584+R584-S584,"")</f>
        <v/>
      </c>
      <c r="AF584" s="40" t="str">
        <f>IF(AND(E584&lt;&gt;'Povolené hodnoty'!$B$4,F584=6),I584+L584+O584+R584,"")</f>
        <v/>
      </c>
      <c r="AG584" s="41" t="str">
        <f>IF(AND(E584&lt;&gt;'Povolené hodnoty'!$B$4,F584=7),I584+L584+O584+R584,"")</f>
        <v/>
      </c>
      <c r="AH584" s="39" t="str">
        <f>IF(AND(E584&lt;&gt;'Povolené hodnoty'!$B$4,F584=10),J584+M584+P584+S584,"")</f>
        <v/>
      </c>
      <c r="AI584" s="40" t="str">
        <f>IF(AND(E584&lt;&gt;'Povolené hodnoty'!$B$4,F584=11),J584+M584+P584+S584,"")</f>
        <v/>
      </c>
      <c r="AJ584" s="40" t="str">
        <f>IF(AND(E584&lt;&gt;'Povolené hodnoty'!$B$4,F584=12),J584+M584+P584+S584,"")</f>
        <v/>
      </c>
      <c r="AK584" s="41" t="str">
        <f>IF(AND(E584&lt;&gt;'Povolené hodnoty'!$B$4,F584=13),J584+M584+P584+S584,"")</f>
        <v/>
      </c>
      <c r="AL584" s="39" t="str">
        <f>IF(AND($G584='Povolené hodnoty'!$B$13,$H584=AL$4),SUM($I584,$L584,$O584,$R584),"")</f>
        <v/>
      </c>
      <c r="AM584" s="458" t="str">
        <f>IF(AND($G584='Povolené hodnoty'!$B$13,$H584=AM$4),SUM($I584,$L584,$O584,$R584),"")</f>
        <v/>
      </c>
      <c r="AN584" s="458" t="str">
        <f>IF(AND($G584='Povolené hodnoty'!$B$13,$H584=AN$4),SUM($I584,$L584,$O584,$R584),"")</f>
        <v/>
      </c>
      <c r="AO584" s="458" t="str">
        <f>IF(AND($G584='Povolené hodnoty'!$B$13,$H584=AO$4),SUM($I584,$L584,$O584,$R584),"")</f>
        <v/>
      </c>
      <c r="AP584" s="458" t="str">
        <f>IF(AND($G584='Povolené hodnoty'!$B$13,$H584=AP$4),SUM($I584,$L584,$O584,$R584),"")</f>
        <v/>
      </c>
      <c r="AQ584" s="40" t="str">
        <f>IF(AND($G584='Povolené hodnoty'!$B$13,OR($H584=AQ$4,$H584='Povolené hodnoty'!$E$36)),SUM($I584,-$J584,$L584,-$M584,$O584,-$P584,$R584,-$S584),"")</f>
        <v/>
      </c>
      <c r="AR584" s="40" t="str">
        <f>IF(AND($G584='Povolené hodnoty'!$B$13,$H584=AR$4),SUM($I584,$L584,$O584,$R584),"")</f>
        <v/>
      </c>
      <c r="AS584" s="41" t="str">
        <f>IF(AND($G584='Povolené hodnoty'!$B$13,$H584=AS$4),SUM($I584,$L584,$O584,$R584),"")</f>
        <v/>
      </c>
      <c r="AT584" s="39" t="str">
        <f>IF(AND($G584='Povolené hodnoty'!$B$14,$H584=AT$4),SUM($I584,$L584,$O584,$R584),"")</f>
        <v/>
      </c>
      <c r="AU584" s="458" t="str">
        <f>IF(AND($G584='Povolené hodnoty'!$B$14,$H584=AU$4),SUM($I584,$L584,$O584,$R584),"")</f>
        <v/>
      </c>
      <c r="AV584" s="41" t="str">
        <f>IF(AND($G584='Povolené hodnoty'!$B$14,$H584=AV$4),SUM($I584,$L584,$O584,$R584),"")</f>
        <v/>
      </c>
      <c r="AW584" s="39" t="str">
        <f>IF(AND($G584='Povolené hodnoty'!$B$13,$H584=AW$4),SUM($J584,$M584,$P584,$S584),"")</f>
        <v/>
      </c>
      <c r="AX584" s="458" t="str">
        <f>IF(AND($G584='Povolené hodnoty'!$B$13,$H584=AX$4),SUM($J584,$M584,$P584,$S584),"")</f>
        <v/>
      </c>
      <c r="AY584" s="458" t="str">
        <f>IF(AND($G584='Povolené hodnoty'!$B$13,$H584=AY$4),SUM($J584,$M584,$P584,$S584),"")</f>
        <v/>
      </c>
      <c r="AZ584" s="458" t="str">
        <f>IF(AND($G584='Povolené hodnoty'!$B$13,$H584=AZ$4),SUM($J584,$M584,$P584,$S584),"")</f>
        <v/>
      </c>
      <c r="BA584" s="458" t="str">
        <f>IF(AND($G584='Povolené hodnoty'!$B$13,$H584=BA$4),SUM($J584,$M584,$P584,$S584),"")</f>
        <v/>
      </c>
      <c r="BB584" s="40" t="str">
        <f>IF(AND($G584='Povolené hodnoty'!$B$13,$H584=BB$4),SUM($J584,$M584,$P584,$S584),"")</f>
        <v/>
      </c>
      <c r="BC584" s="40" t="str">
        <f>IF(AND($G584='Povolené hodnoty'!$B$13,$H584=BC$4),SUM($J584,$M584,$P584,$S584),"")</f>
        <v/>
      </c>
      <c r="BD584" s="40" t="str">
        <f>IF(AND($G584='Povolené hodnoty'!$B$13,$H584=BD$4),SUM($J584,$M584,$P584,$S584),"")</f>
        <v/>
      </c>
      <c r="BE584" s="41" t="str">
        <f>IF(AND($G584='Povolené hodnoty'!$B$13,$H584=BE$4),SUM($J584,$M584,$P584,$S584),"")</f>
        <v/>
      </c>
      <c r="BF584" s="39" t="str">
        <f>IF(AND($G584='Povolené hodnoty'!$B$14,$H584=BF$4),SUM($J584,$M584,$P584,$S584),"")</f>
        <v/>
      </c>
      <c r="BG584" s="458" t="str">
        <f>IF(AND($G584='Povolené hodnoty'!$B$14,$H584=BG$4),SUM($J584,$M584,$P584,$S584),"")</f>
        <v/>
      </c>
      <c r="BH584" s="458" t="str">
        <f>IF(AND($G584='Povolené hodnoty'!$B$14,$H584=BH$4),SUM($J584,$M584,$P584,$S584),"")</f>
        <v/>
      </c>
      <c r="BI584" s="458" t="str">
        <f>IF(AND($G584='Povolené hodnoty'!$B$14,$H584=BI$4),SUM($J584,$M584,$P584,$S584),"")</f>
        <v/>
      </c>
      <c r="BJ584" s="458" t="str">
        <f>IF(AND($G584='Povolené hodnoty'!$B$14,$H584=BJ$4),SUM($J584,$M584,$P584,$S584),"")</f>
        <v/>
      </c>
      <c r="BK584" s="40" t="str">
        <f>IF(AND($G584='Povolené hodnoty'!$B$14,$H584=BK$4),SUM($J584,$M584,$P584,$S584),"")</f>
        <v/>
      </c>
      <c r="BL584" s="40" t="str">
        <f>IF(AND($G584='Povolené hodnoty'!$B$14,$H584=BL$4),SUM($J584,$M584,$P584,$S584),"")</f>
        <v/>
      </c>
      <c r="BM584" s="41" t="str">
        <f>IF(AND($G584='Povolené hodnoty'!$B$14,$H584=BM$4),SUM($J584,$M584,$P584,$S584),"")</f>
        <v/>
      </c>
      <c r="BO584" s="18" t="b">
        <f t="shared" si="351"/>
        <v>0</v>
      </c>
      <c r="BP584" s="18" t="b">
        <f t="shared" si="322"/>
        <v>0</v>
      </c>
      <c r="BQ584" s="18" t="b">
        <f>AND(E584&lt;&gt;'Povolené hodnoty'!$B$6,F584&lt;&gt;'Povolené hodnoty'!$D$7,F584&lt;&gt;'Povolené hodnoty'!$D$8,OR(SUM(I584,L584,O584,R584)&lt;&gt;SUM(W584:X584,AA584:AG584),SUM(J584,M584,P584,S584)&lt;&gt;SUM(Y584:Z584,AH584:AK584),COUNT(I584:J584,L584:M584,O584:P584,R584:S584)&lt;&gt;COUNT(W584:AK584)))</f>
        <v>0</v>
      </c>
      <c r="BR584" s="18" t="b">
        <f>OR(AND(E584='Povolené hodnoty'!$B$6,$BR$5),AND(E584='Povolené hodnoty'!$B$6,H584&lt;&gt;'Povolené hodnoty'!$E$26,H584&lt;&gt;'Povolené hodnoty'!$E$35),AND(E584&lt;&gt;'Povolené hodnoty'!$B$6,OR(H584='Povolené hodnoty'!$E$26,H584='Povolené hodnoty'!$E$35)))</f>
        <v>0</v>
      </c>
      <c r="BS584" s="18" t="b">
        <f>OR(AND(G584&lt;&gt;'Povolené hodnoty'!$B$13,OR(H584='Povolené hodnoty'!$E$21,H584='Povolené hodnoty'!$E$22,H584='Povolené hodnoty'!$E$23,H584='Povolené hodnoty'!$E$24,H584='Povolené hodnoty'!$E$26,H584='Povolené hodnoty'!$E$36)),COUNT(I584:J584,L584:M584,O584:P584,R584:S584)&lt;&gt;COUNT(AL584:BM584))</f>
        <v>0</v>
      </c>
      <c r="BT584" s="18" t="b">
        <f t="shared" si="323"/>
        <v>0</v>
      </c>
      <c r="BV584" s="39" t="str">
        <f t="shared" si="324"/>
        <v/>
      </c>
      <c r="BW584" s="458" t="str">
        <f t="shared" si="325"/>
        <v/>
      </c>
      <c r="BX584" s="458" t="str">
        <f t="shared" si="326"/>
        <v/>
      </c>
      <c r="BY584" s="458" t="str">
        <f t="shared" si="327"/>
        <v/>
      </c>
      <c r="BZ584" s="458" t="str">
        <f t="shared" si="328"/>
        <v/>
      </c>
      <c r="CA584" s="40" t="str">
        <f t="shared" si="329"/>
        <v/>
      </c>
      <c r="CB584" s="40" t="str">
        <f t="shared" si="330"/>
        <v/>
      </c>
      <c r="CC584" s="39" t="str">
        <f t="shared" si="331"/>
        <v/>
      </c>
      <c r="CD584" s="458" t="str">
        <f t="shared" si="332"/>
        <v/>
      </c>
      <c r="CE584" s="41" t="str">
        <f t="shared" si="333"/>
        <v/>
      </c>
      <c r="CF584" s="39" t="str">
        <f t="shared" si="334"/>
        <v/>
      </c>
      <c r="CG584" s="458" t="str">
        <f t="shared" si="335"/>
        <v/>
      </c>
      <c r="CH584" s="458" t="str">
        <f t="shared" si="336"/>
        <v/>
      </c>
      <c r="CI584" s="458" t="str">
        <f t="shared" si="337"/>
        <v/>
      </c>
      <c r="CJ584" s="458" t="str">
        <f t="shared" si="338"/>
        <v/>
      </c>
      <c r="CK584" s="40" t="str">
        <f t="shared" si="339"/>
        <v/>
      </c>
      <c r="CL584" s="40" t="str">
        <f t="shared" si="340"/>
        <v/>
      </c>
      <c r="CM584" s="40" t="str">
        <f t="shared" si="341"/>
        <v/>
      </c>
      <c r="CN584" s="39" t="str">
        <f t="shared" si="342"/>
        <v/>
      </c>
      <c r="CO584" s="458" t="str">
        <f t="shared" si="343"/>
        <v/>
      </c>
      <c r="CP584" s="458" t="str">
        <f t="shared" si="344"/>
        <v/>
      </c>
      <c r="CQ584" s="458" t="str">
        <f t="shared" si="345"/>
        <v/>
      </c>
      <c r="CR584" s="458" t="str">
        <f t="shared" si="346"/>
        <v/>
      </c>
      <c r="CS584" s="40" t="str">
        <f t="shared" si="347"/>
        <v/>
      </c>
      <c r="CT584" s="40" t="str">
        <f t="shared" si="348"/>
        <v/>
      </c>
      <c r="CU584" s="41" t="str">
        <f t="shared" si="349"/>
        <v/>
      </c>
    </row>
    <row r="585" spans="1:99" x14ac:dyDescent="0.2">
      <c r="A585" s="77">
        <f t="shared" si="350"/>
        <v>580</v>
      </c>
      <c r="B585" s="81"/>
      <c r="C585" s="82"/>
      <c r="D585" s="71"/>
      <c r="E585" s="72"/>
      <c r="F585" s="73"/>
      <c r="G585" s="443"/>
      <c r="H585" s="443"/>
      <c r="I585" s="74"/>
      <c r="J585" s="75"/>
      <c r="K585" s="41">
        <f t="shared" si="319"/>
        <v>3625</v>
      </c>
      <c r="L585" s="104"/>
      <c r="M585" s="105"/>
      <c r="N585" s="106">
        <f t="shared" si="320"/>
        <v>537.05999999999995</v>
      </c>
      <c r="O585" s="104"/>
      <c r="P585" s="105"/>
      <c r="Q585" s="106">
        <f t="shared" si="352"/>
        <v>10045.83</v>
      </c>
      <c r="R585" s="104"/>
      <c r="S585" s="105"/>
      <c r="T585" s="106">
        <f t="shared" si="353"/>
        <v>0</v>
      </c>
      <c r="U585" s="439"/>
      <c r="V585" s="42">
        <f t="shared" si="321"/>
        <v>580</v>
      </c>
      <c r="W585" s="39" t="str">
        <f>IF(AND(E585='Povolené hodnoty'!$B$4,F585=2),I585+L585+O585+R585,"")</f>
        <v/>
      </c>
      <c r="X585" s="41" t="str">
        <f>IF(AND(E585='Povolené hodnoty'!$B$4,F585=1),I585+L585+O585+R585,"")</f>
        <v/>
      </c>
      <c r="Y585" s="39" t="str">
        <f>IF(AND(E585='Povolené hodnoty'!$B$4,F585=10),J585+M585+P585+S585,"")</f>
        <v/>
      </c>
      <c r="Z585" s="41" t="str">
        <f>IF(AND(E585='Povolené hodnoty'!$B$4,F585=9),J585+M585+P585+S585,"")</f>
        <v/>
      </c>
      <c r="AA585" s="39" t="str">
        <f>IF(AND(E585&lt;&gt;'Povolené hodnoty'!$B$4,F585=2),I585+L585+O585+R585,"")</f>
        <v/>
      </c>
      <c r="AB585" s="40" t="str">
        <f>IF(AND(E585&lt;&gt;'Povolené hodnoty'!$B$4,F585=3),I585+L585+O585+R585,"")</f>
        <v/>
      </c>
      <c r="AC585" s="40" t="str">
        <f>IF(AND(E585&lt;&gt;'Povolené hodnoty'!$B$4,F585=4),I585+L585+O585+R585,"")</f>
        <v/>
      </c>
      <c r="AD585" s="40" t="str">
        <f>IF(AND(E585&lt;&gt;'Povolené hodnoty'!$B$4,F585="5a"),I585-J585+L585-M585+O585-P585+R585-S585,"")</f>
        <v/>
      </c>
      <c r="AE585" s="40" t="str">
        <f>IF(AND(E585&lt;&gt;'Povolené hodnoty'!$B$4,F585="5b"),I585-J585+L585-M585+O585-P585+R585-S585,"")</f>
        <v/>
      </c>
      <c r="AF585" s="40" t="str">
        <f>IF(AND(E585&lt;&gt;'Povolené hodnoty'!$B$4,F585=6),I585+L585+O585+R585,"")</f>
        <v/>
      </c>
      <c r="AG585" s="41" t="str">
        <f>IF(AND(E585&lt;&gt;'Povolené hodnoty'!$B$4,F585=7),I585+L585+O585+R585,"")</f>
        <v/>
      </c>
      <c r="AH585" s="39" t="str">
        <f>IF(AND(E585&lt;&gt;'Povolené hodnoty'!$B$4,F585=10),J585+M585+P585+S585,"")</f>
        <v/>
      </c>
      <c r="AI585" s="40" t="str">
        <f>IF(AND(E585&lt;&gt;'Povolené hodnoty'!$B$4,F585=11),J585+M585+P585+S585,"")</f>
        <v/>
      </c>
      <c r="AJ585" s="40" t="str">
        <f>IF(AND(E585&lt;&gt;'Povolené hodnoty'!$B$4,F585=12),J585+M585+P585+S585,"")</f>
        <v/>
      </c>
      <c r="AK585" s="41" t="str">
        <f>IF(AND(E585&lt;&gt;'Povolené hodnoty'!$B$4,F585=13),J585+M585+P585+S585,"")</f>
        <v/>
      </c>
      <c r="AL585" s="39" t="str">
        <f>IF(AND($G585='Povolené hodnoty'!$B$13,$H585=AL$4),SUM($I585,$L585,$O585,$R585),"")</f>
        <v/>
      </c>
      <c r="AM585" s="458" t="str">
        <f>IF(AND($G585='Povolené hodnoty'!$B$13,$H585=AM$4),SUM($I585,$L585,$O585,$R585),"")</f>
        <v/>
      </c>
      <c r="AN585" s="458" t="str">
        <f>IF(AND($G585='Povolené hodnoty'!$B$13,$H585=AN$4),SUM($I585,$L585,$O585,$R585),"")</f>
        <v/>
      </c>
      <c r="AO585" s="458" t="str">
        <f>IF(AND($G585='Povolené hodnoty'!$B$13,$H585=AO$4),SUM($I585,$L585,$O585,$R585),"")</f>
        <v/>
      </c>
      <c r="AP585" s="458" t="str">
        <f>IF(AND($G585='Povolené hodnoty'!$B$13,$H585=AP$4),SUM($I585,$L585,$O585,$R585),"")</f>
        <v/>
      </c>
      <c r="AQ585" s="40" t="str">
        <f>IF(AND($G585='Povolené hodnoty'!$B$13,OR($H585=AQ$4,$H585='Povolené hodnoty'!$E$36)),SUM($I585,-$J585,$L585,-$M585,$O585,-$P585,$R585,-$S585),"")</f>
        <v/>
      </c>
      <c r="AR585" s="40" t="str">
        <f>IF(AND($G585='Povolené hodnoty'!$B$13,$H585=AR$4),SUM($I585,$L585,$O585,$R585),"")</f>
        <v/>
      </c>
      <c r="AS585" s="41" t="str">
        <f>IF(AND($G585='Povolené hodnoty'!$B$13,$H585=AS$4),SUM($I585,$L585,$O585,$R585),"")</f>
        <v/>
      </c>
      <c r="AT585" s="39" t="str">
        <f>IF(AND($G585='Povolené hodnoty'!$B$14,$H585=AT$4),SUM($I585,$L585,$O585,$R585),"")</f>
        <v/>
      </c>
      <c r="AU585" s="458" t="str">
        <f>IF(AND($G585='Povolené hodnoty'!$B$14,$H585=AU$4),SUM($I585,$L585,$O585,$R585),"")</f>
        <v/>
      </c>
      <c r="AV585" s="41" t="str">
        <f>IF(AND($G585='Povolené hodnoty'!$B$14,$H585=AV$4),SUM($I585,$L585,$O585,$R585),"")</f>
        <v/>
      </c>
      <c r="AW585" s="39" t="str">
        <f>IF(AND($G585='Povolené hodnoty'!$B$13,$H585=AW$4),SUM($J585,$M585,$P585,$S585),"")</f>
        <v/>
      </c>
      <c r="AX585" s="458" t="str">
        <f>IF(AND($G585='Povolené hodnoty'!$B$13,$H585=AX$4),SUM($J585,$M585,$P585,$S585),"")</f>
        <v/>
      </c>
      <c r="AY585" s="458" t="str">
        <f>IF(AND($G585='Povolené hodnoty'!$B$13,$H585=AY$4),SUM($J585,$M585,$P585,$S585),"")</f>
        <v/>
      </c>
      <c r="AZ585" s="458" t="str">
        <f>IF(AND($G585='Povolené hodnoty'!$B$13,$H585=AZ$4),SUM($J585,$M585,$P585,$S585),"")</f>
        <v/>
      </c>
      <c r="BA585" s="458" t="str">
        <f>IF(AND($G585='Povolené hodnoty'!$B$13,$H585=BA$4),SUM($J585,$M585,$P585,$S585),"")</f>
        <v/>
      </c>
      <c r="BB585" s="40" t="str">
        <f>IF(AND($G585='Povolené hodnoty'!$B$13,$H585=BB$4),SUM($J585,$M585,$P585,$S585),"")</f>
        <v/>
      </c>
      <c r="BC585" s="40" t="str">
        <f>IF(AND($G585='Povolené hodnoty'!$B$13,$H585=BC$4),SUM($J585,$M585,$P585,$S585),"")</f>
        <v/>
      </c>
      <c r="BD585" s="40" t="str">
        <f>IF(AND($G585='Povolené hodnoty'!$B$13,$H585=BD$4),SUM($J585,$M585,$P585,$S585),"")</f>
        <v/>
      </c>
      <c r="BE585" s="41" t="str">
        <f>IF(AND($G585='Povolené hodnoty'!$B$13,$H585=BE$4),SUM($J585,$M585,$P585,$S585),"")</f>
        <v/>
      </c>
      <c r="BF585" s="39" t="str">
        <f>IF(AND($G585='Povolené hodnoty'!$B$14,$H585=BF$4),SUM($J585,$M585,$P585,$S585),"")</f>
        <v/>
      </c>
      <c r="BG585" s="458" t="str">
        <f>IF(AND($G585='Povolené hodnoty'!$B$14,$H585=BG$4),SUM($J585,$M585,$P585,$S585),"")</f>
        <v/>
      </c>
      <c r="BH585" s="458" t="str">
        <f>IF(AND($G585='Povolené hodnoty'!$B$14,$H585=BH$4),SUM($J585,$M585,$P585,$S585),"")</f>
        <v/>
      </c>
      <c r="BI585" s="458" t="str">
        <f>IF(AND($G585='Povolené hodnoty'!$B$14,$H585=BI$4),SUM($J585,$M585,$P585,$S585),"")</f>
        <v/>
      </c>
      <c r="BJ585" s="458" t="str">
        <f>IF(AND($G585='Povolené hodnoty'!$B$14,$H585=BJ$4),SUM($J585,$M585,$P585,$S585),"")</f>
        <v/>
      </c>
      <c r="BK585" s="40" t="str">
        <f>IF(AND($G585='Povolené hodnoty'!$B$14,$H585=BK$4),SUM($J585,$M585,$P585,$S585),"")</f>
        <v/>
      </c>
      <c r="BL585" s="40" t="str">
        <f>IF(AND($G585='Povolené hodnoty'!$B$14,$H585=BL$4),SUM($J585,$M585,$P585,$S585),"")</f>
        <v/>
      </c>
      <c r="BM585" s="41" t="str">
        <f>IF(AND($G585='Povolené hodnoty'!$B$14,$H585=BM$4),SUM($J585,$M585,$P585,$S585),"")</f>
        <v/>
      </c>
      <c r="BO585" s="18" t="b">
        <f t="shared" si="351"/>
        <v>0</v>
      </c>
      <c r="BP585" s="18" t="b">
        <f t="shared" si="322"/>
        <v>0</v>
      </c>
      <c r="BQ585" s="18" t="b">
        <f>AND(E585&lt;&gt;'Povolené hodnoty'!$B$6,F585&lt;&gt;'Povolené hodnoty'!$D$7,F585&lt;&gt;'Povolené hodnoty'!$D$8,OR(SUM(I585,L585,O585,R585)&lt;&gt;SUM(W585:X585,AA585:AG585),SUM(J585,M585,P585,S585)&lt;&gt;SUM(Y585:Z585,AH585:AK585),COUNT(I585:J585,L585:M585,O585:P585,R585:S585)&lt;&gt;COUNT(W585:AK585)))</f>
        <v>0</v>
      </c>
      <c r="BR585" s="18" t="b">
        <f>OR(AND(E585='Povolené hodnoty'!$B$6,$BR$5),AND(E585='Povolené hodnoty'!$B$6,H585&lt;&gt;'Povolené hodnoty'!$E$26,H585&lt;&gt;'Povolené hodnoty'!$E$35),AND(E585&lt;&gt;'Povolené hodnoty'!$B$6,OR(H585='Povolené hodnoty'!$E$26,H585='Povolené hodnoty'!$E$35)))</f>
        <v>0</v>
      </c>
      <c r="BS585" s="18" t="b">
        <f>OR(AND(G585&lt;&gt;'Povolené hodnoty'!$B$13,OR(H585='Povolené hodnoty'!$E$21,H585='Povolené hodnoty'!$E$22,H585='Povolené hodnoty'!$E$23,H585='Povolené hodnoty'!$E$24,H585='Povolené hodnoty'!$E$26,H585='Povolené hodnoty'!$E$36)),COUNT(I585:J585,L585:M585,O585:P585,R585:S585)&lt;&gt;COUNT(AL585:BM585))</f>
        <v>0</v>
      </c>
      <c r="BT585" s="18" t="b">
        <f t="shared" si="323"/>
        <v>0</v>
      </c>
      <c r="BV585" s="39" t="str">
        <f t="shared" si="324"/>
        <v/>
      </c>
      <c r="BW585" s="458" t="str">
        <f t="shared" si="325"/>
        <v/>
      </c>
      <c r="BX585" s="458" t="str">
        <f t="shared" si="326"/>
        <v/>
      </c>
      <c r="BY585" s="458" t="str">
        <f t="shared" si="327"/>
        <v/>
      </c>
      <c r="BZ585" s="458" t="str">
        <f t="shared" si="328"/>
        <v/>
      </c>
      <c r="CA585" s="40" t="str">
        <f t="shared" si="329"/>
        <v/>
      </c>
      <c r="CB585" s="40" t="str">
        <f t="shared" si="330"/>
        <v/>
      </c>
      <c r="CC585" s="39" t="str">
        <f t="shared" si="331"/>
        <v/>
      </c>
      <c r="CD585" s="458" t="str">
        <f t="shared" si="332"/>
        <v/>
      </c>
      <c r="CE585" s="41" t="str">
        <f t="shared" si="333"/>
        <v/>
      </c>
      <c r="CF585" s="39" t="str">
        <f t="shared" si="334"/>
        <v/>
      </c>
      <c r="CG585" s="458" t="str">
        <f t="shared" si="335"/>
        <v/>
      </c>
      <c r="CH585" s="458" t="str">
        <f t="shared" si="336"/>
        <v/>
      </c>
      <c r="CI585" s="458" t="str">
        <f t="shared" si="337"/>
        <v/>
      </c>
      <c r="CJ585" s="458" t="str">
        <f t="shared" si="338"/>
        <v/>
      </c>
      <c r="CK585" s="40" t="str">
        <f t="shared" si="339"/>
        <v/>
      </c>
      <c r="CL585" s="40" t="str">
        <f t="shared" si="340"/>
        <v/>
      </c>
      <c r="CM585" s="40" t="str">
        <f t="shared" si="341"/>
        <v/>
      </c>
      <c r="CN585" s="39" t="str">
        <f t="shared" si="342"/>
        <v/>
      </c>
      <c r="CO585" s="458" t="str">
        <f t="shared" si="343"/>
        <v/>
      </c>
      <c r="CP585" s="458" t="str">
        <f t="shared" si="344"/>
        <v/>
      </c>
      <c r="CQ585" s="458" t="str">
        <f t="shared" si="345"/>
        <v/>
      </c>
      <c r="CR585" s="458" t="str">
        <f t="shared" si="346"/>
        <v/>
      </c>
      <c r="CS585" s="40" t="str">
        <f t="shared" si="347"/>
        <v/>
      </c>
      <c r="CT585" s="40" t="str">
        <f t="shared" si="348"/>
        <v/>
      </c>
      <c r="CU585" s="41" t="str">
        <f t="shared" si="349"/>
        <v/>
      </c>
    </row>
    <row r="586" spans="1:99" x14ac:dyDescent="0.2">
      <c r="A586" s="77">
        <f t="shared" si="350"/>
        <v>581</v>
      </c>
      <c r="B586" s="81"/>
      <c r="C586" s="82"/>
      <c r="D586" s="71"/>
      <c r="E586" s="72"/>
      <c r="F586" s="73"/>
      <c r="G586" s="443"/>
      <c r="H586" s="443"/>
      <c r="I586" s="74"/>
      <c r="J586" s="75"/>
      <c r="K586" s="41">
        <f t="shared" si="319"/>
        <v>3625</v>
      </c>
      <c r="L586" s="104"/>
      <c r="M586" s="105"/>
      <c r="N586" s="106">
        <f t="shared" si="320"/>
        <v>537.05999999999995</v>
      </c>
      <c r="O586" s="104"/>
      <c r="P586" s="105"/>
      <c r="Q586" s="106">
        <f t="shared" si="352"/>
        <v>10045.83</v>
      </c>
      <c r="R586" s="104"/>
      <c r="S586" s="105"/>
      <c r="T586" s="106">
        <f t="shared" si="353"/>
        <v>0</v>
      </c>
      <c r="U586" s="439"/>
      <c r="V586" s="42">
        <f t="shared" si="321"/>
        <v>581</v>
      </c>
      <c r="W586" s="39" t="str">
        <f>IF(AND(E586='Povolené hodnoty'!$B$4,F586=2),I586+L586+O586+R586,"")</f>
        <v/>
      </c>
      <c r="X586" s="41" t="str">
        <f>IF(AND(E586='Povolené hodnoty'!$B$4,F586=1),I586+L586+O586+R586,"")</f>
        <v/>
      </c>
      <c r="Y586" s="39" t="str">
        <f>IF(AND(E586='Povolené hodnoty'!$B$4,F586=10),J586+M586+P586+S586,"")</f>
        <v/>
      </c>
      <c r="Z586" s="41" t="str">
        <f>IF(AND(E586='Povolené hodnoty'!$B$4,F586=9),J586+M586+P586+S586,"")</f>
        <v/>
      </c>
      <c r="AA586" s="39" t="str">
        <f>IF(AND(E586&lt;&gt;'Povolené hodnoty'!$B$4,F586=2),I586+L586+O586+R586,"")</f>
        <v/>
      </c>
      <c r="AB586" s="40" t="str">
        <f>IF(AND(E586&lt;&gt;'Povolené hodnoty'!$B$4,F586=3),I586+L586+O586+R586,"")</f>
        <v/>
      </c>
      <c r="AC586" s="40" t="str">
        <f>IF(AND(E586&lt;&gt;'Povolené hodnoty'!$B$4,F586=4),I586+L586+O586+R586,"")</f>
        <v/>
      </c>
      <c r="AD586" s="40" t="str">
        <f>IF(AND(E586&lt;&gt;'Povolené hodnoty'!$B$4,F586="5a"),I586-J586+L586-M586+O586-P586+R586-S586,"")</f>
        <v/>
      </c>
      <c r="AE586" s="40" t="str">
        <f>IF(AND(E586&lt;&gt;'Povolené hodnoty'!$B$4,F586="5b"),I586-J586+L586-M586+O586-P586+R586-S586,"")</f>
        <v/>
      </c>
      <c r="AF586" s="40" t="str">
        <f>IF(AND(E586&lt;&gt;'Povolené hodnoty'!$B$4,F586=6),I586+L586+O586+R586,"")</f>
        <v/>
      </c>
      <c r="AG586" s="41" t="str">
        <f>IF(AND(E586&lt;&gt;'Povolené hodnoty'!$B$4,F586=7),I586+L586+O586+R586,"")</f>
        <v/>
      </c>
      <c r="AH586" s="39" t="str">
        <f>IF(AND(E586&lt;&gt;'Povolené hodnoty'!$B$4,F586=10),J586+M586+P586+S586,"")</f>
        <v/>
      </c>
      <c r="AI586" s="40" t="str">
        <f>IF(AND(E586&lt;&gt;'Povolené hodnoty'!$B$4,F586=11),J586+M586+P586+S586,"")</f>
        <v/>
      </c>
      <c r="AJ586" s="40" t="str">
        <f>IF(AND(E586&lt;&gt;'Povolené hodnoty'!$B$4,F586=12),J586+M586+P586+S586,"")</f>
        <v/>
      </c>
      <c r="AK586" s="41" t="str">
        <f>IF(AND(E586&lt;&gt;'Povolené hodnoty'!$B$4,F586=13),J586+M586+P586+S586,"")</f>
        <v/>
      </c>
      <c r="AL586" s="39" t="str">
        <f>IF(AND($G586='Povolené hodnoty'!$B$13,$H586=AL$4),SUM($I586,$L586,$O586,$R586),"")</f>
        <v/>
      </c>
      <c r="AM586" s="458" t="str">
        <f>IF(AND($G586='Povolené hodnoty'!$B$13,$H586=AM$4),SUM($I586,$L586,$O586,$R586),"")</f>
        <v/>
      </c>
      <c r="AN586" s="458" t="str">
        <f>IF(AND($G586='Povolené hodnoty'!$B$13,$H586=AN$4),SUM($I586,$L586,$O586,$R586),"")</f>
        <v/>
      </c>
      <c r="AO586" s="458" t="str">
        <f>IF(AND($G586='Povolené hodnoty'!$B$13,$H586=AO$4),SUM($I586,$L586,$O586,$R586),"")</f>
        <v/>
      </c>
      <c r="AP586" s="458" t="str">
        <f>IF(AND($G586='Povolené hodnoty'!$B$13,$H586=AP$4),SUM($I586,$L586,$O586,$R586),"")</f>
        <v/>
      </c>
      <c r="AQ586" s="40" t="str">
        <f>IF(AND($G586='Povolené hodnoty'!$B$13,OR($H586=AQ$4,$H586='Povolené hodnoty'!$E$36)),SUM($I586,-$J586,$L586,-$M586,$O586,-$P586,$R586,-$S586),"")</f>
        <v/>
      </c>
      <c r="AR586" s="40" t="str">
        <f>IF(AND($G586='Povolené hodnoty'!$B$13,$H586=AR$4),SUM($I586,$L586,$O586,$R586),"")</f>
        <v/>
      </c>
      <c r="AS586" s="41" t="str">
        <f>IF(AND($G586='Povolené hodnoty'!$B$13,$H586=AS$4),SUM($I586,$L586,$O586,$R586),"")</f>
        <v/>
      </c>
      <c r="AT586" s="39" t="str">
        <f>IF(AND($G586='Povolené hodnoty'!$B$14,$H586=AT$4),SUM($I586,$L586,$O586,$R586),"")</f>
        <v/>
      </c>
      <c r="AU586" s="458" t="str">
        <f>IF(AND($G586='Povolené hodnoty'!$B$14,$H586=AU$4),SUM($I586,$L586,$O586,$R586),"")</f>
        <v/>
      </c>
      <c r="AV586" s="41" t="str">
        <f>IF(AND($G586='Povolené hodnoty'!$B$14,$H586=AV$4),SUM($I586,$L586,$O586,$R586),"")</f>
        <v/>
      </c>
      <c r="AW586" s="39" t="str">
        <f>IF(AND($G586='Povolené hodnoty'!$B$13,$H586=AW$4),SUM($J586,$M586,$P586,$S586),"")</f>
        <v/>
      </c>
      <c r="AX586" s="458" t="str">
        <f>IF(AND($G586='Povolené hodnoty'!$B$13,$H586=AX$4),SUM($J586,$M586,$P586,$S586),"")</f>
        <v/>
      </c>
      <c r="AY586" s="458" t="str">
        <f>IF(AND($G586='Povolené hodnoty'!$B$13,$H586=AY$4),SUM($J586,$M586,$P586,$S586),"")</f>
        <v/>
      </c>
      <c r="AZ586" s="458" t="str">
        <f>IF(AND($G586='Povolené hodnoty'!$B$13,$H586=AZ$4),SUM($J586,$M586,$P586,$S586),"")</f>
        <v/>
      </c>
      <c r="BA586" s="458" t="str">
        <f>IF(AND($G586='Povolené hodnoty'!$B$13,$H586=BA$4),SUM($J586,$M586,$P586,$S586),"")</f>
        <v/>
      </c>
      <c r="BB586" s="40" t="str">
        <f>IF(AND($G586='Povolené hodnoty'!$B$13,$H586=BB$4),SUM($J586,$M586,$P586,$S586),"")</f>
        <v/>
      </c>
      <c r="BC586" s="40" t="str">
        <f>IF(AND($G586='Povolené hodnoty'!$B$13,$H586=BC$4),SUM($J586,$M586,$P586,$S586),"")</f>
        <v/>
      </c>
      <c r="BD586" s="40" t="str">
        <f>IF(AND($G586='Povolené hodnoty'!$B$13,$H586=BD$4),SUM($J586,$M586,$P586,$S586),"")</f>
        <v/>
      </c>
      <c r="BE586" s="41" t="str">
        <f>IF(AND($G586='Povolené hodnoty'!$B$13,$H586=BE$4),SUM($J586,$M586,$P586,$S586),"")</f>
        <v/>
      </c>
      <c r="BF586" s="39" t="str">
        <f>IF(AND($G586='Povolené hodnoty'!$B$14,$H586=BF$4),SUM($J586,$M586,$P586,$S586),"")</f>
        <v/>
      </c>
      <c r="BG586" s="458" t="str">
        <f>IF(AND($G586='Povolené hodnoty'!$B$14,$H586=BG$4),SUM($J586,$M586,$P586,$S586),"")</f>
        <v/>
      </c>
      <c r="BH586" s="458" t="str">
        <f>IF(AND($G586='Povolené hodnoty'!$B$14,$H586=BH$4),SUM($J586,$M586,$P586,$S586),"")</f>
        <v/>
      </c>
      <c r="BI586" s="458" t="str">
        <f>IF(AND($G586='Povolené hodnoty'!$B$14,$H586=BI$4),SUM($J586,$M586,$P586,$S586),"")</f>
        <v/>
      </c>
      <c r="BJ586" s="458" t="str">
        <f>IF(AND($G586='Povolené hodnoty'!$B$14,$H586=BJ$4),SUM($J586,$M586,$P586,$S586),"")</f>
        <v/>
      </c>
      <c r="BK586" s="40" t="str">
        <f>IF(AND($G586='Povolené hodnoty'!$B$14,$H586=BK$4),SUM($J586,$M586,$P586,$S586),"")</f>
        <v/>
      </c>
      <c r="BL586" s="40" t="str">
        <f>IF(AND($G586='Povolené hodnoty'!$B$14,$H586=BL$4),SUM($J586,$M586,$P586,$S586),"")</f>
        <v/>
      </c>
      <c r="BM586" s="41" t="str">
        <f>IF(AND($G586='Povolené hodnoty'!$B$14,$H586=BM$4),SUM($J586,$M586,$P586,$S586),"")</f>
        <v/>
      </c>
      <c r="BO586" s="18" t="b">
        <f t="shared" si="351"/>
        <v>0</v>
      </c>
      <c r="BP586" s="18" t="b">
        <f t="shared" si="322"/>
        <v>0</v>
      </c>
      <c r="BQ586" s="18" t="b">
        <f>AND(E586&lt;&gt;'Povolené hodnoty'!$B$6,F586&lt;&gt;'Povolené hodnoty'!$D$7,F586&lt;&gt;'Povolené hodnoty'!$D$8,OR(SUM(I586,L586,O586,R586)&lt;&gt;SUM(W586:X586,AA586:AG586),SUM(J586,M586,P586,S586)&lt;&gt;SUM(Y586:Z586,AH586:AK586),COUNT(I586:J586,L586:M586,O586:P586,R586:S586)&lt;&gt;COUNT(W586:AK586)))</f>
        <v>0</v>
      </c>
      <c r="BR586" s="18" t="b">
        <f>OR(AND(E586='Povolené hodnoty'!$B$6,$BR$5),AND(E586='Povolené hodnoty'!$B$6,H586&lt;&gt;'Povolené hodnoty'!$E$26,H586&lt;&gt;'Povolené hodnoty'!$E$35),AND(E586&lt;&gt;'Povolené hodnoty'!$B$6,OR(H586='Povolené hodnoty'!$E$26,H586='Povolené hodnoty'!$E$35)))</f>
        <v>0</v>
      </c>
      <c r="BS586" s="18" t="b">
        <f>OR(AND(G586&lt;&gt;'Povolené hodnoty'!$B$13,OR(H586='Povolené hodnoty'!$E$21,H586='Povolené hodnoty'!$E$22,H586='Povolené hodnoty'!$E$23,H586='Povolené hodnoty'!$E$24,H586='Povolené hodnoty'!$E$26,H586='Povolené hodnoty'!$E$36)),COUNT(I586:J586,L586:M586,O586:P586,R586:S586)&lt;&gt;COUNT(AL586:BM586))</f>
        <v>0</v>
      </c>
      <c r="BT586" s="18" t="b">
        <f t="shared" si="323"/>
        <v>0</v>
      </c>
      <c r="BV586" s="39" t="str">
        <f t="shared" si="324"/>
        <v/>
      </c>
      <c r="BW586" s="458" t="str">
        <f t="shared" si="325"/>
        <v/>
      </c>
      <c r="BX586" s="458" t="str">
        <f t="shared" si="326"/>
        <v/>
      </c>
      <c r="BY586" s="458" t="str">
        <f t="shared" si="327"/>
        <v/>
      </c>
      <c r="BZ586" s="458" t="str">
        <f t="shared" si="328"/>
        <v/>
      </c>
      <c r="CA586" s="40" t="str">
        <f t="shared" si="329"/>
        <v/>
      </c>
      <c r="CB586" s="40" t="str">
        <f t="shared" si="330"/>
        <v/>
      </c>
      <c r="CC586" s="39" t="str">
        <f t="shared" si="331"/>
        <v/>
      </c>
      <c r="CD586" s="458" t="str">
        <f t="shared" si="332"/>
        <v/>
      </c>
      <c r="CE586" s="41" t="str">
        <f t="shared" si="333"/>
        <v/>
      </c>
      <c r="CF586" s="39" t="str">
        <f t="shared" si="334"/>
        <v/>
      </c>
      <c r="CG586" s="458" t="str">
        <f t="shared" si="335"/>
        <v/>
      </c>
      <c r="CH586" s="458" t="str">
        <f t="shared" si="336"/>
        <v/>
      </c>
      <c r="CI586" s="458" t="str">
        <f t="shared" si="337"/>
        <v/>
      </c>
      <c r="CJ586" s="458" t="str">
        <f t="shared" si="338"/>
        <v/>
      </c>
      <c r="CK586" s="40" t="str">
        <f t="shared" si="339"/>
        <v/>
      </c>
      <c r="CL586" s="40" t="str">
        <f t="shared" si="340"/>
        <v/>
      </c>
      <c r="CM586" s="40" t="str">
        <f t="shared" si="341"/>
        <v/>
      </c>
      <c r="CN586" s="39" t="str">
        <f t="shared" si="342"/>
        <v/>
      </c>
      <c r="CO586" s="458" t="str">
        <f t="shared" si="343"/>
        <v/>
      </c>
      <c r="CP586" s="458" t="str">
        <f t="shared" si="344"/>
        <v/>
      </c>
      <c r="CQ586" s="458" t="str">
        <f t="shared" si="345"/>
        <v/>
      </c>
      <c r="CR586" s="458" t="str">
        <f t="shared" si="346"/>
        <v/>
      </c>
      <c r="CS586" s="40" t="str">
        <f t="shared" si="347"/>
        <v/>
      </c>
      <c r="CT586" s="40" t="str">
        <f t="shared" si="348"/>
        <v/>
      </c>
      <c r="CU586" s="41" t="str">
        <f t="shared" si="349"/>
        <v/>
      </c>
    </row>
    <row r="587" spans="1:99" x14ac:dyDescent="0.2">
      <c r="A587" s="77">
        <f t="shared" si="350"/>
        <v>582</v>
      </c>
      <c r="B587" s="81"/>
      <c r="C587" s="82"/>
      <c r="D587" s="71"/>
      <c r="E587" s="72"/>
      <c r="F587" s="73"/>
      <c r="G587" s="443"/>
      <c r="H587" s="443"/>
      <c r="I587" s="74"/>
      <c r="J587" s="75"/>
      <c r="K587" s="41">
        <f t="shared" si="319"/>
        <v>3625</v>
      </c>
      <c r="L587" s="104"/>
      <c r="M587" s="105"/>
      <c r="N587" s="106">
        <f t="shared" si="320"/>
        <v>537.05999999999995</v>
      </c>
      <c r="O587" s="104"/>
      <c r="P587" s="105"/>
      <c r="Q587" s="106">
        <f t="shared" si="352"/>
        <v>10045.83</v>
      </c>
      <c r="R587" s="104"/>
      <c r="S587" s="105"/>
      <c r="T587" s="106">
        <f t="shared" si="353"/>
        <v>0</v>
      </c>
      <c r="U587" s="439"/>
      <c r="V587" s="42">
        <f t="shared" si="321"/>
        <v>582</v>
      </c>
      <c r="W587" s="39" t="str">
        <f>IF(AND(E587='Povolené hodnoty'!$B$4,F587=2),I587+L587+O587+R587,"")</f>
        <v/>
      </c>
      <c r="X587" s="41" t="str">
        <f>IF(AND(E587='Povolené hodnoty'!$B$4,F587=1),I587+L587+O587+R587,"")</f>
        <v/>
      </c>
      <c r="Y587" s="39" t="str">
        <f>IF(AND(E587='Povolené hodnoty'!$B$4,F587=10),J587+M587+P587+S587,"")</f>
        <v/>
      </c>
      <c r="Z587" s="41" t="str">
        <f>IF(AND(E587='Povolené hodnoty'!$B$4,F587=9),J587+M587+P587+S587,"")</f>
        <v/>
      </c>
      <c r="AA587" s="39" t="str">
        <f>IF(AND(E587&lt;&gt;'Povolené hodnoty'!$B$4,F587=2),I587+L587+O587+R587,"")</f>
        <v/>
      </c>
      <c r="AB587" s="40" t="str">
        <f>IF(AND(E587&lt;&gt;'Povolené hodnoty'!$B$4,F587=3),I587+L587+O587+R587,"")</f>
        <v/>
      </c>
      <c r="AC587" s="40" t="str">
        <f>IF(AND(E587&lt;&gt;'Povolené hodnoty'!$B$4,F587=4),I587+L587+O587+R587,"")</f>
        <v/>
      </c>
      <c r="AD587" s="40" t="str">
        <f>IF(AND(E587&lt;&gt;'Povolené hodnoty'!$B$4,F587="5a"),I587-J587+L587-M587+O587-P587+R587-S587,"")</f>
        <v/>
      </c>
      <c r="AE587" s="40" t="str">
        <f>IF(AND(E587&lt;&gt;'Povolené hodnoty'!$B$4,F587="5b"),I587-J587+L587-M587+O587-P587+R587-S587,"")</f>
        <v/>
      </c>
      <c r="AF587" s="40" t="str">
        <f>IF(AND(E587&lt;&gt;'Povolené hodnoty'!$B$4,F587=6),I587+L587+O587+R587,"")</f>
        <v/>
      </c>
      <c r="AG587" s="41" t="str">
        <f>IF(AND(E587&lt;&gt;'Povolené hodnoty'!$B$4,F587=7),I587+L587+O587+R587,"")</f>
        <v/>
      </c>
      <c r="AH587" s="39" t="str">
        <f>IF(AND(E587&lt;&gt;'Povolené hodnoty'!$B$4,F587=10),J587+M587+P587+S587,"")</f>
        <v/>
      </c>
      <c r="AI587" s="40" t="str">
        <f>IF(AND(E587&lt;&gt;'Povolené hodnoty'!$B$4,F587=11),J587+M587+P587+S587,"")</f>
        <v/>
      </c>
      <c r="AJ587" s="40" t="str">
        <f>IF(AND(E587&lt;&gt;'Povolené hodnoty'!$B$4,F587=12),J587+M587+P587+S587,"")</f>
        <v/>
      </c>
      <c r="AK587" s="41" t="str">
        <f>IF(AND(E587&lt;&gt;'Povolené hodnoty'!$B$4,F587=13),J587+M587+P587+S587,"")</f>
        <v/>
      </c>
      <c r="AL587" s="39" t="str">
        <f>IF(AND($G587='Povolené hodnoty'!$B$13,$H587=AL$4),SUM($I587,$L587,$O587,$R587),"")</f>
        <v/>
      </c>
      <c r="AM587" s="458" t="str">
        <f>IF(AND($G587='Povolené hodnoty'!$B$13,$H587=AM$4),SUM($I587,$L587,$O587,$R587),"")</f>
        <v/>
      </c>
      <c r="AN587" s="458" t="str">
        <f>IF(AND($G587='Povolené hodnoty'!$B$13,$H587=AN$4),SUM($I587,$L587,$O587,$R587),"")</f>
        <v/>
      </c>
      <c r="AO587" s="458" t="str">
        <f>IF(AND($G587='Povolené hodnoty'!$B$13,$H587=AO$4),SUM($I587,$L587,$O587,$R587),"")</f>
        <v/>
      </c>
      <c r="AP587" s="458" t="str">
        <f>IF(AND($G587='Povolené hodnoty'!$B$13,$H587=AP$4),SUM($I587,$L587,$O587,$R587),"")</f>
        <v/>
      </c>
      <c r="AQ587" s="40" t="str">
        <f>IF(AND($G587='Povolené hodnoty'!$B$13,OR($H587=AQ$4,$H587='Povolené hodnoty'!$E$36)),SUM($I587,-$J587,$L587,-$M587,$O587,-$P587,$R587,-$S587),"")</f>
        <v/>
      </c>
      <c r="AR587" s="40" t="str">
        <f>IF(AND($G587='Povolené hodnoty'!$B$13,$H587=AR$4),SUM($I587,$L587,$O587,$R587),"")</f>
        <v/>
      </c>
      <c r="AS587" s="41" t="str">
        <f>IF(AND($G587='Povolené hodnoty'!$B$13,$H587=AS$4),SUM($I587,$L587,$O587,$R587),"")</f>
        <v/>
      </c>
      <c r="AT587" s="39" t="str">
        <f>IF(AND($G587='Povolené hodnoty'!$B$14,$H587=AT$4),SUM($I587,$L587,$O587,$R587),"")</f>
        <v/>
      </c>
      <c r="AU587" s="458" t="str">
        <f>IF(AND($G587='Povolené hodnoty'!$B$14,$H587=AU$4),SUM($I587,$L587,$O587,$R587),"")</f>
        <v/>
      </c>
      <c r="AV587" s="41" t="str">
        <f>IF(AND($G587='Povolené hodnoty'!$B$14,$H587=AV$4),SUM($I587,$L587,$O587,$R587),"")</f>
        <v/>
      </c>
      <c r="AW587" s="39" t="str">
        <f>IF(AND($G587='Povolené hodnoty'!$B$13,$H587=AW$4),SUM($J587,$M587,$P587,$S587),"")</f>
        <v/>
      </c>
      <c r="AX587" s="458" t="str">
        <f>IF(AND($G587='Povolené hodnoty'!$B$13,$H587=AX$4),SUM($J587,$M587,$P587,$S587),"")</f>
        <v/>
      </c>
      <c r="AY587" s="458" t="str">
        <f>IF(AND($G587='Povolené hodnoty'!$B$13,$H587=AY$4),SUM($J587,$M587,$P587,$S587),"")</f>
        <v/>
      </c>
      <c r="AZ587" s="458" t="str">
        <f>IF(AND($G587='Povolené hodnoty'!$B$13,$H587=AZ$4),SUM($J587,$M587,$P587,$S587),"")</f>
        <v/>
      </c>
      <c r="BA587" s="458" t="str">
        <f>IF(AND($G587='Povolené hodnoty'!$B$13,$H587=BA$4),SUM($J587,$M587,$P587,$S587),"")</f>
        <v/>
      </c>
      <c r="BB587" s="40" t="str">
        <f>IF(AND($G587='Povolené hodnoty'!$B$13,$H587=BB$4),SUM($J587,$M587,$P587,$S587),"")</f>
        <v/>
      </c>
      <c r="BC587" s="40" t="str">
        <f>IF(AND($G587='Povolené hodnoty'!$B$13,$H587=BC$4),SUM($J587,$M587,$P587,$S587),"")</f>
        <v/>
      </c>
      <c r="BD587" s="40" t="str">
        <f>IF(AND($G587='Povolené hodnoty'!$B$13,$H587=BD$4),SUM($J587,$M587,$P587,$S587),"")</f>
        <v/>
      </c>
      <c r="BE587" s="41" t="str">
        <f>IF(AND($G587='Povolené hodnoty'!$B$13,$H587=BE$4),SUM($J587,$M587,$P587,$S587),"")</f>
        <v/>
      </c>
      <c r="BF587" s="39" t="str">
        <f>IF(AND($G587='Povolené hodnoty'!$B$14,$H587=BF$4),SUM($J587,$M587,$P587,$S587),"")</f>
        <v/>
      </c>
      <c r="BG587" s="458" t="str">
        <f>IF(AND($G587='Povolené hodnoty'!$B$14,$H587=BG$4),SUM($J587,$M587,$P587,$S587),"")</f>
        <v/>
      </c>
      <c r="BH587" s="458" t="str">
        <f>IF(AND($G587='Povolené hodnoty'!$B$14,$H587=BH$4),SUM($J587,$M587,$P587,$S587),"")</f>
        <v/>
      </c>
      <c r="BI587" s="458" t="str">
        <f>IF(AND($G587='Povolené hodnoty'!$B$14,$H587=BI$4),SUM($J587,$M587,$P587,$S587),"")</f>
        <v/>
      </c>
      <c r="BJ587" s="458" t="str">
        <f>IF(AND($G587='Povolené hodnoty'!$B$14,$H587=BJ$4),SUM($J587,$M587,$P587,$S587),"")</f>
        <v/>
      </c>
      <c r="BK587" s="40" t="str">
        <f>IF(AND($G587='Povolené hodnoty'!$B$14,$H587=BK$4),SUM($J587,$M587,$P587,$S587),"")</f>
        <v/>
      </c>
      <c r="BL587" s="40" t="str">
        <f>IF(AND($G587='Povolené hodnoty'!$B$14,$H587=BL$4),SUM($J587,$M587,$P587,$S587),"")</f>
        <v/>
      </c>
      <c r="BM587" s="41" t="str">
        <f>IF(AND($G587='Povolené hodnoty'!$B$14,$H587=BM$4),SUM($J587,$M587,$P587,$S587),"")</f>
        <v/>
      </c>
      <c r="BO587" s="18" t="b">
        <f t="shared" si="351"/>
        <v>0</v>
      </c>
      <c r="BP587" s="18" t="b">
        <f t="shared" si="322"/>
        <v>0</v>
      </c>
      <c r="BQ587" s="18" t="b">
        <f>AND(E587&lt;&gt;'Povolené hodnoty'!$B$6,F587&lt;&gt;'Povolené hodnoty'!$D$7,F587&lt;&gt;'Povolené hodnoty'!$D$8,OR(SUM(I587,L587,O587,R587)&lt;&gt;SUM(W587:X587,AA587:AG587),SUM(J587,M587,P587,S587)&lt;&gt;SUM(Y587:Z587,AH587:AK587),COUNT(I587:J587,L587:M587,O587:P587,R587:S587)&lt;&gt;COUNT(W587:AK587)))</f>
        <v>0</v>
      </c>
      <c r="BR587" s="18" t="b">
        <f>OR(AND(E587='Povolené hodnoty'!$B$6,$BR$5),AND(E587='Povolené hodnoty'!$B$6,H587&lt;&gt;'Povolené hodnoty'!$E$26,H587&lt;&gt;'Povolené hodnoty'!$E$35),AND(E587&lt;&gt;'Povolené hodnoty'!$B$6,OR(H587='Povolené hodnoty'!$E$26,H587='Povolené hodnoty'!$E$35)))</f>
        <v>0</v>
      </c>
      <c r="BS587" s="18" t="b">
        <f>OR(AND(G587&lt;&gt;'Povolené hodnoty'!$B$13,OR(H587='Povolené hodnoty'!$E$21,H587='Povolené hodnoty'!$E$22,H587='Povolené hodnoty'!$E$23,H587='Povolené hodnoty'!$E$24,H587='Povolené hodnoty'!$E$26,H587='Povolené hodnoty'!$E$36)),COUNT(I587:J587,L587:M587,O587:P587,R587:S587)&lt;&gt;COUNT(AL587:BM587))</f>
        <v>0</v>
      </c>
      <c r="BT587" s="18" t="b">
        <f t="shared" si="323"/>
        <v>0</v>
      </c>
      <c r="BV587" s="39" t="str">
        <f t="shared" si="324"/>
        <v/>
      </c>
      <c r="BW587" s="458" t="str">
        <f t="shared" si="325"/>
        <v/>
      </c>
      <c r="BX587" s="458" t="str">
        <f t="shared" si="326"/>
        <v/>
      </c>
      <c r="BY587" s="458" t="str">
        <f t="shared" si="327"/>
        <v/>
      </c>
      <c r="BZ587" s="458" t="str">
        <f t="shared" si="328"/>
        <v/>
      </c>
      <c r="CA587" s="40" t="str">
        <f t="shared" si="329"/>
        <v/>
      </c>
      <c r="CB587" s="40" t="str">
        <f t="shared" si="330"/>
        <v/>
      </c>
      <c r="CC587" s="39" t="str">
        <f t="shared" si="331"/>
        <v/>
      </c>
      <c r="CD587" s="458" t="str">
        <f t="shared" si="332"/>
        <v/>
      </c>
      <c r="CE587" s="41" t="str">
        <f t="shared" si="333"/>
        <v/>
      </c>
      <c r="CF587" s="39" t="str">
        <f t="shared" si="334"/>
        <v/>
      </c>
      <c r="CG587" s="458" t="str">
        <f t="shared" si="335"/>
        <v/>
      </c>
      <c r="CH587" s="458" t="str">
        <f t="shared" si="336"/>
        <v/>
      </c>
      <c r="CI587" s="458" t="str">
        <f t="shared" si="337"/>
        <v/>
      </c>
      <c r="CJ587" s="458" t="str">
        <f t="shared" si="338"/>
        <v/>
      </c>
      <c r="CK587" s="40" t="str">
        <f t="shared" si="339"/>
        <v/>
      </c>
      <c r="CL587" s="40" t="str">
        <f t="shared" si="340"/>
        <v/>
      </c>
      <c r="CM587" s="40" t="str">
        <f t="shared" si="341"/>
        <v/>
      </c>
      <c r="CN587" s="39" t="str">
        <f t="shared" si="342"/>
        <v/>
      </c>
      <c r="CO587" s="458" t="str">
        <f t="shared" si="343"/>
        <v/>
      </c>
      <c r="CP587" s="458" t="str">
        <f t="shared" si="344"/>
        <v/>
      </c>
      <c r="CQ587" s="458" t="str">
        <f t="shared" si="345"/>
        <v/>
      </c>
      <c r="CR587" s="458" t="str">
        <f t="shared" si="346"/>
        <v/>
      </c>
      <c r="CS587" s="40" t="str">
        <f t="shared" si="347"/>
        <v/>
      </c>
      <c r="CT587" s="40" t="str">
        <f t="shared" si="348"/>
        <v/>
      </c>
      <c r="CU587" s="41" t="str">
        <f t="shared" si="349"/>
        <v/>
      </c>
    </row>
    <row r="588" spans="1:99" x14ac:dyDescent="0.2">
      <c r="A588" s="77">
        <f t="shared" si="350"/>
        <v>583</v>
      </c>
      <c r="B588" s="81"/>
      <c r="C588" s="82"/>
      <c r="D588" s="71"/>
      <c r="E588" s="72"/>
      <c r="F588" s="73"/>
      <c r="G588" s="443"/>
      <c r="H588" s="443"/>
      <c r="I588" s="74"/>
      <c r="J588" s="75"/>
      <c r="K588" s="41">
        <f t="shared" si="319"/>
        <v>3625</v>
      </c>
      <c r="L588" s="104"/>
      <c r="M588" s="105"/>
      <c r="N588" s="106">
        <f t="shared" si="320"/>
        <v>537.05999999999995</v>
      </c>
      <c r="O588" s="104"/>
      <c r="P588" s="105"/>
      <c r="Q588" s="106">
        <f t="shared" si="352"/>
        <v>10045.83</v>
      </c>
      <c r="R588" s="104"/>
      <c r="S588" s="105"/>
      <c r="T588" s="106">
        <f t="shared" si="353"/>
        <v>0</v>
      </c>
      <c r="U588" s="439"/>
      <c r="V588" s="42">
        <f t="shared" si="321"/>
        <v>583</v>
      </c>
      <c r="W588" s="39" t="str">
        <f>IF(AND(E588='Povolené hodnoty'!$B$4,F588=2),I588+L588+O588+R588,"")</f>
        <v/>
      </c>
      <c r="X588" s="41" t="str">
        <f>IF(AND(E588='Povolené hodnoty'!$B$4,F588=1),I588+L588+O588+R588,"")</f>
        <v/>
      </c>
      <c r="Y588" s="39" t="str">
        <f>IF(AND(E588='Povolené hodnoty'!$B$4,F588=10),J588+M588+P588+S588,"")</f>
        <v/>
      </c>
      <c r="Z588" s="41" t="str">
        <f>IF(AND(E588='Povolené hodnoty'!$B$4,F588=9),J588+M588+P588+S588,"")</f>
        <v/>
      </c>
      <c r="AA588" s="39" t="str">
        <f>IF(AND(E588&lt;&gt;'Povolené hodnoty'!$B$4,F588=2),I588+L588+O588+R588,"")</f>
        <v/>
      </c>
      <c r="AB588" s="40" t="str">
        <f>IF(AND(E588&lt;&gt;'Povolené hodnoty'!$B$4,F588=3),I588+L588+O588+R588,"")</f>
        <v/>
      </c>
      <c r="AC588" s="40" t="str">
        <f>IF(AND(E588&lt;&gt;'Povolené hodnoty'!$B$4,F588=4),I588+L588+O588+R588,"")</f>
        <v/>
      </c>
      <c r="AD588" s="40" t="str">
        <f>IF(AND(E588&lt;&gt;'Povolené hodnoty'!$B$4,F588="5a"),I588-J588+L588-M588+O588-P588+R588-S588,"")</f>
        <v/>
      </c>
      <c r="AE588" s="40" t="str">
        <f>IF(AND(E588&lt;&gt;'Povolené hodnoty'!$B$4,F588="5b"),I588-J588+L588-M588+O588-P588+R588-S588,"")</f>
        <v/>
      </c>
      <c r="AF588" s="40" t="str">
        <f>IF(AND(E588&lt;&gt;'Povolené hodnoty'!$B$4,F588=6),I588+L588+O588+R588,"")</f>
        <v/>
      </c>
      <c r="AG588" s="41" t="str">
        <f>IF(AND(E588&lt;&gt;'Povolené hodnoty'!$B$4,F588=7),I588+L588+O588+R588,"")</f>
        <v/>
      </c>
      <c r="AH588" s="39" t="str">
        <f>IF(AND(E588&lt;&gt;'Povolené hodnoty'!$B$4,F588=10),J588+M588+P588+S588,"")</f>
        <v/>
      </c>
      <c r="AI588" s="40" t="str">
        <f>IF(AND(E588&lt;&gt;'Povolené hodnoty'!$B$4,F588=11),J588+M588+P588+S588,"")</f>
        <v/>
      </c>
      <c r="AJ588" s="40" t="str">
        <f>IF(AND(E588&lt;&gt;'Povolené hodnoty'!$B$4,F588=12),J588+M588+P588+S588,"")</f>
        <v/>
      </c>
      <c r="AK588" s="41" t="str">
        <f>IF(AND(E588&lt;&gt;'Povolené hodnoty'!$B$4,F588=13),J588+M588+P588+S588,"")</f>
        <v/>
      </c>
      <c r="AL588" s="39" t="str">
        <f>IF(AND($G588='Povolené hodnoty'!$B$13,$H588=AL$4),SUM($I588,$L588,$O588,$R588),"")</f>
        <v/>
      </c>
      <c r="AM588" s="458" t="str">
        <f>IF(AND($G588='Povolené hodnoty'!$B$13,$H588=AM$4),SUM($I588,$L588,$O588,$R588),"")</f>
        <v/>
      </c>
      <c r="AN588" s="458" t="str">
        <f>IF(AND($G588='Povolené hodnoty'!$B$13,$H588=AN$4),SUM($I588,$L588,$O588,$R588),"")</f>
        <v/>
      </c>
      <c r="AO588" s="458" t="str">
        <f>IF(AND($G588='Povolené hodnoty'!$B$13,$H588=AO$4),SUM($I588,$L588,$O588,$R588),"")</f>
        <v/>
      </c>
      <c r="AP588" s="458" t="str">
        <f>IF(AND($G588='Povolené hodnoty'!$B$13,$H588=AP$4),SUM($I588,$L588,$O588,$R588),"")</f>
        <v/>
      </c>
      <c r="AQ588" s="40" t="str">
        <f>IF(AND($G588='Povolené hodnoty'!$B$13,OR($H588=AQ$4,$H588='Povolené hodnoty'!$E$36)),SUM($I588,-$J588,$L588,-$M588,$O588,-$P588,$R588,-$S588),"")</f>
        <v/>
      </c>
      <c r="AR588" s="40" t="str">
        <f>IF(AND($G588='Povolené hodnoty'!$B$13,$H588=AR$4),SUM($I588,$L588,$O588,$R588),"")</f>
        <v/>
      </c>
      <c r="AS588" s="41" t="str">
        <f>IF(AND($G588='Povolené hodnoty'!$B$13,$H588=AS$4),SUM($I588,$L588,$O588,$R588),"")</f>
        <v/>
      </c>
      <c r="AT588" s="39" t="str">
        <f>IF(AND($G588='Povolené hodnoty'!$B$14,$H588=AT$4),SUM($I588,$L588,$O588,$R588),"")</f>
        <v/>
      </c>
      <c r="AU588" s="458" t="str">
        <f>IF(AND($G588='Povolené hodnoty'!$B$14,$H588=AU$4),SUM($I588,$L588,$O588,$R588),"")</f>
        <v/>
      </c>
      <c r="AV588" s="41" t="str">
        <f>IF(AND($G588='Povolené hodnoty'!$B$14,$H588=AV$4),SUM($I588,$L588,$O588,$R588),"")</f>
        <v/>
      </c>
      <c r="AW588" s="39" t="str">
        <f>IF(AND($G588='Povolené hodnoty'!$B$13,$H588=AW$4),SUM($J588,$M588,$P588,$S588),"")</f>
        <v/>
      </c>
      <c r="AX588" s="458" t="str">
        <f>IF(AND($G588='Povolené hodnoty'!$B$13,$H588=AX$4),SUM($J588,$M588,$P588,$S588),"")</f>
        <v/>
      </c>
      <c r="AY588" s="458" t="str">
        <f>IF(AND($G588='Povolené hodnoty'!$B$13,$H588=AY$4),SUM($J588,$M588,$P588,$S588),"")</f>
        <v/>
      </c>
      <c r="AZ588" s="458" t="str">
        <f>IF(AND($G588='Povolené hodnoty'!$B$13,$H588=AZ$4),SUM($J588,$M588,$P588,$S588),"")</f>
        <v/>
      </c>
      <c r="BA588" s="458" t="str">
        <f>IF(AND($G588='Povolené hodnoty'!$B$13,$H588=BA$4),SUM($J588,$M588,$P588,$S588),"")</f>
        <v/>
      </c>
      <c r="BB588" s="40" t="str">
        <f>IF(AND($G588='Povolené hodnoty'!$B$13,$H588=BB$4),SUM($J588,$M588,$P588,$S588),"")</f>
        <v/>
      </c>
      <c r="BC588" s="40" t="str">
        <f>IF(AND($G588='Povolené hodnoty'!$B$13,$H588=BC$4),SUM($J588,$M588,$P588,$S588),"")</f>
        <v/>
      </c>
      <c r="BD588" s="40" t="str">
        <f>IF(AND($G588='Povolené hodnoty'!$B$13,$H588=BD$4),SUM($J588,$M588,$P588,$S588),"")</f>
        <v/>
      </c>
      <c r="BE588" s="41" t="str">
        <f>IF(AND($G588='Povolené hodnoty'!$B$13,$H588=BE$4),SUM($J588,$M588,$P588,$S588),"")</f>
        <v/>
      </c>
      <c r="BF588" s="39" t="str">
        <f>IF(AND($G588='Povolené hodnoty'!$B$14,$H588=BF$4),SUM($J588,$M588,$P588,$S588),"")</f>
        <v/>
      </c>
      <c r="BG588" s="458" t="str">
        <f>IF(AND($G588='Povolené hodnoty'!$B$14,$H588=BG$4),SUM($J588,$M588,$P588,$S588),"")</f>
        <v/>
      </c>
      <c r="BH588" s="458" t="str">
        <f>IF(AND($G588='Povolené hodnoty'!$B$14,$H588=BH$4),SUM($J588,$M588,$P588,$S588),"")</f>
        <v/>
      </c>
      <c r="BI588" s="458" t="str">
        <f>IF(AND($G588='Povolené hodnoty'!$B$14,$H588=BI$4),SUM($J588,$M588,$P588,$S588),"")</f>
        <v/>
      </c>
      <c r="BJ588" s="458" t="str">
        <f>IF(AND($G588='Povolené hodnoty'!$B$14,$H588=BJ$4),SUM($J588,$M588,$P588,$S588),"")</f>
        <v/>
      </c>
      <c r="BK588" s="40" t="str">
        <f>IF(AND($G588='Povolené hodnoty'!$B$14,$H588=BK$4),SUM($J588,$M588,$P588,$S588),"")</f>
        <v/>
      </c>
      <c r="BL588" s="40" t="str">
        <f>IF(AND($G588='Povolené hodnoty'!$B$14,$H588=BL$4),SUM($J588,$M588,$P588,$S588),"")</f>
        <v/>
      </c>
      <c r="BM588" s="41" t="str">
        <f>IF(AND($G588='Povolené hodnoty'!$B$14,$H588=BM$4),SUM($J588,$M588,$P588,$S588),"")</f>
        <v/>
      </c>
      <c r="BO588" s="18" t="b">
        <f t="shared" si="351"/>
        <v>0</v>
      </c>
      <c r="BP588" s="18" t="b">
        <f t="shared" si="322"/>
        <v>0</v>
      </c>
      <c r="BQ588" s="18" t="b">
        <f>AND(E588&lt;&gt;'Povolené hodnoty'!$B$6,F588&lt;&gt;'Povolené hodnoty'!$D$7,F588&lt;&gt;'Povolené hodnoty'!$D$8,OR(SUM(I588,L588,O588,R588)&lt;&gt;SUM(W588:X588,AA588:AG588),SUM(J588,M588,P588,S588)&lt;&gt;SUM(Y588:Z588,AH588:AK588),COUNT(I588:J588,L588:M588,O588:P588,R588:S588)&lt;&gt;COUNT(W588:AK588)))</f>
        <v>0</v>
      </c>
      <c r="BR588" s="18" t="b">
        <f>OR(AND(E588='Povolené hodnoty'!$B$6,$BR$5),AND(E588='Povolené hodnoty'!$B$6,H588&lt;&gt;'Povolené hodnoty'!$E$26,H588&lt;&gt;'Povolené hodnoty'!$E$35),AND(E588&lt;&gt;'Povolené hodnoty'!$B$6,OR(H588='Povolené hodnoty'!$E$26,H588='Povolené hodnoty'!$E$35)))</f>
        <v>0</v>
      </c>
      <c r="BS588" s="18" t="b">
        <f>OR(AND(G588&lt;&gt;'Povolené hodnoty'!$B$13,OR(H588='Povolené hodnoty'!$E$21,H588='Povolené hodnoty'!$E$22,H588='Povolené hodnoty'!$E$23,H588='Povolené hodnoty'!$E$24,H588='Povolené hodnoty'!$E$26,H588='Povolené hodnoty'!$E$36)),COUNT(I588:J588,L588:M588,O588:P588,R588:S588)&lt;&gt;COUNT(AL588:BM588))</f>
        <v>0</v>
      </c>
      <c r="BT588" s="18" t="b">
        <f t="shared" si="323"/>
        <v>0</v>
      </c>
      <c r="BV588" s="39" t="str">
        <f t="shared" si="324"/>
        <v/>
      </c>
      <c r="BW588" s="458" t="str">
        <f t="shared" si="325"/>
        <v/>
      </c>
      <c r="BX588" s="458" t="str">
        <f t="shared" si="326"/>
        <v/>
      </c>
      <c r="BY588" s="458" t="str">
        <f t="shared" si="327"/>
        <v/>
      </c>
      <c r="BZ588" s="458" t="str">
        <f t="shared" si="328"/>
        <v/>
      </c>
      <c r="CA588" s="40" t="str">
        <f t="shared" si="329"/>
        <v/>
      </c>
      <c r="CB588" s="40" t="str">
        <f t="shared" si="330"/>
        <v/>
      </c>
      <c r="CC588" s="39" t="str">
        <f t="shared" si="331"/>
        <v/>
      </c>
      <c r="CD588" s="458" t="str">
        <f t="shared" si="332"/>
        <v/>
      </c>
      <c r="CE588" s="41" t="str">
        <f t="shared" si="333"/>
        <v/>
      </c>
      <c r="CF588" s="39" t="str">
        <f t="shared" si="334"/>
        <v/>
      </c>
      <c r="CG588" s="458" t="str">
        <f t="shared" si="335"/>
        <v/>
      </c>
      <c r="CH588" s="458" t="str">
        <f t="shared" si="336"/>
        <v/>
      </c>
      <c r="CI588" s="458" t="str">
        <f t="shared" si="337"/>
        <v/>
      </c>
      <c r="CJ588" s="458" t="str">
        <f t="shared" si="338"/>
        <v/>
      </c>
      <c r="CK588" s="40" t="str">
        <f t="shared" si="339"/>
        <v/>
      </c>
      <c r="CL588" s="40" t="str">
        <f t="shared" si="340"/>
        <v/>
      </c>
      <c r="CM588" s="40" t="str">
        <f t="shared" si="341"/>
        <v/>
      </c>
      <c r="CN588" s="39" t="str">
        <f t="shared" si="342"/>
        <v/>
      </c>
      <c r="CO588" s="458" t="str">
        <f t="shared" si="343"/>
        <v/>
      </c>
      <c r="CP588" s="458" t="str">
        <f t="shared" si="344"/>
        <v/>
      </c>
      <c r="CQ588" s="458" t="str">
        <f t="shared" si="345"/>
        <v/>
      </c>
      <c r="CR588" s="458" t="str">
        <f t="shared" si="346"/>
        <v/>
      </c>
      <c r="CS588" s="40" t="str">
        <f t="shared" si="347"/>
        <v/>
      </c>
      <c r="CT588" s="40" t="str">
        <f t="shared" si="348"/>
        <v/>
      </c>
      <c r="CU588" s="41" t="str">
        <f t="shared" si="349"/>
        <v/>
      </c>
    </row>
    <row r="589" spans="1:99" x14ac:dyDescent="0.2">
      <c r="A589" s="77">
        <f t="shared" si="350"/>
        <v>584</v>
      </c>
      <c r="B589" s="81"/>
      <c r="C589" s="82"/>
      <c r="D589" s="71"/>
      <c r="E589" s="72"/>
      <c r="F589" s="73"/>
      <c r="G589" s="443"/>
      <c r="H589" s="443"/>
      <c r="I589" s="74"/>
      <c r="J589" s="75"/>
      <c r="K589" s="41">
        <f t="shared" si="319"/>
        <v>3625</v>
      </c>
      <c r="L589" s="104"/>
      <c r="M589" s="105"/>
      <c r="N589" s="106">
        <f t="shared" si="320"/>
        <v>537.05999999999995</v>
      </c>
      <c r="O589" s="104"/>
      <c r="P589" s="105"/>
      <c r="Q589" s="106">
        <f t="shared" si="352"/>
        <v>10045.83</v>
      </c>
      <c r="R589" s="104"/>
      <c r="S589" s="105"/>
      <c r="T589" s="106">
        <f t="shared" si="353"/>
        <v>0</v>
      </c>
      <c r="U589" s="439"/>
      <c r="V589" s="42">
        <f t="shared" si="321"/>
        <v>584</v>
      </c>
      <c r="W589" s="39" t="str">
        <f>IF(AND(E589='Povolené hodnoty'!$B$4,F589=2),I589+L589+O589+R589,"")</f>
        <v/>
      </c>
      <c r="X589" s="41" t="str">
        <f>IF(AND(E589='Povolené hodnoty'!$B$4,F589=1),I589+L589+O589+R589,"")</f>
        <v/>
      </c>
      <c r="Y589" s="39" t="str">
        <f>IF(AND(E589='Povolené hodnoty'!$B$4,F589=10),J589+M589+P589+S589,"")</f>
        <v/>
      </c>
      <c r="Z589" s="41" t="str">
        <f>IF(AND(E589='Povolené hodnoty'!$B$4,F589=9),J589+M589+P589+S589,"")</f>
        <v/>
      </c>
      <c r="AA589" s="39" t="str">
        <f>IF(AND(E589&lt;&gt;'Povolené hodnoty'!$B$4,F589=2),I589+L589+O589+R589,"")</f>
        <v/>
      </c>
      <c r="AB589" s="40" t="str">
        <f>IF(AND(E589&lt;&gt;'Povolené hodnoty'!$B$4,F589=3),I589+L589+O589+R589,"")</f>
        <v/>
      </c>
      <c r="AC589" s="40" t="str">
        <f>IF(AND(E589&lt;&gt;'Povolené hodnoty'!$B$4,F589=4),I589+L589+O589+R589,"")</f>
        <v/>
      </c>
      <c r="AD589" s="40" t="str">
        <f>IF(AND(E589&lt;&gt;'Povolené hodnoty'!$B$4,F589="5a"),I589-J589+L589-M589+O589-P589+R589-S589,"")</f>
        <v/>
      </c>
      <c r="AE589" s="40" t="str">
        <f>IF(AND(E589&lt;&gt;'Povolené hodnoty'!$B$4,F589="5b"),I589-J589+L589-M589+O589-P589+R589-S589,"")</f>
        <v/>
      </c>
      <c r="AF589" s="40" t="str">
        <f>IF(AND(E589&lt;&gt;'Povolené hodnoty'!$B$4,F589=6),I589+L589+O589+R589,"")</f>
        <v/>
      </c>
      <c r="AG589" s="41" t="str">
        <f>IF(AND(E589&lt;&gt;'Povolené hodnoty'!$B$4,F589=7),I589+L589+O589+R589,"")</f>
        <v/>
      </c>
      <c r="AH589" s="39" t="str">
        <f>IF(AND(E589&lt;&gt;'Povolené hodnoty'!$B$4,F589=10),J589+M589+P589+S589,"")</f>
        <v/>
      </c>
      <c r="AI589" s="40" t="str">
        <f>IF(AND(E589&lt;&gt;'Povolené hodnoty'!$B$4,F589=11),J589+M589+P589+S589,"")</f>
        <v/>
      </c>
      <c r="AJ589" s="40" t="str">
        <f>IF(AND(E589&lt;&gt;'Povolené hodnoty'!$B$4,F589=12),J589+M589+P589+S589,"")</f>
        <v/>
      </c>
      <c r="AK589" s="41" t="str">
        <f>IF(AND(E589&lt;&gt;'Povolené hodnoty'!$B$4,F589=13),J589+M589+P589+S589,"")</f>
        <v/>
      </c>
      <c r="AL589" s="39" t="str">
        <f>IF(AND($G589='Povolené hodnoty'!$B$13,$H589=AL$4),SUM($I589,$L589,$O589,$R589),"")</f>
        <v/>
      </c>
      <c r="AM589" s="458" t="str">
        <f>IF(AND($G589='Povolené hodnoty'!$B$13,$H589=AM$4),SUM($I589,$L589,$O589,$R589),"")</f>
        <v/>
      </c>
      <c r="AN589" s="458" t="str">
        <f>IF(AND($G589='Povolené hodnoty'!$B$13,$H589=AN$4),SUM($I589,$L589,$O589,$R589),"")</f>
        <v/>
      </c>
      <c r="AO589" s="458" t="str">
        <f>IF(AND($G589='Povolené hodnoty'!$B$13,$H589=AO$4),SUM($I589,$L589,$O589,$R589),"")</f>
        <v/>
      </c>
      <c r="AP589" s="458" t="str">
        <f>IF(AND($G589='Povolené hodnoty'!$B$13,$H589=AP$4),SUM($I589,$L589,$O589,$R589),"")</f>
        <v/>
      </c>
      <c r="AQ589" s="40" t="str">
        <f>IF(AND($G589='Povolené hodnoty'!$B$13,OR($H589=AQ$4,$H589='Povolené hodnoty'!$E$36)),SUM($I589,-$J589,$L589,-$M589,$O589,-$P589,$R589,-$S589),"")</f>
        <v/>
      </c>
      <c r="AR589" s="40" t="str">
        <f>IF(AND($G589='Povolené hodnoty'!$B$13,$H589=AR$4),SUM($I589,$L589,$O589,$R589),"")</f>
        <v/>
      </c>
      <c r="AS589" s="41" t="str">
        <f>IF(AND($G589='Povolené hodnoty'!$B$13,$H589=AS$4),SUM($I589,$L589,$O589,$R589),"")</f>
        <v/>
      </c>
      <c r="AT589" s="39" t="str">
        <f>IF(AND($G589='Povolené hodnoty'!$B$14,$H589=AT$4),SUM($I589,$L589,$O589,$R589),"")</f>
        <v/>
      </c>
      <c r="AU589" s="458" t="str">
        <f>IF(AND($G589='Povolené hodnoty'!$B$14,$H589=AU$4),SUM($I589,$L589,$O589,$R589),"")</f>
        <v/>
      </c>
      <c r="AV589" s="41" t="str">
        <f>IF(AND($G589='Povolené hodnoty'!$B$14,$H589=AV$4),SUM($I589,$L589,$O589,$R589),"")</f>
        <v/>
      </c>
      <c r="AW589" s="39" t="str">
        <f>IF(AND($G589='Povolené hodnoty'!$B$13,$H589=AW$4),SUM($J589,$M589,$P589,$S589),"")</f>
        <v/>
      </c>
      <c r="AX589" s="458" t="str">
        <f>IF(AND($G589='Povolené hodnoty'!$B$13,$H589=AX$4),SUM($J589,$M589,$P589,$S589),"")</f>
        <v/>
      </c>
      <c r="AY589" s="458" t="str">
        <f>IF(AND($G589='Povolené hodnoty'!$B$13,$H589=AY$4),SUM($J589,$M589,$P589,$S589),"")</f>
        <v/>
      </c>
      <c r="AZ589" s="458" t="str">
        <f>IF(AND($G589='Povolené hodnoty'!$B$13,$H589=AZ$4),SUM($J589,$M589,$P589,$S589),"")</f>
        <v/>
      </c>
      <c r="BA589" s="458" t="str">
        <f>IF(AND($G589='Povolené hodnoty'!$B$13,$H589=BA$4),SUM($J589,$M589,$P589,$S589),"")</f>
        <v/>
      </c>
      <c r="BB589" s="40" t="str">
        <f>IF(AND($G589='Povolené hodnoty'!$B$13,$H589=BB$4),SUM($J589,$M589,$P589,$S589),"")</f>
        <v/>
      </c>
      <c r="BC589" s="40" t="str">
        <f>IF(AND($G589='Povolené hodnoty'!$B$13,$H589=BC$4),SUM($J589,$M589,$P589,$S589),"")</f>
        <v/>
      </c>
      <c r="BD589" s="40" t="str">
        <f>IF(AND($G589='Povolené hodnoty'!$B$13,$H589=BD$4),SUM($J589,$M589,$P589,$S589),"")</f>
        <v/>
      </c>
      <c r="BE589" s="41" t="str">
        <f>IF(AND($G589='Povolené hodnoty'!$B$13,$H589=BE$4),SUM($J589,$M589,$P589,$S589),"")</f>
        <v/>
      </c>
      <c r="BF589" s="39" t="str">
        <f>IF(AND($G589='Povolené hodnoty'!$B$14,$H589=BF$4),SUM($J589,$M589,$P589,$S589),"")</f>
        <v/>
      </c>
      <c r="BG589" s="458" t="str">
        <f>IF(AND($G589='Povolené hodnoty'!$B$14,$H589=BG$4),SUM($J589,$M589,$P589,$S589),"")</f>
        <v/>
      </c>
      <c r="BH589" s="458" t="str">
        <f>IF(AND($G589='Povolené hodnoty'!$B$14,$H589=BH$4),SUM($J589,$M589,$P589,$S589),"")</f>
        <v/>
      </c>
      <c r="BI589" s="458" t="str">
        <f>IF(AND($G589='Povolené hodnoty'!$B$14,$H589=BI$4),SUM($J589,$M589,$P589,$S589),"")</f>
        <v/>
      </c>
      <c r="BJ589" s="458" t="str">
        <f>IF(AND($G589='Povolené hodnoty'!$B$14,$H589=BJ$4),SUM($J589,$M589,$P589,$S589),"")</f>
        <v/>
      </c>
      <c r="BK589" s="40" t="str">
        <f>IF(AND($G589='Povolené hodnoty'!$B$14,$H589=BK$4),SUM($J589,$M589,$P589,$S589),"")</f>
        <v/>
      </c>
      <c r="BL589" s="40" t="str">
        <f>IF(AND($G589='Povolené hodnoty'!$B$14,$H589=BL$4),SUM($J589,$M589,$P589,$S589),"")</f>
        <v/>
      </c>
      <c r="BM589" s="41" t="str">
        <f>IF(AND($G589='Povolené hodnoty'!$B$14,$H589=BM$4),SUM($J589,$M589,$P589,$S589),"")</f>
        <v/>
      </c>
      <c r="BO589" s="18" t="b">
        <f t="shared" si="351"/>
        <v>0</v>
      </c>
      <c r="BP589" s="18" t="b">
        <f t="shared" si="322"/>
        <v>0</v>
      </c>
      <c r="BQ589" s="18" t="b">
        <f>AND(E589&lt;&gt;'Povolené hodnoty'!$B$6,F589&lt;&gt;'Povolené hodnoty'!$D$7,F589&lt;&gt;'Povolené hodnoty'!$D$8,OR(SUM(I589,L589,O589,R589)&lt;&gt;SUM(W589:X589,AA589:AG589),SUM(J589,M589,P589,S589)&lt;&gt;SUM(Y589:Z589,AH589:AK589),COUNT(I589:J589,L589:M589,O589:P589,R589:S589)&lt;&gt;COUNT(W589:AK589)))</f>
        <v>0</v>
      </c>
      <c r="BR589" s="18" t="b">
        <f>OR(AND(E589='Povolené hodnoty'!$B$6,$BR$5),AND(E589='Povolené hodnoty'!$B$6,H589&lt;&gt;'Povolené hodnoty'!$E$26,H589&lt;&gt;'Povolené hodnoty'!$E$35),AND(E589&lt;&gt;'Povolené hodnoty'!$B$6,OR(H589='Povolené hodnoty'!$E$26,H589='Povolené hodnoty'!$E$35)))</f>
        <v>0</v>
      </c>
      <c r="BS589" s="18" t="b">
        <f>OR(AND(G589&lt;&gt;'Povolené hodnoty'!$B$13,OR(H589='Povolené hodnoty'!$E$21,H589='Povolené hodnoty'!$E$22,H589='Povolené hodnoty'!$E$23,H589='Povolené hodnoty'!$E$24,H589='Povolené hodnoty'!$E$26,H589='Povolené hodnoty'!$E$36)),COUNT(I589:J589,L589:M589,O589:P589,R589:S589)&lt;&gt;COUNT(AL589:BM589))</f>
        <v>0</v>
      </c>
      <c r="BT589" s="18" t="b">
        <f t="shared" si="323"/>
        <v>0</v>
      </c>
      <c r="BV589" s="39" t="str">
        <f t="shared" si="324"/>
        <v/>
      </c>
      <c r="BW589" s="458" t="str">
        <f t="shared" si="325"/>
        <v/>
      </c>
      <c r="BX589" s="458" t="str">
        <f t="shared" si="326"/>
        <v/>
      </c>
      <c r="BY589" s="458" t="str">
        <f t="shared" si="327"/>
        <v/>
      </c>
      <c r="BZ589" s="458" t="str">
        <f t="shared" si="328"/>
        <v/>
      </c>
      <c r="CA589" s="40" t="str">
        <f t="shared" si="329"/>
        <v/>
      </c>
      <c r="CB589" s="40" t="str">
        <f t="shared" si="330"/>
        <v/>
      </c>
      <c r="CC589" s="39" t="str">
        <f t="shared" si="331"/>
        <v/>
      </c>
      <c r="CD589" s="458" t="str">
        <f t="shared" si="332"/>
        <v/>
      </c>
      <c r="CE589" s="41" t="str">
        <f t="shared" si="333"/>
        <v/>
      </c>
      <c r="CF589" s="39" t="str">
        <f t="shared" si="334"/>
        <v/>
      </c>
      <c r="CG589" s="458" t="str">
        <f t="shared" si="335"/>
        <v/>
      </c>
      <c r="CH589" s="458" t="str">
        <f t="shared" si="336"/>
        <v/>
      </c>
      <c r="CI589" s="458" t="str">
        <f t="shared" si="337"/>
        <v/>
      </c>
      <c r="CJ589" s="458" t="str">
        <f t="shared" si="338"/>
        <v/>
      </c>
      <c r="CK589" s="40" t="str">
        <f t="shared" si="339"/>
        <v/>
      </c>
      <c r="CL589" s="40" t="str">
        <f t="shared" si="340"/>
        <v/>
      </c>
      <c r="CM589" s="40" t="str">
        <f t="shared" si="341"/>
        <v/>
      </c>
      <c r="CN589" s="39" t="str">
        <f t="shared" si="342"/>
        <v/>
      </c>
      <c r="CO589" s="458" t="str">
        <f t="shared" si="343"/>
        <v/>
      </c>
      <c r="CP589" s="458" t="str">
        <f t="shared" si="344"/>
        <v/>
      </c>
      <c r="CQ589" s="458" t="str">
        <f t="shared" si="345"/>
        <v/>
      </c>
      <c r="CR589" s="458" t="str">
        <f t="shared" si="346"/>
        <v/>
      </c>
      <c r="CS589" s="40" t="str">
        <f t="shared" si="347"/>
        <v/>
      </c>
      <c r="CT589" s="40" t="str">
        <f t="shared" si="348"/>
        <v/>
      </c>
      <c r="CU589" s="41" t="str">
        <f t="shared" si="349"/>
        <v/>
      </c>
    </row>
    <row r="590" spans="1:99" x14ac:dyDescent="0.2">
      <c r="A590" s="77">
        <f t="shared" si="350"/>
        <v>585</v>
      </c>
      <c r="B590" s="81"/>
      <c r="C590" s="82"/>
      <c r="D590" s="71"/>
      <c r="E590" s="72"/>
      <c r="F590" s="73"/>
      <c r="G590" s="443"/>
      <c r="H590" s="443"/>
      <c r="I590" s="74"/>
      <c r="J590" s="75"/>
      <c r="K590" s="41">
        <f t="shared" si="319"/>
        <v>3625</v>
      </c>
      <c r="L590" s="104"/>
      <c r="M590" s="105"/>
      <c r="N590" s="106">
        <f t="shared" si="320"/>
        <v>537.05999999999995</v>
      </c>
      <c r="O590" s="104"/>
      <c r="P590" s="105"/>
      <c r="Q590" s="106">
        <f t="shared" si="352"/>
        <v>10045.83</v>
      </c>
      <c r="R590" s="104"/>
      <c r="S590" s="105"/>
      <c r="T590" s="106">
        <f t="shared" si="353"/>
        <v>0</v>
      </c>
      <c r="U590" s="439"/>
      <c r="V590" s="42">
        <f t="shared" si="321"/>
        <v>585</v>
      </c>
      <c r="W590" s="39" t="str">
        <f>IF(AND(E590='Povolené hodnoty'!$B$4,F590=2),I590+L590+O590+R590,"")</f>
        <v/>
      </c>
      <c r="X590" s="41" t="str">
        <f>IF(AND(E590='Povolené hodnoty'!$B$4,F590=1),I590+L590+O590+R590,"")</f>
        <v/>
      </c>
      <c r="Y590" s="39" t="str">
        <f>IF(AND(E590='Povolené hodnoty'!$B$4,F590=10),J590+M590+P590+S590,"")</f>
        <v/>
      </c>
      <c r="Z590" s="41" t="str">
        <f>IF(AND(E590='Povolené hodnoty'!$B$4,F590=9),J590+M590+P590+S590,"")</f>
        <v/>
      </c>
      <c r="AA590" s="39" t="str">
        <f>IF(AND(E590&lt;&gt;'Povolené hodnoty'!$B$4,F590=2),I590+L590+O590+R590,"")</f>
        <v/>
      </c>
      <c r="AB590" s="40" t="str">
        <f>IF(AND(E590&lt;&gt;'Povolené hodnoty'!$B$4,F590=3),I590+L590+O590+R590,"")</f>
        <v/>
      </c>
      <c r="AC590" s="40" t="str">
        <f>IF(AND(E590&lt;&gt;'Povolené hodnoty'!$B$4,F590=4),I590+L590+O590+R590,"")</f>
        <v/>
      </c>
      <c r="AD590" s="40" t="str">
        <f>IF(AND(E590&lt;&gt;'Povolené hodnoty'!$B$4,F590="5a"),I590-J590+L590-M590+O590-P590+R590-S590,"")</f>
        <v/>
      </c>
      <c r="AE590" s="40" t="str">
        <f>IF(AND(E590&lt;&gt;'Povolené hodnoty'!$B$4,F590="5b"),I590-J590+L590-M590+O590-P590+R590-S590,"")</f>
        <v/>
      </c>
      <c r="AF590" s="40" t="str">
        <f>IF(AND(E590&lt;&gt;'Povolené hodnoty'!$B$4,F590=6),I590+L590+O590+R590,"")</f>
        <v/>
      </c>
      <c r="AG590" s="41" t="str">
        <f>IF(AND(E590&lt;&gt;'Povolené hodnoty'!$B$4,F590=7),I590+L590+O590+R590,"")</f>
        <v/>
      </c>
      <c r="AH590" s="39" t="str">
        <f>IF(AND(E590&lt;&gt;'Povolené hodnoty'!$B$4,F590=10),J590+M590+P590+S590,"")</f>
        <v/>
      </c>
      <c r="AI590" s="40" t="str">
        <f>IF(AND(E590&lt;&gt;'Povolené hodnoty'!$B$4,F590=11),J590+M590+P590+S590,"")</f>
        <v/>
      </c>
      <c r="AJ590" s="40" t="str">
        <f>IF(AND(E590&lt;&gt;'Povolené hodnoty'!$B$4,F590=12),J590+M590+P590+S590,"")</f>
        <v/>
      </c>
      <c r="AK590" s="41" t="str">
        <f>IF(AND(E590&lt;&gt;'Povolené hodnoty'!$B$4,F590=13),J590+M590+P590+S590,"")</f>
        <v/>
      </c>
      <c r="AL590" s="39" t="str">
        <f>IF(AND($G590='Povolené hodnoty'!$B$13,$H590=AL$4),SUM($I590,$L590,$O590,$R590),"")</f>
        <v/>
      </c>
      <c r="AM590" s="458" t="str">
        <f>IF(AND($G590='Povolené hodnoty'!$B$13,$H590=AM$4),SUM($I590,$L590,$O590,$R590),"")</f>
        <v/>
      </c>
      <c r="AN590" s="458" t="str">
        <f>IF(AND($G590='Povolené hodnoty'!$B$13,$H590=AN$4),SUM($I590,$L590,$O590,$R590),"")</f>
        <v/>
      </c>
      <c r="AO590" s="458" t="str">
        <f>IF(AND($G590='Povolené hodnoty'!$B$13,$H590=AO$4),SUM($I590,$L590,$O590,$R590),"")</f>
        <v/>
      </c>
      <c r="AP590" s="458" t="str">
        <f>IF(AND($G590='Povolené hodnoty'!$B$13,$H590=AP$4),SUM($I590,$L590,$O590,$R590),"")</f>
        <v/>
      </c>
      <c r="AQ590" s="40" t="str">
        <f>IF(AND($G590='Povolené hodnoty'!$B$13,OR($H590=AQ$4,$H590='Povolené hodnoty'!$E$36)),SUM($I590,-$J590,$L590,-$M590,$O590,-$P590,$R590,-$S590),"")</f>
        <v/>
      </c>
      <c r="AR590" s="40" t="str">
        <f>IF(AND($G590='Povolené hodnoty'!$B$13,$H590=AR$4),SUM($I590,$L590,$O590,$R590),"")</f>
        <v/>
      </c>
      <c r="AS590" s="41" t="str">
        <f>IF(AND($G590='Povolené hodnoty'!$B$13,$H590=AS$4),SUM($I590,$L590,$O590,$R590),"")</f>
        <v/>
      </c>
      <c r="AT590" s="39" t="str">
        <f>IF(AND($G590='Povolené hodnoty'!$B$14,$H590=AT$4),SUM($I590,$L590,$O590,$R590),"")</f>
        <v/>
      </c>
      <c r="AU590" s="458" t="str">
        <f>IF(AND($G590='Povolené hodnoty'!$B$14,$H590=AU$4),SUM($I590,$L590,$O590,$R590),"")</f>
        <v/>
      </c>
      <c r="AV590" s="41" t="str">
        <f>IF(AND($G590='Povolené hodnoty'!$B$14,$H590=AV$4),SUM($I590,$L590,$O590,$R590),"")</f>
        <v/>
      </c>
      <c r="AW590" s="39" t="str">
        <f>IF(AND($G590='Povolené hodnoty'!$B$13,$H590=AW$4),SUM($J590,$M590,$P590,$S590),"")</f>
        <v/>
      </c>
      <c r="AX590" s="458" t="str">
        <f>IF(AND($G590='Povolené hodnoty'!$B$13,$H590=AX$4),SUM($J590,$M590,$P590,$S590),"")</f>
        <v/>
      </c>
      <c r="AY590" s="458" t="str">
        <f>IF(AND($G590='Povolené hodnoty'!$B$13,$H590=AY$4),SUM($J590,$M590,$P590,$S590),"")</f>
        <v/>
      </c>
      <c r="AZ590" s="458" t="str">
        <f>IF(AND($G590='Povolené hodnoty'!$B$13,$H590=AZ$4),SUM($J590,$M590,$P590,$S590),"")</f>
        <v/>
      </c>
      <c r="BA590" s="458" t="str">
        <f>IF(AND($G590='Povolené hodnoty'!$B$13,$H590=BA$4),SUM($J590,$M590,$P590,$S590),"")</f>
        <v/>
      </c>
      <c r="BB590" s="40" t="str">
        <f>IF(AND($G590='Povolené hodnoty'!$B$13,$H590=BB$4),SUM($J590,$M590,$P590,$S590),"")</f>
        <v/>
      </c>
      <c r="BC590" s="40" t="str">
        <f>IF(AND($G590='Povolené hodnoty'!$B$13,$H590=BC$4),SUM($J590,$M590,$P590,$S590),"")</f>
        <v/>
      </c>
      <c r="BD590" s="40" t="str">
        <f>IF(AND($G590='Povolené hodnoty'!$B$13,$H590=BD$4),SUM($J590,$M590,$P590,$S590),"")</f>
        <v/>
      </c>
      <c r="BE590" s="41" t="str">
        <f>IF(AND($G590='Povolené hodnoty'!$B$13,$H590=BE$4),SUM($J590,$M590,$P590,$S590),"")</f>
        <v/>
      </c>
      <c r="BF590" s="39" t="str">
        <f>IF(AND($G590='Povolené hodnoty'!$B$14,$H590=BF$4),SUM($J590,$M590,$P590,$S590),"")</f>
        <v/>
      </c>
      <c r="BG590" s="458" t="str">
        <f>IF(AND($G590='Povolené hodnoty'!$B$14,$H590=BG$4),SUM($J590,$M590,$P590,$S590),"")</f>
        <v/>
      </c>
      <c r="BH590" s="458" t="str">
        <f>IF(AND($G590='Povolené hodnoty'!$B$14,$H590=BH$4),SUM($J590,$M590,$P590,$S590),"")</f>
        <v/>
      </c>
      <c r="BI590" s="458" t="str">
        <f>IF(AND($G590='Povolené hodnoty'!$B$14,$H590=BI$4),SUM($J590,$M590,$P590,$S590),"")</f>
        <v/>
      </c>
      <c r="BJ590" s="458" t="str">
        <f>IF(AND($G590='Povolené hodnoty'!$B$14,$H590=BJ$4),SUM($J590,$M590,$P590,$S590),"")</f>
        <v/>
      </c>
      <c r="BK590" s="40" t="str">
        <f>IF(AND($G590='Povolené hodnoty'!$B$14,$H590=BK$4),SUM($J590,$M590,$P590,$S590),"")</f>
        <v/>
      </c>
      <c r="BL590" s="40" t="str">
        <f>IF(AND($G590='Povolené hodnoty'!$B$14,$H590=BL$4),SUM($J590,$M590,$P590,$S590),"")</f>
        <v/>
      </c>
      <c r="BM590" s="41" t="str">
        <f>IF(AND($G590='Povolené hodnoty'!$B$14,$H590=BM$4),SUM($J590,$M590,$P590,$S590),"")</f>
        <v/>
      </c>
      <c r="BO590" s="18" t="b">
        <f t="shared" si="351"/>
        <v>0</v>
      </c>
      <c r="BP590" s="18" t="b">
        <f t="shared" si="322"/>
        <v>0</v>
      </c>
      <c r="BQ590" s="18" t="b">
        <f>AND(E590&lt;&gt;'Povolené hodnoty'!$B$6,F590&lt;&gt;'Povolené hodnoty'!$D$7,F590&lt;&gt;'Povolené hodnoty'!$D$8,OR(SUM(I590,L590,O590,R590)&lt;&gt;SUM(W590:X590,AA590:AG590),SUM(J590,M590,P590,S590)&lt;&gt;SUM(Y590:Z590,AH590:AK590),COUNT(I590:J590,L590:M590,O590:P590,R590:S590)&lt;&gt;COUNT(W590:AK590)))</f>
        <v>0</v>
      </c>
      <c r="BR590" s="18" t="b">
        <f>OR(AND(E590='Povolené hodnoty'!$B$6,$BR$5),AND(E590='Povolené hodnoty'!$B$6,H590&lt;&gt;'Povolené hodnoty'!$E$26,H590&lt;&gt;'Povolené hodnoty'!$E$35),AND(E590&lt;&gt;'Povolené hodnoty'!$B$6,OR(H590='Povolené hodnoty'!$E$26,H590='Povolené hodnoty'!$E$35)))</f>
        <v>0</v>
      </c>
      <c r="BS590" s="18" t="b">
        <f>OR(AND(G590&lt;&gt;'Povolené hodnoty'!$B$13,OR(H590='Povolené hodnoty'!$E$21,H590='Povolené hodnoty'!$E$22,H590='Povolené hodnoty'!$E$23,H590='Povolené hodnoty'!$E$24,H590='Povolené hodnoty'!$E$26,H590='Povolené hodnoty'!$E$36)),COUNT(I590:J590,L590:M590,O590:P590,R590:S590)&lt;&gt;COUNT(AL590:BM590))</f>
        <v>0</v>
      </c>
      <c r="BT590" s="18" t="b">
        <f t="shared" si="323"/>
        <v>0</v>
      </c>
      <c r="BV590" s="39" t="str">
        <f t="shared" si="324"/>
        <v/>
      </c>
      <c r="BW590" s="458" t="str">
        <f t="shared" si="325"/>
        <v/>
      </c>
      <c r="BX590" s="458" t="str">
        <f t="shared" si="326"/>
        <v/>
      </c>
      <c r="BY590" s="458" t="str">
        <f t="shared" si="327"/>
        <v/>
      </c>
      <c r="BZ590" s="458" t="str">
        <f t="shared" si="328"/>
        <v/>
      </c>
      <c r="CA590" s="40" t="str">
        <f t="shared" si="329"/>
        <v/>
      </c>
      <c r="CB590" s="40" t="str">
        <f t="shared" si="330"/>
        <v/>
      </c>
      <c r="CC590" s="39" t="str">
        <f t="shared" si="331"/>
        <v/>
      </c>
      <c r="CD590" s="458" t="str">
        <f t="shared" si="332"/>
        <v/>
      </c>
      <c r="CE590" s="41" t="str">
        <f t="shared" si="333"/>
        <v/>
      </c>
      <c r="CF590" s="39" t="str">
        <f t="shared" si="334"/>
        <v/>
      </c>
      <c r="CG590" s="458" t="str">
        <f t="shared" si="335"/>
        <v/>
      </c>
      <c r="CH590" s="458" t="str">
        <f t="shared" si="336"/>
        <v/>
      </c>
      <c r="CI590" s="458" t="str">
        <f t="shared" si="337"/>
        <v/>
      </c>
      <c r="CJ590" s="458" t="str">
        <f t="shared" si="338"/>
        <v/>
      </c>
      <c r="CK590" s="40" t="str">
        <f t="shared" si="339"/>
        <v/>
      </c>
      <c r="CL590" s="40" t="str">
        <f t="shared" si="340"/>
        <v/>
      </c>
      <c r="CM590" s="40" t="str">
        <f t="shared" si="341"/>
        <v/>
      </c>
      <c r="CN590" s="39" t="str">
        <f t="shared" si="342"/>
        <v/>
      </c>
      <c r="CO590" s="458" t="str">
        <f t="shared" si="343"/>
        <v/>
      </c>
      <c r="CP590" s="458" t="str">
        <f t="shared" si="344"/>
        <v/>
      </c>
      <c r="CQ590" s="458" t="str">
        <f t="shared" si="345"/>
        <v/>
      </c>
      <c r="CR590" s="458" t="str">
        <f t="shared" si="346"/>
        <v/>
      </c>
      <c r="CS590" s="40" t="str">
        <f t="shared" si="347"/>
        <v/>
      </c>
      <c r="CT590" s="40" t="str">
        <f t="shared" si="348"/>
        <v/>
      </c>
      <c r="CU590" s="41" t="str">
        <f t="shared" si="349"/>
        <v/>
      </c>
    </row>
    <row r="591" spans="1:99" x14ac:dyDescent="0.2">
      <c r="A591" s="77">
        <f t="shared" si="350"/>
        <v>586</v>
      </c>
      <c r="B591" s="81"/>
      <c r="C591" s="82"/>
      <c r="D591" s="71"/>
      <c r="E591" s="72"/>
      <c r="F591" s="73"/>
      <c r="G591" s="443"/>
      <c r="H591" s="443"/>
      <c r="I591" s="74"/>
      <c r="J591" s="75"/>
      <c r="K591" s="41">
        <f t="shared" si="319"/>
        <v>3625</v>
      </c>
      <c r="L591" s="104"/>
      <c r="M591" s="105"/>
      <c r="N591" s="106">
        <f t="shared" si="320"/>
        <v>537.05999999999995</v>
      </c>
      <c r="O591" s="104"/>
      <c r="P591" s="105"/>
      <c r="Q591" s="106">
        <f t="shared" si="352"/>
        <v>10045.83</v>
      </c>
      <c r="R591" s="104"/>
      <c r="S591" s="105"/>
      <c r="T591" s="106">
        <f t="shared" si="353"/>
        <v>0</v>
      </c>
      <c r="U591" s="439"/>
      <c r="V591" s="42">
        <f t="shared" si="321"/>
        <v>586</v>
      </c>
      <c r="W591" s="39" t="str">
        <f>IF(AND(E591='Povolené hodnoty'!$B$4,F591=2),I591+L591+O591+R591,"")</f>
        <v/>
      </c>
      <c r="X591" s="41" t="str">
        <f>IF(AND(E591='Povolené hodnoty'!$B$4,F591=1),I591+L591+O591+R591,"")</f>
        <v/>
      </c>
      <c r="Y591" s="39" t="str">
        <f>IF(AND(E591='Povolené hodnoty'!$B$4,F591=10),J591+M591+P591+S591,"")</f>
        <v/>
      </c>
      <c r="Z591" s="41" t="str">
        <f>IF(AND(E591='Povolené hodnoty'!$B$4,F591=9),J591+M591+P591+S591,"")</f>
        <v/>
      </c>
      <c r="AA591" s="39" t="str">
        <f>IF(AND(E591&lt;&gt;'Povolené hodnoty'!$B$4,F591=2),I591+L591+O591+R591,"")</f>
        <v/>
      </c>
      <c r="AB591" s="40" t="str">
        <f>IF(AND(E591&lt;&gt;'Povolené hodnoty'!$B$4,F591=3),I591+L591+O591+R591,"")</f>
        <v/>
      </c>
      <c r="AC591" s="40" t="str">
        <f>IF(AND(E591&lt;&gt;'Povolené hodnoty'!$B$4,F591=4),I591+L591+O591+R591,"")</f>
        <v/>
      </c>
      <c r="AD591" s="40" t="str">
        <f>IF(AND(E591&lt;&gt;'Povolené hodnoty'!$B$4,F591="5a"),I591-J591+L591-M591+O591-P591+R591-S591,"")</f>
        <v/>
      </c>
      <c r="AE591" s="40" t="str">
        <f>IF(AND(E591&lt;&gt;'Povolené hodnoty'!$B$4,F591="5b"),I591-J591+L591-M591+O591-P591+R591-S591,"")</f>
        <v/>
      </c>
      <c r="AF591" s="40" t="str">
        <f>IF(AND(E591&lt;&gt;'Povolené hodnoty'!$B$4,F591=6),I591+L591+O591+R591,"")</f>
        <v/>
      </c>
      <c r="AG591" s="41" t="str">
        <f>IF(AND(E591&lt;&gt;'Povolené hodnoty'!$B$4,F591=7),I591+L591+O591+R591,"")</f>
        <v/>
      </c>
      <c r="AH591" s="39" t="str">
        <f>IF(AND(E591&lt;&gt;'Povolené hodnoty'!$B$4,F591=10),J591+M591+P591+S591,"")</f>
        <v/>
      </c>
      <c r="AI591" s="40" t="str">
        <f>IF(AND(E591&lt;&gt;'Povolené hodnoty'!$B$4,F591=11),J591+M591+P591+S591,"")</f>
        <v/>
      </c>
      <c r="AJ591" s="40" t="str">
        <f>IF(AND(E591&lt;&gt;'Povolené hodnoty'!$B$4,F591=12),J591+M591+P591+S591,"")</f>
        <v/>
      </c>
      <c r="AK591" s="41" t="str">
        <f>IF(AND(E591&lt;&gt;'Povolené hodnoty'!$B$4,F591=13),J591+M591+P591+S591,"")</f>
        <v/>
      </c>
      <c r="AL591" s="39" t="str">
        <f>IF(AND($G591='Povolené hodnoty'!$B$13,$H591=AL$4),SUM($I591,$L591,$O591,$R591),"")</f>
        <v/>
      </c>
      <c r="AM591" s="458" t="str">
        <f>IF(AND($G591='Povolené hodnoty'!$B$13,$H591=AM$4),SUM($I591,$L591,$O591,$R591),"")</f>
        <v/>
      </c>
      <c r="AN591" s="458" t="str">
        <f>IF(AND($G591='Povolené hodnoty'!$B$13,$H591=AN$4),SUM($I591,$L591,$O591,$R591),"")</f>
        <v/>
      </c>
      <c r="AO591" s="458" t="str">
        <f>IF(AND($G591='Povolené hodnoty'!$B$13,$H591=AO$4),SUM($I591,$L591,$O591,$R591),"")</f>
        <v/>
      </c>
      <c r="AP591" s="458" t="str">
        <f>IF(AND($G591='Povolené hodnoty'!$B$13,$H591=AP$4),SUM($I591,$L591,$O591,$R591),"")</f>
        <v/>
      </c>
      <c r="AQ591" s="40" t="str">
        <f>IF(AND($G591='Povolené hodnoty'!$B$13,OR($H591=AQ$4,$H591='Povolené hodnoty'!$E$36)),SUM($I591,-$J591,$L591,-$M591,$O591,-$P591,$R591,-$S591),"")</f>
        <v/>
      </c>
      <c r="AR591" s="40" t="str">
        <f>IF(AND($G591='Povolené hodnoty'!$B$13,$H591=AR$4),SUM($I591,$L591,$O591,$R591),"")</f>
        <v/>
      </c>
      <c r="AS591" s="41" t="str">
        <f>IF(AND($G591='Povolené hodnoty'!$B$13,$H591=AS$4),SUM($I591,$L591,$O591,$R591),"")</f>
        <v/>
      </c>
      <c r="AT591" s="39" t="str">
        <f>IF(AND($G591='Povolené hodnoty'!$B$14,$H591=AT$4),SUM($I591,$L591,$O591,$R591),"")</f>
        <v/>
      </c>
      <c r="AU591" s="458" t="str">
        <f>IF(AND($G591='Povolené hodnoty'!$B$14,$H591=AU$4),SUM($I591,$L591,$O591,$R591),"")</f>
        <v/>
      </c>
      <c r="AV591" s="41" t="str">
        <f>IF(AND($G591='Povolené hodnoty'!$B$14,$H591=AV$4),SUM($I591,$L591,$O591,$R591),"")</f>
        <v/>
      </c>
      <c r="AW591" s="39" t="str">
        <f>IF(AND($G591='Povolené hodnoty'!$B$13,$H591=AW$4),SUM($J591,$M591,$P591,$S591),"")</f>
        <v/>
      </c>
      <c r="AX591" s="458" t="str">
        <f>IF(AND($G591='Povolené hodnoty'!$B$13,$H591=AX$4),SUM($J591,$M591,$P591,$S591),"")</f>
        <v/>
      </c>
      <c r="AY591" s="458" t="str">
        <f>IF(AND($G591='Povolené hodnoty'!$B$13,$H591=AY$4),SUM($J591,$M591,$P591,$S591),"")</f>
        <v/>
      </c>
      <c r="AZ591" s="458" t="str">
        <f>IF(AND($G591='Povolené hodnoty'!$B$13,$H591=AZ$4),SUM($J591,$M591,$P591,$S591),"")</f>
        <v/>
      </c>
      <c r="BA591" s="458" t="str">
        <f>IF(AND($G591='Povolené hodnoty'!$B$13,$H591=BA$4),SUM($J591,$M591,$P591,$S591),"")</f>
        <v/>
      </c>
      <c r="BB591" s="40" t="str">
        <f>IF(AND($G591='Povolené hodnoty'!$B$13,$H591=BB$4),SUM($J591,$M591,$P591,$S591),"")</f>
        <v/>
      </c>
      <c r="BC591" s="40" t="str">
        <f>IF(AND($G591='Povolené hodnoty'!$B$13,$H591=BC$4),SUM($J591,$M591,$P591,$S591),"")</f>
        <v/>
      </c>
      <c r="BD591" s="40" t="str">
        <f>IF(AND($G591='Povolené hodnoty'!$B$13,$H591=BD$4),SUM($J591,$M591,$P591,$S591),"")</f>
        <v/>
      </c>
      <c r="BE591" s="41" t="str">
        <f>IF(AND($G591='Povolené hodnoty'!$B$13,$H591=BE$4),SUM($J591,$M591,$P591,$S591),"")</f>
        <v/>
      </c>
      <c r="BF591" s="39" t="str">
        <f>IF(AND($G591='Povolené hodnoty'!$B$14,$H591=BF$4),SUM($J591,$M591,$P591,$S591),"")</f>
        <v/>
      </c>
      <c r="BG591" s="458" t="str">
        <f>IF(AND($G591='Povolené hodnoty'!$B$14,$H591=BG$4),SUM($J591,$M591,$P591,$S591),"")</f>
        <v/>
      </c>
      <c r="BH591" s="458" t="str">
        <f>IF(AND($G591='Povolené hodnoty'!$B$14,$H591=BH$4),SUM($J591,$M591,$P591,$S591),"")</f>
        <v/>
      </c>
      <c r="BI591" s="458" t="str">
        <f>IF(AND($G591='Povolené hodnoty'!$B$14,$H591=BI$4),SUM($J591,$M591,$P591,$S591),"")</f>
        <v/>
      </c>
      <c r="BJ591" s="458" t="str">
        <f>IF(AND($G591='Povolené hodnoty'!$B$14,$H591=BJ$4),SUM($J591,$M591,$P591,$S591),"")</f>
        <v/>
      </c>
      <c r="BK591" s="40" t="str">
        <f>IF(AND($G591='Povolené hodnoty'!$B$14,$H591=BK$4),SUM($J591,$M591,$P591,$S591),"")</f>
        <v/>
      </c>
      <c r="BL591" s="40" t="str">
        <f>IF(AND($G591='Povolené hodnoty'!$B$14,$H591=BL$4),SUM($J591,$M591,$P591,$S591),"")</f>
        <v/>
      </c>
      <c r="BM591" s="41" t="str">
        <f>IF(AND($G591='Povolené hodnoty'!$B$14,$H591=BM$4),SUM($J591,$M591,$P591,$S591),"")</f>
        <v/>
      </c>
      <c r="BO591" s="18" t="b">
        <f t="shared" si="351"/>
        <v>0</v>
      </c>
      <c r="BP591" s="18" t="b">
        <f t="shared" si="322"/>
        <v>0</v>
      </c>
      <c r="BQ591" s="18" t="b">
        <f>AND(E591&lt;&gt;'Povolené hodnoty'!$B$6,F591&lt;&gt;'Povolené hodnoty'!$D$7,F591&lt;&gt;'Povolené hodnoty'!$D$8,OR(SUM(I591,L591,O591,R591)&lt;&gt;SUM(W591:X591,AA591:AG591),SUM(J591,M591,P591,S591)&lt;&gt;SUM(Y591:Z591,AH591:AK591),COUNT(I591:J591,L591:M591,O591:P591,R591:S591)&lt;&gt;COUNT(W591:AK591)))</f>
        <v>0</v>
      </c>
      <c r="BR591" s="18" t="b">
        <f>OR(AND(E591='Povolené hodnoty'!$B$6,$BR$5),AND(E591='Povolené hodnoty'!$B$6,H591&lt;&gt;'Povolené hodnoty'!$E$26,H591&lt;&gt;'Povolené hodnoty'!$E$35),AND(E591&lt;&gt;'Povolené hodnoty'!$B$6,OR(H591='Povolené hodnoty'!$E$26,H591='Povolené hodnoty'!$E$35)))</f>
        <v>0</v>
      </c>
      <c r="BS591" s="18" t="b">
        <f>OR(AND(G591&lt;&gt;'Povolené hodnoty'!$B$13,OR(H591='Povolené hodnoty'!$E$21,H591='Povolené hodnoty'!$E$22,H591='Povolené hodnoty'!$E$23,H591='Povolené hodnoty'!$E$24,H591='Povolené hodnoty'!$E$26,H591='Povolené hodnoty'!$E$36)),COUNT(I591:J591,L591:M591,O591:P591,R591:S591)&lt;&gt;COUNT(AL591:BM591))</f>
        <v>0</v>
      </c>
      <c r="BT591" s="18" t="b">
        <f t="shared" si="323"/>
        <v>0</v>
      </c>
      <c r="BV591" s="39" t="str">
        <f t="shared" si="324"/>
        <v/>
      </c>
      <c r="BW591" s="458" t="str">
        <f t="shared" si="325"/>
        <v/>
      </c>
      <c r="BX591" s="458" t="str">
        <f t="shared" si="326"/>
        <v/>
      </c>
      <c r="BY591" s="458" t="str">
        <f t="shared" si="327"/>
        <v/>
      </c>
      <c r="BZ591" s="458" t="str">
        <f t="shared" si="328"/>
        <v/>
      </c>
      <c r="CA591" s="40" t="str">
        <f t="shared" si="329"/>
        <v/>
      </c>
      <c r="CB591" s="40" t="str">
        <f t="shared" si="330"/>
        <v/>
      </c>
      <c r="CC591" s="39" t="str">
        <f t="shared" si="331"/>
        <v/>
      </c>
      <c r="CD591" s="458" t="str">
        <f t="shared" si="332"/>
        <v/>
      </c>
      <c r="CE591" s="41" t="str">
        <f t="shared" si="333"/>
        <v/>
      </c>
      <c r="CF591" s="39" t="str">
        <f t="shared" si="334"/>
        <v/>
      </c>
      <c r="CG591" s="458" t="str">
        <f t="shared" si="335"/>
        <v/>
      </c>
      <c r="CH591" s="458" t="str">
        <f t="shared" si="336"/>
        <v/>
      </c>
      <c r="CI591" s="458" t="str">
        <f t="shared" si="337"/>
        <v/>
      </c>
      <c r="CJ591" s="458" t="str">
        <f t="shared" si="338"/>
        <v/>
      </c>
      <c r="CK591" s="40" t="str">
        <f t="shared" si="339"/>
        <v/>
      </c>
      <c r="CL591" s="40" t="str">
        <f t="shared" si="340"/>
        <v/>
      </c>
      <c r="CM591" s="40" t="str">
        <f t="shared" si="341"/>
        <v/>
      </c>
      <c r="CN591" s="39" t="str">
        <f t="shared" si="342"/>
        <v/>
      </c>
      <c r="CO591" s="458" t="str">
        <f t="shared" si="343"/>
        <v/>
      </c>
      <c r="CP591" s="458" t="str">
        <f t="shared" si="344"/>
        <v/>
      </c>
      <c r="CQ591" s="458" t="str">
        <f t="shared" si="345"/>
        <v/>
      </c>
      <c r="CR591" s="458" t="str">
        <f t="shared" si="346"/>
        <v/>
      </c>
      <c r="CS591" s="40" t="str">
        <f t="shared" si="347"/>
        <v/>
      </c>
      <c r="CT591" s="40" t="str">
        <f t="shared" si="348"/>
        <v/>
      </c>
      <c r="CU591" s="41" t="str">
        <f t="shared" si="349"/>
        <v/>
      </c>
    </row>
    <row r="592" spans="1:99" x14ac:dyDescent="0.2">
      <c r="A592" s="77">
        <f t="shared" si="350"/>
        <v>587</v>
      </c>
      <c r="B592" s="81"/>
      <c r="C592" s="82"/>
      <c r="D592" s="71"/>
      <c r="E592" s="72"/>
      <c r="F592" s="73"/>
      <c r="G592" s="443"/>
      <c r="H592" s="443"/>
      <c r="I592" s="74"/>
      <c r="J592" s="75"/>
      <c r="K592" s="41">
        <f t="shared" si="319"/>
        <v>3625</v>
      </c>
      <c r="L592" s="104"/>
      <c r="M592" s="105"/>
      <c r="N592" s="106">
        <f t="shared" si="320"/>
        <v>537.05999999999995</v>
      </c>
      <c r="O592" s="104"/>
      <c r="P592" s="105"/>
      <c r="Q592" s="106">
        <f t="shared" si="352"/>
        <v>10045.83</v>
      </c>
      <c r="R592" s="104"/>
      <c r="S592" s="105"/>
      <c r="T592" s="106">
        <f t="shared" si="353"/>
        <v>0</v>
      </c>
      <c r="U592" s="439"/>
      <c r="V592" s="42">
        <f t="shared" si="321"/>
        <v>587</v>
      </c>
      <c r="W592" s="39" t="str">
        <f>IF(AND(E592='Povolené hodnoty'!$B$4,F592=2),I592+L592+O592+R592,"")</f>
        <v/>
      </c>
      <c r="X592" s="41" t="str">
        <f>IF(AND(E592='Povolené hodnoty'!$B$4,F592=1),I592+L592+O592+R592,"")</f>
        <v/>
      </c>
      <c r="Y592" s="39" t="str">
        <f>IF(AND(E592='Povolené hodnoty'!$B$4,F592=10),J592+M592+P592+S592,"")</f>
        <v/>
      </c>
      <c r="Z592" s="41" t="str">
        <f>IF(AND(E592='Povolené hodnoty'!$B$4,F592=9),J592+M592+P592+S592,"")</f>
        <v/>
      </c>
      <c r="AA592" s="39" t="str">
        <f>IF(AND(E592&lt;&gt;'Povolené hodnoty'!$B$4,F592=2),I592+L592+O592+R592,"")</f>
        <v/>
      </c>
      <c r="AB592" s="40" t="str">
        <f>IF(AND(E592&lt;&gt;'Povolené hodnoty'!$B$4,F592=3),I592+L592+O592+R592,"")</f>
        <v/>
      </c>
      <c r="AC592" s="40" t="str">
        <f>IF(AND(E592&lt;&gt;'Povolené hodnoty'!$B$4,F592=4),I592+L592+O592+R592,"")</f>
        <v/>
      </c>
      <c r="AD592" s="40" t="str">
        <f>IF(AND(E592&lt;&gt;'Povolené hodnoty'!$B$4,F592="5a"),I592-J592+L592-M592+O592-P592+R592-S592,"")</f>
        <v/>
      </c>
      <c r="AE592" s="40" t="str">
        <f>IF(AND(E592&lt;&gt;'Povolené hodnoty'!$B$4,F592="5b"),I592-J592+L592-M592+O592-P592+R592-S592,"")</f>
        <v/>
      </c>
      <c r="AF592" s="40" t="str">
        <f>IF(AND(E592&lt;&gt;'Povolené hodnoty'!$B$4,F592=6),I592+L592+O592+R592,"")</f>
        <v/>
      </c>
      <c r="AG592" s="41" t="str">
        <f>IF(AND(E592&lt;&gt;'Povolené hodnoty'!$B$4,F592=7),I592+L592+O592+R592,"")</f>
        <v/>
      </c>
      <c r="AH592" s="39" t="str">
        <f>IF(AND(E592&lt;&gt;'Povolené hodnoty'!$B$4,F592=10),J592+M592+P592+S592,"")</f>
        <v/>
      </c>
      <c r="AI592" s="40" t="str">
        <f>IF(AND(E592&lt;&gt;'Povolené hodnoty'!$B$4,F592=11),J592+M592+P592+S592,"")</f>
        <v/>
      </c>
      <c r="AJ592" s="40" t="str">
        <f>IF(AND(E592&lt;&gt;'Povolené hodnoty'!$B$4,F592=12),J592+M592+P592+S592,"")</f>
        <v/>
      </c>
      <c r="AK592" s="41" t="str">
        <f>IF(AND(E592&lt;&gt;'Povolené hodnoty'!$B$4,F592=13),J592+M592+P592+S592,"")</f>
        <v/>
      </c>
      <c r="AL592" s="39" t="str">
        <f>IF(AND($G592='Povolené hodnoty'!$B$13,$H592=AL$4),SUM($I592,$L592,$O592,$R592),"")</f>
        <v/>
      </c>
      <c r="AM592" s="458" t="str">
        <f>IF(AND($G592='Povolené hodnoty'!$B$13,$H592=AM$4),SUM($I592,$L592,$O592,$R592),"")</f>
        <v/>
      </c>
      <c r="AN592" s="458" t="str">
        <f>IF(AND($G592='Povolené hodnoty'!$B$13,$H592=AN$4),SUM($I592,$L592,$O592,$R592),"")</f>
        <v/>
      </c>
      <c r="AO592" s="458" t="str">
        <f>IF(AND($G592='Povolené hodnoty'!$B$13,$H592=AO$4),SUM($I592,$L592,$O592,$R592),"")</f>
        <v/>
      </c>
      <c r="AP592" s="458" t="str">
        <f>IF(AND($G592='Povolené hodnoty'!$B$13,$H592=AP$4),SUM($I592,$L592,$O592,$R592),"")</f>
        <v/>
      </c>
      <c r="AQ592" s="40" t="str">
        <f>IF(AND($G592='Povolené hodnoty'!$B$13,OR($H592=AQ$4,$H592='Povolené hodnoty'!$E$36)),SUM($I592,-$J592,$L592,-$M592,$O592,-$P592,$R592,-$S592),"")</f>
        <v/>
      </c>
      <c r="AR592" s="40" t="str">
        <f>IF(AND($G592='Povolené hodnoty'!$B$13,$H592=AR$4),SUM($I592,$L592,$O592,$R592),"")</f>
        <v/>
      </c>
      <c r="AS592" s="41" t="str">
        <f>IF(AND($G592='Povolené hodnoty'!$B$13,$H592=AS$4),SUM($I592,$L592,$O592,$R592),"")</f>
        <v/>
      </c>
      <c r="AT592" s="39" t="str">
        <f>IF(AND($G592='Povolené hodnoty'!$B$14,$H592=AT$4),SUM($I592,$L592,$O592,$R592),"")</f>
        <v/>
      </c>
      <c r="AU592" s="458" t="str">
        <f>IF(AND($G592='Povolené hodnoty'!$B$14,$H592=AU$4),SUM($I592,$L592,$O592,$R592),"")</f>
        <v/>
      </c>
      <c r="AV592" s="41" t="str">
        <f>IF(AND($G592='Povolené hodnoty'!$B$14,$H592=AV$4),SUM($I592,$L592,$O592,$R592),"")</f>
        <v/>
      </c>
      <c r="AW592" s="39" t="str">
        <f>IF(AND($G592='Povolené hodnoty'!$B$13,$H592=AW$4),SUM($J592,$M592,$P592,$S592),"")</f>
        <v/>
      </c>
      <c r="AX592" s="458" t="str">
        <f>IF(AND($G592='Povolené hodnoty'!$B$13,$H592=AX$4),SUM($J592,$M592,$P592,$S592),"")</f>
        <v/>
      </c>
      <c r="AY592" s="458" t="str">
        <f>IF(AND($G592='Povolené hodnoty'!$B$13,$H592=AY$4),SUM($J592,$M592,$P592,$S592),"")</f>
        <v/>
      </c>
      <c r="AZ592" s="458" t="str">
        <f>IF(AND($G592='Povolené hodnoty'!$B$13,$H592=AZ$4),SUM($J592,$M592,$P592,$S592),"")</f>
        <v/>
      </c>
      <c r="BA592" s="458" t="str">
        <f>IF(AND($G592='Povolené hodnoty'!$B$13,$H592=BA$4),SUM($J592,$M592,$P592,$S592),"")</f>
        <v/>
      </c>
      <c r="BB592" s="40" t="str">
        <f>IF(AND($G592='Povolené hodnoty'!$B$13,$H592=BB$4),SUM($J592,$M592,$P592,$S592),"")</f>
        <v/>
      </c>
      <c r="BC592" s="40" t="str">
        <f>IF(AND($G592='Povolené hodnoty'!$B$13,$H592=BC$4),SUM($J592,$M592,$P592,$S592),"")</f>
        <v/>
      </c>
      <c r="BD592" s="40" t="str">
        <f>IF(AND($G592='Povolené hodnoty'!$B$13,$H592=BD$4),SUM($J592,$M592,$P592,$S592),"")</f>
        <v/>
      </c>
      <c r="BE592" s="41" t="str">
        <f>IF(AND($G592='Povolené hodnoty'!$B$13,$H592=BE$4),SUM($J592,$M592,$P592,$S592),"")</f>
        <v/>
      </c>
      <c r="BF592" s="39" t="str">
        <f>IF(AND($G592='Povolené hodnoty'!$B$14,$H592=BF$4),SUM($J592,$M592,$P592,$S592),"")</f>
        <v/>
      </c>
      <c r="BG592" s="458" t="str">
        <f>IF(AND($G592='Povolené hodnoty'!$B$14,$H592=BG$4),SUM($J592,$M592,$P592,$S592),"")</f>
        <v/>
      </c>
      <c r="BH592" s="458" t="str">
        <f>IF(AND($G592='Povolené hodnoty'!$B$14,$H592=BH$4),SUM($J592,$M592,$P592,$S592),"")</f>
        <v/>
      </c>
      <c r="BI592" s="458" t="str">
        <f>IF(AND($G592='Povolené hodnoty'!$B$14,$H592=BI$4),SUM($J592,$M592,$P592,$S592),"")</f>
        <v/>
      </c>
      <c r="BJ592" s="458" t="str">
        <f>IF(AND($G592='Povolené hodnoty'!$B$14,$H592=BJ$4),SUM($J592,$M592,$P592,$S592),"")</f>
        <v/>
      </c>
      <c r="BK592" s="40" t="str">
        <f>IF(AND($G592='Povolené hodnoty'!$B$14,$H592=BK$4),SUM($J592,$M592,$P592,$S592),"")</f>
        <v/>
      </c>
      <c r="BL592" s="40" t="str">
        <f>IF(AND($G592='Povolené hodnoty'!$B$14,$H592=BL$4),SUM($J592,$M592,$P592,$S592),"")</f>
        <v/>
      </c>
      <c r="BM592" s="41" t="str">
        <f>IF(AND($G592='Povolené hodnoty'!$B$14,$H592=BM$4),SUM($J592,$M592,$P592,$S592),"")</f>
        <v/>
      </c>
      <c r="BO592" s="18" t="b">
        <f t="shared" si="351"/>
        <v>0</v>
      </c>
      <c r="BP592" s="18" t="b">
        <f t="shared" si="322"/>
        <v>0</v>
      </c>
      <c r="BQ592" s="18" t="b">
        <f>AND(E592&lt;&gt;'Povolené hodnoty'!$B$6,F592&lt;&gt;'Povolené hodnoty'!$D$7,F592&lt;&gt;'Povolené hodnoty'!$D$8,OR(SUM(I592,L592,O592,R592)&lt;&gt;SUM(W592:X592,AA592:AG592),SUM(J592,M592,P592,S592)&lt;&gt;SUM(Y592:Z592,AH592:AK592),COUNT(I592:J592,L592:M592,O592:P592,R592:S592)&lt;&gt;COUNT(W592:AK592)))</f>
        <v>0</v>
      </c>
      <c r="BR592" s="18" t="b">
        <f>OR(AND(E592='Povolené hodnoty'!$B$6,$BR$5),AND(E592='Povolené hodnoty'!$B$6,H592&lt;&gt;'Povolené hodnoty'!$E$26,H592&lt;&gt;'Povolené hodnoty'!$E$35),AND(E592&lt;&gt;'Povolené hodnoty'!$B$6,OR(H592='Povolené hodnoty'!$E$26,H592='Povolené hodnoty'!$E$35)))</f>
        <v>0</v>
      </c>
      <c r="BS592" s="18" t="b">
        <f>OR(AND(G592&lt;&gt;'Povolené hodnoty'!$B$13,OR(H592='Povolené hodnoty'!$E$21,H592='Povolené hodnoty'!$E$22,H592='Povolené hodnoty'!$E$23,H592='Povolené hodnoty'!$E$24,H592='Povolené hodnoty'!$E$26,H592='Povolené hodnoty'!$E$36)),COUNT(I592:J592,L592:M592,O592:P592,R592:S592)&lt;&gt;COUNT(AL592:BM592))</f>
        <v>0</v>
      </c>
      <c r="BT592" s="18" t="b">
        <f t="shared" si="323"/>
        <v>0</v>
      </c>
      <c r="BV592" s="39" t="str">
        <f t="shared" si="324"/>
        <v/>
      </c>
      <c r="BW592" s="458" t="str">
        <f t="shared" si="325"/>
        <v/>
      </c>
      <c r="BX592" s="458" t="str">
        <f t="shared" si="326"/>
        <v/>
      </c>
      <c r="BY592" s="458" t="str">
        <f t="shared" si="327"/>
        <v/>
      </c>
      <c r="BZ592" s="458" t="str">
        <f t="shared" si="328"/>
        <v/>
      </c>
      <c r="CA592" s="40" t="str">
        <f t="shared" si="329"/>
        <v/>
      </c>
      <c r="CB592" s="40" t="str">
        <f t="shared" si="330"/>
        <v/>
      </c>
      <c r="CC592" s="39" t="str">
        <f t="shared" si="331"/>
        <v/>
      </c>
      <c r="CD592" s="458" t="str">
        <f t="shared" si="332"/>
        <v/>
      </c>
      <c r="CE592" s="41" t="str">
        <f t="shared" si="333"/>
        <v/>
      </c>
      <c r="CF592" s="39" t="str">
        <f t="shared" si="334"/>
        <v/>
      </c>
      <c r="CG592" s="458" t="str">
        <f t="shared" si="335"/>
        <v/>
      </c>
      <c r="CH592" s="458" t="str">
        <f t="shared" si="336"/>
        <v/>
      </c>
      <c r="CI592" s="458" t="str">
        <f t="shared" si="337"/>
        <v/>
      </c>
      <c r="CJ592" s="458" t="str">
        <f t="shared" si="338"/>
        <v/>
      </c>
      <c r="CK592" s="40" t="str">
        <f t="shared" si="339"/>
        <v/>
      </c>
      <c r="CL592" s="40" t="str">
        <f t="shared" si="340"/>
        <v/>
      </c>
      <c r="CM592" s="40" t="str">
        <f t="shared" si="341"/>
        <v/>
      </c>
      <c r="CN592" s="39" t="str">
        <f t="shared" si="342"/>
        <v/>
      </c>
      <c r="CO592" s="458" t="str">
        <f t="shared" si="343"/>
        <v/>
      </c>
      <c r="CP592" s="458" t="str">
        <f t="shared" si="344"/>
        <v/>
      </c>
      <c r="CQ592" s="458" t="str">
        <f t="shared" si="345"/>
        <v/>
      </c>
      <c r="CR592" s="458" t="str">
        <f t="shared" si="346"/>
        <v/>
      </c>
      <c r="CS592" s="40" t="str">
        <f t="shared" si="347"/>
        <v/>
      </c>
      <c r="CT592" s="40" t="str">
        <f t="shared" si="348"/>
        <v/>
      </c>
      <c r="CU592" s="41" t="str">
        <f t="shared" si="349"/>
        <v/>
      </c>
    </row>
    <row r="593" spans="1:99" x14ac:dyDescent="0.2">
      <c r="A593" s="77">
        <f t="shared" si="350"/>
        <v>588</v>
      </c>
      <c r="B593" s="81"/>
      <c r="C593" s="82"/>
      <c r="D593" s="71"/>
      <c r="E593" s="72"/>
      <c r="F593" s="73"/>
      <c r="G593" s="443"/>
      <c r="H593" s="443"/>
      <c r="I593" s="74"/>
      <c r="J593" s="75"/>
      <c r="K593" s="41">
        <f t="shared" si="319"/>
        <v>3625</v>
      </c>
      <c r="L593" s="104"/>
      <c r="M593" s="105"/>
      <c r="N593" s="106">
        <f t="shared" si="320"/>
        <v>537.05999999999995</v>
      </c>
      <c r="O593" s="104"/>
      <c r="P593" s="105"/>
      <c r="Q593" s="106">
        <f t="shared" si="352"/>
        <v>10045.83</v>
      </c>
      <c r="R593" s="104"/>
      <c r="S593" s="105"/>
      <c r="T593" s="106">
        <f t="shared" si="353"/>
        <v>0</v>
      </c>
      <c r="U593" s="439"/>
      <c r="V593" s="42">
        <f t="shared" si="321"/>
        <v>588</v>
      </c>
      <c r="W593" s="39" t="str">
        <f>IF(AND(E593='Povolené hodnoty'!$B$4,F593=2),I593+L593+O593+R593,"")</f>
        <v/>
      </c>
      <c r="X593" s="41" t="str">
        <f>IF(AND(E593='Povolené hodnoty'!$B$4,F593=1),I593+L593+O593+R593,"")</f>
        <v/>
      </c>
      <c r="Y593" s="39" t="str">
        <f>IF(AND(E593='Povolené hodnoty'!$B$4,F593=10),J593+M593+P593+S593,"")</f>
        <v/>
      </c>
      <c r="Z593" s="41" t="str">
        <f>IF(AND(E593='Povolené hodnoty'!$B$4,F593=9),J593+M593+P593+S593,"")</f>
        <v/>
      </c>
      <c r="AA593" s="39" t="str">
        <f>IF(AND(E593&lt;&gt;'Povolené hodnoty'!$B$4,F593=2),I593+L593+O593+R593,"")</f>
        <v/>
      </c>
      <c r="AB593" s="40" t="str">
        <f>IF(AND(E593&lt;&gt;'Povolené hodnoty'!$B$4,F593=3),I593+L593+O593+R593,"")</f>
        <v/>
      </c>
      <c r="AC593" s="40" t="str">
        <f>IF(AND(E593&lt;&gt;'Povolené hodnoty'!$B$4,F593=4),I593+L593+O593+R593,"")</f>
        <v/>
      </c>
      <c r="AD593" s="40" t="str">
        <f>IF(AND(E593&lt;&gt;'Povolené hodnoty'!$B$4,F593="5a"),I593-J593+L593-M593+O593-P593+R593-S593,"")</f>
        <v/>
      </c>
      <c r="AE593" s="40" t="str">
        <f>IF(AND(E593&lt;&gt;'Povolené hodnoty'!$B$4,F593="5b"),I593-J593+L593-M593+O593-P593+R593-S593,"")</f>
        <v/>
      </c>
      <c r="AF593" s="40" t="str">
        <f>IF(AND(E593&lt;&gt;'Povolené hodnoty'!$B$4,F593=6),I593+L593+O593+R593,"")</f>
        <v/>
      </c>
      <c r="AG593" s="41" t="str">
        <f>IF(AND(E593&lt;&gt;'Povolené hodnoty'!$B$4,F593=7),I593+L593+O593+R593,"")</f>
        <v/>
      </c>
      <c r="AH593" s="39" t="str">
        <f>IF(AND(E593&lt;&gt;'Povolené hodnoty'!$B$4,F593=10),J593+M593+P593+S593,"")</f>
        <v/>
      </c>
      <c r="AI593" s="40" t="str">
        <f>IF(AND(E593&lt;&gt;'Povolené hodnoty'!$B$4,F593=11),J593+M593+P593+S593,"")</f>
        <v/>
      </c>
      <c r="AJ593" s="40" t="str">
        <f>IF(AND(E593&lt;&gt;'Povolené hodnoty'!$B$4,F593=12),J593+M593+P593+S593,"")</f>
        <v/>
      </c>
      <c r="AK593" s="41" t="str">
        <f>IF(AND(E593&lt;&gt;'Povolené hodnoty'!$B$4,F593=13),J593+M593+P593+S593,"")</f>
        <v/>
      </c>
      <c r="AL593" s="39" t="str">
        <f>IF(AND($G593='Povolené hodnoty'!$B$13,$H593=AL$4),SUM($I593,$L593,$O593,$R593),"")</f>
        <v/>
      </c>
      <c r="AM593" s="458" t="str">
        <f>IF(AND($G593='Povolené hodnoty'!$B$13,$H593=AM$4),SUM($I593,$L593,$O593,$R593),"")</f>
        <v/>
      </c>
      <c r="AN593" s="458" t="str">
        <f>IF(AND($G593='Povolené hodnoty'!$B$13,$H593=AN$4),SUM($I593,$L593,$O593,$R593),"")</f>
        <v/>
      </c>
      <c r="AO593" s="458" t="str">
        <f>IF(AND($G593='Povolené hodnoty'!$B$13,$H593=AO$4),SUM($I593,$L593,$O593,$R593),"")</f>
        <v/>
      </c>
      <c r="AP593" s="458" t="str">
        <f>IF(AND($G593='Povolené hodnoty'!$B$13,$H593=AP$4),SUM($I593,$L593,$O593,$R593),"")</f>
        <v/>
      </c>
      <c r="AQ593" s="40" t="str">
        <f>IF(AND($G593='Povolené hodnoty'!$B$13,OR($H593=AQ$4,$H593='Povolené hodnoty'!$E$36)),SUM($I593,-$J593,$L593,-$M593,$O593,-$P593,$R593,-$S593),"")</f>
        <v/>
      </c>
      <c r="AR593" s="40" t="str">
        <f>IF(AND($G593='Povolené hodnoty'!$B$13,$H593=AR$4),SUM($I593,$L593,$O593,$R593),"")</f>
        <v/>
      </c>
      <c r="AS593" s="41" t="str">
        <f>IF(AND($G593='Povolené hodnoty'!$B$13,$H593=AS$4),SUM($I593,$L593,$O593,$R593),"")</f>
        <v/>
      </c>
      <c r="AT593" s="39" t="str">
        <f>IF(AND($G593='Povolené hodnoty'!$B$14,$H593=AT$4),SUM($I593,$L593,$O593,$R593),"")</f>
        <v/>
      </c>
      <c r="AU593" s="458" t="str">
        <f>IF(AND($G593='Povolené hodnoty'!$B$14,$H593=AU$4),SUM($I593,$L593,$O593,$R593),"")</f>
        <v/>
      </c>
      <c r="AV593" s="41" t="str">
        <f>IF(AND($G593='Povolené hodnoty'!$B$14,$H593=AV$4),SUM($I593,$L593,$O593,$R593),"")</f>
        <v/>
      </c>
      <c r="AW593" s="39" t="str">
        <f>IF(AND($G593='Povolené hodnoty'!$B$13,$H593=AW$4),SUM($J593,$M593,$P593,$S593),"")</f>
        <v/>
      </c>
      <c r="AX593" s="458" t="str">
        <f>IF(AND($G593='Povolené hodnoty'!$B$13,$H593=AX$4),SUM($J593,$M593,$P593,$S593),"")</f>
        <v/>
      </c>
      <c r="AY593" s="458" t="str">
        <f>IF(AND($G593='Povolené hodnoty'!$B$13,$H593=AY$4),SUM($J593,$M593,$P593,$S593),"")</f>
        <v/>
      </c>
      <c r="AZ593" s="458" t="str">
        <f>IF(AND($G593='Povolené hodnoty'!$B$13,$H593=AZ$4),SUM($J593,$M593,$P593,$S593),"")</f>
        <v/>
      </c>
      <c r="BA593" s="458" t="str">
        <f>IF(AND($G593='Povolené hodnoty'!$B$13,$H593=BA$4),SUM($J593,$M593,$P593,$S593),"")</f>
        <v/>
      </c>
      <c r="BB593" s="40" t="str">
        <f>IF(AND($G593='Povolené hodnoty'!$B$13,$H593=BB$4),SUM($J593,$M593,$P593,$S593),"")</f>
        <v/>
      </c>
      <c r="BC593" s="40" t="str">
        <f>IF(AND($G593='Povolené hodnoty'!$B$13,$H593=BC$4),SUM($J593,$M593,$P593,$S593),"")</f>
        <v/>
      </c>
      <c r="BD593" s="40" t="str">
        <f>IF(AND($G593='Povolené hodnoty'!$B$13,$H593=BD$4),SUM($J593,$M593,$P593,$S593),"")</f>
        <v/>
      </c>
      <c r="BE593" s="41" t="str">
        <f>IF(AND($G593='Povolené hodnoty'!$B$13,$H593=BE$4),SUM($J593,$M593,$P593,$S593),"")</f>
        <v/>
      </c>
      <c r="BF593" s="39" t="str">
        <f>IF(AND($G593='Povolené hodnoty'!$B$14,$H593=BF$4),SUM($J593,$M593,$P593,$S593),"")</f>
        <v/>
      </c>
      <c r="BG593" s="458" t="str">
        <f>IF(AND($G593='Povolené hodnoty'!$B$14,$H593=BG$4),SUM($J593,$M593,$P593,$S593),"")</f>
        <v/>
      </c>
      <c r="BH593" s="458" t="str">
        <f>IF(AND($G593='Povolené hodnoty'!$B$14,$H593=BH$4),SUM($J593,$M593,$P593,$S593),"")</f>
        <v/>
      </c>
      <c r="BI593" s="458" t="str">
        <f>IF(AND($G593='Povolené hodnoty'!$B$14,$H593=BI$4),SUM($J593,$M593,$P593,$S593),"")</f>
        <v/>
      </c>
      <c r="BJ593" s="458" t="str">
        <f>IF(AND($G593='Povolené hodnoty'!$B$14,$H593=BJ$4),SUM($J593,$M593,$P593,$S593),"")</f>
        <v/>
      </c>
      <c r="BK593" s="40" t="str">
        <f>IF(AND($G593='Povolené hodnoty'!$B$14,$H593=BK$4),SUM($J593,$M593,$P593,$S593),"")</f>
        <v/>
      </c>
      <c r="BL593" s="40" t="str">
        <f>IF(AND($G593='Povolené hodnoty'!$B$14,$H593=BL$4),SUM($J593,$M593,$P593,$S593),"")</f>
        <v/>
      </c>
      <c r="BM593" s="41" t="str">
        <f>IF(AND($G593='Povolené hodnoty'!$B$14,$H593=BM$4),SUM($J593,$M593,$P593,$S593),"")</f>
        <v/>
      </c>
      <c r="BO593" s="18" t="b">
        <f t="shared" si="351"/>
        <v>0</v>
      </c>
      <c r="BP593" s="18" t="b">
        <f t="shared" si="322"/>
        <v>0</v>
      </c>
      <c r="BQ593" s="18" t="b">
        <f>AND(E593&lt;&gt;'Povolené hodnoty'!$B$6,F593&lt;&gt;'Povolené hodnoty'!$D$7,F593&lt;&gt;'Povolené hodnoty'!$D$8,OR(SUM(I593,L593,O593,R593)&lt;&gt;SUM(W593:X593,AA593:AG593),SUM(J593,M593,P593,S593)&lt;&gt;SUM(Y593:Z593,AH593:AK593),COUNT(I593:J593,L593:M593,O593:P593,R593:S593)&lt;&gt;COUNT(W593:AK593)))</f>
        <v>0</v>
      </c>
      <c r="BR593" s="18" t="b">
        <f>OR(AND(E593='Povolené hodnoty'!$B$6,$BR$5),AND(E593='Povolené hodnoty'!$B$6,H593&lt;&gt;'Povolené hodnoty'!$E$26,H593&lt;&gt;'Povolené hodnoty'!$E$35),AND(E593&lt;&gt;'Povolené hodnoty'!$B$6,OR(H593='Povolené hodnoty'!$E$26,H593='Povolené hodnoty'!$E$35)))</f>
        <v>0</v>
      </c>
      <c r="BS593" s="18" t="b">
        <f>OR(AND(G593&lt;&gt;'Povolené hodnoty'!$B$13,OR(H593='Povolené hodnoty'!$E$21,H593='Povolené hodnoty'!$E$22,H593='Povolené hodnoty'!$E$23,H593='Povolené hodnoty'!$E$24,H593='Povolené hodnoty'!$E$26,H593='Povolené hodnoty'!$E$36)),COUNT(I593:J593,L593:M593,O593:P593,R593:S593)&lt;&gt;COUNT(AL593:BM593))</f>
        <v>0</v>
      </c>
      <c r="BT593" s="18" t="b">
        <f t="shared" si="323"/>
        <v>0</v>
      </c>
      <c r="BV593" s="39" t="str">
        <f t="shared" si="324"/>
        <v/>
      </c>
      <c r="BW593" s="458" t="str">
        <f t="shared" si="325"/>
        <v/>
      </c>
      <c r="BX593" s="458" t="str">
        <f t="shared" si="326"/>
        <v/>
      </c>
      <c r="BY593" s="458" t="str">
        <f t="shared" si="327"/>
        <v/>
      </c>
      <c r="BZ593" s="458" t="str">
        <f t="shared" si="328"/>
        <v/>
      </c>
      <c r="CA593" s="40" t="str">
        <f t="shared" si="329"/>
        <v/>
      </c>
      <c r="CB593" s="40" t="str">
        <f t="shared" si="330"/>
        <v/>
      </c>
      <c r="CC593" s="39" t="str">
        <f t="shared" si="331"/>
        <v/>
      </c>
      <c r="CD593" s="458" t="str">
        <f t="shared" si="332"/>
        <v/>
      </c>
      <c r="CE593" s="41" t="str">
        <f t="shared" si="333"/>
        <v/>
      </c>
      <c r="CF593" s="39" t="str">
        <f t="shared" si="334"/>
        <v/>
      </c>
      <c r="CG593" s="458" t="str">
        <f t="shared" si="335"/>
        <v/>
      </c>
      <c r="CH593" s="458" t="str">
        <f t="shared" si="336"/>
        <v/>
      </c>
      <c r="CI593" s="458" t="str">
        <f t="shared" si="337"/>
        <v/>
      </c>
      <c r="CJ593" s="458" t="str">
        <f t="shared" si="338"/>
        <v/>
      </c>
      <c r="CK593" s="40" t="str">
        <f t="shared" si="339"/>
        <v/>
      </c>
      <c r="CL593" s="40" t="str">
        <f t="shared" si="340"/>
        <v/>
      </c>
      <c r="CM593" s="40" t="str">
        <f t="shared" si="341"/>
        <v/>
      </c>
      <c r="CN593" s="39" t="str">
        <f t="shared" si="342"/>
        <v/>
      </c>
      <c r="CO593" s="458" t="str">
        <f t="shared" si="343"/>
        <v/>
      </c>
      <c r="CP593" s="458" t="str">
        <f t="shared" si="344"/>
        <v/>
      </c>
      <c r="CQ593" s="458" t="str">
        <f t="shared" si="345"/>
        <v/>
      </c>
      <c r="CR593" s="458" t="str">
        <f t="shared" si="346"/>
        <v/>
      </c>
      <c r="CS593" s="40" t="str">
        <f t="shared" si="347"/>
        <v/>
      </c>
      <c r="CT593" s="40" t="str">
        <f t="shared" si="348"/>
        <v/>
      </c>
      <c r="CU593" s="41" t="str">
        <f t="shared" si="349"/>
        <v/>
      </c>
    </row>
    <row r="594" spans="1:99" x14ac:dyDescent="0.2">
      <c r="A594" s="77">
        <f t="shared" si="350"/>
        <v>589</v>
      </c>
      <c r="B594" s="81"/>
      <c r="C594" s="82"/>
      <c r="D594" s="71"/>
      <c r="E594" s="72"/>
      <c r="F594" s="73"/>
      <c r="G594" s="443"/>
      <c r="H594" s="443"/>
      <c r="I594" s="74"/>
      <c r="J594" s="75"/>
      <c r="K594" s="41">
        <f t="shared" si="319"/>
        <v>3625</v>
      </c>
      <c r="L594" s="104"/>
      <c r="M594" s="105"/>
      <c r="N594" s="106">
        <f t="shared" si="320"/>
        <v>537.05999999999995</v>
      </c>
      <c r="O594" s="104"/>
      <c r="P594" s="105"/>
      <c r="Q594" s="106">
        <f t="shared" si="352"/>
        <v>10045.83</v>
      </c>
      <c r="R594" s="104"/>
      <c r="S594" s="105"/>
      <c r="T594" s="106">
        <f t="shared" si="353"/>
        <v>0</v>
      </c>
      <c r="U594" s="439"/>
      <c r="V594" s="42">
        <f t="shared" si="321"/>
        <v>589</v>
      </c>
      <c r="W594" s="39" t="str">
        <f>IF(AND(E594='Povolené hodnoty'!$B$4,F594=2),I594+L594+O594+R594,"")</f>
        <v/>
      </c>
      <c r="X594" s="41" t="str">
        <f>IF(AND(E594='Povolené hodnoty'!$B$4,F594=1),I594+L594+O594+R594,"")</f>
        <v/>
      </c>
      <c r="Y594" s="39" t="str">
        <f>IF(AND(E594='Povolené hodnoty'!$B$4,F594=10),J594+M594+P594+S594,"")</f>
        <v/>
      </c>
      <c r="Z594" s="41" t="str">
        <f>IF(AND(E594='Povolené hodnoty'!$B$4,F594=9),J594+M594+P594+S594,"")</f>
        <v/>
      </c>
      <c r="AA594" s="39" t="str">
        <f>IF(AND(E594&lt;&gt;'Povolené hodnoty'!$B$4,F594=2),I594+L594+O594+R594,"")</f>
        <v/>
      </c>
      <c r="AB594" s="40" t="str">
        <f>IF(AND(E594&lt;&gt;'Povolené hodnoty'!$B$4,F594=3),I594+L594+O594+R594,"")</f>
        <v/>
      </c>
      <c r="AC594" s="40" t="str">
        <f>IF(AND(E594&lt;&gt;'Povolené hodnoty'!$B$4,F594=4),I594+L594+O594+R594,"")</f>
        <v/>
      </c>
      <c r="AD594" s="40" t="str">
        <f>IF(AND(E594&lt;&gt;'Povolené hodnoty'!$B$4,F594="5a"),I594-J594+L594-M594+O594-P594+R594-S594,"")</f>
        <v/>
      </c>
      <c r="AE594" s="40" t="str">
        <f>IF(AND(E594&lt;&gt;'Povolené hodnoty'!$B$4,F594="5b"),I594-J594+L594-M594+O594-P594+R594-S594,"")</f>
        <v/>
      </c>
      <c r="AF594" s="40" t="str">
        <f>IF(AND(E594&lt;&gt;'Povolené hodnoty'!$B$4,F594=6),I594+L594+O594+R594,"")</f>
        <v/>
      </c>
      <c r="AG594" s="41" t="str">
        <f>IF(AND(E594&lt;&gt;'Povolené hodnoty'!$B$4,F594=7),I594+L594+O594+R594,"")</f>
        <v/>
      </c>
      <c r="AH594" s="39" t="str">
        <f>IF(AND(E594&lt;&gt;'Povolené hodnoty'!$B$4,F594=10),J594+M594+P594+S594,"")</f>
        <v/>
      </c>
      <c r="AI594" s="40" t="str">
        <f>IF(AND(E594&lt;&gt;'Povolené hodnoty'!$B$4,F594=11),J594+M594+P594+S594,"")</f>
        <v/>
      </c>
      <c r="AJ594" s="40" t="str">
        <f>IF(AND(E594&lt;&gt;'Povolené hodnoty'!$B$4,F594=12),J594+M594+P594+S594,"")</f>
        <v/>
      </c>
      <c r="AK594" s="41" t="str">
        <f>IF(AND(E594&lt;&gt;'Povolené hodnoty'!$B$4,F594=13),J594+M594+P594+S594,"")</f>
        <v/>
      </c>
      <c r="AL594" s="39" t="str">
        <f>IF(AND($G594='Povolené hodnoty'!$B$13,$H594=AL$4),SUM($I594,$L594,$O594,$R594),"")</f>
        <v/>
      </c>
      <c r="AM594" s="458" t="str">
        <f>IF(AND($G594='Povolené hodnoty'!$B$13,$H594=AM$4),SUM($I594,$L594,$O594,$R594),"")</f>
        <v/>
      </c>
      <c r="AN594" s="458" t="str">
        <f>IF(AND($G594='Povolené hodnoty'!$B$13,$H594=AN$4),SUM($I594,$L594,$O594,$R594),"")</f>
        <v/>
      </c>
      <c r="AO594" s="458" t="str">
        <f>IF(AND($G594='Povolené hodnoty'!$B$13,$H594=AO$4),SUM($I594,$L594,$O594,$R594),"")</f>
        <v/>
      </c>
      <c r="AP594" s="458" t="str">
        <f>IF(AND($G594='Povolené hodnoty'!$B$13,$H594=AP$4),SUM($I594,$L594,$O594,$R594),"")</f>
        <v/>
      </c>
      <c r="AQ594" s="40" t="str">
        <f>IF(AND($G594='Povolené hodnoty'!$B$13,OR($H594=AQ$4,$H594='Povolené hodnoty'!$E$36)),SUM($I594,-$J594,$L594,-$M594,$O594,-$P594,$R594,-$S594),"")</f>
        <v/>
      </c>
      <c r="AR594" s="40" t="str">
        <f>IF(AND($G594='Povolené hodnoty'!$B$13,$H594=AR$4),SUM($I594,$L594,$O594,$R594),"")</f>
        <v/>
      </c>
      <c r="AS594" s="41" t="str">
        <f>IF(AND($G594='Povolené hodnoty'!$B$13,$H594=AS$4),SUM($I594,$L594,$O594,$R594),"")</f>
        <v/>
      </c>
      <c r="AT594" s="39" t="str">
        <f>IF(AND($G594='Povolené hodnoty'!$B$14,$H594=AT$4),SUM($I594,$L594,$O594,$R594),"")</f>
        <v/>
      </c>
      <c r="AU594" s="458" t="str">
        <f>IF(AND($G594='Povolené hodnoty'!$B$14,$H594=AU$4),SUM($I594,$L594,$O594,$R594),"")</f>
        <v/>
      </c>
      <c r="AV594" s="41" t="str">
        <f>IF(AND($G594='Povolené hodnoty'!$B$14,$H594=AV$4),SUM($I594,$L594,$O594,$R594),"")</f>
        <v/>
      </c>
      <c r="AW594" s="39" t="str">
        <f>IF(AND($G594='Povolené hodnoty'!$B$13,$H594=AW$4),SUM($J594,$M594,$P594,$S594),"")</f>
        <v/>
      </c>
      <c r="AX594" s="458" t="str">
        <f>IF(AND($G594='Povolené hodnoty'!$B$13,$H594=AX$4),SUM($J594,$M594,$P594,$S594),"")</f>
        <v/>
      </c>
      <c r="AY594" s="458" t="str">
        <f>IF(AND($G594='Povolené hodnoty'!$B$13,$H594=AY$4),SUM($J594,$M594,$P594,$S594),"")</f>
        <v/>
      </c>
      <c r="AZ594" s="458" t="str">
        <f>IF(AND($G594='Povolené hodnoty'!$B$13,$H594=AZ$4),SUM($J594,$M594,$P594,$S594),"")</f>
        <v/>
      </c>
      <c r="BA594" s="458" t="str">
        <f>IF(AND($G594='Povolené hodnoty'!$B$13,$H594=BA$4),SUM($J594,$M594,$P594,$S594),"")</f>
        <v/>
      </c>
      <c r="BB594" s="40" t="str">
        <f>IF(AND($G594='Povolené hodnoty'!$B$13,$H594=BB$4),SUM($J594,$M594,$P594,$S594),"")</f>
        <v/>
      </c>
      <c r="BC594" s="40" t="str">
        <f>IF(AND($G594='Povolené hodnoty'!$B$13,$H594=BC$4),SUM($J594,$M594,$P594,$S594),"")</f>
        <v/>
      </c>
      <c r="BD594" s="40" t="str">
        <f>IF(AND($G594='Povolené hodnoty'!$B$13,$H594=BD$4),SUM($J594,$M594,$P594,$S594),"")</f>
        <v/>
      </c>
      <c r="BE594" s="41" t="str">
        <f>IF(AND($G594='Povolené hodnoty'!$B$13,$H594=BE$4),SUM($J594,$M594,$P594,$S594),"")</f>
        <v/>
      </c>
      <c r="BF594" s="39" t="str">
        <f>IF(AND($G594='Povolené hodnoty'!$B$14,$H594=BF$4),SUM($J594,$M594,$P594,$S594),"")</f>
        <v/>
      </c>
      <c r="BG594" s="458" t="str">
        <f>IF(AND($G594='Povolené hodnoty'!$B$14,$H594=BG$4),SUM($J594,$M594,$P594,$S594),"")</f>
        <v/>
      </c>
      <c r="BH594" s="458" t="str">
        <f>IF(AND($G594='Povolené hodnoty'!$B$14,$H594=BH$4),SUM($J594,$M594,$P594,$S594),"")</f>
        <v/>
      </c>
      <c r="BI594" s="458" t="str">
        <f>IF(AND($G594='Povolené hodnoty'!$B$14,$H594=BI$4),SUM($J594,$M594,$P594,$S594),"")</f>
        <v/>
      </c>
      <c r="BJ594" s="458" t="str">
        <f>IF(AND($G594='Povolené hodnoty'!$B$14,$H594=BJ$4),SUM($J594,$M594,$P594,$S594),"")</f>
        <v/>
      </c>
      <c r="BK594" s="40" t="str">
        <f>IF(AND($G594='Povolené hodnoty'!$B$14,$H594=BK$4),SUM($J594,$M594,$P594,$S594),"")</f>
        <v/>
      </c>
      <c r="BL594" s="40" t="str">
        <f>IF(AND($G594='Povolené hodnoty'!$B$14,$H594=BL$4),SUM($J594,$M594,$P594,$S594),"")</f>
        <v/>
      </c>
      <c r="BM594" s="41" t="str">
        <f>IF(AND($G594='Povolené hodnoty'!$B$14,$H594=BM$4),SUM($J594,$M594,$P594,$S594),"")</f>
        <v/>
      </c>
      <c r="BO594" s="18" t="b">
        <f t="shared" si="351"/>
        <v>0</v>
      </c>
      <c r="BP594" s="18" t="b">
        <f t="shared" si="322"/>
        <v>0</v>
      </c>
      <c r="BQ594" s="18" t="b">
        <f>AND(E594&lt;&gt;'Povolené hodnoty'!$B$6,F594&lt;&gt;'Povolené hodnoty'!$D$7,F594&lt;&gt;'Povolené hodnoty'!$D$8,OR(SUM(I594,L594,O594,R594)&lt;&gt;SUM(W594:X594,AA594:AG594),SUM(J594,M594,P594,S594)&lt;&gt;SUM(Y594:Z594,AH594:AK594),COUNT(I594:J594,L594:M594,O594:P594,R594:S594)&lt;&gt;COUNT(W594:AK594)))</f>
        <v>0</v>
      </c>
      <c r="BR594" s="18" t="b">
        <f>OR(AND(E594='Povolené hodnoty'!$B$6,$BR$5),AND(E594='Povolené hodnoty'!$B$6,H594&lt;&gt;'Povolené hodnoty'!$E$26,H594&lt;&gt;'Povolené hodnoty'!$E$35),AND(E594&lt;&gt;'Povolené hodnoty'!$B$6,OR(H594='Povolené hodnoty'!$E$26,H594='Povolené hodnoty'!$E$35)))</f>
        <v>0</v>
      </c>
      <c r="BS594" s="18" t="b">
        <f>OR(AND(G594&lt;&gt;'Povolené hodnoty'!$B$13,OR(H594='Povolené hodnoty'!$E$21,H594='Povolené hodnoty'!$E$22,H594='Povolené hodnoty'!$E$23,H594='Povolené hodnoty'!$E$24,H594='Povolené hodnoty'!$E$26,H594='Povolené hodnoty'!$E$36)),COUNT(I594:J594,L594:M594,O594:P594,R594:S594)&lt;&gt;COUNT(AL594:BM594))</f>
        <v>0</v>
      </c>
      <c r="BT594" s="18" t="b">
        <f t="shared" si="323"/>
        <v>0</v>
      </c>
      <c r="BV594" s="39" t="str">
        <f t="shared" si="324"/>
        <v/>
      </c>
      <c r="BW594" s="458" t="str">
        <f t="shared" si="325"/>
        <v/>
      </c>
      <c r="BX594" s="458" t="str">
        <f t="shared" si="326"/>
        <v/>
      </c>
      <c r="BY594" s="458" t="str">
        <f t="shared" si="327"/>
        <v/>
      </c>
      <c r="BZ594" s="458" t="str">
        <f t="shared" si="328"/>
        <v/>
      </c>
      <c r="CA594" s="40" t="str">
        <f t="shared" si="329"/>
        <v/>
      </c>
      <c r="CB594" s="40" t="str">
        <f t="shared" si="330"/>
        <v/>
      </c>
      <c r="CC594" s="39" t="str">
        <f t="shared" si="331"/>
        <v/>
      </c>
      <c r="CD594" s="458" t="str">
        <f t="shared" si="332"/>
        <v/>
      </c>
      <c r="CE594" s="41" t="str">
        <f t="shared" si="333"/>
        <v/>
      </c>
      <c r="CF594" s="39" t="str">
        <f t="shared" si="334"/>
        <v/>
      </c>
      <c r="CG594" s="458" t="str">
        <f t="shared" si="335"/>
        <v/>
      </c>
      <c r="CH594" s="458" t="str">
        <f t="shared" si="336"/>
        <v/>
      </c>
      <c r="CI594" s="458" t="str">
        <f t="shared" si="337"/>
        <v/>
      </c>
      <c r="CJ594" s="458" t="str">
        <f t="shared" si="338"/>
        <v/>
      </c>
      <c r="CK594" s="40" t="str">
        <f t="shared" si="339"/>
        <v/>
      </c>
      <c r="CL594" s="40" t="str">
        <f t="shared" si="340"/>
        <v/>
      </c>
      <c r="CM594" s="40" t="str">
        <f t="shared" si="341"/>
        <v/>
      </c>
      <c r="CN594" s="39" t="str">
        <f t="shared" si="342"/>
        <v/>
      </c>
      <c r="CO594" s="458" t="str">
        <f t="shared" si="343"/>
        <v/>
      </c>
      <c r="CP594" s="458" t="str">
        <f t="shared" si="344"/>
        <v/>
      </c>
      <c r="CQ594" s="458" t="str">
        <f t="shared" si="345"/>
        <v/>
      </c>
      <c r="CR594" s="458" t="str">
        <f t="shared" si="346"/>
        <v/>
      </c>
      <c r="CS594" s="40" t="str">
        <f t="shared" si="347"/>
        <v/>
      </c>
      <c r="CT594" s="40" t="str">
        <f t="shared" si="348"/>
        <v/>
      </c>
      <c r="CU594" s="41" t="str">
        <f t="shared" si="349"/>
        <v/>
      </c>
    </row>
    <row r="595" spans="1:99" x14ac:dyDescent="0.2">
      <c r="A595" s="77">
        <f t="shared" si="350"/>
        <v>590</v>
      </c>
      <c r="B595" s="81"/>
      <c r="C595" s="82"/>
      <c r="D595" s="71"/>
      <c r="E595" s="72"/>
      <c r="F595" s="73"/>
      <c r="G595" s="443"/>
      <c r="H595" s="443"/>
      <c r="I595" s="74"/>
      <c r="J595" s="75"/>
      <c r="K595" s="41">
        <f t="shared" si="319"/>
        <v>3625</v>
      </c>
      <c r="L595" s="104"/>
      <c r="M595" s="105"/>
      <c r="N595" s="106">
        <f t="shared" si="320"/>
        <v>537.05999999999995</v>
      </c>
      <c r="O595" s="104"/>
      <c r="P595" s="105"/>
      <c r="Q595" s="106">
        <f t="shared" si="352"/>
        <v>10045.83</v>
      </c>
      <c r="R595" s="104"/>
      <c r="S595" s="105"/>
      <c r="T595" s="106">
        <f t="shared" si="353"/>
        <v>0</v>
      </c>
      <c r="U595" s="439"/>
      <c r="V595" s="42">
        <f t="shared" si="321"/>
        <v>590</v>
      </c>
      <c r="W595" s="39" t="str">
        <f>IF(AND(E595='Povolené hodnoty'!$B$4,F595=2),I595+L595+O595+R595,"")</f>
        <v/>
      </c>
      <c r="X595" s="41" t="str">
        <f>IF(AND(E595='Povolené hodnoty'!$B$4,F595=1),I595+L595+O595+R595,"")</f>
        <v/>
      </c>
      <c r="Y595" s="39" t="str">
        <f>IF(AND(E595='Povolené hodnoty'!$B$4,F595=10),J595+M595+P595+S595,"")</f>
        <v/>
      </c>
      <c r="Z595" s="41" t="str">
        <f>IF(AND(E595='Povolené hodnoty'!$B$4,F595=9),J595+M595+P595+S595,"")</f>
        <v/>
      </c>
      <c r="AA595" s="39" t="str">
        <f>IF(AND(E595&lt;&gt;'Povolené hodnoty'!$B$4,F595=2),I595+L595+O595+R595,"")</f>
        <v/>
      </c>
      <c r="AB595" s="40" t="str">
        <f>IF(AND(E595&lt;&gt;'Povolené hodnoty'!$B$4,F595=3),I595+L595+O595+R595,"")</f>
        <v/>
      </c>
      <c r="AC595" s="40" t="str">
        <f>IF(AND(E595&lt;&gt;'Povolené hodnoty'!$B$4,F595=4),I595+L595+O595+R595,"")</f>
        <v/>
      </c>
      <c r="AD595" s="40" t="str">
        <f>IF(AND(E595&lt;&gt;'Povolené hodnoty'!$B$4,F595="5a"),I595-J595+L595-M595+O595-P595+R595-S595,"")</f>
        <v/>
      </c>
      <c r="AE595" s="40" t="str">
        <f>IF(AND(E595&lt;&gt;'Povolené hodnoty'!$B$4,F595="5b"),I595-J595+L595-M595+O595-P595+R595-S595,"")</f>
        <v/>
      </c>
      <c r="AF595" s="40" t="str">
        <f>IF(AND(E595&lt;&gt;'Povolené hodnoty'!$B$4,F595=6),I595+L595+O595+R595,"")</f>
        <v/>
      </c>
      <c r="AG595" s="41" t="str">
        <f>IF(AND(E595&lt;&gt;'Povolené hodnoty'!$B$4,F595=7),I595+L595+O595+R595,"")</f>
        <v/>
      </c>
      <c r="AH595" s="39" t="str">
        <f>IF(AND(E595&lt;&gt;'Povolené hodnoty'!$B$4,F595=10),J595+M595+P595+S595,"")</f>
        <v/>
      </c>
      <c r="AI595" s="40" t="str">
        <f>IF(AND(E595&lt;&gt;'Povolené hodnoty'!$B$4,F595=11),J595+M595+P595+S595,"")</f>
        <v/>
      </c>
      <c r="AJ595" s="40" t="str">
        <f>IF(AND(E595&lt;&gt;'Povolené hodnoty'!$B$4,F595=12),J595+M595+P595+S595,"")</f>
        <v/>
      </c>
      <c r="AK595" s="41" t="str">
        <f>IF(AND(E595&lt;&gt;'Povolené hodnoty'!$B$4,F595=13),J595+M595+P595+S595,"")</f>
        <v/>
      </c>
      <c r="AL595" s="39" t="str">
        <f>IF(AND($G595='Povolené hodnoty'!$B$13,$H595=AL$4),SUM($I595,$L595,$O595,$R595),"")</f>
        <v/>
      </c>
      <c r="AM595" s="458" t="str">
        <f>IF(AND($G595='Povolené hodnoty'!$B$13,$H595=AM$4),SUM($I595,$L595,$O595,$R595),"")</f>
        <v/>
      </c>
      <c r="AN595" s="458" t="str">
        <f>IF(AND($G595='Povolené hodnoty'!$B$13,$H595=AN$4),SUM($I595,$L595,$O595,$R595),"")</f>
        <v/>
      </c>
      <c r="AO595" s="458" t="str">
        <f>IF(AND($G595='Povolené hodnoty'!$B$13,$H595=AO$4),SUM($I595,$L595,$O595,$R595),"")</f>
        <v/>
      </c>
      <c r="AP595" s="458" t="str">
        <f>IF(AND($G595='Povolené hodnoty'!$B$13,$H595=AP$4),SUM($I595,$L595,$O595,$R595),"")</f>
        <v/>
      </c>
      <c r="AQ595" s="40" t="str">
        <f>IF(AND($G595='Povolené hodnoty'!$B$13,OR($H595=AQ$4,$H595='Povolené hodnoty'!$E$36)),SUM($I595,-$J595,$L595,-$M595,$O595,-$P595,$R595,-$S595),"")</f>
        <v/>
      </c>
      <c r="AR595" s="40" t="str">
        <f>IF(AND($G595='Povolené hodnoty'!$B$13,$H595=AR$4),SUM($I595,$L595,$O595,$R595),"")</f>
        <v/>
      </c>
      <c r="AS595" s="41" t="str">
        <f>IF(AND($G595='Povolené hodnoty'!$B$13,$H595=AS$4),SUM($I595,$L595,$O595,$R595),"")</f>
        <v/>
      </c>
      <c r="AT595" s="39" t="str">
        <f>IF(AND($G595='Povolené hodnoty'!$B$14,$H595=AT$4),SUM($I595,$L595,$O595,$R595),"")</f>
        <v/>
      </c>
      <c r="AU595" s="458" t="str">
        <f>IF(AND($G595='Povolené hodnoty'!$B$14,$H595=AU$4),SUM($I595,$L595,$O595,$R595),"")</f>
        <v/>
      </c>
      <c r="AV595" s="41" t="str">
        <f>IF(AND($G595='Povolené hodnoty'!$B$14,$H595=AV$4),SUM($I595,$L595,$O595,$R595),"")</f>
        <v/>
      </c>
      <c r="AW595" s="39" t="str">
        <f>IF(AND($G595='Povolené hodnoty'!$B$13,$H595=AW$4),SUM($J595,$M595,$P595,$S595),"")</f>
        <v/>
      </c>
      <c r="AX595" s="458" t="str">
        <f>IF(AND($G595='Povolené hodnoty'!$B$13,$H595=AX$4),SUM($J595,$M595,$P595,$S595),"")</f>
        <v/>
      </c>
      <c r="AY595" s="458" t="str">
        <f>IF(AND($G595='Povolené hodnoty'!$B$13,$H595=AY$4),SUM($J595,$M595,$P595,$S595),"")</f>
        <v/>
      </c>
      <c r="AZ595" s="458" t="str">
        <f>IF(AND($G595='Povolené hodnoty'!$B$13,$H595=AZ$4),SUM($J595,$M595,$P595,$S595),"")</f>
        <v/>
      </c>
      <c r="BA595" s="458" t="str">
        <f>IF(AND($G595='Povolené hodnoty'!$B$13,$H595=BA$4),SUM($J595,$M595,$P595,$S595),"")</f>
        <v/>
      </c>
      <c r="BB595" s="40" t="str">
        <f>IF(AND($G595='Povolené hodnoty'!$B$13,$H595=BB$4),SUM($J595,$M595,$P595,$S595),"")</f>
        <v/>
      </c>
      <c r="BC595" s="40" t="str">
        <f>IF(AND($G595='Povolené hodnoty'!$B$13,$H595=BC$4),SUM($J595,$M595,$P595,$S595),"")</f>
        <v/>
      </c>
      <c r="BD595" s="40" t="str">
        <f>IF(AND($G595='Povolené hodnoty'!$B$13,$H595=BD$4),SUM($J595,$M595,$P595,$S595),"")</f>
        <v/>
      </c>
      <c r="BE595" s="41" t="str">
        <f>IF(AND($G595='Povolené hodnoty'!$B$13,$H595=BE$4),SUM($J595,$M595,$P595,$S595),"")</f>
        <v/>
      </c>
      <c r="BF595" s="39" t="str">
        <f>IF(AND($G595='Povolené hodnoty'!$B$14,$H595=BF$4),SUM($J595,$M595,$P595,$S595),"")</f>
        <v/>
      </c>
      <c r="BG595" s="458" t="str">
        <f>IF(AND($G595='Povolené hodnoty'!$B$14,$H595=BG$4),SUM($J595,$M595,$P595,$S595),"")</f>
        <v/>
      </c>
      <c r="BH595" s="458" t="str">
        <f>IF(AND($G595='Povolené hodnoty'!$B$14,$H595=BH$4),SUM($J595,$M595,$P595,$S595),"")</f>
        <v/>
      </c>
      <c r="BI595" s="458" t="str">
        <f>IF(AND($G595='Povolené hodnoty'!$B$14,$H595=BI$4),SUM($J595,$M595,$P595,$S595),"")</f>
        <v/>
      </c>
      <c r="BJ595" s="458" t="str">
        <f>IF(AND($G595='Povolené hodnoty'!$B$14,$H595=BJ$4),SUM($J595,$M595,$P595,$S595),"")</f>
        <v/>
      </c>
      <c r="BK595" s="40" t="str">
        <f>IF(AND($G595='Povolené hodnoty'!$B$14,$H595=BK$4),SUM($J595,$M595,$P595,$S595),"")</f>
        <v/>
      </c>
      <c r="BL595" s="40" t="str">
        <f>IF(AND($G595='Povolené hodnoty'!$B$14,$H595=BL$4),SUM($J595,$M595,$P595,$S595),"")</f>
        <v/>
      </c>
      <c r="BM595" s="41" t="str">
        <f>IF(AND($G595='Povolené hodnoty'!$B$14,$H595=BM$4),SUM($J595,$M595,$P595,$S595),"")</f>
        <v/>
      </c>
      <c r="BO595" s="18" t="b">
        <f t="shared" si="351"/>
        <v>0</v>
      </c>
      <c r="BP595" s="18" t="b">
        <f t="shared" si="322"/>
        <v>0</v>
      </c>
      <c r="BQ595" s="18" t="b">
        <f>AND(E595&lt;&gt;'Povolené hodnoty'!$B$6,F595&lt;&gt;'Povolené hodnoty'!$D$7,F595&lt;&gt;'Povolené hodnoty'!$D$8,OR(SUM(I595,L595,O595,R595)&lt;&gt;SUM(W595:X595,AA595:AG595),SUM(J595,M595,P595,S595)&lt;&gt;SUM(Y595:Z595,AH595:AK595),COUNT(I595:J595,L595:M595,O595:P595,R595:S595)&lt;&gt;COUNT(W595:AK595)))</f>
        <v>0</v>
      </c>
      <c r="BR595" s="18" t="b">
        <f>OR(AND(E595='Povolené hodnoty'!$B$6,$BR$5),AND(E595='Povolené hodnoty'!$B$6,H595&lt;&gt;'Povolené hodnoty'!$E$26,H595&lt;&gt;'Povolené hodnoty'!$E$35),AND(E595&lt;&gt;'Povolené hodnoty'!$B$6,OR(H595='Povolené hodnoty'!$E$26,H595='Povolené hodnoty'!$E$35)))</f>
        <v>0</v>
      </c>
      <c r="BS595" s="18" t="b">
        <f>OR(AND(G595&lt;&gt;'Povolené hodnoty'!$B$13,OR(H595='Povolené hodnoty'!$E$21,H595='Povolené hodnoty'!$E$22,H595='Povolené hodnoty'!$E$23,H595='Povolené hodnoty'!$E$24,H595='Povolené hodnoty'!$E$26,H595='Povolené hodnoty'!$E$36)),COUNT(I595:J595,L595:M595,O595:P595,R595:S595)&lt;&gt;COUNT(AL595:BM595))</f>
        <v>0</v>
      </c>
      <c r="BT595" s="18" t="b">
        <f t="shared" si="323"/>
        <v>0</v>
      </c>
      <c r="BV595" s="39" t="str">
        <f t="shared" si="324"/>
        <v/>
      </c>
      <c r="BW595" s="458" t="str">
        <f t="shared" si="325"/>
        <v/>
      </c>
      <c r="BX595" s="458" t="str">
        <f t="shared" si="326"/>
        <v/>
      </c>
      <c r="BY595" s="458" t="str">
        <f t="shared" si="327"/>
        <v/>
      </c>
      <c r="BZ595" s="458" t="str">
        <f t="shared" si="328"/>
        <v/>
      </c>
      <c r="CA595" s="40" t="str">
        <f t="shared" si="329"/>
        <v/>
      </c>
      <c r="CB595" s="40" t="str">
        <f t="shared" si="330"/>
        <v/>
      </c>
      <c r="CC595" s="39" t="str">
        <f t="shared" si="331"/>
        <v/>
      </c>
      <c r="CD595" s="458" t="str">
        <f t="shared" si="332"/>
        <v/>
      </c>
      <c r="CE595" s="41" t="str">
        <f t="shared" si="333"/>
        <v/>
      </c>
      <c r="CF595" s="39" t="str">
        <f t="shared" si="334"/>
        <v/>
      </c>
      <c r="CG595" s="458" t="str">
        <f t="shared" si="335"/>
        <v/>
      </c>
      <c r="CH595" s="458" t="str">
        <f t="shared" si="336"/>
        <v/>
      </c>
      <c r="CI595" s="458" t="str">
        <f t="shared" si="337"/>
        <v/>
      </c>
      <c r="CJ595" s="458" t="str">
        <f t="shared" si="338"/>
        <v/>
      </c>
      <c r="CK595" s="40" t="str">
        <f t="shared" si="339"/>
        <v/>
      </c>
      <c r="CL595" s="40" t="str">
        <f t="shared" si="340"/>
        <v/>
      </c>
      <c r="CM595" s="40" t="str">
        <f t="shared" si="341"/>
        <v/>
      </c>
      <c r="CN595" s="39" t="str">
        <f t="shared" si="342"/>
        <v/>
      </c>
      <c r="CO595" s="458" t="str">
        <f t="shared" si="343"/>
        <v/>
      </c>
      <c r="CP595" s="458" t="str">
        <f t="shared" si="344"/>
        <v/>
      </c>
      <c r="CQ595" s="458" t="str">
        <f t="shared" si="345"/>
        <v/>
      </c>
      <c r="CR595" s="458" t="str">
        <f t="shared" si="346"/>
        <v/>
      </c>
      <c r="CS595" s="40" t="str">
        <f t="shared" si="347"/>
        <v/>
      </c>
      <c r="CT595" s="40" t="str">
        <f t="shared" si="348"/>
        <v/>
      </c>
      <c r="CU595" s="41" t="str">
        <f t="shared" si="349"/>
        <v/>
      </c>
    </row>
    <row r="596" spans="1:99" x14ac:dyDescent="0.2">
      <c r="A596" s="77">
        <f t="shared" si="350"/>
        <v>591</v>
      </c>
      <c r="B596" s="81"/>
      <c r="C596" s="82"/>
      <c r="D596" s="71"/>
      <c r="E596" s="72"/>
      <c r="F596" s="73"/>
      <c r="G596" s="443"/>
      <c r="H596" s="443"/>
      <c r="I596" s="74"/>
      <c r="J596" s="75"/>
      <c r="K596" s="41">
        <f t="shared" si="319"/>
        <v>3625</v>
      </c>
      <c r="L596" s="104"/>
      <c r="M596" s="105"/>
      <c r="N596" s="106">
        <f t="shared" si="320"/>
        <v>537.05999999999995</v>
      </c>
      <c r="O596" s="104"/>
      <c r="P596" s="105"/>
      <c r="Q596" s="106">
        <f t="shared" si="352"/>
        <v>10045.83</v>
      </c>
      <c r="R596" s="104"/>
      <c r="S596" s="105"/>
      <c r="T596" s="106">
        <f t="shared" si="353"/>
        <v>0</v>
      </c>
      <c r="U596" s="439"/>
      <c r="V596" s="42">
        <f t="shared" si="321"/>
        <v>591</v>
      </c>
      <c r="W596" s="39" t="str">
        <f>IF(AND(E596='Povolené hodnoty'!$B$4,F596=2),I596+L596+O596+R596,"")</f>
        <v/>
      </c>
      <c r="X596" s="41" t="str">
        <f>IF(AND(E596='Povolené hodnoty'!$B$4,F596=1),I596+L596+O596+R596,"")</f>
        <v/>
      </c>
      <c r="Y596" s="39" t="str">
        <f>IF(AND(E596='Povolené hodnoty'!$B$4,F596=10),J596+M596+P596+S596,"")</f>
        <v/>
      </c>
      <c r="Z596" s="41" t="str">
        <f>IF(AND(E596='Povolené hodnoty'!$B$4,F596=9),J596+M596+P596+S596,"")</f>
        <v/>
      </c>
      <c r="AA596" s="39" t="str">
        <f>IF(AND(E596&lt;&gt;'Povolené hodnoty'!$B$4,F596=2),I596+L596+O596+R596,"")</f>
        <v/>
      </c>
      <c r="AB596" s="40" t="str">
        <f>IF(AND(E596&lt;&gt;'Povolené hodnoty'!$B$4,F596=3),I596+L596+O596+R596,"")</f>
        <v/>
      </c>
      <c r="AC596" s="40" t="str">
        <f>IF(AND(E596&lt;&gt;'Povolené hodnoty'!$B$4,F596=4),I596+L596+O596+R596,"")</f>
        <v/>
      </c>
      <c r="AD596" s="40" t="str">
        <f>IF(AND(E596&lt;&gt;'Povolené hodnoty'!$B$4,F596="5a"),I596-J596+L596-M596+O596-P596+R596-S596,"")</f>
        <v/>
      </c>
      <c r="AE596" s="40" t="str">
        <f>IF(AND(E596&lt;&gt;'Povolené hodnoty'!$B$4,F596="5b"),I596-J596+L596-M596+O596-P596+R596-S596,"")</f>
        <v/>
      </c>
      <c r="AF596" s="40" t="str">
        <f>IF(AND(E596&lt;&gt;'Povolené hodnoty'!$B$4,F596=6),I596+L596+O596+R596,"")</f>
        <v/>
      </c>
      <c r="AG596" s="41" t="str">
        <f>IF(AND(E596&lt;&gt;'Povolené hodnoty'!$B$4,F596=7),I596+L596+O596+R596,"")</f>
        <v/>
      </c>
      <c r="AH596" s="39" t="str">
        <f>IF(AND(E596&lt;&gt;'Povolené hodnoty'!$B$4,F596=10),J596+M596+P596+S596,"")</f>
        <v/>
      </c>
      <c r="AI596" s="40" t="str">
        <f>IF(AND(E596&lt;&gt;'Povolené hodnoty'!$B$4,F596=11),J596+M596+P596+S596,"")</f>
        <v/>
      </c>
      <c r="AJ596" s="40" t="str">
        <f>IF(AND(E596&lt;&gt;'Povolené hodnoty'!$B$4,F596=12),J596+M596+P596+S596,"")</f>
        <v/>
      </c>
      <c r="AK596" s="41" t="str">
        <f>IF(AND(E596&lt;&gt;'Povolené hodnoty'!$B$4,F596=13),J596+M596+P596+S596,"")</f>
        <v/>
      </c>
      <c r="AL596" s="39" t="str">
        <f>IF(AND($G596='Povolené hodnoty'!$B$13,$H596=AL$4),SUM($I596,$L596,$O596,$R596),"")</f>
        <v/>
      </c>
      <c r="AM596" s="458" t="str">
        <f>IF(AND($G596='Povolené hodnoty'!$B$13,$H596=AM$4),SUM($I596,$L596,$O596,$R596),"")</f>
        <v/>
      </c>
      <c r="AN596" s="458" t="str">
        <f>IF(AND($G596='Povolené hodnoty'!$B$13,$H596=AN$4),SUM($I596,$L596,$O596,$R596),"")</f>
        <v/>
      </c>
      <c r="AO596" s="458" t="str">
        <f>IF(AND($G596='Povolené hodnoty'!$B$13,$H596=AO$4),SUM($I596,$L596,$O596,$R596),"")</f>
        <v/>
      </c>
      <c r="AP596" s="458" t="str">
        <f>IF(AND($G596='Povolené hodnoty'!$B$13,$H596=AP$4),SUM($I596,$L596,$O596,$R596),"")</f>
        <v/>
      </c>
      <c r="AQ596" s="40" t="str">
        <f>IF(AND($G596='Povolené hodnoty'!$B$13,OR($H596=AQ$4,$H596='Povolené hodnoty'!$E$36)),SUM($I596,-$J596,$L596,-$M596,$O596,-$P596,$R596,-$S596),"")</f>
        <v/>
      </c>
      <c r="AR596" s="40" t="str">
        <f>IF(AND($G596='Povolené hodnoty'!$B$13,$H596=AR$4),SUM($I596,$L596,$O596,$R596),"")</f>
        <v/>
      </c>
      <c r="AS596" s="41" t="str">
        <f>IF(AND($G596='Povolené hodnoty'!$B$13,$H596=AS$4),SUM($I596,$L596,$O596,$R596),"")</f>
        <v/>
      </c>
      <c r="AT596" s="39" t="str">
        <f>IF(AND($G596='Povolené hodnoty'!$B$14,$H596=AT$4),SUM($I596,$L596,$O596,$R596),"")</f>
        <v/>
      </c>
      <c r="AU596" s="458" t="str">
        <f>IF(AND($G596='Povolené hodnoty'!$B$14,$H596=AU$4),SUM($I596,$L596,$O596,$R596),"")</f>
        <v/>
      </c>
      <c r="AV596" s="41" t="str">
        <f>IF(AND($G596='Povolené hodnoty'!$B$14,$H596=AV$4),SUM($I596,$L596,$O596,$R596),"")</f>
        <v/>
      </c>
      <c r="AW596" s="39" t="str">
        <f>IF(AND($G596='Povolené hodnoty'!$B$13,$H596=AW$4),SUM($J596,$M596,$P596,$S596),"")</f>
        <v/>
      </c>
      <c r="AX596" s="458" t="str">
        <f>IF(AND($G596='Povolené hodnoty'!$B$13,$H596=AX$4),SUM($J596,$M596,$P596,$S596),"")</f>
        <v/>
      </c>
      <c r="AY596" s="458" t="str">
        <f>IF(AND($G596='Povolené hodnoty'!$B$13,$H596=AY$4),SUM($J596,$M596,$P596,$S596),"")</f>
        <v/>
      </c>
      <c r="AZ596" s="458" t="str">
        <f>IF(AND($G596='Povolené hodnoty'!$B$13,$H596=AZ$4),SUM($J596,$M596,$P596,$S596),"")</f>
        <v/>
      </c>
      <c r="BA596" s="458" t="str">
        <f>IF(AND($G596='Povolené hodnoty'!$B$13,$H596=BA$4),SUM($J596,$M596,$P596,$S596),"")</f>
        <v/>
      </c>
      <c r="BB596" s="40" t="str">
        <f>IF(AND($G596='Povolené hodnoty'!$B$13,$H596=BB$4),SUM($J596,$M596,$P596,$S596),"")</f>
        <v/>
      </c>
      <c r="BC596" s="40" t="str">
        <f>IF(AND($G596='Povolené hodnoty'!$B$13,$H596=BC$4),SUM($J596,$M596,$P596,$S596),"")</f>
        <v/>
      </c>
      <c r="BD596" s="40" t="str">
        <f>IF(AND($G596='Povolené hodnoty'!$B$13,$H596=BD$4),SUM($J596,$M596,$P596,$S596),"")</f>
        <v/>
      </c>
      <c r="BE596" s="41" t="str">
        <f>IF(AND($G596='Povolené hodnoty'!$B$13,$H596=BE$4),SUM($J596,$M596,$P596,$S596),"")</f>
        <v/>
      </c>
      <c r="BF596" s="39" t="str">
        <f>IF(AND($G596='Povolené hodnoty'!$B$14,$H596=BF$4),SUM($J596,$M596,$P596,$S596),"")</f>
        <v/>
      </c>
      <c r="BG596" s="458" t="str">
        <f>IF(AND($G596='Povolené hodnoty'!$B$14,$H596=BG$4),SUM($J596,$M596,$P596,$S596),"")</f>
        <v/>
      </c>
      <c r="BH596" s="458" t="str">
        <f>IF(AND($G596='Povolené hodnoty'!$B$14,$H596=BH$4),SUM($J596,$M596,$P596,$S596),"")</f>
        <v/>
      </c>
      <c r="BI596" s="458" t="str">
        <f>IF(AND($G596='Povolené hodnoty'!$B$14,$H596=BI$4),SUM($J596,$M596,$P596,$S596),"")</f>
        <v/>
      </c>
      <c r="BJ596" s="458" t="str">
        <f>IF(AND($G596='Povolené hodnoty'!$B$14,$H596=BJ$4),SUM($J596,$M596,$P596,$S596),"")</f>
        <v/>
      </c>
      <c r="BK596" s="40" t="str">
        <f>IF(AND($G596='Povolené hodnoty'!$B$14,$H596=BK$4),SUM($J596,$M596,$P596,$S596),"")</f>
        <v/>
      </c>
      <c r="BL596" s="40" t="str">
        <f>IF(AND($G596='Povolené hodnoty'!$B$14,$H596=BL$4),SUM($J596,$M596,$P596,$S596),"")</f>
        <v/>
      </c>
      <c r="BM596" s="41" t="str">
        <f>IF(AND($G596='Povolené hodnoty'!$B$14,$H596=BM$4),SUM($J596,$M596,$P596,$S596),"")</f>
        <v/>
      </c>
      <c r="BO596" s="18" t="b">
        <f t="shared" si="351"/>
        <v>0</v>
      </c>
      <c r="BP596" s="18" t="b">
        <f t="shared" si="322"/>
        <v>0</v>
      </c>
      <c r="BQ596" s="18" t="b">
        <f>AND(E596&lt;&gt;'Povolené hodnoty'!$B$6,F596&lt;&gt;'Povolené hodnoty'!$D$7,F596&lt;&gt;'Povolené hodnoty'!$D$8,OR(SUM(I596,L596,O596,R596)&lt;&gt;SUM(W596:X596,AA596:AG596),SUM(J596,M596,P596,S596)&lt;&gt;SUM(Y596:Z596,AH596:AK596),COUNT(I596:J596,L596:M596,O596:P596,R596:S596)&lt;&gt;COUNT(W596:AK596)))</f>
        <v>0</v>
      </c>
      <c r="BR596" s="18" t="b">
        <f>OR(AND(E596='Povolené hodnoty'!$B$6,$BR$5),AND(E596='Povolené hodnoty'!$B$6,H596&lt;&gt;'Povolené hodnoty'!$E$26,H596&lt;&gt;'Povolené hodnoty'!$E$35),AND(E596&lt;&gt;'Povolené hodnoty'!$B$6,OR(H596='Povolené hodnoty'!$E$26,H596='Povolené hodnoty'!$E$35)))</f>
        <v>0</v>
      </c>
      <c r="BS596" s="18" t="b">
        <f>OR(AND(G596&lt;&gt;'Povolené hodnoty'!$B$13,OR(H596='Povolené hodnoty'!$E$21,H596='Povolené hodnoty'!$E$22,H596='Povolené hodnoty'!$E$23,H596='Povolené hodnoty'!$E$24,H596='Povolené hodnoty'!$E$26,H596='Povolené hodnoty'!$E$36)),COUNT(I596:J596,L596:M596,O596:P596,R596:S596)&lt;&gt;COUNT(AL596:BM596))</f>
        <v>0</v>
      </c>
      <c r="BT596" s="18" t="b">
        <f t="shared" si="323"/>
        <v>0</v>
      </c>
      <c r="BV596" s="39" t="str">
        <f t="shared" si="324"/>
        <v/>
      </c>
      <c r="BW596" s="458" t="str">
        <f t="shared" si="325"/>
        <v/>
      </c>
      <c r="BX596" s="458" t="str">
        <f t="shared" si="326"/>
        <v/>
      </c>
      <c r="BY596" s="458" t="str">
        <f t="shared" si="327"/>
        <v/>
      </c>
      <c r="BZ596" s="458" t="str">
        <f t="shared" si="328"/>
        <v/>
      </c>
      <c r="CA596" s="40" t="str">
        <f t="shared" si="329"/>
        <v/>
      </c>
      <c r="CB596" s="40" t="str">
        <f t="shared" si="330"/>
        <v/>
      </c>
      <c r="CC596" s="39" t="str">
        <f t="shared" si="331"/>
        <v/>
      </c>
      <c r="CD596" s="458" t="str">
        <f t="shared" si="332"/>
        <v/>
      </c>
      <c r="CE596" s="41" t="str">
        <f t="shared" si="333"/>
        <v/>
      </c>
      <c r="CF596" s="39" t="str">
        <f t="shared" si="334"/>
        <v/>
      </c>
      <c r="CG596" s="458" t="str">
        <f t="shared" si="335"/>
        <v/>
      </c>
      <c r="CH596" s="458" t="str">
        <f t="shared" si="336"/>
        <v/>
      </c>
      <c r="CI596" s="458" t="str">
        <f t="shared" si="337"/>
        <v/>
      </c>
      <c r="CJ596" s="458" t="str">
        <f t="shared" si="338"/>
        <v/>
      </c>
      <c r="CK596" s="40" t="str">
        <f t="shared" si="339"/>
        <v/>
      </c>
      <c r="CL596" s="40" t="str">
        <f t="shared" si="340"/>
        <v/>
      </c>
      <c r="CM596" s="40" t="str">
        <f t="shared" si="341"/>
        <v/>
      </c>
      <c r="CN596" s="39" t="str">
        <f t="shared" si="342"/>
        <v/>
      </c>
      <c r="CO596" s="458" t="str">
        <f t="shared" si="343"/>
        <v/>
      </c>
      <c r="CP596" s="458" t="str">
        <f t="shared" si="344"/>
        <v/>
      </c>
      <c r="CQ596" s="458" t="str">
        <f t="shared" si="345"/>
        <v/>
      </c>
      <c r="CR596" s="458" t="str">
        <f t="shared" si="346"/>
        <v/>
      </c>
      <c r="CS596" s="40" t="str">
        <f t="shared" si="347"/>
        <v/>
      </c>
      <c r="CT596" s="40" t="str">
        <f t="shared" si="348"/>
        <v/>
      </c>
      <c r="CU596" s="41" t="str">
        <f t="shared" si="349"/>
        <v/>
      </c>
    </row>
    <row r="597" spans="1:99" x14ac:dyDescent="0.2">
      <c r="A597" s="77">
        <f t="shared" si="350"/>
        <v>592</v>
      </c>
      <c r="B597" s="81"/>
      <c r="C597" s="82"/>
      <c r="D597" s="71"/>
      <c r="E597" s="72"/>
      <c r="F597" s="73"/>
      <c r="G597" s="443"/>
      <c r="H597" s="443"/>
      <c r="I597" s="74"/>
      <c r="J597" s="75"/>
      <c r="K597" s="41">
        <f t="shared" si="319"/>
        <v>3625</v>
      </c>
      <c r="L597" s="104"/>
      <c r="M597" s="105"/>
      <c r="N597" s="106">
        <f t="shared" si="320"/>
        <v>537.05999999999995</v>
      </c>
      <c r="O597" s="104"/>
      <c r="P597" s="105"/>
      <c r="Q597" s="106">
        <f t="shared" si="352"/>
        <v>10045.83</v>
      </c>
      <c r="R597" s="104"/>
      <c r="S597" s="105"/>
      <c r="T597" s="106">
        <f t="shared" si="353"/>
        <v>0</v>
      </c>
      <c r="U597" s="439"/>
      <c r="V597" s="42">
        <f t="shared" si="321"/>
        <v>592</v>
      </c>
      <c r="W597" s="39" t="str">
        <f>IF(AND(E597='Povolené hodnoty'!$B$4,F597=2),I597+L597+O597+R597,"")</f>
        <v/>
      </c>
      <c r="X597" s="41" t="str">
        <f>IF(AND(E597='Povolené hodnoty'!$B$4,F597=1),I597+L597+O597+R597,"")</f>
        <v/>
      </c>
      <c r="Y597" s="39" t="str">
        <f>IF(AND(E597='Povolené hodnoty'!$B$4,F597=10),J597+M597+P597+S597,"")</f>
        <v/>
      </c>
      <c r="Z597" s="41" t="str">
        <f>IF(AND(E597='Povolené hodnoty'!$B$4,F597=9),J597+M597+P597+S597,"")</f>
        <v/>
      </c>
      <c r="AA597" s="39" t="str">
        <f>IF(AND(E597&lt;&gt;'Povolené hodnoty'!$B$4,F597=2),I597+L597+O597+R597,"")</f>
        <v/>
      </c>
      <c r="AB597" s="40" t="str">
        <f>IF(AND(E597&lt;&gt;'Povolené hodnoty'!$B$4,F597=3),I597+L597+O597+R597,"")</f>
        <v/>
      </c>
      <c r="AC597" s="40" t="str">
        <f>IF(AND(E597&lt;&gt;'Povolené hodnoty'!$B$4,F597=4),I597+L597+O597+R597,"")</f>
        <v/>
      </c>
      <c r="AD597" s="40" t="str">
        <f>IF(AND(E597&lt;&gt;'Povolené hodnoty'!$B$4,F597="5a"),I597-J597+L597-M597+O597-P597+R597-S597,"")</f>
        <v/>
      </c>
      <c r="AE597" s="40" t="str">
        <f>IF(AND(E597&lt;&gt;'Povolené hodnoty'!$B$4,F597="5b"),I597-J597+L597-M597+O597-P597+R597-S597,"")</f>
        <v/>
      </c>
      <c r="AF597" s="40" t="str">
        <f>IF(AND(E597&lt;&gt;'Povolené hodnoty'!$B$4,F597=6),I597+L597+O597+R597,"")</f>
        <v/>
      </c>
      <c r="AG597" s="41" t="str">
        <f>IF(AND(E597&lt;&gt;'Povolené hodnoty'!$B$4,F597=7),I597+L597+O597+R597,"")</f>
        <v/>
      </c>
      <c r="AH597" s="39" t="str">
        <f>IF(AND(E597&lt;&gt;'Povolené hodnoty'!$B$4,F597=10),J597+M597+P597+S597,"")</f>
        <v/>
      </c>
      <c r="AI597" s="40" t="str">
        <f>IF(AND(E597&lt;&gt;'Povolené hodnoty'!$B$4,F597=11),J597+M597+P597+S597,"")</f>
        <v/>
      </c>
      <c r="AJ597" s="40" t="str">
        <f>IF(AND(E597&lt;&gt;'Povolené hodnoty'!$B$4,F597=12),J597+M597+P597+S597,"")</f>
        <v/>
      </c>
      <c r="AK597" s="41" t="str">
        <f>IF(AND(E597&lt;&gt;'Povolené hodnoty'!$B$4,F597=13),J597+M597+P597+S597,"")</f>
        <v/>
      </c>
      <c r="AL597" s="39" t="str">
        <f>IF(AND($G597='Povolené hodnoty'!$B$13,$H597=AL$4),SUM($I597,$L597,$O597,$R597),"")</f>
        <v/>
      </c>
      <c r="AM597" s="458" t="str">
        <f>IF(AND($G597='Povolené hodnoty'!$B$13,$H597=AM$4),SUM($I597,$L597,$O597,$R597),"")</f>
        <v/>
      </c>
      <c r="AN597" s="458" t="str">
        <f>IF(AND($G597='Povolené hodnoty'!$B$13,$H597=AN$4),SUM($I597,$L597,$O597,$R597),"")</f>
        <v/>
      </c>
      <c r="AO597" s="458" t="str">
        <f>IF(AND($G597='Povolené hodnoty'!$B$13,$H597=AO$4),SUM($I597,$L597,$O597,$R597),"")</f>
        <v/>
      </c>
      <c r="AP597" s="458" t="str">
        <f>IF(AND($G597='Povolené hodnoty'!$B$13,$H597=AP$4),SUM($I597,$L597,$O597,$R597),"")</f>
        <v/>
      </c>
      <c r="AQ597" s="40" t="str">
        <f>IF(AND($G597='Povolené hodnoty'!$B$13,OR($H597=AQ$4,$H597='Povolené hodnoty'!$E$36)),SUM($I597,-$J597,$L597,-$M597,$O597,-$P597,$R597,-$S597),"")</f>
        <v/>
      </c>
      <c r="AR597" s="40" t="str">
        <f>IF(AND($G597='Povolené hodnoty'!$B$13,$H597=AR$4),SUM($I597,$L597,$O597,$R597),"")</f>
        <v/>
      </c>
      <c r="AS597" s="41" t="str">
        <f>IF(AND($G597='Povolené hodnoty'!$B$13,$H597=AS$4),SUM($I597,$L597,$O597,$R597),"")</f>
        <v/>
      </c>
      <c r="AT597" s="39" t="str">
        <f>IF(AND($G597='Povolené hodnoty'!$B$14,$H597=AT$4),SUM($I597,$L597,$O597,$R597),"")</f>
        <v/>
      </c>
      <c r="AU597" s="458" t="str">
        <f>IF(AND($G597='Povolené hodnoty'!$B$14,$H597=AU$4),SUM($I597,$L597,$O597,$R597),"")</f>
        <v/>
      </c>
      <c r="AV597" s="41" t="str">
        <f>IF(AND($G597='Povolené hodnoty'!$B$14,$H597=AV$4),SUM($I597,$L597,$O597,$R597),"")</f>
        <v/>
      </c>
      <c r="AW597" s="39" t="str">
        <f>IF(AND($G597='Povolené hodnoty'!$B$13,$H597=AW$4),SUM($J597,$M597,$P597,$S597),"")</f>
        <v/>
      </c>
      <c r="AX597" s="458" t="str">
        <f>IF(AND($G597='Povolené hodnoty'!$B$13,$H597=AX$4),SUM($J597,$M597,$P597,$S597),"")</f>
        <v/>
      </c>
      <c r="AY597" s="458" t="str">
        <f>IF(AND($G597='Povolené hodnoty'!$B$13,$H597=AY$4),SUM($J597,$M597,$P597,$S597),"")</f>
        <v/>
      </c>
      <c r="AZ597" s="458" t="str">
        <f>IF(AND($G597='Povolené hodnoty'!$B$13,$H597=AZ$4),SUM($J597,$M597,$P597,$S597),"")</f>
        <v/>
      </c>
      <c r="BA597" s="458" t="str">
        <f>IF(AND($G597='Povolené hodnoty'!$B$13,$H597=BA$4),SUM($J597,$M597,$P597,$S597),"")</f>
        <v/>
      </c>
      <c r="BB597" s="40" t="str">
        <f>IF(AND($G597='Povolené hodnoty'!$B$13,$H597=BB$4),SUM($J597,$M597,$P597,$S597),"")</f>
        <v/>
      </c>
      <c r="BC597" s="40" t="str">
        <f>IF(AND($G597='Povolené hodnoty'!$B$13,$H597=BC$4),SUM($J597,$M597,$P597,$S597),"")</f>
        <v/>
      </c>
      <c r="BD597" s="40" t="str">
        <f>IF(AND($G597='Povolené hodnoty'!$B$13,$H597=BD$4),SUM($J597,$M597,$P597,$S597),"")</f>
        <v/>
      </c>
      <c r="BE597" s="41" t="str">
        <f>IF(AND($G597='Povolené hodnoty'!$B$13,$H597=BE$4),SUM($J597,$M597,$P597,$S597),"")</f>
        <v/>
      </c>
      <c r="BF597" s="39" t="str">
        <f>IF(AND($G597='Povolené hodnoty'!$B$14,$H597=BF$4),SUM($J597,$M597,$P597,$S597),"")</f>
        <v/>
      </c>
      <c r="BG597" s="458" t="str">
        <f>IF(AND($G597='Povolené hodnoty'!$B$14,$H597=BG$4),SUM($J597,$M597,$P597,$S597),"")</f>
        <v/>
      </c>
      <c r="BH597" s="458" t="str">
        <f>IF(AND($G597='Povolené hodnoty'!$B$14,$H597=BH$4),SUM($J597,$M597,$P597,$S597),"")</f>
        <v/>
      </c>
      <c r="BI597" s="458" t="str">
        <f>IF(AND($G597='Povolené hodnoty'!$B$14,$H597=BI$4),SUM($J597,$M597,$P597,$S597),"")</f>
        <v/>
      </c>
      <c r="BJ597" s="458" t="str">
        <f>IF(AND($G597='Povolené hodnoty'!$B$14,$H597=BJ$4),SUM($J597,$M597,$P597,$S597),"")</f>
        <v/>
      </c>
      <c r="BK597" s="40" t="str">
        <f>IF(AND($G597='Povolené hodnoty'!$B$14,$H597=BK$4),SUM($J597,$M597,$P597,$S597),"")</f>
        <v/>
      </c>
      <c r="BL597" s="40" t="str">
        <f>IF(AND($G597='Povolené hodnoty'!$B$14,$H597=BL$4),SUM($J597,$M597,$P597,$S597),"")</f>
        <v/>
      </c>
      <c r="BM597" s="41" t="str">
        <f>IF(AND($G597='Povolené hodnoty'!$B$14,$H597=BM$4),SUM($J597,$M597,$P597,$S597),"")</f>
        <v/>
      </c>
      <c r="BO597" s="18" t="b">
        <f t="shared" si="351"/>
        <v>0</v>
      </c>
      <c r="BP597" s="18" t="b">
        <f t="shared" si="322"/>
        <v>0</v>
      </c>
      <c r="BQ597" s="18" t="b">
        <f>AND(E597&lt;&gt;'Povolené hodnoty'!$B$6,F597&lt;&gt;'Povolené hodnoty'!$D$7,F597&lt;&gt;'Povolené hodnoty'!$D$8,OR(SUM(I597,L597,O597,R597)&lt;&gt;SUM(W597:X597,AA597:AG597),SUM(J597,M597,P597,S597)&lt;&gt;SUM(Y597:Z597,AH597:AK597),COUNT(I597:J597,L597:M597,O597:P597,R597:S597)&lt;&gt;COUNT(W597:AK597)))</f>
        <v>0</v>
      </c>
      <c r="BR597" s="18" t="b">
        <f>OR(AND(E597='Povolené hodnoty'!$B$6,$BR$5),AND(E597='Povolené hodnoty'!$B$6,H597&lt;&gt;'Povolené hodnoty'!$E$26,H597&lt;&gt;'Povolené hodnoty'!$E$35),AND(E597&lt;&gt;'Povolené hodnoty'!$B$6,OR(H597='Povolené hodnoty'!$E$26,H597='Povolené hodnoty'!$E$35)))</f>
        <v>0</v>
      </c>
      <c r="BS597" s="18" t="b">
        <f>OR(AND(G597&lt;&gt;'Povolené hodnoty'!$B$13,OR(H597='Povolené hodnoty'!$E$21,H597='Povolené hodnoty'!$E$22,H597='Povolené hodnoty'!$E$23,H597='Povolené hodnoty'!$E$24,H597='Povolené hodnoty'!$E$26,H597='Povolené hodnoty'!$E$36)),COUNT(I597:J597,L597:M597,O597:P597,R597:S597)&lt;&gt;COUNT(AL597:BM597))</f>
        <v>0</v>
      </c>
      <c r="BT597" s="18" t="b">
        <f t="shared" si="323"/>
        <v>0</v>
      </c>
      <c r="BV597" s="39" t="str">
        <f t="shared" si="324"/>
        <v/>
      </c>
      <c r="BW597" s="458" t="str">
        <f t="shared" si="325"/>
        <v/>
      </c>
      <c r="BX597" s="458" t="str">
        <f t="shared" si="326"/>
        <v/>
      </c>
      <c r="BY597" s="458" t="str">
        <f t="shared" si="327"/>
        <v/>
      </c>
      <c r="BZ597" s="458" t="str">
        <f t="shared" si="328"/>
        <v/>
      </c>
      <c r="CA597" s="40" t="str">
        <f t="shared" si="329"/>
        <v/>
      </c>
      <c r="CB597" s="40" t="str">
        <f t="shared" si="330"/>
        <v/>
      </c>
      <c r="CC597" s="39" t="str">
        <f t="shared" si="331"/>
        <v/>
      </c>
      <c r="CD597" s="458" t="str">
        <f t="shared" si="332"/>
        <v/>
      </c>
      <c r="CE597" s="41" t="str">
        <f t="shared" si="333"/>
        <v/>
      </c>
      <c r="CF597" s="39" t="str">
        <f t="shared" si="334"/>
        <v/>
      </c>
      <c r="CG597" s="458" t="str">
        <f t="shared" si="335"/>
        <v/>
      </c>
      <c r="CH597" s="458" t="str">
        <f t="shared" si="336"/>
        <v/>
      </c>
      <c r="CI597" s="458" t="str">
        <f t="shared" si="337"/>
        <v/>
      </c>
      <c r="CJ597" s="458" t="str">
        <f t="shared" si="338"/>
        <v/>
      </c>
      <c r="CK597" s="40" t="str">
        <f t="shared" si="339"/>
        <v/>
      </c>
      <c r="CL597" s="40" t="str">
        <f t="shared" si="340"/>
        <v/>
      </c>
      <c r="CM597" s="40" t="str">
        <f t="shared" si="341"/>
        <v/>
      </c>
      <c r="CN597" s="39" t="str">
        <f t="shared" si="342"/>
        <v/>
      </c>
      <c r="CO597" s="458" t="str">
        <f t="shared" si="343"/>
        <v/>
      </c>
      <c r="CP597" s="458" t="str">
        <f t="shared" si="344"/>
        <v/>
      </c>
      <c r="CQ597" s="458" t="str">
        <f t="shared" si="345"/>
        <v/>
      </c>
      <c r="CR597" s="458" t="str">
        <f t="shared" si="346"/>
        <v/>
      </c>
      <c r="CS597" s="40" t="str">
        <f t="shared" si="347"/>
        <v/>
      </c>
      <c r="CT597" s="40" t="str">
        <f t="shared" si="348"/>
        <v/>
      </c>
      <c r="CU597" s="41" t="str">
        <f t="shared" si="349"/>
        <v/>
      </c>
    </row>
    <row r="598" spans="1:99" x14ac:dyDescent="0.2">
      <c r="A598" s="77">
        <f t="shared" si="350"/>
        <v>593</v>
      </c>
      <c r="B598" s="81"/>
      <c r="C598" s="82"/>
      <c r="D598" s="71"/>
      <c r="E598" s="72"/>
      <c r="F598" s="73"/>
      <c r="G598" s="443"/>
      <c r="H598" s="443"/>
      <c r="I598" s="74"/>
      <c r="J598" s="75"/>
      <c r="K598" s="41">
        <f t="shared" si="319"/>
        <v>3625</v>
      </c>
      <c r="L598" s="104"/>
      <c r="M598" s="105"/>
      <c r="N598" s="106">
        <f t="shared" si="320"/>
        <v>537.05999999999995</v>
      </c>
      <c r="O598" s="104"/>
      <c r="P598" s="105"/>
      <c r="Q598" s="106">
        <f t="shared" si="352"/>
        <v>10045.83</v>
      </c>
      <c r="R598" s="104"/>
      <c r="S598" s="105"/>
      <c r="T598" s="106">
        <f t="shared" si="353"/>
        <v>0</v>
      </c>
      <c r="U598" s="439"/>
      <c r="V598" s="42">
        <f t="shared" si="321"/>
        <v>593</v>
      </c>
      <c r="W598" s="39" t="str">
        <f>IF(AND(E598='Povolené hodnoty'!$B$4,F598=2),I598+L598+O598+R598,"")</f>
        <v/>
      </c>
      <c r="X598" s="41" t="str">
        <f>IF(AND(E598='Povolené hodnoty'!$B$4,F598=1),I598+L598+O598+R598,"")</f>
        <v/>
      </c>
      <c r="Y598" s="39" t="str">
        <f>IF(AND(E598='Povolené hodnoty'!$B$4,F598=10),J598+M598+P598+S598,"")</f>
        <v/>
      </c>
      <c r="Z598" s="41" t="str">
        <f>IF(AND(E598='Povolené hodnoty'!$B$4,F598=9),J598+M598+P598+S598,"")</f>
        <v/>
      </c>
      <c r="AA598" s="39" t="str">
        <f>IF(AND(E598&lt;&gt;'Povolené hodnoty'!$B$4,F598=2),I598+L598+O598+R598,"")</f>
        <v/>
      </c>
      <c r="AB598" s="40" t="str">
        <f>IF(AND(E598&lt;&gt;'Povolené hodnoty'!$B$4,F598=3),I598+L598+O598+R598,"")</f>
        <v/>
      </c>
      <c r="AC598" s="40" t="str">
        <f>IF(AND(E598&lt;&gt;'Povolené hodnoty'!$B$4,F598=4),I598+L598+O598+R598,"")</f>
        <v/>
      </c>
      <c r="AD598" s="40" t="str">
        <f>IF(AND(E598&lt;&gt;'Povolené hodnoty'!$B$4,F598="5a"),I598-J598+L598-M598+O598-P598+R598-S598,"")</f>
        <v/>
      </c>
      <c r="AE598" s="40" t="str">
        <f>IF(AND(E598&lt;&gt;'Povolené hodnoty'!$B$4,F598="5b"),I598-J598+L598-M598+O598-P598+R598-S598,"")</f>
        <v/>
      </c>
      <c r="AF598" s="40" t="str">
        <f>IF(AND(E598&lt;&gt;'Povolené hodnoty'!$B$4,F598=6),I598+L598+O598+R598,"")</f>
        <v/>
      </c>
      <c r="AG598" s="41" t="str">
        <f>IF(AND(E598&lt;&gt;'Povolené hodnoty'!$B$4,F598=7),I598+L598+O598+R598,"")</f>
        <v/>
      </c>
      <c r="AH598" s="39" t="str">
        <f>IF(AND(E598&lt;&gt;'Povolené hodnoty'!$B$4,F598=10),J598+M598+P598+S598,"")</f>
        <v/>
      </c>
      <c r="AI598" s="40" t="str">
        <f>IF(AND(E598&lt;&gt;'Povolené hodnoty'!$B$4,F598=11),J598+M598+P598+S598,"")</f>
        <v/>
      </c>
      <c r="AJ598" s="40" t="str">
        <f>IF(AND(E598&lt;&gt;'Povolené hodnoty'!$B$4,F598=12),J598+M598+P598+S598,"")</f>
        <v/>
      </c>
      <c r="AK598" s="41" t="str">
        <f>IF(AND(E598&lt;&gt;'Povolené hodnoty'!$B$4,F598=13),J598+M598+P598+S598,"")</f>
        <v/>
      </c>
      <c r="AL598" s="39" t="str">
        <f>IF(AND($G598='Povolené hodnoty'!$B$13,$H598=AL$4),SUM($I598,$L598,$O598,$R598),"")</f>
        <v/>
      </c>
      <c r="AM598" s="458" t="str">
        <f>IF(AND($G598='Povolené hodnoty'!$B$13,$H598=AM$4),SUM($I598,$L598,$O598,$R598),"")</f>
        <v/>
      </c>
      <c r="AN598" s="458" t="str">
        <f>IF(AND($G598='Povolené hodnoty'!$B$13,$H598=AN$4),SUM($I598,$L598,$O598,$R598),"")</f>
        <v/>
      </c>
      <c r="AO598" s="458" t="str">
        <f>IF(AND($G598='Povolené hodnoty'!$B$13,$H598=AO$4),SUM($I598,$L598,$O598,$R598),"")</f>
        <v/>
      </c>
      <c r="AP598" s="458" t="str">
        <f>IF(AND($G598='Povolené hodnoty'!$B$13,$H598=AP$4),SUM($I598,$L598,$O598,$R598),"")</f>
        <v/>
      </c>
      <c r="AQ598" s="40" t="str">
        <f>IF(AND($G598='Povolené hodnoty'!$B$13,OR($H598=AQ$4,$H598='Povolené hodnoty'!$E$36)),SUM($I598,-$J598,$L598,-$M598,$O598,-$P598,$R598,-$S598),"")</f>
        <v/>
      </c>
      <c r="AR598" s="40" t="str">
        <f>IF(AND($G598='Povolené hodnoty'!$B$13,$H598=AR$4),SUM($I598,$L598,$O598,$R598),"")</f>
        <v/>
      </c>
      <c r="AS598" s="41" t="str">
        <f>IF(AND($G598='Povolené hodnoty'!$B$13,$H598=AS$4),SUM($I598,$L598,$O598,$R598),"")</f>
        <v/>
      </c>
      <c r="AT598" s="39" t="str">
        <f>IF(AND($G598='Povolené hodnoty'!$B$14,$H598=AT$4),SUM($I598,$L598,$O598,$R598),"")</f>
        <v/>
      </c>
      <c r="AU598" s="458" t="str">
        <f>IF(AND($G598='Povolené hodnoty'!$B$14,$H598=AU$4),SUM($I598,$L598,$O598,$R598),"")</f>
        <v/>
      </c>
      <c r="AV598" s="41" t="str">
        <f>IF(AND($G598='Povolené hodnoty'!$B$14,$H598=AV$4),SUM($I598,$L598,$O598,$R598),"")</f>
        <v/>
      </c>
      <c r="AW598" s="39" t="str">
        <f>IF(AND($G598='Povolené hodnoty'!$B$13,$H598=AW$4),SUM($J598,$M598,$P598,$S598),"")</f>
        <v/>
      </c>
      <c r="AX598" s="458" t="str">
        <f>IF(AND($G598='Povolené hodnoty'!$B$13,$H598=AX$4),SUM($J598,$M598,$P598,$S598),"")</f>
        <v/>
      </c>
      <c r="AY598" s="458" t="str">
        <f>IF(AND($G598='Povolené hodnoty'!$B$13,$H598=AY$4),SUM($J598,$M598,$P598,$S598),"")</f>
        <v/>
      </c>
      <c r="AZ598" s="458" t="str">
        <f>IF(AND($G598='Povolené hodnoty'!$B$13,$H598=AZ$4),SUM($J598,$M598,$P598,$S598),"")</f>
        <v/>
      </c>
      <c r="BA598" s="458" t="str">
        <f>IF(AND($G598='Povolené hodnoty'!$B$13,$H598=BA$4),SUM($J598,$M598,$P598,$S598),"")</f>
        <v/>
      </c>
      <c r="BB598" s="40" t="str">
        <f>IF(AND($G598='Povolené hodnoty'!$B$13,$H598=BB$4),SUM($J598,$M598,$P598,$S598),"")</f>
        <v/>
      </c>
      <c r="BC598" s="40" t="str">
        <f>IF(AND($G598='Povolené hodnoty'!$B$13,$H598=BC$4),SUM($J598,$M598,$P598,$S598),"")</f>
        <v/>
      </c>
      <c r="BD598" s="40" t="str">
        <f>IF(AND($G598='Povolené hodnoty'!$B$13,$H598=BD$4),SUM($J598,$M598,$P598,$S598),"")</f>
        <v/>
      </c>
      <c r="BE598" s="41" t="str">
        <f>IF(AND($G598='Povolené hodnoty'!$B$13,$H598=BE$4),SUM($J598,$M598,$P598,$S598),"")</f>
        <v/>
      </c>
      <c r="BF598" s="39" t="str">
        <f>IF(AND($G598='Povolené hodnoty'!$B$14,$H598=BF$4),SUM($J598,$M598,$P598,$S598),"")</f>
        <v/>
      </c>
      <c r="BG598" s="458" t="str">
        <f>IF(AND($G598='Povolené hodnoty'!$B$14,$H598=BG$4),SUM($J598,$M598,$P598,$S598),"")</f>
        <v/>
      </c>
      <c r="BH598" s="458" t="str">
        <f>IF(AND($G598='Povolené hodnoty'!$B$14,$H598=BH$4),SUM($J598,$M598,$P598,$S598),"")</f>
        <v/>
      </c>
      <c r="BI598" s="458" t="str">
        <f>IF(AND($G598='Povolené hodnoty'!$B$14,$H598=BI$4),SUM($J598,$M598,$P598,$S598),"")</f>
        <v/>
      </c>
      <c r="BJ598" s="458" t="str">
        <f>IF(AND($G598='Povolené hodnoty'!$B$14,$H598=BJ$4),SUM($J598,$M598,$P598,$S598),"")</f>
        <v/>
      </c>
      <c r="BK598" s="40" t="str">
        <f>IF(AND($G598='Povolené hodnoty'!$B$14,$H598=BK$4),SUM($J598,$M598,$P598,$S598),"")</f>
        <v/>
      </c>
      <c r="BL598" s="40" t="str">
        <f>IF(AND($G598='Povolené hodnoty'!$B$14,$H598=BL$4),SUM($J598,$M598,$P598,$S598),"")</f>
        <v/>
      </c>
      <c r="BM598" s="41" t="str">
        <f>IF(AND($G598='Povolené hodnoty'!$B$14,$H598=BM$4),SUM($J598,$M598,$P598,$S598),"")</f>
        <v/>
      </c>
      <c r="BO598" s="18" t="b">
        <f t="shared" si="351"/>
        <v>0</v>
      </c>
      <c r="BP598" s="18" t="b">
        <f t="shared" si="322"/>
        <v>0</v>
      </c>
      <c r="BQ598" s="18" t="b">
        <f>AND(E598&lt;&gt;'Povolené hodnoty'!$B$6,F598&lt;&gt;'Povolené hodnoty'!$D$7,F598&lt;&gt;'Povolené hodnoty'!$D$8,OR(SUM(I598,L598,O598,R598)&lt;&gt;SUM(W598:X598,AA598:AG598),SUM(J598,M598,P598,S598)&lt;&gt;SUM(Y598:Z598,AH598:AK598),COUNT(I598:J598,L598:M598,O598:P598,R598:S598)&lt;&gt;COUNT(W598:AK598)))</f>
        <v>0</v>
      </c>
      <c r="BR598" s="18" t="b">
        <f>OR(AND(E598='Povolené hodnoty'!$B$6,$BR$5),AND(E598='Povolené hodnoty'!$B$6,H598&lt;&gt;'Povolené hodnoty'!$E$26,H598&lt;&gt;'Povolené hodnoty'!$E$35),AND(E598&lt;&gt;'Povolené hodnoty'!$B$6,OR(H598='Povolené hodnoty'!$E$26,H598='Povolené hodnoty'!$E$35)))</f>
        <v>0</v>
      </c>
      <c r="BS598" s="18" t="b">
        <f>OR(AND(G598&lt;&gt;'Povolené hodnoty'!$B$13,OR(H598='Povolené hodnoty'!$E$21,H598='Povolené hodnoty'!$E$22,H598='Povolené hodnoty'!$E$23,H598='Povolené hodnoty'!$E$24,H598='Povolené hodnoty'!$E$26,H598='Povolené hodnoty'!$E$36)),COUNT(I598:J598,L598:M598,O598:P598,R598:S598)&lt;&gt;COUNT(AL598:BM598))</f>
        <v>0</v>
      </c>
      <c r="BT598" s="18" t="b">
        <f t="shared" si="323"/>
        <v>0</v>
      </c>
      <c r="BV598" s="39" t="str">
        <f t="shared" si="324"/>
        <v/>
      </c>
      <c r="BW598" s="458" t="str">
        <f t="shared" si="325"/>
        <v/>
      </c>
      <c r="BX598" s="458" t="str">
        <f t="shared" si="326"/>
        <v/>
      </c>
      <c r="BY598" s="458" t="str">
        <f t="shared" si="327"/>
        <v/>
      </c>
      <c r="BZ598" s="458" t="str">
        <f t="shared" si="328"/>
        <v/>
      </c>
      <c r="CA598" s="40" t="str">
        <f t="shared" si="329"/>
        <v/>
      </c>
      <c r="CB598" s="40" t="str">
        <f t="shared" si="330"/>
        <v/>
      </c>
      <c r="CC598" s="39" t="str">
        <f t="shared" si="331"/>
        <v/>
      </c>
      <c r="CD598" s="458" t="str">
        <f t="shared" si="332"/>
        <v/>
      </c>
      <c r="CE598" s="41" t="str">
        <f t="shared" si="333"/>
        <v/>
      </c>
      <c r="CF598" s="39" t="str">
        <f t="shared" si="334"/>
        <v/>
      </c>
      <c r="CG598" s="458" t="str">
        <f t="shared" si="335"/>
        <v/>
      </c>
      <c r="CH598" s="458" t="str">
        <f t="shared" si="336"/>
        <v/>
      </c>
      <c r="CI598" s="458" t="str">
        <f t="shared" si="337"/>
        <v/>
      </c>
      <c r="CJ598" s="458" t="str">
        <f t="shared" si="338"/>
        <v/>
      </c>
      <c r="CK598" s="40" t="str">
        <f t="shared" si="339"/>
        <v/>
      </c>
      <c r="CL598" s="40" t="str">
        <f t="shared" si="340"/>
        <v/>
      </c>
      <c r="CM598" s="40" t="str">
        <f t="shared" si="341"/>
        <v/>
      </c>
      <c r="CN598" s="39" t="str">
        <f t="shared" si="342"/>
        <v/>
      </c>
      <c r="CO598" s="458" t="str">
        <f t="shared" si="343"/>
        <v/>
      </c>
      <c r="CP598" s="458" t="str">
        <f t="shared" si="344"/>
        <v/>
      </c>
      <c r="CQ598" s="458" t="str">
        <f t="shared" si="345"/>
        <v/>
      </c>
      <c r="CR598" s="458" t="str">
        <f t="shared" si="346"/>
        <v/>
      </c>
      <c r="CS598" s="40" t="str">
        <f t="shared" si="347"/>
        <v/>
      </c>
      <c r="CT598" s="40" t="str">
        <f t="shared" si="348"/>
        <v/>
      </c>
      <c r="CU598" s="41" t="str">
        <f t="shared" si="349"/>
        <v/>
      </c>
    </row>
    <row r="599" spans="1:99" x14ac:dyDescent="0.2">
      <c r="A599" s="77">
        <f t="shared" si="350"/>
        <v>594</v>
      </c>
      <c r="B599" s="81"/>
      <c r="C599" s="82"/>
      <c r="D599" s="71"/>
      <c r="E599" s="72"/>
      <c r="F599" s="73"/>
      <c r="G599" s="443"/>
      <c r="H599" s="443"/>
      <c r="I599" s="74"/>
      <c r="J599" s="75"/>
      <c r="K599" s="41">
        <f t="shared" si="319"/>
        <v>3625</v>
      </c>
      <c r="L599" s="104"/>
      <c r="M599" s="105"/>
      <c r="N599" s="106">
        <f t="shared" si="320"/>
        <v>537.05999999999995</v>
      </c>
      <c r="O599" s="104"/>
      <c r="P599" s="105"/>
      <c r="Q599" s="106">
        <f t="shared" si="352"/>
        <v>10045.83</v>
      </c>
      <c r="R599" s="104"/>
      <c r="S599" s="105"/>
      <c r="T599" s="106">
        <f t="shared" si="353"/>
        <v>0</v>
      </c>
      <c r="U599" s="439"/>
      <c r="V599" s="42">
        <f t="shared" si="321"/>
        <v>594</v>
      </c>
      <c r="W599" s="39" t="str">
        <f>IF(AND(E599='Povolené hodnoty'!$B$4,F599=2),I599+L599+O599+R599,"")</f>
        <v/>
      </c>
      <c r="X599" s="41" t="str">
        <f>IF(AND(E599='Povolené hodnoty'!$B$4,F599=1),I599+L599+O599+R599,"")</f>
        <v/>
      </c>
      <c r="Y599" s="39" t="str">
        <f>IF(AND(E599='Povolené hodnoty'!$B$4,F599=10),J599+M599+P599+S599,"")</f>
        <v/>
      </c>
      <c r="Z599" s="41" t="str">
        <f>IF(AND(E599='Povolené hodnoty'!$B$4,F599=9),J599+M599+P599+S599,"")</f>
        <v/>
      </c>
      <c r="AA599" s="39" t="str">
        <f>IF(AND(E599&lt;&gt;'Povolené hodnoty'!$B$4,F599=2),I599+L599+O599+R599,"")</f>
        <v/>
      </c>
      <c r="AB599" s="40" t="str">
        <f>IF(AND(E599&lt;&gt;'Povolené hodnoty'!$B$4,F599=3),I599+L599+O599+R599,"")</f>
        <v/>
      </c>
      <c r="AC599" s="40" t="str">
        <f>IF(AND(E599&lt;&gt;'Povolené hodnoty'!$B$4,F599=4),I599+L599+O599+R599,"")</f>
        <v/>
      </c>
      <c r="AD599" s="40" t="str">
        <f>IF(AND(E599&lt;&gt;'Povolené hodnoty'!$B$4,F599="5a"),I599-J599+L599-M599+O599-P599+R599-S599,"")</f>
        <v/>
      </c>
      <c r="AE599" s="40" t="str">
        <f>IF(AND(E599&lt;&gt;'Povolené hodnoty'!$B$4,F599="5b"),I599-J599+L599-M599+O599-P599+R599-S599,"")</f>
        <v/>
      </c>
      <c r="AF599" s="40" t="str">
        <f>IF(AND(E599&lt;&gt;'Povolené hodnoty'!$B$4,F599=6),I599+L599+O599+R599,"")</f>
        <v/>
      </c>
      <c r="AG599" s="41" t="str">
        <f>IF(AND(E599&lt;&gt;'Povolené hodnoty'!$B$4,F599=7),I599+L599+O599+R599,"")</f>
        <v/>
      </c>
      <c r="AH599" s="39" t="str">
        <f>IF(AND(E599&lt;&gt;'Povolené hodnoty'!$B$4,F599=10),J599+M599+P599+S599,"")</f>
        <v/>
      </c>
      <c r="AI599" s="40" t="str">
        <f>IF(AND(E599&lt;&gt;'Povolené hodnoty'!$B$4,F599=11),J599+M599+P599+S599,"")</f>
        <v/>
      </c>
      <c r="AJ599" s="40" t="str">
        <f>IF(AND(E599&lt;&gt;'Povolené hodnoty'!$B$4,F599=12),J599+M599+P599+S599,"")</f>
        <v/>
      </c>
      <c r="AK599" s="41" t="str">
        <f>IF(AND(E599&lt;&gt;'Povolené hodnoty'!$B$4,F599=13),J599+M599+P599+S599,"")</f>
        <v/>
      </c>
      <c r="AL599" s="39" t="str">
        <f>IF(AND($G599='Povolené hodnoty'!$B$13,$H599=AL$4),SUM($I599,$L599,$O599,$R599),"")</f>
        <v/>
      </c>
      <c r="AM599" s="458" t="str">
        <f>IF(AND($G599='Povolené hodnoty'!$B$13,$H599=AM$4),SUM($I599,$L599,$O599,$R599),"")</f>
        <v/>
      </c>
      <c r="AN599" s="458" t="str">
        <f>IF(AND($G599='Povolené hodnoty'!$B$13,$H599=AN$4),SUM($I599,$L599,$O599,$R599),"")</f>
        <v/>
      </c>
      <c r="AO599" s="458" t="str">
        <f>IF(AND($G599='Povolené hodnoty'!$B$13,$H599=AO$4),SUM($I599,$L599,$O599,$R599),"")</f>
        <v/>
      </c>
      <c r="AP599" s="458" t="str">
        <f>IF(AND($G599='Povolené hodnoty'!$B$13,$H599=AP$4),SUM($I599,$L599,$O599,$R599),"")</f>
        <v/>
      </c>
      <c r="AQ599" s="40" t="str">
        <f>IF(AND($G599='Povolené hodnoty'!$B$13,OR($H599=AQ$4,$H599='Povolené hodnoty'!$E$36)),SUM($I599,-$J599,$L599,-$M599,$O599,-$P599,$R599,-$S599),"")</f>
        <v/>
      </c>
      <c r="AR599" s="40" t="str">
        <f>IF(AND($G599='Povolené hodnoty'!$B$13,$H599=AR$4),SUM($I599,$L599,$O599,$R599),"")</f>
        <v/>
      </c>
      <c r="AS599" s="41" t="str">
        <f>IF(AND($G599='Povolené hodnoty'!$B$13,$H599=AS$4),SUM($I599,$L599,$O599,$R599),"")</f>
        <v/>
      </c>
      <c r="AT599" s="39" t="str">
        <f>IF(AND($G599='Povolené hodnoty'!$B$14,$H599=AT$4),SUM($I599,$L599,$O599,$R599),"")</f>
        <v/>
      </c>
      <c r="AU599" s="458" t="str">
        <f>IF(AND($G599='Povolené hodnoty'!$B$14,$H599=AU$4),SUM($I599,$L599,$O599,$R599),"")</f>
        <v/>
      </c>
      <c r="AV599" s="41" t="str">
        <f>IF(AND($G599='Povolené hodnoty'!$B$14,$H599=AV$4),SUM($I599,$L599,$O599,$R599),"")</f>
        <v/>
      </c>
      <c r="AW599" s="39" t="str">
        <f>IF(AND($G599='Povolené hodnoty'!$B$13,$H599=AW$4),SUM($J599,$M599,$P599,$S599),"")</f>
        <v/>
      </c>
      <c r="AX599" s="458" t="str">
        <f>IF(AND($G599='Povolené hodnoty'!$B$13,$H599=AX$4),SUM($J599,$M599,$P599,$S599),"")</f>
        <v/>
      </c>
      <c r="AY599" s="458" t="str">
        <f>IF(AND($G599='Povolené hodnoty'!$B$13,$H599=AY$4),SUM($J599,$M599,$P599,$S599),"")</f>
        <v/>
      </c>
      <c r="AZ599" s="458" t="str">
        <f>IF(AND($G599='Povolené hodnoty'!$B$13,$H599=AZ$4),SUM($J599,$M599,$P599,$S599),"")</f>
        <v/>
      </c>
      <c r="BA599" s="458" t="str">
        <f>IF(AND($G599='Povolené hodnoty'!$B$13,$H599=BA$4),SUM($J599,$M599,$P599,$S599),"")</f>
        <v/>
      </c>
      <c r="BB599" s="40" t="str">
        <f>IF(AND($G599='Povolené hodnoty'!$B$13,$H599=BB$4),SUM($J599,$M599,$P599,$S599),"")</f>
        <v/>
      </c>
      <c r="BC599" s="40" t="str">
        <f>IF(AND($G599='Povolené hodnoty'!$B$13,$H599=BC$4),SUM($J599,$M599,$P599,$S599),"")</f>
        <v/>
      </c>
      <c r="BD599" s="40" t="str">
        <f>IF(AND($G599='Povolené hodnoty'!$B$13,$H599=BD$4),SUM($J599,$M599,$P599,$S599),"")</f>
        <v/>
      </c>
      <c r="BE599" s="41" t="str">
        <f>IF(AND($G599='Povolené hodnoty'!$B$13,$H599=BE$4),SUM($J599,$M599,$P599,$S599),"")</f>
        <v/>
      </c>
      <c r="BF599" s="39" t="str">
        <f>IF(AND($G599='Povolené hodnoty'!$B$14,$H599=BF$4),SUM($J599,$M599,$P599,$S599),"")</f>
        <v/>
      </c>
      <c r="BG599" s="458" t="str">
        <f>IF(AND($G599='Povolené hodnoty'!$B$14,$H599=BG$4),SUM($J599,$M599,$P599,$S599),"")</f>
        <v/>
      </c>
      <c r="BH599" s="458" t="str">
        <f>IF(AND($G599='Povolené hodnoty'!$B$14,$H599=BH$4),SUM($J599,$M599,$P599,$S599),"")</f>
        <v/>
      </c>
      <c r="BI599" s="458" t="str">
        <f>IF(AND($G599='Povolené hodnoty'!$B$14,$H599=BI$4),SUM($J599,$M599,$P599,$S599),"")</f>
        <v/>
      </c>
      <c r="BJ599" s="458" t="str">
        <f>IF(AND($G599='Povolené hodnoty'!$B$14,$H599=BJ$4),SUM($J599,$M599,$P599,$S599),"")</f>
        <v/>
      </c>
      <c r="BK599" s="40" t="str">
        <f>IF(AND($G599='Povolené hodnoty'!$B$14,$H599=BK$4),SUM($J599,$M599,$P599,$S599),"")</f>
        <v/>
      </c>
      <c r="BL599" s="40" t="str">
        <f>IF(AND($G599='Povolené hodnoty'!$B$14,$H599=BL$4),SUM($J599,$M599,$P599,$S599),"")</f>
        <v/>
      </c>
      <c r="BM599" s="41" t="str">
        <f>IF(AND($G599='Povolené hodnoty'!$B$14,$H599=BM$4),SUM($J599,$M599,$P599,$S599),"")</f>
        <v/>
      </c>
      <c r="BO599" s="18" t="b">
        <f t="shared" si="351"/>
        <v>0</v>
      </c>
      <c r="BP599" s="18" t="b">
        <f t="shared" si="322"/>
        <v>0</v>
      </c>
      <c r="BQ599" s="18" t="b">
        <f>AND(E599&lt;&gt;'Povolené hodnoty'!$B$6,F599&lt;&gt;'Povolené hodnoty'!$D$7,F599&lt;&gt;'Povolené hodnoty'!$D$8,OR(SUM(I599,L599,O599,R599)&lt;&gt;SUM(W599:X599,AA599:AG599),SUM(J599,M599,P599,S599)&lt;&gt;SUM(Y599:Z599,AH599:AK599),COUNT(I599:J599,L599:M599,O599:P599,R599:S599)&lt;&gt;COUNT(W599:AK599)))</f>
        <v>0</v>
      </c>
      <c r="BR599" s="18" t="b">
        <f>OR(AND(E599='Povolené hodnoty'!$B$6,$BR$5),AND(E599='Povolené hodnoty'!$B$6,H599&lt;&gt;'Povolené hodnoty'!$E$26,H599&lt;&gt;'Povolené hodnoty'!$E$35),AND(E599&lt;&gt;'Povolené hodnoty'!$B$6,OR(H599='Povolené hodnoty'!$E$26,H599='Povolené hodnoty'!$E$35)))</f>
        <v>0</v>
      </c>
      <c r="BS599" s="18" t="b">
        <f>OR(AND(G599&lt;&gt;'Povolené hodnoty'!$B$13,OR(H599='Povolené hodnoty'!$E$21,H599='Povolené hodnoty'!$E$22,H599='Povolené hodnoty'!$E$23,H599='Povolené hodnoty'!$E$24,H599='Povolené hodnoty'!$E$26,H599='Povolené hodnoty'!$E$36)),COUNT(I599:J599,L599:M599,O599:P599,R599:S599)&lt;&gt;COUNT(AL599:BM599))</f>
        <v>0</v>
      </c>
      <c r="BT599" s="18" t="b">
        <f t="shared" si="323"/>
        <v>0</v>
      </c>
      <c r="BV599" s="39" t="str">
        <f t="shared" si="324"/>
        <v/>
      </c>
      <c r="BW599" s="458" t="str">
        <f t="shared" si="325"/>
        <v/>
      </c>
      <c r="BX599" s="458" t="str">
        <f t="shared" si="326"/>
        <v/>
      </c>
      <c r="BY599" s="458" t="str">
        <f t="shared" si="327"/>
        <v/>
      </c>
      <c r="BZ599" s="458" t="str">
        <f t="shared" si="328"/>
        <v/>
      </c>
      <c r="CA599" s="40" t="str">
        <f t="shared" si="329"/>
        <v/>
      </c>
      <c r="CB599" s="40" t="str">
        <f t="shared" si="330"/>
        <v/>
      </c>
      <c r="CC599" s="39" t="str">
        <f t="shared" si="331"/>
        <v/>
      </c>
      <c r="CD599" s="458" t="str">
        <f t="shared" si="332"/>
        <v/>
      </c>
      <c r="CE599" s="41" t="str">
        <f t="shared" si="333"/>
        <v/>
      </c>
      <c r="CF599" s="39" t="str">
        <f t="shared" si="334"/>
        <v/>
      </c>
      <c r="CG599" s="458" t="str">
        <f t="shared" si="335"/>
        <v/>
      </c>
      <c r="CH599" s="458" t="str">
        <f t="shared" si="336"/>
        <v/>
      </c>
      <c r="CI599" s="458" t="str">
        <f t="shared" si="337"/>
        <v/>
      </c>
      <c r="CJ599" s="458" t="str">
        <f t="shared" si="338"/>
        <v/>
      </c>
      <c r="CK599" s="40" t="str">
        <f t="shared" si="339"/>
        <v/>
      </c>
      <c r="CL599" s="40" t="str">
        <f t="shared" si="340"/>
        <v/>
      </c>
      <c r="CM599" s="40" t="str">
        <f t="shared" si="341"/>
        <v/>
      </c>
      <c r="CN599" s="39" t="str">
        <f t="shared" si="342"/>
        <v/>
      </c>
      <c r="CO599" s="458" t="str">
        <f t="shared" si="343"/>
        <v/>
      </c>
      <c r="CP599" s="458" t="str">
        <f t="shared" si="344"/>
        <v/>
      </c>
      <c r="CQ599" s="458" t="str">
        <f t="shared" si="345"/>
        <v/>
      </c>
      <c r="CR599" s="458" t="str">
        <f t="shared" si="346"/>
        <v/>
      </c>
      <c r="CS599" s="40" t="str">
        <f t="shared" si="347"/>
        <v/>
      </c>
      <c r="CT599" s="40" t="str">
        <f t="shared" si="348"/>
        <v/>
      </c>
      <c r="CU599" s="41" t="str">
        <f t="shared" si="349"/>
        <v/>
      </c>
    </row>
    <row r="600" spans="1:99" x14ac:dyDescent="0.2">
      <c r="A600" s="77">
        <f t="shared" si="350"/>
        <v>595</v>
      </c>
      <c r="B600" s="81"/>
      <c r="C600" s="82"/>
      <c r="D600" s="71"/>
      <c r="E600" s="72"/>
      <c r="F600" s="73"/>
      <c r="G600" s="443"/>
      <c r="H600" s="443"/>
      <c r="I600" s="74"/>
      <c r="J600" s="75"/>
      <c r="K600" s="41">
        <f t="shared" si="319"/>
        <v>3625</v>
      </c>
      <c r="L600" s="104"/>
      <c r="M600" s="105"/>
      <c r="N600" s="106">
        <f t="shared" si="320"/>
        <v>537.05999999999995</v>
      </c>
      <c r="O600" s="104"/>
      <c r="P600" s="105"/>
      <c r="Q600" s="106">
        <f t="shared" si="352"/>
        <v>10045.83</v>
      </c>
      <c r="R600" s="104"/>
      <c r="S600" s="105"/>
      <c r="T600" s="106">
        <f t="shared" si="353"/>
        <v>0</v>
      </c>
      <c r="U600" s="439"/>
      <c r="V600" s="42">
        <f t="shared" si="321"/>
        <v>595</v>
      </c>
      <c r="W600" s="39" t="str">
        <f>IF(AND(E600='Povolené hodnoty'!$B$4,F600=2),I600+L600+O600+R600,"")</f>
        <v/>
      </c>
      <c r="X600" s="41" t="str">
        <f>IF(AND(E600='Povolené hodnoty'!$B$4,F600=1),I600+L600+O600+R600,"")</f>
        <v/>
      </c>
      <c r="Y600" s="39" t="str">
        <f>IF(AND(E600='Povolené hodnoty'!$B$4,F600=10),J600+M600+P600+S600,"")</f>
        <v/>
      </c>
      <c r="Z600" s="41" t="str">
        <f>IF(AND(E600='Povolené hodnoty'!$B$4,F600=9),J600+M600+P600+S600,"")</f>
        <v/>
      </c>
      <c r="AA600" s="39" t="str">
        <f>IF(AND(E600&lt;&gt;'Povolené hodnoty'!$B$4,F600=2),I600+L600+O600+R600,"")</f>
        <v/>
      </c>
      <c r="AB600" s="40" t="str">
        <f>IF(AND(E600&lt;&gt;'Povolené hodnoty'!$B$4,F600=3),I600+L600+O600+R600,"")</f>
        <v/>
      </c>
      <c r="AC600" s="40" t="str">
        <f>IF(AND(E600&lt;&gt;'Povolené hodnoty'!$B$4,F600=4),I600+L600+O600+R600,"")</f>
        <v/>
      </c>
      <c r="AD600" s="40" t="str">
        <f>IF(AND(E600&lt;&gt;'Povolené hodnoty'!$B$4,F600="5a"),I600-J600+L600-M600+O600-P600+R600-S600,"")</f>
        <v/>
      </c>
      <c r="AE600" s="40" t="str">
        <f>IF(AND(E600&lt;&gt;'Povolené hodnoty'!$B$4,F600="5b"),I600-J600+L600-M600+O600-P600+R600-S600,"")</f>
        <v/>
      </c>
      <c r="AF600" s="40" t="str">
        <f>IF(AND(E600&lt;&gt;'Povolené hodnoty'!$B$4,F600=6),I600+L600+O600+R600,"")</f>
        <v/>
      </c>
      <c r="AG600" s="41" t="str">
        <f>IF(AND(E600&lt;&gt;'Povolené hodnoty'!$B$4,F600=7),I600+L600+O600+R600,"")</f>
        <v/>
      </c>
      <c r="AH600" s="39" t="str">
        <f>IF(AND(E600&lt;&gt;'Povolené hodnoty'!$B$4,F600=10),J600+M600+P600+S600,"")</f>
        <v/>
      </c>
      <c r="AI600" s="40" t="str">
        <f>IF(AND(E600&lt;&gt;'Povolené hodnoty'!$B$4,F600=11),J600+M600+P600+S600,"")</f>
        <v/>
      </c>
      <c r="AJ600" s="40" t="str">
        <f>IF(AND(E600&lt;&gt;'Povolené hodnoty'!$B$4,F600=12),J600+M600+P600+S600,"")</f>
        <v/>
      </c>
      <c r="AK600" s="41" t="str">
        <f>IF(AND(E600&lt;&gt;'Povolené hodnoty'!$B$4,F600=13),J600+M600+P600+S600,"")</f>
        <v/>
      </c>
      <c r="AL600" s="39" t="str">
        <f>IF(AND($G600='Povolené hodnoty'!$B$13,$H600=AL$4),SUM($I600,$L600,$O600,$R600),"")</f>
        <v/>
      </c>
      <c r="AM600" s="458" t="str">
        <f>IF(AND($G600='Povolené hodnoty'!$B$13,$H600=AM$4),SUM($I600,$L600,$O600,$R600),"")</f>
        <v/>
      </c>
      <c r="AN600" s="458" t="str">
        <f>IF(AND($G600='Povolené hodnoty'!$B$13,$H600=AN$4),SUM($I600,$L600,$O600,$R600),"")</f>
        <v/>
      </c>
      <c r="AO600" s="458" t="str">
        <f>IF(AND($G600='Povolené hodnoty'!$B$13,$H600=AO$4),SUM($I600,$L600,$O600,$R600),"")</f>
        <v/>
      </c>
      <c r="AP600" s="458" t="str">
        <f>IF(AND($G600='Povolené hodnoty'!$B$13,$H600=AP$4),SUM($I600,$L600,$O600,$R600),"")</f>
        <v/>
      </c>
      <c r="AQ600" s="40" t="str">
        <f>IF(AND($G600='Povolené hodnoty'!$B$13,OR($H600=AQ$4,$H600='Povolené hodnoty'!$E$36)),SUM($I600,-$J600,$L600,-$M600,$O600,-$P600,$R600,-$S600),"")</f>
        <v/>
      </c>
      <c r="AR600" s="40" t="str">
        <f>IF(AND($G600='Povolené hodnoty'!$B$13,$H600=AR$4),SUM($I600,$L600,$O600,$R600),"")</f>
        <v/>
      </c>
      <c r="AS600" s="41" t="str">
        <f>IF(AND($G600='Povolené hodnoty'!$B$13,$H600=AS$4),SUM($I600,$L600,$O600,$R600),"")</f>
        <v/>
      </c>
      <c r="AT600" s="39" t="str">
        <f>IF(AND($G600='Povolené hodnoty'!$B$14,$H600=AT$4),SUM($I600,$L600,$O600,$R600),"")</f>
        <v/>
      </c>
      <c r="AU600" s="458" t="str">
        <f>IF(AND($G600='Povolené hodnoty'!$B$14,$H600=AU$4),SUM($I600,$L600,$O600,$R600),"")</f>
        <v/>
      </c>
      <c r="AV600" s="41" t="str">
        <f>IF(AND($G600='Povolené hodnoty'!$B$14,$H600=AV$4),SUM($I600,$L600,$O600,$R600),"")</f>
        <v/>
      </c>
      <c r="AW600" s="39" t="str">
        <f>IF(AND($G600='Povolené hodnoty'!$B$13,$H600=AW$4),SUM($J600,$M600,$P600,$S600),"")</f>
        <v/>
      </c>
      <c r="AX600" s="458" t="str">
        <f>IF(AND($G600='Povolené hodnoty'!$B$13,$H600=AX$4),SUM($J600,$M600,$P600,$S600),"")</f>
        <v/>
      </c>
      <c r="AY600" s="458" t="str">
        <f>IF(AND($G600='Povolené hodnoty'!$B$13,$H600=AY$4),SUM($J600,$M600,$P600,$S600),"")</f>
        <v/>
      </c>
      <c r="AZ600" s="458" t="str">
        <f>IF(AND($G600='Povolené hodnoty'!$B$13,$H600=AZ$4),SUM($J600,$M600,$P600,$S600),"")</f>
        <v/>
      </c>
      <c r="BA600" s="458" t="str">
        <f>IF(AND($G600='Povolené hodnoty'!$B$13,$H600=BA$4),SUM($J600,$M600,$P600,$S600),"")</f>
        <v/>
      </c>
      <c r="BB600" s="40" t="str">
        <f>IF(AND($G600='Povolené hodnoty'!$B$13,$H600=BB$4),SUM($J600,$M600,$P600,$S600),"")</f>
        <v/>
      </c>
      <c r="BC600" s="40" t="str">
        <f>IF(AND($G600='Povolené hodnoty'!$B$13,$H600=BC$4),SUM($J600,$M600,$P600,$S600),"")</f>
        <v/>
      </c>
      <c r="BD600" s="40" t="str">
        <f>IF(AND($G600='Povolené hodnoty'!$B$13,$H600=BD$4),SUM($J600,$M600,$P600,$S600),"")</f>
        <v/>
      </c>
      <c r="BE600" s="41" t="str">
        <f>IF(AND($G600='Povolené hodnoty'!$B$13,$H600=BE$4),SUM($J600,$M600,$P600,$S600),"")</f>
        <v/>
      </c>
      <c r="BF600" s="39" t="str">
        <f>IF(AND($G600='Povolené hodnoty'!$B$14,$H600=BF$4),SUM($J600,$M600,$P600,$S600),"")</f>
        <v/>
      </c>
      <c r="BG600" s="458" t="str">
        <f>IF(AND($G600='Povolené hodnoty'!$B$14,$H600=BG$4),SUM($J600,$M600,$P600,$S600),"")</f>
        <v/>
      </c>
      <c r="BH600" s="458" t="str">
        <f>IF(AND($G600='Povolené hodnoty'!$B$14,$H600=BH$4),SUM($J600,$M600,$P600,$S600),"")</f>
        <v/>
      </c>
      <c r="BI600" s="458" t="str">
        <f>IF(AND($G600='Povolené hodnoty'!$B$14,$H600=BI$4),SUM($J600,$M600,$P600,$S600),"")</f>
        <v/>
      </c>
      <c r="BJ600" s="458" t="str">
        <f>IF(AND($G600='Povolené hodnoty'!$B$14,$H600=BJ$4),SUM($J600,$M600,$P600,$S600),"")</f>
        <v/>
      </c>
      <c r="BK600" s="40" t="str">
        <f>IF(AND($G600='Povolené hodnoty'!$B$14,$H600=BK$4),SUM($J600,$M600,$P600,$S600),"")</f>
        <v/>
      </c>
      <c r="BL600" s="40" t="str">
        <f>IF(AND($G600='Povolené hodnoty'!$B$14,$H600=BL$4),SUM($J600,$M600,$P600,$S600),"")</f>
        <v/>
      </c>
      <c r="BM600" s="41" t="str">
        <f>IF(AND($G600='Povolené hodnoty'!$B$14,$H600=BM$4),SUM($J600,$M600,$P600,$S600),"")</f>
        <v/>
      </c>
      <c r="BO600" s="18" t="b">
        <f t="shared" si="351"/>
        <v>0</v>
      </c>
      <c r="BP600" s="18" t="b">
        <f t="shared" si="322"/>
        <v>0</v>
      </c>
      <c r="BQ600" s="18" t="b">
        <f>AND(E600&lt;&gt;'Povolené hodnoty'!$B$6,F600&lt;&gt;'Povolené hodnoty'!$D$7,F600&lt;&gt;'Povolené hodnoty'!$D$8,OR(SUM(I600,L600,O600,R600)&lt;&gt;SUM(W600:X600,AA600:AG600),SUM(J600,M600,P600,S600)&lt;&gt;SUM(Y600:Z600,AH600:AK600),COUNT(I600:J600,L600:M600,O600:P600,R600:S600)&lt;&gt;COUNT(W600:AK600)))</f>
        <v>0</v>
      </c>
      <c r="BR600" s="18" t="b">
        <f>OR(AND(E600='Povolené hodnoty'!$B$6,$BR$5),AND(E600='Povolené hodnoty'!$B$6,H600&lt;&gt;'Povolené hodnoty'!$E$26,H600&lt;&gt;'Povolené hodnoty'!$E$35),AND(E600&lt;&gt;'Povolené hodnoty'!$B$6,OR(H600='Povolené hodnoty'!$E$26,H600='Povolené hodnoty'!$E$35)))</f>
        <v>0</v>
      </c>
      <c r="BS600" s="18" t="b">
        <f>OR(AND(G600&lt;&gt;'Povolené hodnoty'!$B$13,OR(H600='Povolené hodnoty'!$E$21,H600='Povolené hodnoty'!$E$22,H600='Povolené hodnoty'!$E$23,H600='Povolené hodnoty'!$E$24,H600='Povolené hodnoty'!$E$26,H600='Povolené hodnoty'!$E$36)),COUNT(I600:J600,L600:M600,O600:P600,R600:S600)&lt;&gt;COUNT(AL600:BM600))</f>
        <v>0</v>
      </c>
      <c r="BT600" s="18" t="b">
        <f t="shared" si="323"/>
        <v>0</v>
      </c>
      <c r="BV600" s="39" t="str">
        <f t="shared" si="324"/>
        <v/>
      </c>
      <c r="BW600" s="458" t="str">
        <f t="shared" si="325"/>
        <v/>
      </c>
      <c r="BX600" s="458" t="str">
        <f t="shared" si="326"/>
        <v/>
      </c>
      <c r="BY600" s="458" t="str">
        <f t="shared" si="327"/>
        <v/>
      </c>
      <c r="BZ600" s="458" t="str">
        <f t="shared" si="328"/>
        <v/>
      </c>
      <c r="CA600" s="40" t="str">
        <f t="shared" si="329"/>
        <v/>
      </c>
      <c r="CB600" s="40" t="str">
        <f t="shared" si="330"/>
        <v/>
      </c>
      <c r="CC600" s="39" t="str">
        <f t="shared" si="331"/>
        <v/>
      </c>
      <c r="CD600" s="458" t="str">
        <f t="shared" si="332"/>
        <v/>
      </c>
      <c r="CE600" s="41" t="str">
        <f t="shared" si="333"/>
        <v/>
      </c>
      <c r="CF600" s="39" t="str">
        <f t="shared" si="334"/>
        <v/>
      </c>
      <c r="CG600" s="458" t="str">
        <f t="shared" si="335"/>
        <v/>
      </c>
      <c r="CH600" s="458" t="str">
        <f t="shared" si="336"/>
        <v/>
      </c>
      <c r="CI600" s="458" t="str">
        <f t="shared" si="337"/>
        <v/>
      </c>
      <c r="CJ600" s="458" t="str">
        <f t="shared" si="338"/>
        <v/>
      </c>
      <c r="CK600" s="40" t="str">
        <f t="shared" si="339"/>
        <v/>
      </c>
      <c r="CL600" s="40" t="str">
        <f t="shared" si="340"/>
        <v/>
      </c>
      <c r="CM600" s="40" t="str">
        <f t="shared" si="341"/>
        <v/>
      </c>
      <c r="CN600" s="39" t="str">
        <f t="shared" si="342"/>
        <v/>
      </c>
      <c r="CO600" s="458" t="str">
        <f t="shared" si="343"/>
        <v/>
      </c>
      <c r="CP600" s="458" t="str">
        <f t="shared" si="344"/>
        <v/>
      </c>
      <c r="CQ600" s="458" t="str">
        <f t="shared" si="345"/>
        <v/>
      </c>
      <c r="CR600" s="458" t="str">
        <f t="shared" si="346"/>
        <v/>
      </c>
      <c r="CS600" s="40" t="str">
        <f t="shared" si="347"/>
        <v/>
      </c>
      <c r="CT600" s="40" t="str">
        <f t="shared" si="348"/>
        <v/>
      </c>
      <c r="CU600" s="41" t="str">
        <f t="shared" si="349"/>
        <v/>
      </c>
    </row>
    <row r="601" spans="1:99" x14ac:dyDescent="0.2">
      <c r="A601" s="77">
        <f t="shared" si="350"/>
        <v>596</v>
      </c>
      <c r="B601" s="81"/>
      <c r="C601" s="82"/>
      <c r="D601" s="71"/>
      <c r="E601" s="72"/>
      <c r="F601" s="73"/>
      <c r="G601" s="443"/>
      <c r="H601" s="443"/>
      <c r="I601" s="74"/>
      <c r="J601" s="75"/>
      <c r="K601" s="41">
        <f t="shared" si="319"/>
        <v>3625</v>
      </c>
      <c r="L601" s="104"/>
      <c r="M601" s="105"/>
      <c r="N601" s="106">
        <f t="shared" si="320"/>
        <v>537.05999999999995</v>
      </c>
      <c r="O601" s="104"/>
      <c r="P601" s="105"/>
      <c r="Q601" s="106">
        <f t="shared" si="352"/>
        <v>10045.83</v>
      </c>
      <c r="R601" s="104"/>
      <c r="S601" s="105"/>
      <c r="T601" s="106">
        <f t="shared" si="353"/>
        <v>0</v>
      </c>
      <c r="U601" s="439"/>
      <c r="V601" s="42">
        <f t="shared" si="321"/>
        <v>596</v>
      </c>
      <c r="W601" s="39" t="str">
        <f>IF(AND(E601='Povolené hodnoty'!$B$4,F601=2),I601+L601+O601+R601,"")</f>
        <v/>
      </c>
      <c r="X601" s="41" t="str">
        <f>IF(AND(E601='Povolené hodnoty'!$B$4,F601=1),I601+L601+O601+R601,"")</f>
        <v/>
      </c>
      <c r="Y601" s="39" t="str">
        <f>IF(AND(E601='Povolené hodnoty'!$B$4,F601=10),J601+M601+P601+S601,"")</f>
        <v/>
      </c>
      <c r="Z601" s="41" t="str">
        <f>IF(AND(E601='Povolené hodnoty'!$B$4,F601=9),J601+M601+P601+S601,"")</f>
        <v/>
      </c>
      <c r="AA601" s="39" t="str">
        <f>IF(AND(E601&lt;&gt;'Povolené hodnoty'!$B$4,F601=2),I601+L601+O601+R601,"")</f>
        <v/>
      </c>
      <c r="AB601" s="40" t="str">
        <f>IF(AND(E601&lt;&gt;'Povolené hodnoty'!$B$4,F601=3),I601+L601+O601+R601,"")</f>
        <v/>
      </c>
      <c r="AC601" s="40" t="str">
        <f>IF(AND(E601&lt;&gt;'Povolené hodnoty'!$B$4,F601=4),I601+L601+O601+R601,"")</f>
        <v/>
      </c>
      <c r="AD601" s="40" t="str">
        <f>IF(AND(E601&lt;&gt;'Povolené hodnoty'!$B$4,F601="5a"),I601-J601+L601-M601+O601-P601+R601-S601,"")</f>
        <v/>
      </c>
      <c r="AE601" s="40" t="str">
        <f>IF(AND(E601&lt;&gt;'Povolené hodnoty'!$B$4,F601="5b"),I601-J601+L601-M601+O601-P601+R601-S601,"")</f>
        <v/>
      </c>
      <c r="AF601" s="40" t="str">
        <f>IF(AND(E601&lt;&gt;'Povolené hodnoty'!$B$4,F601=6),I601+L601+O601+R601,"")</f>
        <v/>
      </c>
      <c r="AG601" s="41" t="str">
        <f>IF(AND(E601&lt;&gt;'Povolené hodnoty'!$B$4,F601=7),I601+L601+O601+R601,"")</f>
        <v/>
      </c>
      <c r="AH601" s="39" t="str">
        <f>IF(AND(E601&lt;&gt;'Povolené hodnoty'!$B$4,F601=10),J601+M601+P601+S601,"")</f>
        <v/>
      </c>
      <c r="AI601" s="40" t="str">
        <f>IF(AND(E601&lt;&gt;'Povolené hodnoty'!$B$4,F601=11),J601+M601+P601+S601,"")</f>
        <v/>
      </c>
      <c r="AJ601" s="40" t="str">
        <f>IF(AND(E601&lt;&gt;'Povolené hodnoty'!$B$4,F601=12),J601+M601+P601+S601,"")</f>
        <v/>
      </c>
      <c r="AK601" s="41" t="str">
        <f>IF(AND(E601&lt;&gt;'Povolené hodnoty'!$B$4,F601=13),J601+M601+P601+S601,"")</f>
        <v/>
      </c>
      <c r="AL601" s="39" t="str">
        <f>IF(AND($G601='Povolené hodnoty'!$B$13,$H601=AL$4),SUM($I601,$L601,$O601,$R601),"")</f>
        <v/>
      </c>
      <c r="AM601" s="458" t="str">
        <f>IF(AND($G601='Povolené hodnoty'!$B$13,$H601=AM$4),SUM($I601,$L601,$O601,$R601),"")</f>
        <v/>
      </c>
      <c r="AN601" s="458" t="str">
        <f>IF(AND($G601='Povolené hodnoty'!$B$13,$H601=AN$4),SUM($I601,$L601,$O601,$R601),"")</f>
        <v/>
      </c>
      <c r="AO601" s="458" t="str">
        <f>IF(AND($G601='Povolené hodnoty'!$B$13,$H601=AO$4),SUM($I601,$L601,$O601,$R601),"")</f>
        <v/>
      </c>
      <c r="AP601" s="458" t="str">
        <f>IF(AND($G601='Povolené hodnoty'!$B$13,$H601=AP$4),SUM($I601,$L601,$O601,$R601),"")</f>
        <v/>
      </c>
      <c r="AQ601" s="40" t="str">
        <f>IF(AND($G601='Povolené hodnoty'!$B$13,OR($H601=AQ$4,$H601='Povolené hodnoty'!$E$36)),SUM($I601,-$J601,$L601,-$M601,$O601,-$P601,$R601,-$S601),"")</f>
        <v/>
      </c>
      <c r="AR601" s="40" t="str">
        <f>IF(AND($G601='Povolené hodnoty'!$B$13,$H601=AR$4),SUM($I601,$L601,$O601,$R601),"")</f>
        <v/>
      </c>
      <c r="AS601" s="41" t="str">
        <f>IF(AND($G601='Povolené hodnoty'!$B$13,$H601=AS$4),SUM($I601,$L601,$O601,$R601),"")</f>
        <v/>
      </c>
      <c r="AT601" s="39" t="str">
        <f>IF(AND($G601='Povolené hodnoty'!$B$14,$H601=AT$4),SUM($I601,$L601,$O601,$R601),"")</f>
        <v/>
      </c>
      <c r="AU601" s="458" t="str">
        <f>IF(AND($G601='Povolené hodnoty'!$B$14,$H601=AU$4),SUM($I601,$L601,$O601,$R601),"")</f>
        <v/>
      </c>
      <c r="AV601" s="41" t="str">
        <f>IF(AND($G601='Povolené hodnoty'!$B$14,$H601=AV$4),SUM($I601,$L601,$O601,$R601),"")</f>
        <v/>
      </c>
      <c r="AW601" s="39" t="str">
        <f>IF(AND($G601='Povolené hodnoty'!$B$13,$H601=AW$4),SUM($J601,$M601,$P601,$S601),"")</f>
        <v/>
      </c>
      <c r="AX601" s="458" t="str">
        <f>IF(AND($G601='Povolené hodnoty'!$B$13,$H601=AX$4),SUM($J601,$M601,$P601,$S601),"")</f>
        <v/>
      </c>
      <c r="AY601" s="458" t="str">
        <f>IF(AND($G601='Povolené hodnoty'!$B$13,$H601=AY$4),SUM($J601,$M601,$P601,$S601),"")</f>
        <v/>
      </c>
      <c r="AZ601" s="458" t="str">
        <f>IF(AND($G601='Povolené hodnoty'!$B$13,$H601=AZ$4),SUM($J601,$M601,$P601,$S601),"")</f>
        <v/>
      </c>
      <c r="BA601" s="458" t="str">
        <f>IF(AND($G601='Povolené hodnoty'!$B$13,$H601=BA$4),SUM($J601,$M601,$P601,$S601),"")</f>
        <v/>
      </c>
      <c r="BB601" s="40" t="str">
        <f>IF(AND($G601='Povolené hodnoty'!$B$13,$H601=BB$4),SUM($J601,$M601,$P601,$S601),"")</f>
        <v/>
      </c>
      <c r="BC601" s="40" t="str">
        <f>IF(AND($G601='Povolené hodnoty'!$B$13,$H601=BC$4),SUM($J601,$M601,$P601,$S601),"")</f>
        <v/>
      </c>
      <c r="BD601" s="40" t="str">
        <f>IF(AND($G601='Povolené hodnoty'!$B$13,$H601=BD$4),SUM($J601,$M601,$P601,$S601),"")</f>
        <v/>
      </c>
      <c r="BE601" s="41" t="str">
        <f>IF(AND($G601='Povolené hodnoty'!$B$13,$H601=BE$4),SUM($J601,$M601,$P601,$S601),"")</f>
        <v/>
      </c>
      <c r="BF601" s="39" t="str">
        <f>IF(AND($G601='Povolené hodnoty'!$B$14,$H601=BF$4),SUM($J601,$M601,$P601,$S601),"")</f>
        <v/>
      </c>
      <c r="BG601" s="458" t="str">
        <f>IF(AND($G601='Povolené hodnoty'!$B$14,$H601=BG$4),SUM($J601,$M601,$P601,$S601),"")</f>
        <v/>
      </c>
      <c r="BH601" s="458" t="str">
        <f>IF(AND($G601='Povolené hodnoty'!$B$14,$H601=BH$4),SUM($J601,$M601,$P601,$S601),"")</f>
        <v/>
      </c>
      <c r="BI601" s="458" t="str">
        <f>IF(AND($G601='Povolené hodnoty'!$B$14,$H601=BI$4),SUM($J601,$M601,$P601,$S601),"")</f>
        <v/>
      </c>
      <c r="BJ601" s="458" t="str">
        <f>IF(AND($G601='Povolené hodnoty'!$B$14,$H601=BJ$4),SUM($J601,$M601,$P601,$S601),"")</f>
        <v/>
      </c>
      <c r="BK601" s="40" t="str">
        <f>IF(AND($G601='Povolené hodnoty'!$B$14,$H601=BK$4),SUM($J601,$M601,$P601,$S601),"")</f>
        <v/>
      </c>
      <c r="BL601" s="40" t="str">
        <f>IF(AND($G601='Povolené hodnoty'!$B$14,$H601=BL$4),SUM($J601,$M601,$P601,$S601),"")</f>
        <v/>
      </c>
      <c r="BM601" s="41" t="str">
        <f>IF(AND($G601='Povolené hodnoty'!$B$14,$H601=BM$4),SUM($J601,$M601,$P601,$S601),"")</f>
        <v/>
      </c>
      <c r="BO601" s="18" t="b">
        <f t="shared" si="351"/>
        <v>0</v>
      </c>
      <c r="BP601" s="18" t="b">
        <f t="shared" si="322"/>
        <v>0</v>
      </c>
      <c r="BQ601" s="18" t="b">
        <f>AND(E601&lt;&gt;'Povolené hodnoty'!$B$6,F601&lt;&gt;'Povolené hodnoty'!$D$7,F601&lt;&gt;'Povolené hodnoty'!$D$8,OR(SUM(I601,L601,O601,R601)&lt;&gt;SUM(W601:X601,AA601:AG601),SUM(J601,M601,P601,S601)&lt;&gt;SUM(Y601:Z601,AH601:AK601),COUNT(I601:J601,L601:M601,O601:P601,R601:S601)&lt;&gt;COUNT(W601:AK601)))</f>
        <v>0</v>
      </c>
      <c r="BR601" s="18" t="b">
        <f>OR(AND(E601='Povolené hodnoty'!$B$6,$BR$5),AND(E601='Povolené hodnoty'!$B$6,H601&lt;&gt;'Povolené hodnoty'!$E$26,H601&lt;&gt;'Povolené hodnoty'!$E$35),AND(E601&lt;&gt;'Povolené hodnoty'!$B$6,OR(H601='Povolené hodnoty'!$E$26,H601='Povolené hodnoty'!$E$35)))</f>
        <v>0</v>
      </c>
      <c r="BS601" s="18" t="b">
        <f>OR(AND(G601&lt;&gt;'Povolené hodnoty'!$B$13,OR(H601='Povolené hodnoty'!$E$21,H601='Povolené hodnoty'!$E$22,H601='Povolené hodnoty'!$E$23,H601='Povolené hodnoty'!$E$24,H601='Povolené hodnoty'!$E$26,H601='Povolené hodnoty'!$E$36)),COUNT(I601:J601,L601:M601,O601:P601,R601:S601)&lt;&gt;COUNT(AL601:BM601))</f>
        <v>0</v>
      </c>
      <c r="BT601" s="18" t="b">
        <f t="shared" si="323"/>
        <v>0</v>
      </c>
      <c r="BV601" s="39" t="str">
        <f t="shared" si="324"/>
        <v/>
      </c>
      <c r="BW601" s="458" t="str">
        <f t="shared" si="325"/>
        <v/>
      </c>
      <c r="BX601" s="458" t="str">
        <f t="shared" si="326"/>
        <v/>
      </c>
      <c r="BY601" s="458" t="str">
        <f t="shared" si="327"/>
        <v/>
      </c>
      <c r="BZ601" s="458" t="str">
        <f t="shared" si="328"/>
        <v/>
      </c>
      <c r="CA601" s="40" t="str">
        <f t="shared" si="329"/>
        <v/>
      </c>
      <c r="CB601" s="40" t="str">
        <f t="shared" si="330"/>
        <v/>
      </c>
      <c r="CC601" s="39" t="str">
        <f t="shared" si="331"/>
        <v/>
      </c>
      <c r="CD601" s="458" t="str">
        <f t="shared" si="332"/>
        <v/>
      </c>
      <c r="CE601" s="41" t="str">
        <f t="shared" si="333"/>
        <v/>
      </c>
      <c r="CF601" s="39" t="str">
        <f t="shared" si="334"/>
        <v/>
      </c>
      <c r="CG601" s="458" t="str">
        <f t="shared" si="335"/>
        <v/>
      </c>
      <c r="CH601" s="458" t="str">
        <f t="shared" si="336"/>
        <v/>
      </c>
      <c r="CI601" s="458" t="str">
        <f t="shared" si="337"/>
        <v/>
      </c>
      <c r="CJ601" s="458" t="str">
        <f t="shared" si="338"/>
        <v/>
      </c>
      <c r="CK601" s="40" t="str">
        <f t="shared" si="339"/>
        <v/>
      </c>
      <c r="CL601" s="40" t="str">
        <f t="shared" si="340"/>
        <v/>
      </c>
      <c r="CM601" s="40" t="str">
        <f t="shared" si="341"/>
        <v/>
      </c>
      <c r="CN601" s="39" t="str">
        <f t="shared" si="342"/>
        <v/>
      </c>
      <c r="CO601" s="458" t="str">
        <f t="shared" si="343"/>
        <v/>
      </c>
      <c r="CP601" s="458" t="str">
        <f t="shared" si="344"/>
        <v/>
      </c>
      <c r="CQ601" s="458" t="str">
        <f t="shared" si="345"/>
        <v/>
      </c>
      <c r="CR601" s="458" t="str">
        <f t="shared" si="346"/>
        <v/>
      </c>
      <c r="CS601" s="40" t="str">
        <f t="shared" si="347"/>
        <v/>
      </c>
      <c r="CT601" s="40" t="str">
        <f t="shared" si="348"/>
        <v/>
      </c>
      <c r="CU601" s="41" t="str">
        <f t="shared" si="349"/>
        <v/>
      </c>
    </row>
    <row r="602" spans="1:99" x14ac:dyDescent="0.2">
      <c r="A602" s="77">
        <f t="shared" si="350"/>
        <v>597</v>
      </c>
      <c r="B602" s="81"/>
      <c r="C602" s="82"/>
      <c r="D602" s="71"/>
      <c r="E602" s="72"/>
      <c r="F602" s="73"/>
      <c r="G602" s="443"/>
      <c r="H602" s="443"/>
      <c r="I602" s="74"/>
      <c r="J602" s="75"/>
      <c r="K602" s="41">
        <f t="shared" si="319"/>
        <v>3625</v>
      </c>
      <c r="L602" s="104"/>
      <c r="M602" s="105"/>
      <c r="N602" s="106">
        <f t="shared" si="320"/>
        <v>537.05999999999995</v>
      </c>
      <c r="O602" s="104"/>
      <c r="P602" s="105"/>
      <c r="Q602" s="106">
        <f t="shared" si="352"/>
        <v>10045.83</v>
      </c>
      <c r="R602" s="104"/>
      <c r="S602" s="105"/>
      <c r="T602" s="106">
        <f t="shared" si="353"/>
        <v>0</v>
      </c>
      <c r="U602" s="439"/>
      <c r="V602" s="42">
        <f t="shared" si="321"/>
        <v>597</v>
      </c>
      <c r="W602" s="39" t="str">
        <f>IF(AND(E602='Povolené hodnoty'!$B$4,F602=2),I602+L602+O602+R602,"")</f>
        <v/>
      </c>
      <c r="X602" s="41" t="str">
        <f>IF(AND(E602='Povolené hodnoty'!$B$4,F602=1),I602+L602+O602+R602,"")</f>
        <v/>
      </c>
      <c r="Y602" s="39" t="str">
        <f>IF(AND(E602='Povolené hodnoty'!$B$4,F602=10),J602+M602+P602+S602,"")</f>
        <v/>
      </c>
      <c r="Z602" s="41" t="str">
        <f>IF(AND(E602='Povolené hodnoty'!$B$4,F602=9),J602+M602+P602+S602,"")</f>
        <v/>
      </c>
      <c r="AA602" s="39" t="str">
        <f>IF(AND(E602&lt;&gt;'Povolené hodnoty'!$B$4,F602=2),I602+L602+O602+R602,"")</f>
        <v/>
      </c>
      <c r="AB602" s="40" t="str">
        <f>IF(AND(E602&lt;&gt;'Povolené hodnoty'!$B$4,F602=3),I602+L602+O602+R602,"")</f>
        <v/>
      </c>
      <c r="AC602" s="40" t="str">
        <f>IF(AND(E602&lt;&gt;'Povolené hodnoty'!$B$4,F602=4),I602+L602+O602+R602,"")</f>
        <v/>
      </c>
      <c r="AD602" s="40" t="str">
        <f>IF(AND(E602&lt;&gt;'Povolené hodnoty'!$B$4,F602="5a"),I602-J602+L602-M602+O602-P602+R602-S602,"")</f>
        <v/>
      </c>
      <c r="AE602" s="40" t="str">
        <f>IF(AND(E602&lt;&gt;'Povolené hodnoty'!$B$4,F602="5b"),I602-J602+L602-M602+O602-P602+R602-S602,"")</f>
        <v/>
      </c>
      <c r="AF602" s="40" t="str">
        <f>IF(AND(E602&lt;&gt;'Povolené hodnoty'!$B$4,F602=6),I602+L602+O602+R602,"")</f>
        <v/>
      </c>
      <c r="AG602" s="41" t="str">
        <f>IF(AND(E602&lt;&gt;'Povolené hodnoty'!$B$4,F602=7),I602+L602+O602+R602,"")</f>
        <v/>
      </c>
      <c r="AH602" s="39" t="str">
        <f>IF(AND(E602&lt;&gt;'Povolené hodnoty'!$B$4,F602=10),J602+M602+P602+S602,"")</f>
        <v/>
      </c>
      <c r="AI602" s="40" t="str">
        <f>IF(AND(E602&lt;&gt;'Povolené hodnoty'!$B$4,F602=11),J602+M602+P602+S602,"")</f>
        <v/>
      </c>
      <c r="AJ602" s="40" t="str">
        <f>IF(AND(E602&lt;&gt;'Povolené hodnoty'!$B$4,F602=12),J602+M602+P602+S602,"")</f>
        <v/>
      </c>
      <c r="AK602" s="41" t="str">
        <f>IF(AND(E602&lt;&gt;'Povolené hodnoty'!$B$4,F602=13),J602+M602+P602+S602,"")</f>
        <v/>
      </c>
      <c r="AL602" s="39" t="str">
        <f>IF(AND($G602='Povolené hodnoty'!$B$13,$H602=AL$4),SUM($I602,$L602,$O602,$R602),"")</f>
        <v/>
      </c>
      <c r="AM602" s="458" t="str">
        <f>IF(AND($G602='Povolené hodnoty'!$B$13,$H602=AM$4),SUM($I602,$L602,$O602,$R602),"")</f>
        <v/>
      </c>
      <c r="AN602" s="458" t="str">
        <f>IF(AND($G602='Povolené hodnoty'!$B$13,$H602=AN$4),SUM($I602,$L602,$O602,$R602),"")</f>
        <v/>
      </c>
      <c r="AO602" s="458" t="str">
        <f>IF(AND($G602='Povolené hodnoty'!$B$13,$H602=AO$4),SUM($I602,$L602,$O602,$R602),"")</f>
        <v/>
      </c>
      <c r="AP602" s="458" t="str">
        <f>IF(AND($G602='Povolené hodnoty'!$B$13,$H602=AP$4),SUM($I602,$L602,$O602,$R602),"")</f>
        <v/>
      </c>
      <c r="AQ602" s="40" t="str">
        <f>IF(AND($G602='Povolené hodnoty'!$B$13,OR($H602=AQ$4,$H602='Povolené hodnoty'!$E$36)),SUM($I602,-$J602,$L602,-$M602,$O602,-$P602,$R602,-$S602),"")</f>
        <v/>
      </c>
      <c r="AR602" s="40" t="str">
        <f>IF(AND($G602='Povolené hodnoty'!$B$13,$H602=AR$4),SUM($I602,$L602,$O602,$R602),"")</f>
        <v/>
      </c>
      <c r="AS602" s="41" t="str">
        <f>IF(AND($G602='Povolené hodnoty'!$B$13,$H602=AS$4),SUM($I602,$L602,$O602,$R602),"")</f>
        <v/>
      </c>
      <c r="AT602" s="39" t="str">
        <f>IF(AND($G602='Povolené hodnoty'!$B$14,$H602=AT$4),SUM($I602,$L602,$O602,$R602),"")</f>
        <v/>
      </c>
      <c r="AU602" s="458" t="str">
        <f>IF(AND($G602='Povolené hodnoty'!$B$14,$H602=AU$4),SUM($I602,$L602,$O602,$R602),"")</f>
        <v/>
      </c>
      <c r="AV602" s="41" t="str">
        <f>IF(AND($G602='Povolené hodnoty'!$B$14,$H602=AV$4),SUM($I602,$L602,$O602,$R602),"")</f>
        <v/>
      </c>
      <c r="AW602" s="39" t="str">
        <f>IF(AND($G602='Povolené hodnoty'!$B$13,$H602=AW$4),SUM($J602,$M602,$P602,$S602),"")</f>
        <v/>
      </c>
      <c r="AX602" s="458" t="str">
        <f>IF(AND($G602='Povolené hodnoty'!$B$13,$H602=AX$4),SUM($J602,$M602,$P602,$S602),"")</f>
        <v/>
      </c>
      <c r="AY602" s="458" t="str">
        <f>IF(AND($G602='Povolené hodnoty'!$B$13,$H602=AY$4),SUM($J602,$M602,$P602,$S602),"")</f>
        <v/>
      </c>
      <c r="AZ602" s="458" t="str">
        <f>IF(AND($G602='Povolené hodnoty'!$B$13,$H602=AZ$4),SUM($J602,$M602,$P602,$S602),"")</f>
        <v/>
      </c>
      <c r="BA602" s="458" t="str">
        <f>IF(AND($G602='Povolené hodnoty'!$B$13,$H602=BA$4),SUM($J602,$M602,$P602,$S602),"")</f>
        <v/>
      </c>
      <c r="BB602" s="40" t="str">
        <f>IF(AND($G602='Povolené hodnoty'!$B$13,$H602=BB$4),SUM($J602,$M602,$P602,$S602),"")</f>
        <v/>
      </c>
      <c r="BC602" s="40" t="str">
        <f>IF(AND($G602='Povolené hodnoty'!$B$13,$H602=BC$4),SUM($J602,$M602,$P602,$S602),"")</f>
        <v/>
      </c>
      <c r="BD602" s="40" t="str">
        <f>IF(AND($G602='Povolené hodnoty'!$B$13,$H602=BD$4),SUM($J602,$M602,$P602,$S602),"")</f>
        <v/>
      </c>
      <c r="BE602" s="41" t="str">
        <f>IF(AND($G602='Povolené hodnoty'!$B$13,$H602=BE$4),SUM($J602,$M602,$P602,$S602),"")</f>
        <v/>
      </c>
      <c r="BF602" s="39" t="str">
        <f>IF(AND($G602='Povolené hodnoty'!$B$14,$H602=BF$4),SUM($J602,$M602,$P602,$S602),"")</f>
        <v/>
      </c>
      <c r="BG602" s="458" t="str">
        <f>IF(AND($G602='Povolené hodnoty'!$B$14,$H602=BG$4),SUM($J602,$M602,$P602,$S602),"")</f>
        <v/>
      </c>
      <c r="BH602" s="458" t="str">
        <f>IF(AND($G602='Povolené hodnoty'!$B$14,$H602=BH$4),SUM($J602,$M602,$P602,$S602),"")</f>
        <v/>
      </c>
      <c r="BI602" s="458" t="str">
        <f>IF(AND($G602='Povolené hodnoty'!$B$14,$H602=BI$4),SUM($J602,$M602,$P602,$S602),"")</f>
        <v/>
      </c>
      <c r="BJ602" s="458" t="str">
        <f>IF(AND($G602='Povolené hodnoty'!$B$14,$H602=BJ$4),SUM($J602,$M602,$P602,$S602),"")</f>
        <v/>
      </c>
      <c r="BK602" s="40" t="str">
        <f>IF(AND($G602='Povolené hodnoty'!$B$14,$H602=BK$4),SUM($J602,$M602,$P602,$S602),"")</f>
        <v/>
      </c>
      <c r="BL602" s="40" t="str">
        <f>IF(AND($G602='Povolené hodnoty'!$B$14,$H602=BL$4),SUM($J602,$M602,$P602,$S602),"")</f>
        <v/>
      </c>
      <c r="BM602" s="41" t="str">
        <f>IF(AND($G602='Povolené hodnoty'!$B$14,$H602=BM$4),SUM($J602,$M602,$P602,$S602),"")</f>
        <v/>
      </c>
      <c r="BO602" s="18" t="b">
        <f t="shared" si="351"/>
        <v>0</v>
      </c>
      <c r="BP602" s="18" t="b">
        <f t="shared" si="322"/>
        <v>0</v>
      </c>
      <c r="BQ602" s="18" t="b">
        <f>AND(E602&lt;&gt;'Povolené hodnoty'!$B$6,F602&lt;&gt;'Povolené hodnoty'!$D$7,F602&lt;&gt;'Povolené hodnoty'!$D$8,OR(SUM(I602,L602,O602,R602)&lt;&gt;SUM(W602:X602,AA602:AG602),SUM(J602,M602,P602,S602)&lt;&gt;SUM(Y602:Z602,AH602:AK602),COUNT(I602:J602,L602:M602,O602:P602,R602:S602)&lt;&gt;COUNT(W602:AK602)))</f>
        <v>0</v>
      </c>
      <c r="BR602" s="18" t="b">
        <f>OR(AND(E602='Povolené hodnoty'!$B$6,$BR$5),AND(E602='Povolené hodnoty'!$B$6,H602&lt;&gt;'Povolené hodnoty'!$E$26,H602&lt;&gt;'Povolené hodnoty'!$E$35),AND(E602&lt;&gt;'Povolené hodnoty'!$B$6,OR(H602='Povolené hodnoty'!$E$26,H602='Povolené hodnoty'!$E$35)))</f>
        <v>0</v>
      </c>
      <c r="BS602" s="18" t="b">
        <f>OR(AND(G602&lt;&gt;'Povolené hodnoty'!$B$13,OR(H602='Povolené hodnoty'!$E$21,H602='Povolené hodnoty'!$E$22,H602='Povolené hodnoty'!$E$23,H602='Povolené hodnoty'!$E$24,H602='Povolené hodnoty'!$E$26,H602='Povolené hodnoty'!$E$36)),COUNT(I602:J602,L602:M602,O602:P602,R602:S602)&lt;&gt;COUNT(AL602:BM602))</f>
        <v>0</v>
      </c>
      <c r="BT602" s="18" t="b">
        <f t="shared" si="323"/>
        <v>0</v>
      </c>
      <c r="BV602" s="39" t="str">
        <f t="shared" si="324"/>
        <v/>
      </c>
      <c r="BW602" s="458" t="str">
        <f t="shared" si="325"/>
        <v/>
      </c>
      <c r="BX602" s="458" t="str">
        <f t="shared" si="326"/>
        <v/>
      </c>
      <c r="BY602" s="458" t="str">
        <f t="shared" si="327"/>
        <v/>
      </c>
      <c r="BZ602" s="458" t="str">
        <f t="shared" si="328"/>
        <v/>
      </c>
      <c r="CA602" s="40" t="str">
        <f t="shared" si="329"/>
        <v/>
      </c>
      <c r="CB602" s="40" t="str">
        <f t="shared" si="330"/>
        <v/>
      </c>
      <c r="CC602" s="39" t="str">
        <f t="shared" si="331"/>
        <v/>
      </c>
      <c r="CD602" s="458" t="str">
        <f t="shared" si="332"/>
        <v/>
      </c>
      <c r="CE602" s="41" t="str">
        <f t="shared" si="333"/>
        <v/>
      </c>
      <c r="CF602" s="39" t="str">
        <f t="shared" si="334"/>
        <v/>
      </c>
      <c r="CG602" s="458" t="str">
        <f t="shared" si="335"/>
        <v/>
      </c>
      <c r="CH602" s="458" t="str">
        <f t="shared" si="336"/>
        <v/>
      </c>
      <c r="CI602" s="458" t="str">
        <f t="shared" si="337"/>
        <v/>
      </c>
      <c r="CJ602" s="458" t="str">
        <f t="shared" si="338"/>
        <v/>
      </c>
      <c r="CK602" s="40" t="str">
        <f t="shared" si="339"/>
        <v/>
      </c>
      <c r="CL602" s="40" t="str">
        <f t="shared" si="340"/>
        <v/>
      </c>
      <c r="CM602" s="40" t="str">
        <f t="shared" si="341"/>
        <v/>
      </c>
      <c r="CN602" s="39" t="str">
        <f t="shared" si="342"/>
        <v/>
      </c>
      <c r="CO602" s="458" t="str">
        <f t="shared" si="343"/>
        <v/>
      </c>
      <c r="CP602" s="458" t="str">
        <f t="shared" si="344"/>
        <v/>
      </c>
      <c r="CQ602" s="458" t="str">
        <f t="shared" si="345"/>
        <v/>
      </c>
      <c r="CR602" s="458" t="str">
        <f t="shared" si="346"/>
        <v/>
      </c>
      <c r="CS602" s="40" t="str">
        <f t="shared" si="347"/>
        <v/>
      </c>
      <c r="CT602" s="40" t="str">
        <f t="shared" si="348"/>
        <v/>
      </c>
      <c r="CU602" s="41" t="str">
        <f t="shared" si="349"/>
        <v/>
      </c>
    </row>
    <row r="603" spans="1:99" x14ac:dyDescent="0.2">
      <c r="A603" s="77">
        <f t="shared" si="350"/>
        <v>598</v>
      </c>
      <c r="B603" s="81"/>
      <c r="C603" s="82"/>
      <c r="D603" s="71"/>
      <c r="E603" s="72"/>
      <c r="F603" s="73"/>
      <c r="G603" s="443"/>
      <c r="H603" s="443"/>
      <c r="I603" s="74"/>
      <c r="J603" s="75"/>
      <c r="K603" s="41">
        <f t="shared" si="319"/>
        <v>3625</v>
      </c>
      <c r="L603" s="104"/>
      <c r="M603" s="105"/>
      <c r="N603" s="106">
        <f t="shared" si="320"/>
        <v>537.05999999999995</v>
      </c>
      <c r="O603" s="104"/>
      <c r="P603" s="105"/>
      <c r="Q603" s="106">
        <f t="shared" si="352"/>
        <v>10045.83</v>
      </c>
      <c r="R603" s="104"/>
      <c r="S603" s="105"/>
      <c r="T603" s="106">
        <f t="shared" si="353"/>
        <v>0</v>
      </c>
      <c r="U603" s="439"/>
      <c r="V603" s="42">
        <f t="shared" si="321"/>
        <v>598</v>
      </c>
      <c r="W603" s="39" t="str">
        <f>IF(AND(E603='Povolené hodnoty'!$B$4,F603=2),I603+L603+O603+R603,"")</f>
        <v/>
      </c>
      <c r="X603" s="41" t="str">
        <f>IF(AND(E603='Povolené hodnoty'!$B$4,F603=1),I603+L603+O603+R603,"")</f>
        <v/>
      </c>
      <c r="Y603" s="39" t="str">
        <f>IF(AND(E603='Povolené hodnoty'!$B$4,F603=10),J603+M603+P603+S603,"")</f>
        <v/>
      </c>
      <c r="Z603" s="41" t="str">
        <f>IF(AND(E603='Povolené hodnoty'!$B$4,F603=9),J603+M603+P603+S603,"")</f>
        <v/>
      </c>
      <c r="AA603" s="39" t="str">
        <f>IF(AND(E603&lt;&gt;'Povolené hodnoty'!$B$4,F603=2),I603+L603+O603+R603,"")</f>
        <v/>
      </c>
      <c r="AB603" s="40" t="str">
        <f>IF(AND(E603&lt;&gt;'Povolené hodnoty'!$B$4,F603=3),I603+L603+O603+R603,"")</f>
        <v/>
      </c>
      <c r="AC603" s="40" t="str">
        <f>IF(AND(E603&lt;&gt;'Povolené hodnoty'!$B$4,F603=4),I603+L603+O603+R603,"")</f>
        <v/>
      </c>
      <c r="AD603" s="40" t="str">
        <f>IF(AND(E603&lt;&gt;'Povolené hodnoty'!$B$4,F603="5a"),I603-J603+L603-M603+O603-P603+R603-S603,"")</f>
        <v/>
      </c>
      <c r="AE603" s="40" t="str">
        <f>IF(AND(E603&lt;&gt;'Povolené hodnoty'!$B$4,F603="5b"),I603-J603+L603-M603+O603-P603+R603-S603,"")</f>
        <v/>
      </c>
      <c r="AF603" s="40" t="str">
        <f>IF(AND(E603&lt;&gt;'Povolené hodnoty'!$B$4,F603=6),I603+L603+O603+R603,"")</f>
        <v/>
      </c>
      <c r="AG603" s="41" t="str">
        <f>IF(AND(E603&lt;&gt;'Povolené hodnoty'!$B$4,F603=7),I603+L603+O603+R603,"")</f>
        <v/>
      </c>
      <c r="AH603" s="39" t="str">
        <f>IF(AND(E603&lt;&gt;'Povolené hodnoty'!$B$4,F603=10),J603+M603+P603+S603,"")</f>
        <v/>
      </c>
      <c r="AI603" s="40" t="str">
        <f>IF(AND(E603&lt;&gt;'Povolené hodnoty'!$B$4,F603=11),J603+M603+P603+S603,"")</f>
        <v/>
      </c>
      <c r="AJ603" s="40" t="str">
        <f>IF(AND(E603&lt;&gt;'Povolené hodnoty'!$B$4,F603=12),J603+M603+P603+S603,"")</f>
        <v/>
      </c>
      <c r="AK603" s="41" t="str">
        <f>IF(AND(E603&lt;&gt;'Povolené hodnoty'!$B$4,F603=13),J603+M603+P603+S603,"")</f>
        <v/>
      </c>
      <c r="AL603" s="39" t="str">
        <f>IF(AND($G603='Povolené hodnoty'!$B$13,$H603=AL$4),SUM($I603,$L603,$O603,$R603),"")</f>
        <v/>
      </c>
      <c r="AM603" s="458" t="str">
        <f>IF(AND($G603='Povolené hodnoty'!$B$13,$H603=AM$4),SUM($I603,$L603,$O603,$R603),"")</f>
        <v/>
      </c>
      <c r="AN603" s="458" t="str">
        <f>IF(AND($G603='Povolené hodnoty'!$B$13,$H603=AN$4),SUM($I603,$L603,$O603,$R603),"")</f>
        <v/>
      </c>
      <c r="AO603" s="458" t="str">
        <f>IF(AND($G603='Povolené hodnoty'!$B$13,$H603=AO$4),SUM($I603,$L603,$O603,$R603),"")</f>
        <v/>
      </c>
      <c r="AP603" s="458" t="str">
        <f>IF(AND($G603='Povolené hodnoty'!$B$13,$H603=AP$4),SUM($I603,$L603,$O603,$R603),"")</f>
        <v/>
      </c>
      <c r="AQ603" s="40" t="str">
        <f>IF(AND($G603='Povolené hodnoty'!$B$13,OR($H603=AQ$4,$H603='Povolené hodnoty'!$E$36)),SUM($I603,-$J603,$L603,-$M603,$O603,-$P603,$R603,-$S603),"")</f>
        <v/>
      </c>
      <c r="AR603" s="40" t="str">
        <f>IF(AND($G603='Povolené hodnoty'!$B$13,$H603=AR$4),SUM($I603,$L603,$O603,$R603),"")</f>
        <v/>
      </c>
      <c r="AS603" s="41" t="str">
        <f>IF(AND($G603='Povolené hodnoty'!$B$13,$H603=AS$4),SUM($I603,$L603,$O603,$R603),"")</f>
        <v/>
      </c>
      <c r="AT603" s="39" t="str">
        <f>IF(AND($G603='Povolené hodnoty'!$B$14,$H603=AT$4),SUM($I603,$L603,$O603,$R603),"")</f>
        <v/>
      </c>
      <c r="AU603" s="458" t="str">
        <f>IF(AND($G603='Povolené hodnoty'!$B$14,$H603=AU$4),SUM($I603,$L603,$O603,$R603),"")</f>
        <v/>
      </c>
      <c r="AV603" s="41" t="str">
        <f>IF(AND($G603='Povolené hodnoty'!$B$14,$H603=AV$4),SUM($I603,$L603,$O603,$R603),"")</f>
        <v/>
      </c>
      <c r="AW603" s="39" t="str">
        <f>IF(AND($G603='Povolené hodnoty'!$B$13,$H603=AW$4),SUM($J603,$M603,$P603,$S603),"")</f>
        <v/>
      </c>
      <c r="AX603" s="458" t="str">
        <f>IF(AND($G603='Povolené hodnoty'!$B$13,$H603=AX$4),SUM($J603,$M603,$P603,$S603),"")</f>
        <v/>
      </c>
      <c r="AY603" s="458" t="str">
        <f>IF(AND($G603='Povolené hodnoty'!$B$13,$H603=AY$4),SUM($J603,$M603,$P603,$S603),"")</f>
        <v/>
      </c>
      <c r="AZ603" s="458" t="str">
        <f>IF(AND($G603='Povolené hodnoty'!$B$13,$H603=AZ$4),SUM($J603,$M603,$P603,$S603),"")</f>
        <v/>
      </c>
      <c r="BA603" s="458" t="str">
        <f>IF(AND($G603='Povolené hodnoty'!$B$13,$H603=BA$4),SUM($J603,$M603,$P603,$S603),"")</f>
        <v/>
      </c>
      <c r="BB603" s="40" t="str">
        <f>IF(AND($G603='Povolené hodnoty'!$B$13,$H603=BB$4),SUM($J603,$M603,$P603,$S603),"")</f>
        <v/>
      </c>
      <c r="BC603" s="40" t="str">
        <f>IF(AND($G603='Povolené hodnoty'!$B$13,$H603=BC$4),SUM($J603,$M603,$P603,$S603),"")</f>
        <v/>
      </c>
      <c r="BD603" s="40" t="str">
        <f>IF(AND($G603='Povolené hodnoty'!$B$13,$H603=BD$4),SUM($J603,$M603,$P603,$S603),"")</f>
        <v/>
      </c>
      <c r="BE603" s="41" t="str">
        <f>IF(AND($G603='Povolené hodnoty'!$B$13,$H603=BE$4),SUM($J603,$M603,$P603,$S603),"")</f>
        <v/>
      </c>
      <c r="BF603" s="39" t="str">
        <f>IF(AND($G603='Povolené hodnoty'!$B$14,$H603=BF$4),SUM($J603,$M603,$P603,$S603),"")</f>
        <v/>
      </c>
      <c r="BG603" s="458" t="str">
        <f>IF(AND($G603='Povolené hodnoty'!$B$14,$H603=BG$4),SUM($J603,$M603,$P603,$S603),"")</f>
        <v/>
      </c>
      <c r="BH603" s="458" t="str">
        <f>IF(AND($G603='Povolené hodnoty'!$B$14,$H603=BH$4),SUM($J603,$M603,$P603,$S603),"")</f>
        <v/>
      </c>
      <c r="BI603" s="458" t="str">
        <f>IF(AND($G603='Povolené hodnoty'!$B$14,$H603=BI$4),SUM($J603,$M603,$P603,$S603),"")</f>
        <v/>
      </c>
      <c r="BJ603" s="458" t="str">
        <f>IF(AND($G603='Povolené hodnoty'!$B$14,$H603=BJ$4),SUM($J603,$M603,$P603,$S603),"")</f>
        <v/>
      </c>
      <c r="BK603" s="40" t="str">
        <f>IF(AND($G603='Povolené hodnoty'!$B$14,$H603=BK$4),SUM($J603,$M603,$P603,$S603),"")</f>
        <v/>
      </c>
      <c r="BL603" s="40" t="str">
        <f>IF(AND($G603='Povolené hodnoty'!$B$14,$H603=BL$4),SUM($J603,$M603,$P603,$S603),"")</f>
        <v/>
      </c>
      <c r="BM603" s="41" t="str">
        <f>IF(AND($G603='Povolené hodnoty'!$B$14,$H603=BM$4),SUM($J603,$M603,$P603,$S603),"")</f>
        <v/>
      </c>
      <c r="BO603" s="18" t="b">
        <f t="shared" si="351"/>
        <v>0</v>
      </c>
      <c r="BP603" s="18" t="b">
        <f t="shared" si="322"/>
        <v>0</v>
      </c>
      <c r="BQ603" s="18" t="b">
        <f>AND(E603&lt;&gt;'Povolené hodnoty'!$B$6,F603&lt;&gt;'Povolené hodnoty'!$D$7,F603&lt;&gt;'Povolené hodnoty'!$D$8,OR(SUM(I603,L603,O603,R603)&lt;&gt;SUM(W603:X603,AA603:AG603),SUM(J603,M603,P603,S603)&lt;&gt;SUM(Y603:Z603,AH603:AK603),COUNT(I603:J603,L603:M603,O603:P603,R603:S603)&lt;&gt;COUNT(W603:AK603)))</f>
        <v>0</v>
      </c>
      <c r="BR603" s="18" t="b">
        <f>OR(AND(E603='Povolené hodnoty'!$B$6,$BR$5),AND(E603='Povolené hodnoty'!$B$6,H603&lt;&gt;'Povolené hodnoty'!$E$26,H603&lt;&gt;'Povolené hodnoty'!$E$35),AND(E603&lt;&gt;'Povolené hodnoty'!$B$6,OR(H603='Povolené hodnoty'!$E$26,H603='Povolené hodnoty'!$E$35)))</f>
        <v>0</v>
      </c>
      <c r="BS603" s="18" t="b">
        <f>OR(AND(G603&lt;&gt;'Povolené hodnoty'!$B$13,OR(H603='Povolené hodnoty'!$E$21,H603='Povolené hodnoty'!$E$22,H603='Povolené hodnoty'!$E$23,H603='Povolené hodnoty'!$E$24,H603='Povolené hodnoty'!$E$26,H603='Povolené hodnoty'!$E$36)),COUNT(I603:J603,L603:M603,O603:P603,R603:S603)&lt;&gt;COUNT(AL603:BM603))</f>
        <v>0</v>
      </c>
      <c r="BT603" s="18" t="b">
        <f t="shared" si="323"/>
        <v>0</v>
      </c>
      <c r="BV603" s="39" t="str">
        <f t="shared" si="324"/>
        <v/>
      </c>
      <c r="BW603" s="458" t="str">
        <f t="shared" si="325"/>
        <v/>
      </c>
      <c r="BX603" s="458" t="str">
        <f t="shared" si="326"/>
        <v/>
      </c>
      <c r="BY603" s="458" t="str">
        <f t="shared" si="327"/>
        <v/>
      </c>
      <c r="BZ603" s="458" t="str">
        <f t="shared" si="328"/>
        <v/>
      </c>
      <c r="CA603" s="40" t="str">
        <f t="shared" si="329"/>
        <v/>
      </c>
      <c r="CB603" s="40" t="str">
        <f t="shared" si="330"/>
        <v/>
      </c>
      <c r="CC603" s="39" t="str">
        <f t="shared" si="331"/>
        <v/>
      </c>
      <c r="CD603" s="458" t="str">
        <f t="shared" si="332"/>
        <v/>
      </c>
      <c r="CE603" s="41" t="str">
        <f t="shared" si="333"/>
        <v/>
      </c>
      <c r="CF603" s="39" t="str">
        <f t="shared" si="334"/>
        <v/>
      </c>
      <c r="CG603" s="458" t="str">
        <f t="shared" si="335"/>
        <v/>
      </c>
      <c r="CH603" s="458" t="str">
        <f t="shared" si="336"/>
        <v/>
      </c>
      <c r="CI603" s="458" t="str">
        <f t="shared" si="337"/>
        <v/>
      </c>
      <c r="CJ603" s="458" t="str">
        <f t="shared" si="338"/>
        <v/>
      </c>
      <c r="CK603" s="40" t="str">
        <f t="shared" si="339"/>
        <v/>
      </c>
      <c r="CL603" s="40" t="str">
        <f t="shared" si="340"/>
        <v/>
      </c>
      <c r="CM603" s="40" t="str">
        <f t="shared" si="341"/>
        <v/>
      </c>
      <c r="CN603" s="39" t="str">
        <f t="shared" si="342"/>
        <v/>
      </c>
      <c r="CO603" s="458" t="str">
        <f t="shared" si="343"/>
        <v/>
      </c>
      <c r="CP603" s="458" t="str">
        <f t="shared" si="344"/>
        <v/>
      </c>
      <c r="CQ603" s="458" t="str">
        <f t="shared" si="345"/>
        <v/>
      </c>
      <c r="CR603" s="458" t="str">
        <f t="shared" si="346"/>
        <v/>
      </c>
      <c r="CS603" s="40" t="str">
        <f t="shared" si="347"/>
        <v/>
      </c>
      <c r="CT603" s="40" t="str">
        <f t="shared" si="348"/>
        <v/>
      </c>
      <c r="CU603" s="41" t="str">
        <f t="shared" si="349"/>
        <v/>
      </c>
    </row>
    <row r="604" spans="1:99" x14ac:dyDescent="0.2">
      <c r="A604" s="77">
        <f t="shared" si="350"/>
        <v>599</v>
      </c>
      <c r="B604" s="81"/>
      <c r="C604" s="82"/>
      <c r="D604" s="71"/>
      <c r="E604" s="72"/>
      <c r="F604" s="73"/>
      <c r="G604" s="443"/>
      <c r="H604" s="443"/>
      <c r="I604" s="74"/>
      <c r="J604" s="75"/>
      <c r="K604" s="41">
        <f t="shared" si="319"/>
        <v>3625</v>
      </c>
      <c r="L604" s="104"/>
      <c r="M604" s="105"/>
      <c r="N604" s="106">
        <f t="shared" si="320"/>
        <v>537.05999999999995</v>
      </c>
      <c r="O604" s="104"/>
      <c r="P604" s="105"/>
      <c r="Q604" s="106">
        <f t="shared" si="352"/>
        <v>10045.83</v>
      </c>
      <c r="R604" s="104"/>
      <c r="S604" s="105"/>
      <c r="T604" s="106">
        <f t="shared" si="353"/>
        <v>0</v>
      </c>
      <c r="U604" s="439"/>
      <c r="V604" s="42">
        <f t="shared" si="321"/>
        <v>599</v>
      </c>
      <c r="W604" s="39" t="str">
        <f>IF(AND(E604='Povolené hodnoty'!$B$4,F604=2),I604+L604+O604+R604,"")</f>
        <v/>
      </c>
      <c r="X604" s="41" t="str">
        <f>IF(AND(E604='Povolené hodnoty'!$B$4,F604=1),I604+L604+O604+R604,"")</f>
        <v/>
      </c>
      <c r="Y604" s="39" t="str">
        <f>IF(AND(E604='Povolené hodnoty'!$B$4,F604=10),J604+M604+P604+S604,"")</f>
        <v/>
      </c>
      <c r="Z604" s="41" t="str">
        <f>IF(AND(E604='Povolené hodnoty'!$B$4,F604=9),J604+M604+P604+S604,"")</f>
        <v/>
      </c>
      <c r="AA604" s="39" t="str">
        <f>IF(AND(E604&lt;&gt;'Povolené hodnoty'!$B$4,F604=2),I604+L604+O604+R604,"")</f>
        <v/>
      </c>
      <c r="AB604" s="40" t="str">
        <f>IF(AND(E604&lt;&gt;'Povolené hodnoty'!$B$4,F604=3),I604+L604+O604+R604,"")</f>
        <v/>
      </c>
      <c r="AC604" s="40" t="str">
        <f>IF(AND(E604&lt;&gt;'Povolené hodnoty'!$B$4,F604=4),I604+L604+O604+R604,"")</f>
        <v/>
      </c>
      <c r="AD604" s="40" t="str">
        <f>IF(AND(E604&lt;&gt;'Povolené hodnoty'!$B$4,F604="5a"),I604-J604+L604-M604+O604-P604+R604-S604,"")</f>
        <v/>
      </c>
      <c r="AE604" s="40" t="str">
        <f>IF(AND(E604&lt;&gt;'Povolené hodnoty'!$B$4,F604="5b"),I604-J604+L604-M604+O604-P604+R604-S604,"")</f>
        <v/>
      </c>
      <c r="AF604" s="40" t="str">
        <f>IF(AND(E604&lt;&gt;'Povolené hodnoty'!$B$4,F604=6),I604+L604+O604+R604,"")</f>
        <v/>
      </c>
      <c r="AG604" s="41" t="str">
        <f>IF(AND(E604&lt;&gt;'Povolené hodnoty'!$B$4,F604=7),I604+L604+O604+R604,"")</f>
        <v/>
      </c>
      <c r="AH604" s="39" t="str">
        <f>IF(AND(E604&lt;&gt;'Povolené hodnoty'!$B$4,F604=10),J604+M604+P604+S604,"")</f>
        <v/>
      </c>
      <c r="AI604" s="40" t="str">
        <f>IF(AND(E604&lt;&gt;'Povolené hodnoty'!$B$4,F604=11),J604+M604+P604+S604,"")</f>
        <v/>
      </c>
      <c r="AJ604" s="40" t="str">
        <f>IF(AND(E604&lt;&gt;'Povolené hodnoty'!$B$4,F604=12),J604+M604+P604+S604,"")</f>
        <v/>
      </c>
      <c r="AK604" s="41" t="str">
        <f>IF(AND(E604&lt;&gt;'Povolené hodnoty'!$B$4,F604=13),J604+M604+P604+S604,"")</f>
        <v/>
      </c>
      <c r="AL604" s="39" t="str">
        <f>IF(AND($G604='Povolené hodnoty'!$B$13,$H604=AL$4),SUM($I604,$L604,$O604,$R604),"")</f>
        <v/>
      </c>
      <c r="AM604" s="458" t="str">
        <f>IF(AND($G604='Povolené hodnoty'!$B$13,$H604=AM$4),SUM($I604,$L604,$O604,$R604),"")</f>
        <v/>
      </c>
      <c r="AN604" s="458" t="str">
        <f>IF(AND($G604='Povolené hodnoty'!$B$13,$H604=AN$4),SUM($I604,$L604,$O604,$R604),"")</f>
        <v/>
      </c>
      <c r="AO604" s="458" t="str">
        <f>IF(AND($G604='Povolené hodnoty'!$B$13,$H604=AO$4),SUM($I604,$L604,$O604,$R604),"")</f>
        <v/>
      </c>
      <c r="AP604" s="458" t="str">
        <f>IF(AND($G604='Povolené hodnoty'!$B$13,$H604=AP$4),SUM($I604,$L604,$O604,$R604),"")</f>
        <v/>
      </c>
      <c r="AQ604" s="40" t="str">
        <f>IF(AND($G604='Povolené hodnoty'!$B$13,OR($H604=AQ$4,$H604='Povolené hodnoty'!$E$36)),SUM($I604,-$J604,$L604,-$M604,$O604,-$P604,$R604,-$S604),"")</f>
        <v/>
      </c>
      <c r="AR604" s="40" t="str">
        <f>IF(AND($G604='Povolené hodnoty'!$B$13,$H604=AR$4),SUM($I604,$L604,$O604,$R604),"")</f>
        <v/>
      </c>
      <c r="AS604" s="41" t="str">
        <f>IF(AND($G604='Povolené hodnoty'!$B$13,$H604=AS$4),SUM($I604,$L604,$O604,$R604),"")</f>
        <v/>
      </c>
      <c r="AT604" s="39" t="str">
        <f>IF(AND($G604='Povolené hodnoty'!$B$14,$H604=AT$4),SUM($I604,$L604,$O604,$R604),"")</f>
        <v/>
      </c>
      <c r="AU604" s="458" t="str">
        <f>IF(AND($G604='Povolené hodnoty'!$B$14,$H604=AU$4),SUM($I604,$L604,$O604,$R604),"")</f>
        <v/>
      </c>
      <c r="AV604" s="41" t="str">
        <f>IF(AND($G604='Povolené hodnoty'!$B$14,$H604=AV$4),SUM($I604,$L604,$O604,$R604),"")</f>
        <v/>
      </c>
      <c r="AW604" s="39" t="str">
        <f>IF(AND($G604='Povolené hodnoty'!$B$13,$H604=AW$4),SUM($J604,$M604,$P604,$S604),"")</f>
        <v/>
      </c>
      <c r="AX604" s="458" t="str">
        <f>IF(AND($G604='Povolené hodnoty'!$B$13,$H604=AX$4),SUM($J604,$M604,$P604,$S604),"")</f>
        <v/>
      </c>
      <c r="AY604" s="458" t="str">
        <f>IF(AND($G604='Povolené hodnoty'!$B$13,$H604=AY$4),SUM($J604,$M604,$P604,$S604),"")</f>
        <v/>
      </c>
      <c r="AZ604" s="458" t="str">
        <f>IF(AND($G604='Povolené hodnoty'!$B$13,$H604=AZ$4),SUM($J604,$M604,$P604,$S604),"")</f>
        <v/>
      </c>
      <c r="BA604" s="458" t="str">
        <f>IF(AND($G604='Povolené hodnoty'!$B$13,$H604=BA$4),SUM($J604,$M604,$P604,$S604),"")</f>
        <v/>
      </c>
      <c r="BB604" s="40" t="str">
        <f>IF(AND($G604='Povolené hodnoty'!$B$13,$H604=BB$4),SUM($J604,$M604,$P604,$S604),"")</f>
        <v/>
      </c>
      <c r="BC604" s="40" t="str">
        <f>IF(AND($G604='Povolené hodnoty'!$B$13,$H604=BC$4),SUM($J604,$M604,$P604,$S604),"")</f>
        <v/>
      </c>
      <c r="BD604" s="40" t="str">
        <f>IF(AND($G604='Povolené hodnoty'!$B$13,$H604=BD$4),SUM($J604,$M604,$P604,$S604),"")</f>
        <v/>
      </c>
      <c r="BE604" s="41" t="str">
        <f>IF(AND($G604='Povolené hodnoty'!$B$13,$H604=BE$4),SUM($J604,$M604,$P604,$S604),"")</f>
        <v/>
      </c>
      <c r="BF604" s="39" t="str">
        <f>IF(AND($G604='Povolené hodnoty'!$B$14,$H604=BF$4),SUM($J604,$M604,$P604,$S604),"")</f>
        <v/>
      </c>
      <c r="BG604" s="458" t="str">
        <f>IF(AND($G604='Povolené hodnoty'!$B$14,$H604=BG$4),SUM($J604,$M604,$P604,$S604),"")</f>
        <v/>
      </c>
      <c r="BH604" s="458" t="str">
        <f>IF(AND($G604='Povolené hodnoty'!$B$14,$H604=BH$4),SUM($J604,$M604,$P604,$S604),"")</f>
        <v/>
      </c>
      <c r="BI604" s="458" t="str">
        <f>IF(AND($G604='Povolené hodnoty'!$B$14,$H604=BI$4),SUM($J604,$M604,$P604,$S604),"")</f>
        <v/>
      </c>
      <c r="BJ604" s="458" t="str">
        <f>IF(AND($G604='Povolené hodnoty'!$B$14,$H604=BJ$4),SUM($J604,$M604,$P604,$S604),"")</f>
        <v/>
      </c>
      <c r="BK604" s="40" t="str">
        <f>IF(AND($G604='Povolené hodnoty'!$B$14,$H604=BK$4),SUM($J604,$M604,$P604,$S604),"")</f>
        <v/>
      </c>
      <c r="BL604" s="40" t="str">
        <f>IF(AND($G604='Povolené hodnoty'!$B$14,$H604=BL$4),SUM($J604,$M604,$P604,$S604),"")</f>
        <v/>
      </c>
      <c r="BM604" s="41" t="str">
        <f>IF(AND($G604='Povolené hodnoty'!$B$14,$H604=BM$4),SUM($J604,$M604,$P604,$S604),"")</f>
        <v/>
      </c>
      <c r="BO604" s="18" t="b">
        <f t="shared" si="351"/>
        <v>0</v>
      </c>
      <c r="BP604" s="18" t="b">
        <f t="shared" si="322"/>
        <v>0</v>
      </c>
      <c r="BQ604" s="18" t="b">
        <f>AND(E604&lt;&gt;'Povolené hodnoty'!$B$6,F604&lt;&gt;'Povolené hodnoty'!$D$7,F604&lt;&gt;'Povolené hodnoty'!$D$8,OR(SUM(I604,L604,O604,R604)&lt;&gt;SUM(W604:X604,AA604:AG604),SUM(J604,M604,P604,S604)&lt;&gt;SUM(Y604:Z604,AH604:AK604),COUNT(I604:J604,L604:M604,O604:P604,R604:S604)&lt;&gt;COUNT(W604:AK604)))</f>
        <v>0</v>
      </c>
      <c r="BR604" s="18" t="b">
        <f>OR(AND(E604='Povolené hodnoty'!$B$6,$BR$5),AND(E604='Povolené hodnoty'!$B$6,H604&lt;&gt;'Povolené hodnoty'!$E$26,H604&lt;&gt;'Povolené hodnoty'!$E$35),AND(E604&lt;&gt;'Povolené hodnoty'!$B$6,OR(H604='Povolené hodnoty'!$E$26,H604='Povolené hodnoty'!$E$35)))</f>
        <v>0</v>
      </c>
      <c r="BS604" s="18" t="b">
        <f>OR(AND(G604&lt;&gt;'Povolené hodnoty'!$B$13,OR(H604='Povolené hodnoty'!$E$21,H604='Povolené hodnoty'!$E$22,H604='Povolené hodnoty'!$E$23,H604='Povolené hodnoty'!$E$24,H604='Povolené hodnoty'!$E$26,H604='Povolené hodnoty'!$E$36)),COUNT(I604:J604,L604:M604,O604:P604,R604:S604)&lt;&gt;COUNT(AL604:BM604))</f>
        <v>0</v>
      </c>
      <c r="BT604" s="18" t="b">
        <f t="shared" si="323"/>
        <v>0</v>
      </c>
      <c r="BV604" s="39" t="str">
        <f t="shared" si="324"/>
        <v/>
      </c>
      <c r="BW604" s="458" t="str">
        <f t="shared" si="325"/>
        <v/>
      </c>
      <c r="BX604" s="458" t="str">
        <f t="shared" si="326"/>
        <v/>
      </c>
      <c r="BY604" s="458" t="str">
        <f t="shared" si="327"/>
        <v/>
      </c>
      <c r="BZ604" s="458" t="str">
        <f t="shared" si="328"/>
        <v/>
      </c>
      <c r="CA604" s="40" t="str">
        <f t="shared" si="329"/>
        <v/>
      </c>
      <c r="CB604" s="40" t="str">
        <f t="shared" si="330"/>
        <v/>
      </c>
      <c r="CC604" s="39" t="str">
        <f t="shared" si="331"/>
        <v/>
      </c>
      <c r="CD604" s="458" t="str">
        <f t="shared" si="332"/>
        <v/>
      </c>
      <c r="CE604" s="41" t="str">
        <f t="shared" si="333"/>
        <v/>
      </c>
      <c r="CF604" s="39" t="str">
        <f t="shared" si="334"/>
        <v/>
      </c>
      <c r="CG604" s="458" t="str">
        <f t="shared" si="335"/>
        <v/>
      </c>
      <c r="CH604" s="458" t="str">
        <f t="shared" si="336"/>
        <v/>
      </c>
      <c r="CI604" s="458" t="str">
        <f t="shared" si="337"/>
        <v/>
      </c>
      <c r="CJ604" s="458" t="str">
        <f t="shared" si="338"/>
        <v/>
      </c>
      <c r="CK604" s="40" t="str">
        <f t="shared" si="339"/>
        <v/>
      </c>
      <c r="CL604" s="40" t="str">
        <f t="shared" si="340"/>
        <v/>
      </c>
      <c r="CM604" s="40" t="str">
        <f t="shared" si="341"/>
        <v/>
      </c>
      <c r="CN604" s="39" t="str">
        <f t="shared" si="342"/>
        <v/>
      </c>
      <c r="CO604" s="458" t="str">
        <f t="shared" si="343"/>
        <v/>
      </c>
      <c r="CP604" s="458" t="str">
        <f t="shared" si="344"/>
        <v/>
      </c>
      <c r="CQ604" s="458" t="str">
        <f t="shared" si="345"/>
        <v/>
      </c>
      <c r="CR604" s="458" t="str">
        <f t="shared" si="346"/>
        <v/>
      </c>
      <c r="CS604" s="40" t="str">
        <f t="shared" si="347"/>
        <v/>
      </c>
      <c r="CT604" s="40" t="str">
        <f t="shared" si="348"/>
        <v/>
      </c>
      <c r="CU604" s="41" t="str">
        <f t="shared" si="349"/>
        <v/>
      </c>
    </row>
    <row r="605" spans="1:99" ht="13.5" customHeight="1" thickBot="1" x14ac:dyDescent="0.25">
      <c r="A605" s="77">
        <f t="shared" si="350"/>
        <v>600</v>
      </c>
      <c r="B605" s="83"/>
      <c r="C605" s="82"/>
      <c r="D605" s="71"/>
      <c r="E605" s="72"/>
      <c r="F605" s="73"/>
      <c r="G605" s="443"/>
      <c r="H605" s="443"/>
      <c r="I605" s="74"/>
      <c r="J605" s="75"/>
      <c r="K605" s="41">
        <f t="shared" ref="K605" si="354">K604+I605-J605</f>
        <v>3625</v>
      </c>
      <c r="L605" s="104"/>
      <c r="M605" s="105"/>
      <c r="N605" s="106">
        <f t="shared" ref="N605" si="355">N604+L605-M605</f>
        <v>537.05999999999995</v>
      </c>
      <c r="O605" s="104"/>
      <c r="P605" s="105"/>
      <c r="Q605" s="106">
        <f t="shared" si="352"/>
        <v>10045.83</v>
      </c>
      <c r="R605" s="104"/>
      <c r="S605" s="105"/>
      <c r="T605" s="106">
        <f t="shared" si="353"/>
        <v>0</v>
      </c>
      <c r="U605" s="439"/>
      <c r="V605" s="42">
        <f t="shared" si="321"/>
        <v>600</v>
      </c>
      <c r="W605" s="39" t="str">
        <f>IF(AND(E605='Povolené hodnoty'!$B$4,F605=2),I605+L605+O605+R605,"")</f>
        <v/>
      </c>
      <c r="X605" s="41" t="str">
        <f>IF(AND(E605='Povolené hodnoty'!$B$4,F605=1),I605+L605+O605+R605,"")</f>
        <v/>
      </c>
      <c r="Y605" s="39" t="str">
        <f>IF(AND(E605='Povolené hodnoty'!$B$4,F605=10),J605+M605+P605+S605,"")</f>
        <v/>
      </c>
      <c r="Z605" s="41" t="str">
        <f>IF(AND(E605='Povolené hodnoty'!$B$4,F605=9),J605+M605+P605+S605,"")</f>
        <v/>
      </c>
      <c r="AA605" s="39" t="str">
        <f>IF(AND(E605&lt;&gt;'Povolené hodnoty'!$B$4,F605=2),I605+L605+O605+R605,"")</f>
        <v/>
      </c>
      <c r="AB605" s="40" t="str">
        <f>IF(AND(E605&lt;&gt;'Povolené hodnoty'!$B$4,F605=3),I605+L605+O605+R605,"")</f>
        <v/>
      </c>
      <c r="AC605" s="40" t="str">
        <f>IF(AND(E605&lt;&gt;'Povolené hodnoty'!$B$4,F605=4),I605+L605+O605+R605,"")</f>
        <v/>
      </c>
      <c r="AD605" s="40" t="str">
        <f>IF(AND(E605&lt;&gt;'Povolené hodnoty'!$B$4,F605="5a"),I605-J605+L605-M605+O605-P605+R605-S605,"")</f>
        <v/>
      </c>
      <c r="AE605" s="40" t="str">
        <f>IF(AND(E605&lt;&gt;'Povolené hodnoty'!$B$4,F605="5b"),I605-J605+L605-M605+O605-P605+R605-S605,"")</f>
        <v/>
      </c>
      <c r="AF605" s="40" t="str">
        <f>IF(AND(E605&lt;&gt;'Povolené hodnoty'!$B$4,F605=6),I605+L605+O605+R605,"")</f>
        <v/>
      </c>
      <c r="AG605" s="41" t="str">
        <f>IF(AND(E605&lt;&gt;'Povolené hodnoty'!$B$4,F605=7),I605+L605+O605+R605,"")</f>
        <v/>
      </c>
      <c r="AH605" s="39" t="str">
        <f>IF(AND(E605&lt;&gt;'Povolené hodnoty'!$B$4,F605=10),J605+M605+P605+S605,"")</f>
        <v/>
      </c>
      <c r="AI605" s="40" t="str">
        <f>IF(AND(E605&lt;&gt;'Povolené hodnoty'!$B$4,F605=11),J605+M605+P605+S605,"")</f>
        <v/>
      </c>
      <c r="AJ605" s="40" t="str">
        <f>IF(AND(E605&lt;&gt;'Povolené hodnoty'!$B$4,F605=12),J605+M605+P605+S605,"")</f>
        <v/>
      </c>
      <c r="AK605" s="41" t="str">
        <f>IF(AND(E605&lt;&gt;'Povolené hodnoty'!$B$4,F605=13),J605+M605+P605+S605,"")</f>
        <v/>
      </c>
      <c r="AL605" s="39" t="str">
        <f>IF(AND($G605='Povolené hodnoty'!$B$13,$H605=AL$4),SUM($I605,$L605,$O605,$R605),"")</f>
        <v/>
      </c>
      <c r="AM605" s="458" t="str">
        <f>IF(AND($G605='Povolené hodnoty'!$B$13,$H605=AM$4),SUM($I605,$L605,$O605,$R605),"")</f>
        <v/>
      </c>
      <c r="AN605" s="458" t="str">
        <f>IF(AND($G605='Povolené hodnoty'!$B$13,$H605=AN$4),SUM($I605,$L605,$O605,$R605),"")</f>
        <v/>
      </c>
      <c r="AO605" s="458" t="str">
        <f>IF(AND($G605='Povolené hodnoty'!$B$13,$H605=AO$4),SUM($I605,$L605,$O605,$R605),"")</f>
        <v/>
      </c>
      <c r="AP605" s="458" t="str">
        <f>IF(AND($G605='Povolené hodnoty'!$B$13,$H605=AP$4),SUM($I605,$L605,$O605,$R605),"")</f>
        <v/>
      </c>
      <c r="AQ605" s="40" t="str">
        <f>IF(AND($G605='Povolené hodnoty'!$B$13,OR($H605=AQ$4,$H605='Povolené hodnoty'!$E$36)),SUM($I605,-$J605,$L605,-$M605,$O605,-$P605,$R605,-$S605),"")</f>
        <v/>
      </c>
      <c r="AR605" s="40" t="str">
        <f>IF(AND($G605='Povolené hodnoty'!$B$13,$H605=AR$4),SUM($I605,$L605,$O605,$R605),"")</f>
        <v/>
      </c>
      <c r="AS605" s="41" t="str">
        <f>IF(AND($G605='Povolené hodnoty'!$B$13,$H605=AS$4),SUM($I605,$L605,$O605,$R605),"")</f>
        <v/>
      </c>
      <c r="AT605" s="39" t="str">
        <f>IF(AND($G605='Povolené hodnoty'!$B$14,$H605=AT$4),SUM($I605,$L605,$O605,$R605),"")</f>
        <v/>
      </c>
      <c r="AU605" s="458" t="str">
        <f>IF(AND($G605='Povolené hodnoty'!$B$14,$H605=AU$4),SUM($I605,$L605,$O605,$R605),"")</f>
        <v/>
      </c>
      <c r="AV605" s="41" t="str">
        <f>IF(AND($G605='Povolené hodnoty'!$B$14,$H605=AV$4),SUM($I605,$L605,$O605,$R605),"")</f>
        <v/>
      </c>
      <c r="AW605" s="39" t="str">
        <f>IF(AND($G605='Povolené hodnoty'!$B$13,$H605=AW$4),SUM($J605,$M605,$P605,$S605),"")</f>
        <v/>
      </c>
      <c r="AX605" s="458" t="str">
        <f>IF(AND($G605='Povolené hodnoty'!$B$13,$H605=AX$4),SUM($J605,$M605,$P605,$S605),"")</f>
        <v/>
      </c>
      <c r="AY605" s="458" t="str">
        <f>IF(AND($G605='Povolené hodnoty'!$B$13,$H605=AY$4),SUM($J605,$M605,$P605,$S605),"")</f>
        <v/>
      </c>
      <c r="AZ605" s="458" t="str">
        <f>IF(AND($G605='Povolené hodnoty'!$B$13,$H605=AZ$4),SUM($J605,$M605,$P605,$S605),"")</f>
        <v/>
      </c>
      <c r="BA605" s="458" t="str">
        <f>IF(AND($G605='Povolené hodnoty'!$B$13,$H605=BA$4),SUM($J605,$M605,$P605,$S605),"")</f>
        <v/>
      </c>
      <c r="BB605" s="40" t="str">
        <f>IF(AND($G605='Povolené hodnoty'!$B$13,$H605=BB$4),SUM($J605,$M605,$P605,$S605),"")</f>
        <v/>
      </c>
      <c r="BC605" s="40" t="str">
        <f>IF(AND($G605='Povolené hodnoty'!$B$13,$H605=BC$4),SUM($J605,$M605,$P605,$S605),"")</f>
        <v/>
      </c>
      <c r="BD605" s="40" t="str">
        <f>IF(AND($G605='Povolené hodnoty'!$B$13,$H605=BD$4),SUM($J605,$M605,$P605,$S605),"")</f>
        <v/>
      </c>
      <c r="BE605" s="41" t="str">
        <f>IF(AND($G605='Povolené hodnoty'!$B$13,$H605=BE$4),SUM($J605,$M605,$P605,$S605),"")</f>
        <v/>
      </c>
      <c r="BF605" s="39" t="str">
        <f>IF(AND($G605='Povolené hodnoty'!$B$14,$H605=BF$4),SUM($J605,$M605,$P605,$S605),"")</f>
        <v/>
      </c>
      <c r="BG605" s="458" t="str">
        <f>IF(AND($G605='Povolené hodnoty'!$B$14,$H605=BG$4),SUM($J605,$M605,$P605,$S605),"")</f>
        <v/>
      </c>
      <c r="BH605" s="458" t="str">
        <f>IF(AND($G605='Povolené hodnoty'!$B$14,$H605=BH$4),SUM($J605,$M605,$P605,$S605),"")</f>
        <v/>
      </c>
      <c r="BI605" s="458" t="str">
        <f>IF(AND($G605='Povolené hodnoty'!$B$14,$H605=BI$4),SUM($J605,$M605,$P605,$S605),"")</f>
        <v/>
      </c>
      <c r="BJ605" s="458" t="str">
        <f>IF(AND($G605='Povolené hodnoty'!$B$14,$H605=BJ$4),SUM($J605,$M605,$P605,$S605),"")</f>
        <v/>
      </c>
      <c r="BK605" s="40" t="str">
        <f>IF(AND($G605='Povolené hodnoty'!$B$14,$H605=BK$4),SUM($J605,$M605,$P605,$S605),"")</f>
        <v/>
      </c>
      <c r="BL605" s="40" t="str">
        <f>IF(AND($G605='Povolené hodnoty'!$B$14,$H605=BL$4),SUM($J605,$M605,$P605,$S605),"")</f>
        <v/>
      </c>
      <c r="BM605" s="41" t="str">
        <f>IF(AND($G605='Povolené hodnoty'!$B$14,$H605=BM$4),SUM($J605,$M605,$P605,$S605),"")</f>
        <v/>
      </c>
      <c r="BO605" s="18" t="b">
        <f t="shared" si="351"/>
        <v>0</v>
      </c>
      <c r="BP605" s="18" t="b">
        <f t="shared" si="322"/>
        <v>0</v>
      </c>
      <c r="BQ605" s="18" t="b">
        <f>AND(E605&lt;&gt;'Povolené hodnoty'!$B$6,F605&lt;&gt;'Povolené hodnoty'!$D$7,F605&lt;&gt;'Povolené hodnoty'!$D$8,OR(SUM(I605,L605,O605,R605)&lt;&gt;SUM(W605:X605,AA605:AG605),SUM(J605,M605,P605,S605)&lt;&gt;SUM(Y605:Z605,AH605:AK605),COUNT(I605:J605,L605:M605,O605:P605,R605:S605)&lt;&gt;COUNT(W605:AK605)))</f>
        <v>0</v>
      </c>
      <c r="BR605" s="18" t="b">
        <f>OR(AND(E605='Povolené hodnoty'!$B$6,$BR$5),AND(E605='Povolené hodnoty'!$B$6,H605&lt;&gt;'Povolené hodnoty'!$E$26,H605&lt;&gt;'Povolené hodnoty'!$E$35),AND(E605&lt;&gt;'Povolené hodnoty'!$B$6,OR(H605='Povolené hodnoty'!$E$26,H605='Povolené hodnoty'!$E$35)))</f>
        <v>0</v>
      </c>
      <c r="BS605" s="18" t="b">
        <f>OR(AND(G605&lt;&gt;'Povolené hodnoty'!$B$13,OR(H605='Povolené hodnoty'!$E$21,H605='Povolené hodnoty'!$E$22,H605='Povolené hodnoty'!$E$23,H605='Povolené hodnoty'!$E$24,H605='Povolené hodnoty'!$E$26,H605='Povolené hodnoty'!$E$36)),COUNT(I605:J605,L605:M605,O605:P605,R605:S605)&lt;&gt;COUNT(AL605:BM605))</f>
        <v>0</v>
      </c>
      <c r="BT605" s="18" t="b">
        <f t="shared" si="323"/>
        <v>0</v>
      </c>
      <c r="BV605" s="39" t="str">
        <f t="shared" si="324"/>
        <v/>
      </c>
      <c r="BW605" s="458" t="str">
        <f t="shared" si="325"/>
        <v/>
      </c>
      <c r="BX605" s="458" t="str">
        <f t="shared" si="326"/>
        <v/>
      </c>
      <c r="BY605" s="458" t="str">
        <f t="shared" si="327"/>
        <v/>
      </c>
      <c r="BZ605" s="458" t="str">
        <f t="shared" si="328"/>
        <v/>
      </c>
      <c r="CA605" s="40" t="str">
        <f t="shared" si="329"/>
        <v/>
      </c>
      <c r="CB605" s="40" t="str">
        <f t="shared" si="330"/>
        <v/>
      </c>
      <c r="CC605" s="39" t="str">
        <f t="shared" si="331"/>
        <v/>
      </c>
      <c r="CD605" s="458" t="str">
        <f t="shared" si="332"/>
        <v/>
      </c>
      <c r="CE605" s="41" t="str">
        <f t="shared" si="333"/>
        <v/>
      </c>
      <c r="CF605" s="39" t="str">
        <f t="shared" si="334"/>
        <v/>
      </c>
      <c r="CG605" s="458" t="str">
        <f t="shared" si="335"/>
        <v/>
      </c>
      <c r="CH605" s="458" t="str">
        <f t="shared" si="336"/>
        <v/>
      </c>
      <c r="CI605" s="458" t="str">
        <f t="shared" si="337"/>
        <v/>
      </c>
      <c r="CJ605" s="458" t="str">
        <f t="shared" si="338"/>
        <v/>
      </c>
      <c r="CK605" s="40" t="str">
        <f t="shared" si="339"/>
        <v/>
      </c>
      <c r="CL605" s="40" t="str">
        <f t="shared" si="340"/>
        <v/>
      </c>
      <c r="CM605" s="40" t="str">
        <f t="shared" si="341"/>
        <v/>
      </c>
      <c r="CN605" s="39" t="str">
        <f t="shared" si="342"/>
        <v/>
      </c>
      <c r="CO605" s="458" t="str">
        <f t="shared" si="343"/>
        <v/>
      </c>
      <c r="CP605" s="458" t="str">
        <f t="shared" si="344"/>
        <v/>
      </c>
      <c r="CQ605" s="458" t="str">
        <f t="shared" si="345"/>
        <v/>
      </c>
      <c r="CR605" s="458" t="str">
        <f t="shared" si="346"/>
        <v/>
      </c>
      <c r="CS605" s="40" t="str">
        <f t="shared" si="347"/>
        <v/>
      </c>
      <c r="CT605" s="40" t="str">
        <f t="shared" si="348"/>
        <v/>
      </c>
      <c r="CU605" s="41" t="str">
        <f t="shared" si="349"/>
        <v/>
      </c>
    </row>
    <row r="606" spans="1:99" ht="13.5" customHeight="1" thickBot="1" x14ac:dyDescent="0.25">
      <c r="A606" s="31" t="s">
        <v>1</v>
      </c>
      <c r="B606" s="16" t="s">
        <v>1</v>
      </c>
      <c r="C606" s="16" t="s">
        <v>1</v>
      </c>
      <c r="D606" s="15" t="s">
        <v>39</v>
      </c>
      <c r="E606" s="16" t="s">
        <v>1</v>
      </c>
      <c r="F606" s="16" t="s">
        <v>1</v>
      </c>
      <c r="G606" s="16" t="s">
        <v>1</v>
      </c>
      <c r="H606" s="16" t="s">
        <v>1</v>
      </c>
      <c r="I606" s="28">
        <f>SUM(I6:I605)</f>
        <v>39525</v>
      </c>
      <c r="J606" s="29">
        <f>SUM(J6:J605)</f>
        <v>37900</v>
      </c>
      <c r="K606" s="30">
        <f>K5+I606-J606</f>
        <v>3625</v>
      </c>
      <c r="L606" s="107">
        <f>SUM(L6:L605)</f>
        <v>11789.06</v>
      </c>
      <c r="M606" s="108">
        <f>SUM(M6:M605)</f>
        <v>17252</v>
      </c>
      <c r="N606" s="109">
        <f>N5+L606-M606</f>
        <v>537.05999999999767</v>
      </c>
      <c r="O606" s="107">
        <f>SUM(O6:O605)</f>
        <v>10045.83</v>
      </c>
      <c r="P606" s="108">
        <f>SUM(P6:P605)</f>
        <v>0</v>
      </c>
      <c r="Q606" s="109">
        <f>Q5+O606-P606</f>
        <v>10045.83</v>
      </c>
      <c r="R606" s="107">
        <f>SUM(R6:R605)</f>
        <v>0</v>
      </c>
      <c r="S606" s="108">
        <f>SUM(S6:S605)</f>
        <v>0</v>
      </c>
      <c r="T606" s="109">
        <f>T5+R606-S606</f>
        <v>0</v>
      </c>
      <c r="U606" s="110"/>
      <c r="V606" s="11" t="s">
        <v>1</v>
      </c>
      <c r="W606" s="28">
        <f>W631</f>
        <v>23525</v>
      </c>
      <c r="X606" s="30">
        <f t="shared" ref="X606:AK606" si="356">X631</f>
        <v>5735</v>
      </c>
      <c r="Y606" s="28">
        <f t="shared" si="356"/>
        <v>6301</v>
      </c>
      <c r="Z606" s="30">
        <f t="shared" si="356"/>
        <v>100</v>
      </c>
      <c r="AA606" s="28">
        <f t="shared" si="356"/>
        <v>500</v>
      </c>
      <c r="AB606" s="29">
        <f t="shared" si="356"/>
        <v>2000</v>
      </c>
      <c r="AC606" s="29">
        <f t="shared" si="356"/>
        <v>99</v>
      </c>
      <c r="AD606" s="29">
        <f t="shared" si="356"/>
        <v>1501</v>
      </c>
      <c r="AE606" s="29">
        <f t="shared" si="356"/>
        <v>5001</v>
      </c>
      <c r="AF606" s="29">
        <f t="shared" si="356"/>
        <v>3001</v>
      </c>
      <c r="AG606" s="30">
        <f t="shared" si="356"/>
        <v>5000</v>
      </c>
      <c r="AH606" s="28">
        <f t="shared" si="356"/>
        <v>28172</v>
      </c>
      <c r="AI606" s="29">
        <f t="shared" si="356"/>
        <v>457</v>
      </c>
      <c r="AJ606" s="29">
        <f t="shared" si="356"/>
        <v>5000</v>
      </c>
      <c r="AK606" s="30">
        <f t="shared" si="356"/>
        <v>124</v>
      </c>
      <c r="AL606" s="28">
        <f>SUM(AL2:AL605)</f>
        <v>1525</v>
      </c>
      <c r="AM606" s="459">
        <f t="shared" ref="AM606:BM606" si="357">SUM(AM2:AM605)</f>
        <v>22500</v>
      </c>
      <c r="AN606" s="459">
        <f t="shared" si="357"/>
        <v>0</v>
      </c>
      <c r="AO606" s="459">
        <f t="shared" si="357"/>
        <v>3000.5</v>
      </c>
      <c r="AP606" s="459">
        <f t="shared" si="357"/>
        <v>2000</v>
      </c>
      <c r="AQ606" s="29">
        <f t="shared" si="357"/>
        <v>6501</v>
      </c>
      <c r="AR606" s="29">
        <f t="shared" si="357"/>
        <v>5098.83</v>
      </c>
      <c r="AS606" s="30">
        <f t="shared" si="357"/>
        <v>14000</v>
      </c>
      <c r="AT606" s="28">
        <f t="shared" si="357"/>
        <v>0</v>
      </c>
      <c r="AU606" s="459">
        <f t="shared" si="357"/>
        <v>4500</v>
      </c>
      <c r="AV606" s="30">
        <f t="shared" si="357"/>
        <v>1234.56</v>
      </c>
      <c r="AW606" s="28">
        <f t="shared" si="357"/>
        <v>456.5</v>
      </c>
      <c r="AX606" s="459">
        <f t="shared" si="357"/>
        <v>6550</v>
      </c>
      <c r="AY606" s="459">
        <f t="shared" si="357"/>
        <v>1300.5</v>
      </c>
      <c r="AZ606" s="459">
        <f t="shared" si="357"/>
        <v>24600</v>
      </c>
      <c r="BA606" s="459">
        <f t="shared" si="357"/>
        <v>0</v>
      </c>
      <c r="BB606" s="29">
        <f t="shared" si="357"/>
        <v>0</v>
      </c>
      <c r="BC606" s="29">
        <f t="shared" si="357"/>
        <v>1000.5</v>
      </c>
      <c r="BD606" s="29">
        <f t="shared" si="357"/>
        <v>6144.5</v>
      </c>
      <c r="BE606" s="30">
        <f t="shared" si="357"/>
        <v>14000</v>
      </c>
      <c r="BF606" s="28">
        <f t="shared" si="357"/>
        <v>0</v>
      </c>
      <c r="BG606" s="459">
        <f t="shared" si="357"/>
        <v>100</v>
      </c>
      <c r="BH606" s="459">
        <f t="shared" si="357"/>
        <v>0</v>
      </c>
      <c r="BI606" s="459">
        <f t="shared" si="357"/>
        <v>0</v>
      </c>
      <c r="BJ606" s="459">
        <f t="shared" si="357"/>
        <v>0</v>
      </c>
      <c r="BK606" s="29">
        <f t="shared" si="357"/>
        <v>0</v>
      </c>
      <c r="BL606" s="29">
        <f t="shared" si="357"/>
        <v>0</v>
      </c>
      <c r="BM606" s="30">
        <f t="shared" si="357"/>
        <v>0</v>
      </c>
      <c r="BV606" s="28">
        <f t="shared" ref="BV606:CU606" si="358">SUM(BV2:BV601)</f>
        <v>1525</v>
      </c>
      <c r="BW606" s="459">
        <f t="shared" si="358"/>
        <v>22000</v>
      </c>
      <c r="BX606" s="459">
        <f t="shared" si="358"/>
        <v>0</v>
      </c>
      <c r="BY606" s="459">
        <f t="shared" si="358"/>
        <v>0</v>
      </c>
      <c r="BZ606" s="459">
        <f t="shared" si="358"/>
        <v>0</v>
      </c>
      <c r="CA606" s="29">
        <f t="shared" si="358"/>
        <v>0</v>
      </c>
      <c r="CB606" s="29">
        <f t="shared" si="358"/>
        <v>0</v>
      </c>
      <c r="CC606" s="28">
        <f t="shared" si="358"/>
        <v>0</v>
      </c>
      <c r="CD606" s="459">
        <f t="shared" si="358"/>
        <v>4500</v>
      </c>
      <c r="CE606" s="30">
        <f t="shared" si="358"/>
        <v>1234.56</v>
      </c>
      <c r="CF606" s="28">
        <f t="shared" si="358"/>
        <v>0</v>
      </c>
      <c r="CG606" s="459">
        <f t="shared" si="358"/>
        <v>5000</v>
      </c>
      <c r="CH606" s="459">
        <f t="shared" si="358"/>
        <v>1300.5</v>
      </c>
      <c r="CI606" s="459">
        <f t="shared" si="358"/>
        <v>0</v>
      </c>
      <c r="CJ606" s="459">
        <f t="shared" si="358"/>
        <v>0</v>
      </c>
      <c r="CK606" s="29">
        <f t="shared" si="358"/>
        <v>0</v>
      </c>
      <c r="CL606" s="29">
        <f t="shared" si="358"/>
        <v>0</v>
      </c>
      <c r="CM606" s="29">
        <f t="shared" si="358"/>
        <v>0</v>
      </c>
      <c r="CN606" s="28">
        <f t="shared" si="358"/>
        <v>0</v>
      </c>
      <c r="CO606" s="459">
        <f t="shared" si="358"/>
        <v>100</v>
      </c>
      <c r="CP606" s="459">
        <f t="shared" si="358"/>
        <v>0</v>
      </c>
      <c r="CQ606" s="459">
        <f t="shared" si="358"/>
        <v>0</v>
      </c>
      <c r="CR606" s="459">
        <f t="shared" si="358"/>
        <v>0</v>
      </c>
      <c r="CS606" s="29">
        <f t="shared" si="358"/>
        <v>0</v>
      </c>
      <c r="CT606" s="29">
        <f t="shared" si="358"/>
        <v>0</v>
      </c>
      <c r="CU606" s="30">
        <f t="shared" si="358"/>
        <v>0</v>
      </c>
    </row>
    <row r="607" spans="1:99" ht="13.5" customHeight="1" thickBot="1" x14ac:dyDescent="0.25">
      <c r="D607" s="17" t="s">
        <v>38</v>
      </c>
      <c r="E607" s="590" t="str">
        <f>IF(E608=ROUND(E610,6),"","Rozdíl příjmů a výdajů !!!")</f>
        <v/>
      </c>
      <c r="F607" s="592"/>
      <c r="G607" s="592"/>
      <c r="H607" s="592"/>
      <c r="I607" s="591"/>
      <c r="J607" s="19" t="s">
        <v>14</v>
      </c>
      <c r="K607" s="20">
        <f>K606</f>
        <v>3625</v>
      </c>
      <c r="L607" s="599" t="str">
        <f>'Základní údaje'!B26</f>
        <v>Bankovní účet A</v>
      </c>
      <c r="M607" s="600"/>
      <c r="N607" s="110">
        <f>N606</f>
        <v>537.05999999999767</v>
      </c>
      <c r="O607" s="599" t="str">
        <f>'Základní údaje'!B27</f>
        <v>Bankovní účet B</v>
      </c>
      <c r="P607" s="600"/>
      <c r="Q607" s="110">
        <f>Q606</f>
        <v>10045.83</v>
      </c>
      <c r="R607" s="599" t="str">
        <f>'Základní údaje'!B28</f>
        <v>Bankovní účet C</v>
      </c>
      <c r="S607" s="600"/>
      <c r="T607" s="110">
        <f>T606</f>
        <v>0</v>
      </c>
      <c r="U607" s="437"/>
      <c r="W607" s="570">
        <f>SUM(W606:X606)</f>
        <v>29260</v>
      </c>
      <c r="X607" s="572"/>
      <c r="Y607" s="570">
        <f>SUM(Y606:Z606)</f>
        <v>6401</v>
      </c>
      <c r="Z607" s="572"/>
      <c r="AA607" s="570">
        <f>SUM(AA606:AG606)</f>
        <v>17102</v>
      </c>
      <c r="AB607" s="571"/>
      <c r="AC607" s="571"/>
      <c r="AD607" s="571"/>
      <c r="AE607" s="571"/>
      <c r="AF607" s="571"/>
      <c r="AG607" s="572"/>
      <c r="AH607" s="570">
        <f>SUM(AH606:AK606)</f>
        <v>33753</v>
      </c>
      <c r="AI607" s="571"/>
      <c r="AJ607" s="571"/>
      <c r="AK607" s="572"/>
      <c r="AL607" s="570">
        <f>SUM(AL606:AS606)</f>
        <v>54625.33</v>
      </c>
      <c r="AM607" s="571"/>
      <c r="AN607" s="571"/>
      <c r="AO607" s="571"/>
      <c r="AP607" s="571"/>
      <c r="AQ607" s="571"/>
      <c r="AR607" s="571"/>
      <c r="AS607" s="572"/>
      <c r="AT607" s="570">
        <f>SUM(AT606:AV606)</f>
        <v>5734.5599999999995</v>
      </c>
      <c r="AU607" s="571"/>
      <c r="AV607" s="572"/>
      <c r="AW607" s="570">
        <f>SUM(AW606:BE606)</f>
        <v>54052</v>
      </c>
      <c r="AX607" s="571"/>
      <c r="AY607" s="571"/>
      <c r="AZ607" s="571"/>
      <c r="BA607" s="571"/>
      <c r="BB607" s="571"/>
      <c r="BC607" s="571"/>
      <c r="BD607" s="571"/>
      <c r="BE607" s="572"/>
      <c r="BF607" s="570">
        <f>SUM(BF606:BM606)</f>
        <v>100</v>
      </c>
      <c r="BG607" s="571"/>
      <c r="BH607" s="571"/>
      <c r="BI607" s="571"/>
      <c r="BJ607" s="571"/>
      <c r="BK607" s="571"/>
      <c r="BL607" s="571"/>
      <c r="BM607" s="572"/>
      <c r="BN607" s="88"/>
      <c r="BV607" s="570">
        <f>SUM(BV606:CB606)</f>
        <v>23525</v>
      </c>
      <c r="BW607" s="571"/>
      <c r="BX607" s="571"/>
      <c r="BY607" s="571"/>
      <c r="BZ607" s="571"/>
      <c r="CA607" s="571"/>
      <c r="CB607" s="571"/>
      <c r="CC607" s="570">
        <f>SUM(CC606:CE606)</f>
        <v>5734.5599999999995</v>
      </c>
      <c r="CD607" s="571"/>
      <c r="CE607" s="572"/>
      <c r="CF607" s="570">
        <f>SUM(CF606:CM606)</f>
        <v>6300.5</v>
      </c>
      <c r="CG607" s="571"/>
      <c r="CH607" s="571"/>
      <c r="CI607" s="571"/>
      <c r="CJ607" s="571"/>
      <c r="CK607" s="571"/>
      <c r="CL607" s="571"/>
      <c r="CM607" s="571"/>
      <c r="CN607" s="570">
        <f>SUM(CN606:CU606)</f>
        <v>100</v>
      </c>
      <c r="CO607" s="571"/>
      <c r="CP607" s="571"/>
      <c r="CQ607" s="571"/>
      <c r="CR607" s="571"/>
      <c r="CS607" s="571"/>
      <c r="CT607" s="571"/>
      <c r="CU607" s="572"/>
    </row>
    <row r="608" spans="1:99" ht="13.5" customHeight="1" thickBot="1" x14ac:dyDescent="0.25">
      <c r="D608" s="14" t="s">
        <v>20</v>
      </c>
      <c r="E608" s="110">
        <f>ROUND(I606+L606-J606-M606+O606-P606+R606-S606,2)</f>
        <v>6207.89</v>
      </c>
      <c r="V608" s="21"/>
      <c r="W608" s="599" t="s">
        <v>67</v>
      </c>
      <c r="X608" s="600"/>
      <c r="Y608" s="571">
        <f>W607-Y607</f>
        <v>22859</v>
      </c>
      <c r="Z608" s="572"/>
      <c r="AA608" s="599" t="s">
        <v>34</v>
      </c>
      <c r="AB608" s="600"/>
      <c r="AC608" s="600"/>
      <c r="AD608" s="600"/>
      <c r="AE608" s="600"/>
      <c r="AF608" s="600"/>
      <c r="AG608" s="600"/>
      <c r="AH608" s="571">
        <f>AA607-AH607</f>
        <v>-16651</v>
      </c>
      <c r="AI608" s="571"/>
      <c r="AJ608" s="571"/>
      <c r="AK608" s="572"/>
      <c r="AL608" s="571"/>
      <c r="AM608" s="571"/>
      <c r="AN608" s="571"/>
      <c r="AO608" s="571"/>
      <c r="AP608" s="571"/>
      <c r="AQ608" s="571"/>
      <c r="AR608" s="571"/>
      <c r="AS608" s="572"/>
      <c r="AT608" s="571"/>
      <c r="AU608" s="571"/>
      <c r="AV608" s="572"/>
      <c r="AW608" s="571"/>
      <c r="AX608" s="571"/>
      <c r="AY608" s="571"/>
      <c r="AZ608" s="571"/>
      <c r="BA608" s="571"/>
      <c r="BB608" s="571"/>
      <c r="BC608" s="571"/>
      <c r="BD608" s="571"/>
      <c r="BE608" s="572"/>
      <c r="BF608" s="571"/>
      <c r="BG608" s="571"/>
      <c r="BH608" s="571"/>
      <c r="BI608" s="571"/>
      <c r="BJ608" s="571"/>
      <c r="BK608" s="571"/>
      <c r="BL608" s="571"/>
      <c r="BM608" s="572"/>
      <c r="BN608" s="88"/>
      <c r="BV608" s="567"/>
      <c r="BW608" s="567"/>
      <c r="BX608" s="567"/>
      <c r="BY608" s="567"/>
      <c r="BZ608" s="567"/>
      <c r="CA608" s="567"/>
      <c r="CB608" s="567"/>
      <c r="CC608" s="567"/>
      <c r="CD608" s="567"/>
      <c r="CE608" s="567"/>
      <c r="CF608" s="567"/>
      <c r="CG608" s="567"/>
      <c r="CH608" s="567"/>
      <c r="CI608" s="567"/>
      <c r="CJ608" s="567"/>
      <c r="CK608" s="567"/>
      <c r="CL608" s="567"/>
      <c r="CM608" s="567"/>
      <c r="CN608" s="567"/>
      <c r="CO608" s="567"/>
      <c r="CP608" s="567"/>
      <c r="CQ608" s="567"/>
      <c r="CR608" s="567"/>
      <c r="CS608" s="567"/>
      <c r="CT608" s="567"/>
      <c r="CU608" s="567"/>
    </row>
    <row r="609" spans="5:99" hidden="1" x14ac:dyDescent="0.2"/>
    <row r="610" spans="5:99" s="422" customFormat="1" hidden="1" x14ac:dyDescent="0.2">
      <c r="E610" s="427">
        <f>SUM(W610:X610,AA610:AG610)-SUM(Y610:Z610,AH610:AK610)</f>
        <v>6207.8899999999994</v>
      </c>
      <c r="F610" s="423"/>
      <c r="G610" s="423"/>
      <c r="H610" s="423"/>
      <c r="I610" s="424"/>
      <c r="J610" s="424"/>
      <c r="K610" s="424"/>
      <c r="L610" s="425"/>
      <c r="M610" s="426" t="s">
        <v>3265</v>
      </c>
      <c r="N610" s="424"/>
      <c r="O610" s="424"/>
      <c r="P610" s="424"/>
      <c r="Q610" s="424"/>
      <c r="R610" s="424"/>
      <c r="S610" s="424"/>
      <c r="T610" s="424"/>
      <c r="U610" s="424"/>
      <c r="V610" s="426" t="s">
        <v>3264</v>
      </c>
      <c r="W610" s="430">
        <f t="shared" ref="W610:BM610" si="359">SUM(W6:W605)</f>
        <v>23525</v>
      </c>
      <c r="X610" s="430">
        <f t="shared" si="359"/>
        <v>5734.5599999999995</v>
      </c>
      <c r="Y610" s="430">
        <f t="shared" si="359"/>
        <v>6300.5</v>
      </c>
      <c r="Z610" s="430">
        <f t="shared" si="359"/>
        <v>100</v>
      </c>
      <c r="AA610" s="430">
        <f t="shared" si="359"/>
        <v>500</v>
      </c>
      <c r="AB610" s="430">
        <f t="shared" si="359"/>
        <v>2000</v>
      </c>
      <c r="AC610" s="430">
        <f t="shared" si="359"/>
        <v>98.83</v>
      </c>
      <c r="AD610" s="430">
        <f t="shared" si="359"/>
        <v>1500.5</v>
      </c>
      <c r="AE610" s="430">
        <f t="shared" si="359"/>
        <v>5000.5</v>
      </c>
      <c r="AF610" s="430">
        <f t="shared" si="359"/>
        <v>3000.5</v>
      </c>
      <c r="AG610" s="430">
        <f t="shared" si="359"/>
        <v>5000</v>
      </c>
      <c r="AH610" s="430">
        <f t="shared" si="359"/>
        <v>28171.5</v>
      </c>
      <c r="AI610" s="430">
        <f t="shared" si="359"/>
        <v>456.5</v>
      </c>
      <c r="AJ610" s="430">
        <f t="shared" si="359"/>
        <v>5000</v>
      </c>
      <c r="AK610" s="430">
        <f t="shared" si="359"/>
        <v>123.5</v>
      </c>
      <c r="AL610" s="430">
        <f t="shared" si="359"/>
        <v>1525</v>
      </c>
      <c r="AM610" s="430">
        <f t="shared" si="359"/>
        <v>22500</v>
      </c>
      <c r="AN610" s="430">
        <f t="shared" si="359"/>
        <v>0</v>
      </c>
      <c r="AO610" s="430">
        <f t="shared" si="359"/>
        <v>3000.5</v>
      </c>
      <c r="AP610" s="430">
        <f t="shared" si="359"/>
        <v>2000</v>
      </c>
      <c r="AQ610" s="430">
        <f t="shared" si="359"/>
        <v>6501</v>
      </c>
      <c r="AR610" s="430">
        <f t="shared" si="359"/>
        <v>5098.83</v>
      </c>
      <c r="AS610" s="430">
        <f t="shared" si="359"/>
        <v>14000</v>
      </c>
      <c r="AT610" s="430">
        <f t="shared" si="359"/>
        <v>0</v>
      </c>
      <c r="AU610" s="430">
        <f t="shared" si="359"/>
        <v>4500</v>
      </c>
      <c r="AV610" s="430">
        <f t="shared" si="359"/>
        <v>1234.56</v>
      </c>
      <c r="AW610" s="430">
        <f t="shared" si="359"/>
        <v>456.5</v>
      </c>
      <c r="AX610" s="430">
        <f t="shared" si="359"/>
        <v>6550</v>
      </c>
      <c r="AY610" s="430">
        <f t="shared" si="359"/>
        <v>1300.5</v>
      </c>
      <c r="AZ610" s="430">
        <f t="shared" si="359"/>
        <v>24600</v>
      </c>
      <c r="BA610" s="430">
        <f t="shared" si="359"/>
        <v>0</v>
      </c>
      <c r="BB610" s="430">
        <f t="shared" si="359"/>
        <v>0</v>
      </c>
      <c r="BC610" s="430">
        <f t="shared" si="359"/>
        <v>1000.5</v>
      </c>
      <c r="BD610" s="430">
        <f t="shared" si="359"/>
        <v>6144.5</v>
      </c>
      <c r="BE610" s="430">
        <f t="shared" si="359"/>
        <v>14000</v>
      </c>
      <c r="BF610" s="430">
        <f t="shared" si="359"/>
        <v>0</v>
      </c>
      <c r="BG610" s="430">
        <f t="shared" si="359"/>
        <v>100</v>
      </c>
      <c r="BH610" s="430">
        <f t="shared" si="359"/>
        <v>0</v>
      </c>
      <c r="BI610" s="430">
        <f t="shared" si="359"/>
        <v>0</v>
      </c>
      <c r="BJ610" s="430">
        <f t="shared" si="359"/>
        <v>0</v>
      </c>
      <c r="BK610" s="430">
        <f t="shared" si="359"/>
        <v>0</v>
      </c>
      <c r="BL610" s="430">
        <f t="shared" si="359"/>
        <v>0</v>
      </c>
      <c r="BM610" s="430">
        <f t="shared" si="359"/>
        <v>0</v>
      </c>
      <c r="BN610" s="430"/>
      <c r="BO610" s="423"/>
      <c r="BP610" s="423"/>
      <c r="BQ610" s="423"/>
      <c r="BR610" s="423"/>
      <c r="BS610" s="423"/>
      <c r="BT610" s="423"/>
      <c r="BV610" s="430"/>
      <c r="BW610" s="430"/>
      <c r="BX610" s="430"/>
      <c r="BY610" s="430"/>
      <c r="BZ610" s="430"/>
      <c r="CA610" s="430"/>
      <c r="CB610" s="430"/>
      <c r="CC610" s="430"/>
      <c r="CD610" s="430"/>
      <c r="CE610" s="430"/>
      <c r="CF610" s="430"/>
      <c r="CG610" s="430"/>
      <c r="CH610" s="430"/>
      <c r="CI610" s="430"/>
      <c r="CJ610" s="430"/>
      <c r="CK610" s="430"/>
      <c r="CL610" s="430"/>
      <c r="CM610" s="430"/>
      <c r="CN610" s="430"/>
      <c r="CO610" s="430"/>
      <c r="CP610" s="430"/>
      <c r="CQ610" s="430"/>
      <c r="CR610" s="430"/>
      <c r="CS610" s="430"/>
      <c r="CT610" s="430"/>
      <c r="CU610" s="430"/>
    </row>
    <row r="611" spans="5:99" s="422" customFormat="1" hidden="1" x14ac:dyDescent="0.2">
      <c r="E611" s="427"/>
      <c r="F611" s="423"/>
      <c r="G611" s="423"/>
      <c r="H611" s="423"/>
      <c r="I611" s="425" t="s">
        <v>3268</v>
      </c>
      <c r="J611" s="430">
        <f>K5+ROUND(N5+Q5+T5,0)</f>
        <v>8000</v>
      </c>
      <c r="K611" s="424"/>
      <c r="L611" s="425" t="s">
        <v>6</v>
      </c>
      <c r="M611" s="427">
        <f>SUM(W611:X611,AA611:AG611)</f>
        <v>46362</v>
      </c>
      <c r="N611" s="424"/>
      <c r="O611" s="424"/>
      <c r="P611" s="424"/>
      <c r="Q611" s="424"/>
      <c r="R611" s="424"/>
      <c r="S611" s="424"/>
      <c r="T611" s="424"/>
      <c r="U611" s="424"/>
      <c r="V611" s="426" t="s">
        <v>3265</v>
      </c>
      <c r="W611" s="430">
        <f>ROUND(W610,0)</f>
        <v>23525</v>
      </c>
      <c r="X611" s="430">
        <f t="shared" ref="X611:BM611" si="360">ROUND(X610,0)</f>
        <v>5735</v>
      </c>
      <c r="Y611" s="430">
        <f t="shared" si="360"/>
        <v>6301</v>
      </c>
      <c r="Z611" s="430">
        <f t="shared" si="360"/>
        <v>100</v>
      </c>
      <c r="AA611" s="430">
        <f t="shared" si="360"/>
        <v>500</v>
      </c>
      <c r="AB611" s="430">
        <f t="shared" si="360"/>
        <v>2000</v>
      </c>
      <c r="AC611" s="430">
        <f t="shared" si="360"/>
        <v>99</v>
      </c>
      <c r="AD611" s="430">
        <f t="shared" si="360"/>
        <v>1501</v>
      </c>
      <c r="AE611" s="430">
        <f t="shared" si="360"/>
        <v>5001</v>
      </c>
      <c r="AF611" s="430">
        <f t="shared" si="360"/>
        <v>3001</v>
      </c>
      <c r="AG611" s="430">
        <f t="shared" si="360"/>
        <v>5000</v>
      </c>
      <c r="AH611" s="430">
        <f t="shared" si="360"/>
        <v>28172</v>
      </c>
      <c r="AI611" s="430">
        <f t="shared" si="360"/>
        <v>457</v>
      </c>
      <c r="AJ611" s="430">
        <f t="shared" si="360"/>
        <v>5000</v>
      </c>
      <c r="AK611" s="430">
        <f t="shared" si="360"/>
        <v>124</v>
      </c>
      <c r="AL611" s="430">
        <f>ROUND(AL610,0)</f>
        <v>1525</v>
      </c>
      <c r="AM611" s="430">
        <f t="shared" si="360"/>
        <v>22500</v>
      </c>
      <c r="AN611" s="430">
        <f t="shared" si="360"/>
        <v>0</v>
      </c>
      <c r="AO611" s="430">
        <f t="shared" si="360"/>
        <v>3001</v>
      </c>
      <c r="AP611" s="430">
        <f t="shared" si="360"/>
        <v>2000</v>
      </c>
      <c r="AQ611" s="430">
        <f t="shared" si="360"/>
        <v>6501</v>
      </c>
      <c r="AR611" s="430">
        <f t="shared" si="360"/>
        <v>5099</v>
      </c>
      <c r="AS611" s="430">
        <f t="shared" si="360"/>
        <v>14000</v>
      </c>
      <c r="AT611" s="430">
        <f t="shared" si="360"/>
        <v>0</v>
      </c>
      <c r="AU611" s="430">
        <f t="shared" si="360"/>
        <v>4500</v>
      </c>
      <c r="AV611" s="430">
        <f t="shared" si="360"/>
        <v>1235</v>
      </c>
      <c r="AW611" s="430">
        <f t="shared" si="360"/>
        <v>457</v>
      </c>
      <c r="AX611" s="430">
        <f t="shared" si="360"/>
        <v>6550</v>
      </c>
      <c r="AY611" s="430">
        <f t="shared" si="360"/>
        <v>1301</v>
      </c>
      <c r="AZ611" s="430">
        <f t="shared" si="360"/>
        <v>24600</v>
      </c>
      <c r="BA611" s="430">
        <f t="shared" si="360"/>
        <v>0</v>
      </c>
      <c r="BB611" s="430">
        <f t="shared" si="360"/>
        <v>0</v>
      </c>
      <c r="BC611" s="430">
        <f t="shared" si="360"/>
        <v>1001</v>
      </c>
      <c r="BD611" s="430">
        <f t="shared" si="360"/>
        <v>6145</v>
      </c>
      <c r="BE611" s="430">
        <f t="shared" si="360"/>
        <v>14000</v>
      </c>
      <c r="BF611" s="430">
        <f t="shared" si="360"/>
        <v>0</v>
      </c>
      <c r="BG611" s="430">
        <f t="shared" si="360"/>
        <v>100</v>
      </c>
      <c r="BH611" s="430">
        <f t="shared" si="360"/>
        <v>0</v>
      </c>
      <c r="BI611" s="430">
        <f t="shared" si="360"/>
        <v>0</v>
      </c>
      <c r="BJ611" s="430">
        <f t="shared" si="360"/>
        <v>0</v>
      </c>
      <c r="BK611" s="430">
        <f t="shared" si="360"/>
        <v>0</v>
      </c>
      <c r="BL611" s="430">
        <f t="shared" si="360"/>
        <v>0</v>
      </c>
      <c r="BM611" s="430">
        <f t="shared" si="360"/>
        <v>0</v>
      </c>
      <c r="BN611" s="430"/>
      <c r="BO611" s="423"/>
      <c r="BP611" s="423"/>
      <c r="BQ611" s="423"/>
      <c r="BR611" s="423"/>
      <c r="BS611" s="423"/>
      <c r="BT611" s="423"/>
      <c r="BV611" s="430"/>
      <c r="BW611" s="430"/>
      <c r="BX611" s="430"/>
      <c r="BY611" s="430"/>
      <c r="BZ611" s="430"/>
      <c r="CA611" s="430"/>
      <c r="CB611" s="430"/>
      <c r="CC611" s="430"/>
      <c r="CD611" s="430"/>
      <c r="CE611" s="430"/>
      <c r="CF611" s="430"/>
      <c r="CG611" s="430"/>
      <c r="CH611" s="430"/>
      <c r="CI611" s="430"/>
      <c r="CJ611" s="430"/>
      <c r="CK611" s="430"/>
      <c r="CL611" s="430"/>
      <c r="CM611" s="430"/>
      <c r="CN611" s="430"/>
      <c r="CO611" s="430"/>
      <c r="CP611" s="430"/>
      <c r="CQ611" s="430"/>
      <c r="CR611" s="430"/>
      <c r="CS611" s="430"/>
      <c r="CT611" s="430"/>
      <c r="CU611" s="430"/>
    </row>
    <row r="612" spans="5:99" s="422" customFormat="1" hidden="1" x14ac:dyDescent="0.2">
      <c r="F612" s="423"/>
      <c r="G612" s="423"/>
      <c r="H612" s="423"/>
      <c r="I612" s="425" t="s">
        <v>3269</v>
      </c>
      <c r="J612" s="430">
        <f>K607+ROUND(N607+Q607+T607,0)</f>
        <v>14208</v>
      </c>
      <c r="K612" s="424"/>
      <c r="L612" s="425" t="s">
        <v>7</v>
      </c>
      <c r="M612" s="427">
        <f>SUM(Y611:Z611,AH611:AK611)</f>
        <v>40154</v>
      </c>
      <c r="N612" s="429">
        <f>MAX(W613:AK613)</f>
        <v>0.82999999999999829</v>
      </c>
      <c r="O612" s="429"/>
      <c r="P612" s="429"/>
      <c r="Q612" s="429"/>
      <c r="R612" s="429"/>
      <c r="S612" s="429"/>
      <c r="T612" s="429"/>
      <c r="U612" s="429"/>
      <c r="V612" s="426" t="s">
        <v>3266</v>
      </c>
      <c r="W612" s="430">
        <f>MOD(W610,1)</f>
        <v>0</v>
      </c>
      <c r="X612" s="430">
        <f>MOD(X610,1)</f>
        <v>0.55999999999949068</v>
      </c>
      <c r="Y612" s="430"/>
      <c r="Z612" s="430"/>
      <c r="AA612" s="430">
        <f t="shared" ref="AA612:AG612" si="361">MOD(AA610,1)</f>
        <v>0</v>
      </c>
      <c r="AB612" s="430">
        <f t="shared" si="361"/>
        <v>0</v>
      </c>
      <c r="AC612" s="430">
        <f t="shared" si="361"/>
        <v>0.82999999999999829</v>
      </c>
      <c r="AD612" s="430">
        <f t="shared" si="361"/>
        <v>0.5</v>
      </c>
      <c r="AE612" s="430">
        <f t="shared" si="361"/>
        <v>0.5</v>
      </c>
      <c r="AF612" s="430">
        <f t="shared" si="361"/>
        <v>0.5</v>
      </c>
      <c r="AG612" s="430">
        <f t="shared" si="361"/>
        <v>0</v>
      </c>
      <c r="AH612" s="430"/>
      <c r="AI612" s="430"/>
      <c r="AJ612" s="430"/>
      <c r="AK612" s="430"/>
      <c r="AL612" s="430">
        <f t="shared" ref="AL612:AV612" si="362">MOD(AL610,1)</f>
        <v>0</v>
      </c>
      <c r="AM612" s="430">
        <f t="shared" si="362"/>
        <v>0</v>
      </c>
      <c r="AN612" s="430">
        <f t="shared" si="362"/>
        <v>0</v>
      </c>
      <c r="AO612" s="430">
        <f t="shared" si="362"/>
        <v>0.5</v>
      </c>
      <c r="AP612" s="430">
        <f t="shared" si="362"/>
        <v>0</v>
      </c>
      <c r="AQ612" s="430">
        <f t="shared" si="362"/>
        <v>0</v>
      </c>
      <c r="AR612" s="430">
        <f t="shared" si="362"/>
        <v>0.82999999999992724</v>
      </c>
      <c r="AS612" s="430">
        <f t="shared" si="362"/>
        <v>0</v>
      </c>
      <c r="AT612" s="430">
        <f t="shared" si="362"/>
        <v>0</v>
      </c>
      <c r="AU612" s="430">
        <f t="shared" si="362"/>
        <v>0</v>
      </c>
      <c r="AV612" s="430">
        <f t="shared" si="362"/>
        <v>0.55999999999994543</v>
      </c>
      <c r="AW612" s="430"/>
      <c r="AX612" s="430"/>
      <c r="AY612" s="430"/>
      <c r="AZ612" s="430"/>
      <c r="BA612" s="430"/>
      <c r="BB612" s="430"/>
      <c r="BC612" s="430"/>
      <c r="BD612" s="430"/>
      <c r="BE612" s="430"/>
      <c r="BF612" s="430"/>
      <c r="BG612" s="430"/>
      <c r="BH612" s="430"/>
      <c r="BI612" s="430"/>
      <c r="BJ612" s="430"/>
      <c r="BK612" s="430"/>
      <c r="BL612" s="430"/>
      <c r="BM612" s="430"/>
      <c r="BN612" s="430"/>
      <c r="BO612" s="423"/>
      <c r="BP612" s="423"/>
      <c r="BQ612" s="423"/>
      <c r="BR612" s="423"/>
      <c r="BS612" s="423"/>
      <c r="BT612" s="423"/>
      <c r="BV612" s="430"/>
      <c r="BW612" s="430"/>
      <c r="BX612" s="430"/>
      <c r="BY612" s="430"/>
      <c r="BZ612" s="430"/>
      <c r="CA612" s="430"/>
      <c r="CB612" s="430"/>
      <c r="CC612" s="430"/>
      <c r="CD612" s="430"/>
      <c r="CE612" s="430"/>
      <c r="CF612" s="430"/>
      <c r="CG612" s="430"/>
      <c r="CH612" s="430"/>
      <c r="CI612" s="430"/>
      <c r="CJ612" s="430"/>
      <c r="CK612" s="430"/>
      <c r="CL612" s="430"/>
      <c r="CM612" s="430"/>
      <c r="CN612" s="430"/>
      <c r="CO612" s="430"/>
      <c r="CP612" s="430"/>
      <c r="CQ612" s="430"/>
      <c r="CR612" s="430"/>
      <c r="CS612" s="430"/>
      <c r="CT612" s="430"/>
      <c r="CU612" s="430"/>
    </row>
    <row r="613" spans="5:99" s="422" customFormat="1" hidden="1" x14ac:dyDescent="0.2">
      <c r="F613" s="423"/>
      <c r="G613" s="423"/>
      <c r="H613" s="423"/>
      <c r="I613" s="425"/>
      <c r="J613" s="430"/>
      <c r="K613" s="424"/>
      <c r="L613" s="425"/>
      <c r="M613" s="427"/>
      <c r="N613" s="429"/>
      <c r="O613" s="429"/>
      <c r="P613" s="429"/>
      <c r="Q613" s="429"/>
      <c r="R613" s="429"/>
      <c r="S613" s="429"/>
      <c r="T613" s="429"/>
      <c r="U613" s="429"/>
      <c r="V613" s="426" t="s">
        <v>3380</v>
      </c>
      <c r="W613" s="430">
        <f>IF(W612&gt;0.49,W612,0)</f>
        <v>0</v>
      </c>
      <c r="X613" s="430">
        <f>IF(X612&gt;0.49,X612,0)</f>
        <v>0.55999999999949068</v>
      </c>
      <c r="Y613" s="430"/>
      <c r="Z613" s="430"/>
      <c r="AA613" s="430">
        <f t="shared" ref="AA613:AG613" si="363">IF(AA612&gt;0.49,AA612,0)</f>
        <v>0</v>
      </c>
      <c r="AB613" s="430">
        <f t="shared" si="363"/>
        <v>0</v>
      </c>
      <c r="AC613" s="430">
        <f t="shared" si="363"/>
        <v>0.82999999999999829</v>
      </c>
      <c r="AD613" s="430">
        <f t="shared" si="363"/>
        <v>0.5</v>
      </c>
      <c r="AE613" s="430">
        <f t="shared" si="363"/>
        <v>0.5</v>
      </c>
      <c r="AF613" s="430">
        <f t="shared" si="363"/>
        <v>0.5</v>
      </c>
      <c r="AG613" s="430">
        <f t="shared" si="363"/>
        <v>0</v>
      </c>
      <c r="AH613" s="430"/>
      <c r="AI613" s="430"/>
      <c r="AJ613" s="430"/>
      <c r="AK613" s="430"/>
      <c r="AL613" s="430">
        <f t="shared" ref="AL613:AV613" si="364">IF(AL612&gt;0.49,AL612,0)</f>
        <v>0</v>
      </c>
      <c r="AM613" s="430">
        <f t="shared" si="364"/>
        <v>0</v>
      </c>
      <c r="AN613" s="430">
        <f t="shared" si="364"/>
        <v>0</v>
      </c>
      <c r="AO613" s="430">
        <f t="shared" si="364"/>
        <v>0.5</v>
      </c>
      <c r="AP613" s="430">
        <f t="shared" si="364"/>
        <v>0</v>
      </c>
      <c r="AQ613" s="430">
        <f t="shared" si="364"/>
        <v>0</v>
      </c>
      <c r="AR613" s="430">
        <f t="shared" si="364"/>
        <v>0.82999999999992724</v>
      </c>
      <c r="AS613" s="430">
        <f t="shared" si="364"/>
        <v>0</v>
      </c>
      <c r="AT613" s="430">
        <f t="shared" si="364"/>
        <v>0</v>
      </c>
      <c r="AU613" s="430">
        <f t="shared" si="364"/>
        <v>0</v>
      </c>
      <c r="AV613" s="430">
        <f t="shared" si="364"/>
        <v>0.55999999999994543</v>
      </c>
      <c r="AW613" s="430"/>
      <c r="AX613" s="430"/>
      <c r="AY613" s="430"/>
      <c r="AZ613" s="430"/>
      <c r="BA613" s="430"/>
      <c r="BB613" s="430"/>
      <c r="BC613" s="430"/>
      <c r="BD613" s="430"/>
      <c r="BE613" s="430"/>
      <c r="BF613" s="430"/>
      <c r="BG613" s="430"/>
      <c r="BH613" s="430"/>
      <c r="BI613" s="430"/>
      <c r="BJ613" s="430"/>
      <c r="BK613" s="430"/>
      <c r="BL613" s="430"/>
      <c r="BM613" s="430"/>
      <c r="BN613" s="430"/>
      <c r="BO613" s="423"/>
      <c r="BP613" s="423"/>
      <c r="BQ613" s="423"/>
      <c r="BR613" s="423"/>
      <c r="BS613" s="423"/>
      <c r="BT613" s="423"/>
      <c r="BV613" s="430"/>
      <c r="BW613" s="430"/>
      <c r="BX613" s="430"/>
      <c r="BY613" s="430"/>
      <c r="BZ613" s="430"/>
      <c r="CA613" s="430"/>
      <c r="CB613" s="430"/>
      <c r="CC613" s="430"/>
      <c r="CD613" s="430"/>
      <c r="CE613" s="430"/>
      <c r="CF613" s="430"/>
      <c r="CG613" s="430"/>
      <c r="CH613" s="430"/>
      <c r="CI613" s="430"/>
      <c r="CJ613" s="430"/>
      <c r="CK613" s="430"/>
      <c r="CL613" s="430"/>
      <c r="CM613" s="430"/>
      <c r="CN613" s="430"/>
      <c r="CO613" s="430"/>
      <c r="CP613" s="430"/>
      <c r="CQ613" s="430"/>
      <c r="CR613" s="430"/>
      <c r="CS613" s="430"/>
      <c r="CT613" s="430"/>
      <c r="CU613" s="430"/>
    </row>
    <row r="614" spans="5:99" s="422" customFormat="1" hidden="1" x14ac:dyDescent="0.2">
      <c r="F614" s="423"/>
      <c r="G614" s="423"/>
      <c r="H614" s="423"/>
      <c r="I614" s="426" t="s">
        <v>3270</v>
      </c>
      <c r="J614" s="427">
        <f>J612-J611</f>
        <v>6208</v>
      </c>
      <c r="K614" s="427">
        <f>$J$614-M614</f>
        <v>0</v>
      </c>
      <c r="L614" s="425" t="s">
        <v>3267</v>
      </c>
      <c r="M614" s="427">
        <f>M611-M612</f>
        <v>6208</v>
      </c>
      <c r="N614" s="429">
        <f>MAX(W615:AK615)</f>
        <v>0.5</v>
      </c>
      <c r="O614" s="429"/>
      <c r="P614" s="429"/>
      <c r="Q614" s="429"/>
      <c r="R614" s="429"/>
      <c r="S614" s="429"/>
      <c r="T614" s="429"/>
      <c r="U614" s="429"/>
      <c r="V614" s="425" t="s">
        <v>3271</v>
      </c>
      <c r="W614" s="430"/>
      <c r="X614" s="430"/>
      <c r="Y614" s="430">
        <f>MOD(Y610,1)</f>
        <v>0.5</v>
      </c>
      <c r="Z614" s="430">
        <f>MOD(Z610,1)</f>
        <v>0</v>
      </c>
      <c r="AA614" s="430"/>
      <c r="AB614" s="430"/>
      <c r="AC614" s="430"/>
      <c r="AD614" s="430"/>
      <c r="AE614" s="430"/>
      <c r="AF614" s="430"/>
      <c r="AG614" s="430"/>
      <c r="AH614" s="430">
        <f>MOD(AH610,1)</f>
        <v>0.5</v>
      </c>
      <c r="AI614" s="430">
        <f>MOD(AI610,1)</f>
        <v>0.5</v>
      </c>
      <c r="AJ614" s="430">
        <f>MOD(AJ610,1)</f>
        <v>0</v>
      </c>
      <c r="AK614" s="430">
        <f>MOD(AK610,1)</f>
        <v>0.5</v>
      </c>
      <c r="AL614" s="430"/>
      <c r="AM614" s="430"/>
      <c r="AN614" s="430"/>
      <c r="AO614" s="430"/>
      <c r="AP614" s="430"/>
      <c r="AQ614" s="430"/>
      <c r="AR614" s="430"/>
      <c r="AS614" s="430"/>
      <c r="AT614" s="430"/>
      <c r="AU614" s="430"/>
      <c r="AV614" s="430"/>
      <c r="AW614" s="430">
        <f t="shared" ref="AW614:BM614" si="365">MOD(AW610,1)</f>
        <v>0.5</v>
      </c>
      <c r="AX614" s="430">
        <f t="shared" si="365"/>
        <v>0</v>
      </c>
      <c r="AY614" s="430">
        <f t="shared" si="365"/>
        <v>0.5</v>
      </c>
      <c r="AZ614" s="430">
        <f t="shared" si="365"/>
        <v>0</v>
      </c>
      <c r="BA614" s="430">
        <f t="shared" si="365"/>
        <v>0</v>
      </c>
      <c r="BB614" s="430">
        <f t="shared" si="365"/>
        <v>0</v>
      </c>
      <c r="BC614" s="430">
        <f t="shared" si="365"/>
        <v>0.5</v>
      </c>
      <c r="BD614" s="430">
        <f t="shared" si="365"/>
        <v>0.5</v>
      </c>
      <c r="BE614" s="430">
        <f t="shared" si="365"/>
        <v>0</v>
      </c>
      <c r="BF614" s="430">
        <f t="shared" si="365"/>
        <v>0</v>
      </c>
      <c r="BG614" s="430">
        <f t="shared" si="365"/>
        <v>0</v>
      </c>
      <c r="BH614" s="430">
        <f t="shared" si="365"/>
        <v>0</v>
      </c>
      <c r="BI614" s="430">
        <f t="shared" si="365"/>
        <v>0</v>
      </c>
      <c r="BJ614" s="430">
        <f t="shared" si="365"/>
        <v>0</v>
      </c>
      <c r="BK614" s="430">
        <f t="shared" si="365"/>
        <v>0</v>
      </c>
      <c r="BL614" s="430">
        <f t="shared" si="365"/>
        <v>0</v>
      </c>
      <c r="BM614" s="430">
        <f t="shared" si="365"/>
        <v>0</v>
      </c>
      <c r="BN614" s="430"/>
      <c r="BO614" s="423"/>
      <c r="BP614" s="423"/>
      <c r="BQ614" s="423"/>
      <c r="BR614" s="423"/>
      <c r="BS614" s="423"/>
      <c r="BT614" s="423"/>
      <c r="BV614" s="430"/>
      <c r="BW614" s="430"/>
      <c r="BX614" s="430"/>
      <c r="BY614" s="430"/>
      <c r="BZ614" s="430"/>
      <c r="CA614" s="430"/>
      <c r="CB614" s="430"/>
      <c r="CC614" s="430"/>
      <c r="CD614" s="430"/>
      <c r="CE614" s="430"/>
      <c r="CF614" s="430"/>
      <c r="CG614" s="430"/>
      <c r="CH614" s="430"/>
      <c r="CI614" s="430"/>
      <c r="CJ614" s="430"/>
      <c r="CK614" s="430"/>
      <c r="CL614" s="430"/>
      <c r="CM614" s="430"/>
      <c r="CN614" s="430"/>
      <c r="CO614" s="430"/>
      <c r="CP614" s="430"/>
      <c r="CQ614" s="430"/>
      <c r="CR614" s="430"/>
      <c r="CS614" s="430"/>
      <c r="CT614" s="430"/>
      <c r="CU614" s="430"/>
    </row>
    <row r="615" spans="5:99" s="422" customFormat="1" hidden="1" x14ac:dyDescent="0.2">
      <c r="F615" s="423"/>
      <c r="G615" s="423"/>
      <c r="H615" s="423"/>
      <c r="I615" s="426"/>
      <c r="J615" s="427"/>
      <c r="K615" s="427"/>
      <c r="L615" s="425"/>
      <c r="M615" s="427"/>
      <c r="N615" s="429"/>
      <c r="O615" s="429"/>
      <c r="P615" s="429"/>
      <c r="Q615" s="429"/>
      <c r="R615" s="429"/>
      <c r="S615" s="429"/>
      <c r="T615" s="429"/>
      <c r="U615" s="429"/>
      <c r="V615" s="426" t="s">
        <v>3381</v>
      </c>
      <c r="W615" s="430"/>
      <c r="X615" s="430"/>
      <c r="Y615" s="430">
        <f>IF(Y614&lt;1,Y614,0)</f>
        <v>0.5</v>
      </c>
      <c r="Z615" s="430">
        <f>IF(Z614&lt;1,Z614,0)</f>
        <v>0</v>
      </c>
      <c r="AA615" s="430"/>
      <c r="AB615" s="430"/>
      <c r="AC615" s="430"/>
      <c r="AD615" s="430"/>
      <c r="AE615" s="430"/>
      <c r="AF615" s="430"/>
      <c r="AG615" s="430"/>
      <c r="AH615" s="430">
        <f>IF(AH614&lt;1,AH614,0)</f>
        <v>0.5</v>
      </c>
      <c r="AI615" s="430">
        <f>IF(AI614&lt;1,AI614,0)</f>
        <v>0.5</v>
      </c>
      <c r="AJ615" s="430">
        <f>IF(AJ614&lt;1,AJ614,0)</f>
        <v>0</v>
      </c>
      <c r="AK615" s="430">
        <f>IF(AK614&lt;1,AK614,0)</f>
        <v>0.5</v>
      </c>
      <c r="AL615" s="430"/>
      <c r="AM615" s="430"/>
      <c r="AN615" s="430"/>
      <c r="AO615" s="430"/>
      <c r="AP615" s="430"/>
      <c r="AQ615" s="430"/>
      <c r="AR615" s="430"/>
      <c r="AS615" s="430"/>
      <c r="AT615" s="430"/>
      <c r="AU615" s="430"/>
      <c r="AV615" s="430"/>
      <c r="AW615" s="430">
        <f t="shared" ref="AW615:BM615" si="366">IF(AW614&lt;1,AW614,0)</f>
        <v>0.5</v>
      </c>
      <c r="AX615" s="430">
        <f t="shared" si="366"/>
        <v>0</v>
      </c>
      <c r="AY615" s="430">
        <f t="shared" si="366"/>
        <v>0.5</v>
      </c>
      <c r="AZ615" s="430">
        <f t="shared" si="366"/>
        <v>0</v>
      </c>
      <c r="BA615" s="430">
        <f t="shared" si="366"/>
        <v>0</v>
      </c>
      <c r="BB615" s="430">
        <f t="shared" si="366"/>
        <v>0</v>
      </c>
      <c r="BC615" s="430">
        <f t="shared" si="366"/>
        <v>0.5</v>
      </c>
      <c r="BD615" s="430">
        <f t="shared" si="366"/>
        <v>0.5</v>
      </c>
      <c r="BE615" s="430">
        <f t="shared" si="366"/>
        <v>0</v>
      </c>
      <c r="BF615" s="430">
        <f t="shared" si="366"/>
        <v>0</v>
      </c>
      <c r="BG615" s="430">
        <f t="shared" si="366"/>
        <v>0</v>
      </c>
      <c r="BH615" s="430">
        <f t="shared" si="366"/>
        <v>0</v>
      </c>
      <c r="BI615" s="430">
        <f t="shared" si="366"/>
        <v>0</v>
      </c>
      <c r="BJ615" s="430">
        <f t="shared" si="366"/>
        <v>0</v>
      </c>
      <c r="BK615" s="430">
        <f t="shared" si="366"/>
        <v>0</v>
      </c>
      <c r="BL615" s="430">
        <f t="shared" si="366"/>
        <v>0</v>
      </c>
      <c r="BM615" s="430">
        <f t="shared" si="366"/>
        <v>0</v>
      </c>
      <c r="BN615" s="430"/>
      <c r="BO615" s="423"/>
      <c r="BP615" s="423"/>
      <c r="BQ615" s="423"/>
      <c r="BR615" s="423"/>
      <c r="BS615" s="423"/>
      <c r="BT615" s="423"/>
      <c r="BV615" s="430"/>
      <c r="BW615" s="430"/>
      <c r="BX615" s="430"/>
      <c r="BY615" s="430"/>
      <c r="BZ615" s="430"/>
      <c r="CA615" s="430"/>
      <c r="CB615" s="430"/>
      <c r="CC615" s="430"/>
      <c r="CD615" s="430"/>
      <c r="CE615" s="430"/>
      <c r="CF615" s="430"/>
      <c r="CG615" s="430"/>
      <c r="CH615" s="430"/>
      <c r="CI615" s="430"/>
      <c r="CJ615" s="430"/>
      <c r="CK615" s="430"/>
      <c r="CL615" s="430"/>
      <c r="CM615" s="430"/>
      <c r="CN615" s="430"/>
      <c r="CO615" s="430"/>
      <c r="CP615" s="430"/>
      <c r="CQ615" s="430"/>
      <c r="CR615" s="430"/>
      <c r="CS615" s="430"/>
      <c r="CT615" s="430"/>
      <c r="CU615" s="430"/>
    </row>
    <row r="616" spans="5:99" s="422" customFormat="1" hidden="1" x14ac:dyDescent="0.2">
      <c r="F616" s="423"/>
      <c r="G616" s="423"/>
      <c r="H616" s="423"/>
      <c r="I616" s="424"/>
      <c r="J616" s="424"/>
      <c r="K616" s="424"/>
      <c r="L616" s="425"/>
      <c r="M616" s="426"/>
      <c r="N616" s="424"/>
      <c r="O616" s="424"/>
      <c r="P616" s="424"/>
      <c r="Q616" s="424"/>
      <c r="R616" s="424"/>
      <c r="S616" s="424"/>
      <c r="T616" s="424"/>
      <c r="U616" s="424"/>
      <c r="V616" s="424"/>
      <c r="W616" s="431"/>
      <c r="X616" s="431"/>
      <c r="Y616" s="431"/>
      <c r="Z616" s="431"/>
      <c r="AA616" s="431"/>
      <c r="AB616" s="431"/>
      <c r="AC616" s="431"/>
      <c r="AD616" s="431"/>
      <c r="AE616" s="431"/>
      <c r="AF616" s="431"/>
      <c r="AG616" s="431"/>
      <c r="AH616" s="431"/>
      <c r="AI616" s="431"/>
      <c r="AJ616" s="431"/>
      <c r="AK616" s="431"/>
      <c r="AL616" s="431"/>
      <c r="AM616" s="431"/>
      <c r="AN616" s="431"/>
      <c r="AO616" s="431"/>
      <c r="AP616" s="431"/>
      <c r="AQ616" s="431"/>
      <c r="AR616" s="431"/>
      <c r="AS616" s="431"/>
      <c r="AT616" s="431"/>
      <c r="AU616" s="431"/>
      <c r="AV616" s="431"/>
      <c r="AW616" s="431"/>
      <c r="AX616" s="431"/>
      <c r="AY616" s="431"/>
      <c r="AZ616" s="431"/>
      <c r="BA616" s="431"/>
      <c r="BB616" s="431"/>
      <c r="BC616" s="431"/>
      <c r="BD616" s="431"/>
      <c r="BE616" s="431"/>
      <c r="BF616" s="431"/>
      <c r="BG616" s="431"/>
      <c r="BH616" s="431"/>
      <c r="BI616" s="431"/>
      <c r="BJ616" s="431"/>
      <c r="BK616" s="431"/>
      <c r="BL616" s="431"/>
      <c r="BM616" s="431"/>
      <c r="BN616" s="431"/>
      <c r="BO616" s="423"/>
      <c r="BP616" s="423"/>
      <c r="BQ616" s="423"/>
      <c r="BR616" s="423"/>
      <c r="BS616" s="423"/>
      <c r="BT616" s="423"/>
      <c r="BV616" s="431"/>
      <c r="BW616" s="431"/>
      <c r="BX616" s="431"/>
      <c r="BY616" s="431"/>
      <c r="BZ616" s="431"/>
      <c r="CA616" s="431"/>
      <c r="CB616" s="431"/>
      <c r="CC616" s="431"/>
      <c r="CD616" s="431"/>
      <c r="CE616" s="431"/>
      <c r="CF616" s="431"/>
      <c r="CG616" s="431"/>
      <c r="CH616" s="431"/>
      <c r="CI616" s="431"/>
      <c r="CJ616" s="431"/>
      <c r="CK616" s="431"/>
      <c r="CL616" s="431"/>
      <c r="CM616" s="431"/>
      <c r="CN616" s="431"/>
      <c r="CO616" s="431"/>
      <c r="CP616" s="431"/>
      <c r="CQ616" s="431"/>
      <c r="CR616" s="431"/>
      <c r="CS616" s="431"/>
      <c r="CT616" s="431"/>
      <c r="CU616" s="431"/>
    </row>
    <row r="617" spans="5:99" s="422" customFormat="1" hidden="1" x14ac:dyDescent="0.2">
      <c r="F617" s="423"/>
      <c r="G617" s="423"/>
      <c r="H617" s="423"/>
      <c r="I617" s="424"/>
      <c r="J617" s="424"/>
      <c r="K617" s="424"/>
      <c r="L617" s="425" t="s">
        <v>6</v>
      </c>
      <c r="M617" s="427">
        <f>SUM(W619:X619,AA619:AG619)</f>
        <v>46362</v>
      </c>
      <c r="N617" s="428" t="b">
        <f>K614&lt;0</f>
        <v>0</v>
      </c>
      <c r="O617" s="428"/>
      <c r="P617" s="428"/>
      <c r="Q617" s="428"/>
      <c r="R617" s="428"/>
      <c r="S617" s="428"/>
      <c r="T617" s="428"/>
      <c r="U617" s="428"/>
      <c r="V617" s="426" t="s">
        <v>3266</v>
      </c>
      <c r="W617" s="430" t="b">
        <f>AND(N617,W612=$N$612)</f>
        <v>0</v>
      </c>
      <c r="X617" s="430" t="b">
        <f>AND($N617,COUNTIF($W617:W617,TRUE())=0,X612=$N$612)</f>
        <v>0</v>
      </c>
      <c r="Y617" s="430"/>
      <c r="Z617" s="430"/>
      <c r="AA617" s="430" t="b">
        <f>AND($N617,COUNTIF($W617:Z617,TRUE())=0,AA612=$N$612)</f>
        <v>0</v>
      </c>
      <c r="AB617" s="430" t="b">
        <f>AND($N617,COUNTIF($W617:AA617,TRUE())=0,AB612=$N$612)</f>
        <v>0</v>
      </c>
      <c r="AC617" s="430" t="b">
        <f>AND($N617,COUNTIF($W617:AB617,TRUE())=0,AC612=$N$612)</f>
        <v>0</v>
      </c>
      <c r="AD617" s="430" t="b">
        <f>AND($N617,COUNTIF($W617:AC617,TRUE())=0,AD612=$N$612)</f>
        <v>0</v>
      </c>
      <c r="AE617" s="430" t="b">
        <f>AND($N617,COUNTIF($W617:AD617,TRUE())=0,AE612=$N$612)</f>
        <v>0</v>
      </c>
      <c r="AF617" s="430" t="b">
        <f>AND($N617,COUNTIF($W617:AE617,TRUE())=0,AF612=$N$612)</f>
        <v>0</v>
      </c>
      <c r="AG617" s="430" t="b">
        <f>AND($N617,COUNTIF($W617:AF617,TRUE())=0,AG612=$N$612)</f>
        <v>0</v>
      </c>
      <c r="AH617" s="430"/>
      <c r="AI617" s="430"/>
      <c r="AJ617" s="430"/>
      <c r="AK617" s="430"/>
      <c r="AL617" s="430"/>
      <c r="AM617" s="430"/>
      <c r="AN617" s="430"/>
      <c r="AO617" s="430"/>
      <c r="AP617" s="430"/>
      <c r="AQ617" s="430"/>
      <c r="AR617" s="430"/>
      <c r="AS617" s="430"/>
      <c r="AT617" s="430"/>
      <c r="AU617" s="430"/>
      <c r="AV617" s="430"/>
      <c r="AW617" s="430"/>
      <c r="AX617" s="430"/>
      <c r="AY617" s="430"/>
      <c r="AZ617" s="430"/>
      <c r="BA617" s="430"/>
      <c r="BB617" s="430"/>
      <c r="BC617" s="430"/>
      <c r="BD617" s="430"/>
      <c r="BE617" s="430"/>
      <c r="BF617" s="430"/>
      <c r="BG617" s="430"/>
      <c r="BH617" s="430"/>
      <c r="BI617" s="430"/>
      <c r="BJ617" s="430"/>
      <c r="BK617" s="430"/>
      <c r="BL617" s="430"/>
      <c r="BM617" s="430"/>
      <c r="BN617" s="430"/>
      <c r="BO617" s="423"/>
      <c r="BP617" s="423"/>
      <c r="BQ617" s="423"/>
      <c r="BR617" s="423"/>
      <c r="BS617" s="423"/>
      <c r="BT617" s="423"/>
      <c r="BV617" s="430"/>
      <c r="BW617" s="430"/>
      <c r="BX617" s="430"/>
      <c r="BY617" s="430"/>
      <c r="BZ617" s="430"/>
      <c r="CA617" s="430"/>
      <c r="CB617" s="430"/>
      <c r="CC617" s="430"/>
      <c r="CD617" s="430"/>
      <c r="CE617" s="430"/>
      <c r="CF617" s="430"/>
      <c r="CG617" s="430"/>
      <c r="CH617" s="430"/>
      <c r="CI617" s="430"/>
      <c r="CJ617" s="430"/>
      <c r="CK617" s="430"/>
      <c r="CL617" s="430"/>
      <c r="CM617" s="430"/>
      <c r="CN617" s="430"/>
      <c r="CO617" s="430"/>
      <c r="CP617" s="430"/>
      <c r="CQ617" s="430"/>
      <c r="CR617" s="430"/>
      <c r="CS617" s="430"/>
      <c r="CT617" s="430"/>
      <c r="CU617" s="430"/>
    </row>
    <row r="618" spans="5:99" s="422" customFormat="1" hidden="1" x14ac:dyDescent="0.2">
      <c r="F618" s="423"/>
      <c r="G618" s="423"/>
      <c r="H618" s="423"/>
      <c r="I618" s="424"/>
      <c r="J618" s="424"/>
      <c r="K618" s="424"/>
      <c r="L618" s="425" t="s">
        <v>7</v>
      </c>
      <c r="M618" s="427">
        <f>SUM(Y619:Z619,AH619:AK619)</f>
        <v>40154</v>
      </c>
      <c r="N618" s="428" t="b">
        <f>K614&gt;0</f>
        <v>0</v>
      </c>
      <c r="O618" s="428"/>
      <c r="P618" s="428"/>
      <c r="Q618" s="428"/>
      <c r="R618" s="428"/>
      <c r="S618" s="428"/>
      <c r="T618" s="428"/>
      <c r="U618" s="428"/>
      <c r="V618" s="425" t="s">
        <v>3271</v>
      </c>
      <c r="W618" s="430"/>
      <c r="X618" s="430"/>
      <c r="Y618" s="430" t="b">
        <f>AND($N$618,Y614=$N$614)</f>
        <v>0</v>
      </c>
      <c r="Z618" s="430" t="b">
        <f>AND($N618,COUNTIF($Y618:Y618,TRUE())=0,Z614=$N$614)</f>
        <v>0</v>
      </c>
      <c r="AA618" s="430"/>
      <c r="AB618" s="430"/>
      <c r="AC618" s="430"/>
      <c r="AD618" s="430"/>
      <c r="AE618" s="430"/>
      <c r="AF618" s="430"/>
      <c r="AG618" s="430"/>
      <c r="AH618" s="430" t="b">
        <f>AND($N618,COUNTIF($Y618:AG618,TRUE())=0,AH614=$N$614)</f>
        <v>0</v>
      </c>
      <c r="AI618" s="430" t="b">
        <f>AND($N618,COUNTIF($Y618:AH618,TRUE())=0,AI614=$N$614)</f>
        <v>0</v>
      </c>
      <c r="AJ618" s="430" t="b">
        <f>AND($N618,COUNTIF($Y618:AI618,TRUE())=0,AJ614=$N$614)</f>
        <v>0</v>
      </c>
      <c r="AK618" s="430" t="b">
        <f>AND($N618,COUNTIF($Y618:AJ618,TRUE())=0,AK614=$N$614)</f>
        <v>0</v>
      </c>
      <c r="AL618" s="430"/>
      <c r="AM618" s="430"/>
      <c r="AN618" s="430"/>
      <c r="AO618" s="430"/>
      <c r="AP618" s="430"/>
      <c r="AQ618" s="430"/>
      <c r="AR618" s="430"/>
      <c r="AS618" s="430"/>
      <c r="AT618" s="430"/>
      <c r="AU618" s="430"/>
      <c r="AV618" s="430"/>
      <c r="AW618" s="430"/>
      <c r="AX618" s="430"/>
      <c r="AY618" s="430"/>
      <c r="AZ618" s="430"/>
      <c r="BA618" s="430"/>
      <c r="BB618" s="430"/>
      <c r="BC618" s="430"/>
      <c r="BD618" s="430"/>
      <c r="BE618" s="430"/>
      <c r="BF618" s="430"/>
      <c r="BG618" s="430"/>
      <c r="BH618" s="430"/>
      <c r="BI618" s="430"/>
      <c r="BJ618" s="430"/>
      <c r="BK618" s="430"/>
      <c r="BL618" s="430"/>
      <c r="BM618" s="430"/>
      <c r="BN618" s="430"/>
      <c r="BO618" s="423"/>
      <c r="BP618" s="423"/>
      <c r="BQ618" s="423"/>
      <c r="BR618" s="423"/>
      <c r="BS618" s="423"/>
      <c r="BT618" s="423"/>
      <c r="BV618" s="430"/>
      <c r="BW618" s="430"/>
      <c r="BX618" s="430"/>
      <c r="BY618" s="430"/>
      <c r="BZ618" s="430"/>
      <c r="CA618" s="430"/>
      <c r="CB618" s="430"/>
      <c r="CC618" s="430"/>
      <c r="CD618" s="430"/>
      <c r="CE618" s="430"/>
      <c r="CF618" s="430"/>
      <c r="CG618" s="430"/>
      <c r="CH618" s="430"/>
      <c r="CI618" s="430"/>
      <c r="CJ618" s="430"/>
      <c r="CK618" s="430"/>
      <c r="CL618" s="430"/>
      <c r="CM618" s="430"/>
      <c r="CN618" s="430"/>
      <c r="CO618" s="430"/>
      <c r="CP618" s="430"/>
      <c r="CQ618" s="430"/>
      <c r="CR618" s="430"/>
      <c r="CS618" s="430"/>
      <c r="CT618" s="430"/>
      <c r="CU618" s="430"/>
    </row>
    <row r="619" spans="5:99" s="422" customFormat="1" hidden="1" x14ac:dyDescent="0.2">
      <c r="F619" s="423"/>
      <c r="G619" s="423"/>
      <c r="H619" s="423"/>
      <c r="I619" s="424"/>
      <c r="J619" s="424"/>
      <c r="K619" s="427">
        <f>$J$614-M619</f>
        <v>0</v>
      </c>
      <c r="L619" s="425" t="s">
        <v>3267</v>
      </c>
      <c r="M619" s="427">
        <f>M617-M618</f>
        <v>6208</v>
      </c>
      <c r="N619" s="425"/>
      <c r="O619" s="425"/>
      <c r="P619" s="425"/>
      <c r="Q619" s="425"/>
      <c r="R619" s="425"/>
      <c r="S619" s="425"/>
      <c r="T619" s="425"/>
      <c r="U619" s="425"/>
      <c r="V619" s="425"/>
      <c r="W619" s="430">
        <f>IF(W617,W610-W612,W611)</f>
        <v>23525</v>
      </c>
      <c r="X619" s="430">
        <f>IF(X617,X610-X612,X611)</f>
        <v>5735</v>
      </c>
      <c r="Y619" s="430">
        <f>IF(Y618,Y$610-Y$614,Y611)</f>
        <v>6301</v>
      </c>
      <c r="Z619" s="430">
        <f>IF(Z618,Z$610-Z$614,Z611)</f>
        <v>100</v>
      </c>
      <c r="AA619" s="430">
        <f t="shared" ref="AA619:AG619" si="367">IF(AA617,AA610-AA612,AA611)</f>
        <v>500</v>
      </c>
      <c r="AB619" s="430">
        <f t="shared" si="367"/>
        <v>2000</v>
      </c>
      <c r="AC619" s="430">
        <f t="shared" si="367"/>
        <v>99</v>
      </c>
      <c r="AD619" s="430">
        <f t="shared" si="367"/>
        <v>1501</v>
      </c>
      <c r="AE619" s="430">
        <f t="shared" si="367"/>
        <v>5001</v>
      </c>
      <c r="AF619" s="430">
        <f t="shared" si="367"/>
        <v>3001</v>
      </c>
      <c r="AG619" s="430">
        <f t="shared" si="367"/>
        <v>5000</v>
      </c>
      <c r="AH619" s="430">
        <f>IF(AH618,AH610-AH614,AH611)</f>
        <v>28172</v>
      </c>
      <c r="AI619" s="430">
        <f>IF(AI618,AI610-AI614,AI611)</f>
        <v>457</v>
      </c>
      <c r="AJ619" s="430">
        <f>IF(AJ618,AJ610-AJ614,AJ611)</f>
        <v>5000</v>
      </c>
      <c r="AK619" s="430">
        <f>IF(AK618,AK610-AK614,AK611)</f>
        <v>124</v>
      </c>
      <c r="AL619" s="430"/>
      <c r="AM619" s="430"/>
      <c r="AN619" s="430"/>
      <c r="AO619" s="430"/>
      <c r="AP619" s="430"/>
      <c r="AQ619" s="430"/>
      <c r="AR619" s="430"/>
      <c r="AS619" s="430"/>
      <c r="AT619" s="430"/>
      <c r="AU619" s="430"/>
      <c r="AV619" s="430"/>
      <c r="AW619" s="430"/>
      <c r="AX619" s="430"/>
      <c r="AY619" s="430"/>
      <c r="AZ619" s="430"/>
      <c r="BA619" s="430"/>
      <c r="BB619" s="430"/>
      <c r="BC619" s="430"/>
      <c r="BD619" s="430"/>
      <c r="BE619" s="430"/>
      <c r="BF619" s="430"/>
      <c r="BG619" s="430"/>
      <c r="BH619" s="430"/>
      <c r="BI619" s="430"/>
      <c r="BJ619" s="430"/>
      <c r="BK619" s="430"/>
      <c r="BL619" s="430"/>
      <c r="BM619" s="430"/>
      <c r="BN619" s="430"/>
      <c r="BO619" s="423"/>
      <c r="BP619" s="423"/>
      <c r="BQ619" s="423"/>
      <c r="BR619" s="423"/>
      <c r="BS619" s="423"/>
      <c r="BT619" s="423"/>
      <c r="BV619" s="430"/>
      <c r="BW619" s="430"/>
      <c r="BX619" s="430"/>
      <c r="BY619" s="430"/>
      <c r="BZ619" s="430"/>
      <c r="CA619" s="430"/>
      <c r="CB619" s="430"/>
      <c r="CC619" s="430"/>
      <c r="CD619" s="430"/>
      <c r="CE619" s="430"/>
      <c r="CF619" s="430"/>
      <c r="CG619" s="430"/>
      <c r="CH619" s="430"/>
      <c r="CI619" s="430"/>
      <c r="CJ619" s="430"/>
      <c r="CK619" s="430"/>
      <c r="CL619" s="430"/>
      <c r="CM619" s="430"/>
      <c r="CN619" s="430"/>
      <c r="CO619" s="430"/>
      <c r="CP619" s="430"/>
      <c r="CQ619" s="430"/>
      <c r="CR619" s="430"/>
      <c r="CS619" s="430"/>
      <c r="CT619" s="430"/>
      <c r="CU619" s="430"/>
    </row>
    <row r="620" spans="5:99" s="422" customFormat="1" hidden="1" x14ac:dyDescent="0.2">
      <c r="F620" s="423"/>
      <c r="G620" s="423"/>
      <c r="H620" s="423"/>
      <c r="I620" s="424"/>
      <c r="J620" s="424"/>
      <c r="K620" s="424"/>
      <c r="L620" s="424"/>
      <c r="M620" s="424"/>
      <c r="N620" s="425"/>
      <c r="O620" s="425"/>
      <c r="P620" s="425"/>
      <c r="Q620" s="425"/>
      <c r="R620" s="425"/>
      <c r="S620" s="425"/>
      <c r="T620" s="425"/>
      <c r="U620" s="425"/>
      <c r="V620" s="425"/>
      <c r="W620" s="430"/>
      <c r="X620" s="430"/>
      <c r="Y620" s="430"/>
      <c r="Z620" s="430"/>
      <c r="AA620" s="430"/>
      <c r="AB620" s="430"/>
      <c r="AC620" s="430"/>
      <c r="AD620" s="430"/>
      <c r="AE620" s="430"/>
      <c r="AF620" s="430"/>
      <c r="AG620" s="430"/>
      <c r="AH620" s="430"/>
      <c r="AI620" s="430"/>
      <c r="AJ620" s="430"/>
      <c r="AK620" s="430"/>
      <c r="AL620" s="430"/>
      <c r="AM620" s="430"/>
      <c r="AN620" s="430"/>
      <c r="AO620" s="430"/>
      <c r="AP620" s="430"/>
      <c r="AQ620" s="430"/>
      <c r="AR620" s="430"/>
      <c r="AS620" s="430"/>
      <c r="AT620" s="430"/>
      <c r="AU620" s="430"/>
      <c r="AV620" s="430"/>
      <c r="AW620" s="430"/>
      <c r="AX620" s="430"/>
      <c r="AY620" s="430"/>
      <c r="AZ620" s="430"/>
      <c r="BA620" s="430"/>
      <c r="BB620" s="430"/>
      <c r="BC620" s="430"/>
      <c r="BD620" s="430"/>
      <c r="BE620" s="430"/>
      <c r="BF620" s="430"/>
      <c r="BG620" s="430"/>
      <c r="BH620" s="430"/>
      <c r="BI620" s="430"/>
      <c r="BJ620" s="430"/>
      <c r="BK620" s="430"/>
      <c r="BL620" s="430"/>
      <c r="BM620" s="430"/>
      <c r="BN620" s="430"/>
      <c r="BO620" s="423"/>
      <c r="BP620" s="423"/>
      <c r="BQ620" s="423"/>
      <c r="BR620" s="423"/>
      <c r="BS620" s="423"/>
      <c r="BT620" s="423"/>
      <c r="BV620" s="430"/>
      <c r="BW620" s="430"/>
      <c r="BX620" s="430"/>
      <c r="BY620" s="430"/>
      <c r="BZ620" s="430"/>
      <c r="CA620" s="430"/>
      <c r="CB620" s="430"/>
      <c r="CC620" s="430"/>
      <c r="CD620" s="430"/>
      <c r="CE620" s="430"/>
      <c r="CF620" s="430"/>
      <c r="CG620" s="430"/>
      <c r="CH620" s="430"/>
      <c r="CI620" s="430"/>
      <c r="CJ620" s="430"/>
      <c r="CK620" s="430"/>
      <c r="CL620" s="430"/>
      <c r="CM620" s="430"/>
      <c r="CN620" s="430"/>
      <c r="CO620" s="430"/>
      <c r="CP620" s="430"/>
      <c r="CQ620" s="430"/>
      <c r="CR620" s="430"/>
      <c r="CS620" s="430"/>
      <c r="CT620" s="430"/>
      <c r="CU620" s="430"/>
    </row>
    <row r="621" spans="5:99" s="422" customFormat="1" hidden="1" x14ac:dyDescent="0.2">
      <c r="F621" s="423"/>
      <c r="G621" s="423"/>
      <c r="H621" s="423"/>
      <c r="I621" s="424"/>
      <c r="J621" s="424"/>
      <c r="K621" s="424"/>
      <c r="L621" s="425" t="s">
        <v>6</v>
      </c>
      <c r="M621" s="427">
        <f>SUM(W623:X623,AA623:AG623)</f>
        <v>46362</v>
      </c>
      <c r="N621" s="428" t="b">
        <f>K619&lt;0</f>
        <v>0</v>
      </c>
      <c r="O621" s="428"/>
      <c r="P621" s="428"/>
      <c r="Q621" s="428"/>
      <c r="R621" s="428"/>
      <c r="S621" s="428"/>
      <c r="T621" s="428"/>
      <c r="U621" s="428"/>
      <c r="V621" s="426" t="s">
        <v>3266</v>
      </c>
      <c r="W621" s="430" t="b">
        <f>AND(N621,W612&lt;&gt;0,NOT(W617))</f>
        <v>0</v>
      </c>
      <c r="X621" s="430" t="b">
        <f>AND($N621,X612&lt;&gt;0,NOT(X617),COUNTIF($W621:W621,TRUE())=0)</f>
        <v>0</v>
      </c>
      <c r="Y621" s="430"/>
      <c r="Z621" s="430"/>
      <c r="AA621" s="430" t="b">
        <f>AND($N621,AA612&lt;&gt;0,NOT(AA617),COUNTIF($W621:Z621,TRUE())=0)</f>
        <v>0</v>
      </c>
      <c r="AB621" s="430" t="b">
        <f>AND($N621,AB612&lt;&gt;0,NOT(AB617),COUNTIF($W621:AA621,TRUE())=0)</f>
        <v>0</v>
      </c>
      <c r="AC621" s="430" t="b">
        <f>AND($N621,AC612&lt;&gt;0,NOT(AC617),COUNTIF($W621:AB621,TRUE())=0)</f>
        <v>0</v>
      </c>
      <c r="AD621" s="430" t="b">
        <f>AND($N621,AD612&lt;&gt;0,NOT(AD617),COUNTIF($W621:AC621,TRUE())=0)</f>
        <v>0</v>
      </c>
      <c r="AE621" s="430" t="b">
        <f>AND($N621,AE612&lt;&gt;0,NOT(AE617),COUNTIF($W621:AD621,TRUE())=0)</f>
        <v>0</v>
      </c>
      <c r="AF621" s="430" t="b">
        <f>AND($N621,AF612&lt;&gt;0,NOT(AF617),COUNTIF($W621:AE621,TRUE())=0)</f>
        <v>0</v>
      </c>
      <c r="AG621" s="430" t="b">
        <f>AND($N621,AG612&lt;&gt;0,NOT(AG617),COUNTIF($W621:AF621,TRUE())=0)</f>
        <v>0</v>
      </c>
      <c r="AH621" s="430"/>
      <c r="AI621" s="430"/>
      <c r="AJ621" s="430"/>
      <c r="AK621" s="430"/>
      <c r="AL621" s="430"/>
      <c r="AM621" s="430"/>
      <c r="AN621" s="430"/>
      <c r="AO621" s="430"/>
      <c r="AP621" s="430"/>
      <c r="AQ621" s="430"/>
      <c r="AR621" s="430"/>
      <c r="AS621" s="430"/>
      <c r="AT621" s="430"/>
      <c r="AU621" s="430"/>
      <c r="AV621" s="430"/>
      <c r="AW621" s="430"/>
      <c r="AX621" s="430"/>
      <c r="AY621" s="430"/>
      <c r="AZ621" s="430"/>
      <c r="BA621" s="430"/>
      <c r="BB621" s="430"/>
      <c r="BC621" s="430"/>
      <c r="BD621" s="430"/>
      <c r="BE621" s="430"/>
      <c r="BF621" s="430"/>
      <c r="BG621" s="430"/>
      <c r="BH621" s="430"/>
      <c r="BI621" s="430"/>
      <c r="BJ621" s="430"/>
      <c r="BK621" s="430"/>
      <c r="BL621" s="430"/>
      <c r="BM621" s="430"/>
      <c r="BN621" s="430"/>
      <c r="BO621" s="423"/>
      <c r="BP621" s="423"/>
      <c r="BQ621" s="423"/>
      <c r="BR621" s="423"/>
      <c r="BS621" s="423"/>
      <c r="BT621" s="423"/>
      <c r="BV621" s="430"/>
      <c r="BW621" s="430"/>
      <c r="BX621" s="430"/>
      <c r="BY621" s="430"/>
      <c r="BZ621" s="430"/>
      <c r="CA621" s="430"/>
      <c r="CB621" s="430"/>
      <c r="CC621" s="430"/>
      <c r="CD621" s="430"/>
      <c r="CE621" s="430"/>
      <c r="CF621" s="430"/>
      <c r="CG621" s="430"/>
      <c r="CH621" s="430"/>
      <c r="CI621" s="430"/>
      <c r="CJ621" s="430"/>
      <c r="CK621" s="430"/>
      <c r="CL621" s="430"/>
      <c r="CM621" s="430"/>
      <c r="CN621" s="430"/>
      <c r="CO621" s="430"/>
      <c r="CP621" s="430"/>
      <c r="CQ621" s="430"/>
      <c r="CR621" s="430"/>
      <c r="CS621" s="430"/>
      <c r="CT621" s="430"/>
      <c r="CU621" s="430"/>
    </row>
    <row r="622" spans="5:99" s="422" customFormat="1" hidden="1" x14ac:dyDescent="0.2">
      <c r="F622" s="423"/>
      <c r="G622" s="423"/>
      <c r="H622" s="423"/>
      <c r="I622" s="424"/>
      <c r="J622" s="424"/>
      <c r="K622" s="424"/>
      <c r="L622" s="425" t="s">
        <v>7</v>
      </c>
      <c r="M622" s="427">
        <f>SUM(Y623:Z623,AH623:AK623)</f>
        <v>40154</v>
      </c>
      <c r="N622" s="428" t="b">
        <f>K619&gt;0</f>
        <v>0</v>
      </c>
      <c r="O622" s="428"/>
      <c r="P622" s="428"/>
      <c r="Q622" s="428"/>
      <c r="R622" s="428"/>
      <c r="S622" s="428"/>
      <c r="T622" s="428"/>
      <c r="U622" s="428"/>
      <c r="V622" s="425" t="s">
        <v>3271</v>
      </c>
      <c r="W622" s="430"/>
      <c r="X622" s="430"/>
      <c r="Y622" s="430" t="b">
        <f>AND(N622,Y$614&lt;&gt;0,NOT(Y618))</f>
        <v>0</v>
      </c>
      <c r="Z622" s="430" t="b">
        <f>AND($N622,Z$614&lt;&gt;0,NOT(Z618),COUNTIF($Y622:Y622,TRUE())=0)</f>
        <v>0</v>
      </c>
      <c r="AA622" s="430"/>
      <c r="AB622" s="430"/>
      <c r="AC622" s="430"/>
      <c r="AD622" s="430"/>
      <c r="AE622" s="430"/>
      <c r="AF622" s="430"/>
      <c r="AG622" s="430"/>
      <c r="AH622" s="430" t="b">
        <f>AND($N622,AH$614&lt;&gt;0,NOT(AH618),COUNTIF($Y622:AG622,TRUE())=0)</f>
        <v>0</v>
      </c>
      <c r="AI622" s="430" t="b">
        <f>AND($N622,AI$614&lt;&gt;0,NOT(AI618),COUNTIF($Y622:AH622,TRUE())=0)</f>
        <v>0</v>
      </c>
      <c r="AJ622" s="430" t="b">
        <f>AND($N622,AJ$614&lt;&gt;0,NOT(AJ618),COUNTIF($Y622:AI622,TRUE())=0)</f>
        <v>0</v>
      </c>
      <c r="AK622" s="430" t="b">
        <f>AND($N622,AK$614&lt;&gt;0,NOT(AK618),COUNTIF($Y622:AJ622,TRUE())=0)</f>
        <v>0</v>
      </c>
      <c r="AL622" s="430"/>
      <c r="AM622" s="430"/>
      <c r="AN622" s="430"/>
      <c r="AO622" s="430"/>
      <c r="AP622" s="430"/>
      <c r="AQ622" s="430"/>
      <c r="AR622" s="430"/>
      <c r="AS622" s="430"/>
      <c r="AT622" s="430"/>
      <c r="AU622" s="430"/>
      <c r="AV622" s="430"/>
      <c r="AW622" s="430"/>
      <c r="AX622" s="430"/>
      <c r="AY622" s="430"/>
      <c r="AZ622" s="430"/>
      <c r="BA622" s="430"/>
      <c r="BB622" s="430"/>
      <c r="BC622" s="430"/>
      <c r="BD622" s="430"/>
      <c r="BE622" s="430"/>
      <c r="BF622" s="430"/>
      <c r="BG622" s="430"/>
      <c r="BH622" s="430"/>
      <c r="BI622" s="430"/>
      <c r="BJ622" s="430"/>
      <c r="BK622" s="430"/>
      <c r="BL622" s="430"/>
      <c r="BM622" s="430"/>
      <c r="BN622" s="430"/>
      <c r="BO622" s="423"/>
      <c r="BP622" s="423"/>
      <c r="BQ622" s="423"/>
      <c r="BR622" s="423"/>
      <c r="BS622" s="423"/>
      <c r="BT622" s="423"/>
      <c r="BV622" s="430"/>
      <c r="BW622" s="430"/>
      <c r="BX622" s="430"/>
      <c r="BY622" s="430"/>
      <c r="BZ622" s="430"/>
      <c r="CA622" s="430"/>
      <c r="CB622" s="430"/>
      <c r="CC622" s="430"/>
      <c r="CD622" s="430"/>
      <c r="CE622" s="430"/>
      <c r="CF622" s="430"/>
      <c r="CG622" s="430"/>
      <c r="CH622" s="430"/>
      <c r="CI622" s="430"/>
      <c r="CJ622" s="430"/>
      <c r="CK622" s="430"/>
      <c r="CL622" s="430"/>
      <c r="CM622" s="430"/>
      <c r="CN622" s="430"/>
      <c r="CO622" s="430"/>
      <c r="CP622" s="430"/>
      <c r="CQ622" s="430"/>
      <c r="CR622" s="430"/>
      <c r="CS622" s="430"/>
      <c r="CT622" s="430"/>
      <c r="CU622" s="430"/>
    </row>
    <row r="623" spans="5:99" s="422" customFormat="1" hidden="1" x14ac:dyDescent="0.2">
      <c r="F623" s="423"/>
      <c r="G623" s="423"/>
      <c r="H623" s="423"/>
      <c r="I623" s="424"/>
      <c r="J623" s="424"/>
      <c r="K623" s="427">
        <f>$J$614-M623</f>
        <v>0</v>
      </c>
      <c r="L623" s="425" t="s">
        <v>3267</v>
      </c>
      <c r="M623" s="427">
        <f>M621-M622</f>
        <v>6208</v>
      </c>
      <c r="N623" s="425"/>
      <c r="O623" s="425"/>
      <c r="P623" s="425"/>
      <c r="Q623" s="425"/>
      <c r="R623" s="425"/>
      <c r="S623" s="425"/>
      <c r="T623" s="425"/>
      <c r="U623" s="425"/>
      <c r="V623" s="424"/>
      <c r="W623" s="430">
        <f>IF(W621,W610-W612,W619)</f>
        <v>23525</v>
      </c>
      <c r="X623" s="430">
        <f>IF(X621,X610-X612,X619)</f>
        <v>5735</v>
      </c>
      <c r="Y623" s="430">
        <f>IF(Y622,Y$610-Y$614,Y619)</f>
        <v>6301</v>
      </c>
      <c r="Z623" s="430">
        <f>IF(Z622,Z$610-Z$614,Z619)</f>
        <v>100</v>
      </c>
      <c r="AA623" s="430">
        <f t="shared" ref="AA623:AG623" si="368">IF(AA621,AA610-AA612,AA619)</f>
        <v>500</v>
      </c>
      <c r="AB623" s="430">
        <f t="shared" si="368"/>
        <v>2000</v>
      </c>
      <c r="AC623" s="430">
        <f t="shared" si="368"/>
        <v>99</v>
      </c>
      <c r="AD623" s="430">
        <f t="shared" si="368"/>
        <v>1501</v>
      </c>
      <c r="AE623" s="430">
        <f t="shared" si="368"/>
        <v>5001</v>
      </c>
      <c r="AF623" s="430">
        <f t="shared" si="368"/>
        <v>3001</v>
      </c>
      <c r="AG623" s="430">
        <f t="shared" si="368"/>
        <v>5000</v>
      </c>
      <c r="AH623" s="430">
        <f t="shared" ref="AH623:AK623" si="369">IF(AH622,AH$610-AH$614,AH619)</f>
        <v>28172</v>
      </c>
      <c r="AI623" s="430">
        <f t="shared" si="369"/>
        <v>457</v>
      </c>
      <c r="AJ623" s="430">
        <f t="shared" si="369"/>
        <v>5000</v>
      </c>
      <c r="AK623" s="430">
        <f t="shared" si="369"/>
        <v>124</v>
      </c>
      <c r="AL623" s="430"/>
      <c r="AM623" s="430"/>
      <c r="AN623" s="430"/>
      <c r="AO623" s="430"/>
      <c r="AP623" s="430"/>
      <c r="AQ623" s="430"/>
      <c r="AR623" s="430"/>
      <c r="AS623" s="430"/>
      <c r="AT623" s="430"/>
      <c r="AU623" s="430"/>
      <c r="AV623" s="430"/>
      <c r="AW623" s="430"/>
      <c r="AX623" s="430"/>
      <c r="AY623" s="430"/>
      <c r="AZ623" s="430"/>
      <c r="BA623" s="430"/>
      <c r="BB623" s="430"/>
      <c r="BC623" s="430"/>
      <c r="BD623" s="430"/>
      <c r="BE623" s="430"/>
      <c r="BF623" s="430"/>
      <c r="BG623" s="430"/>
      <c r="BH623" s="430"/>
      <c r="BI623" s="430"/>
      <c r="BJ623" s="430"/>
      <c r="BK623" s="430"/>
      <c r="BL623" s="430"/>
      <c r="BM623" s="430"/>
      <c r="BN623" s="430"/>
      <c r="BO623" s="423"/>
      <c r="BP623" s="423"/>
      <c r="BQ623" s="423"/>
      <c r="BR623" s="423"/>
      <c r="BS623" s="423"/>
      <c r="BT623" s="423"/>
      <c r="BV623" s="430"/>
      <c r="BW623" s="430"/>
      <c r="BX623" s="430"/>
      <c r="BY623" s="430"/>
      <c r="BZ623" s="430"/>
      <c r="CA623" s="430"/>
      <c r="CB623" s="430"/>
      <c r="CC623" s="430"/>
      <c r="CD623" s="430"/>
      <c r="CE623" s="430"/>
      <c r="CF623" s="430"/>
      <c r="CG623" s="430"/>
      <c r="CH623" s="430"/>
      <c r="CI623" s="430"/>
      <c r="CJ623" s="430"/>
      <c r="CK623" s="430"/>
      <c r="CL623" s="430"/>
      <c r="CM623" s="430"/>
      <c r="CN623" s="430"/>
      <c r="CO623" s="430"/>
      <c r="CP623" s="430"/>
      <c r="CQ623" s="430"/>
      <c r="CR623" s="430"/>
      <c r="CS623" s="430"/>
      <c r="CT623" s="430"/>
      <c r="CU623" s="430"/>
    </row>
    <row r="624" spans="5:99" s="422" customFormat="1" hidden="1" x14ac:dyDescent="0.2">
      <c r="F624" s="423"/>
      <c r="G624" s="423"/>
      <c r="H624" s="423"/>
      <c r="I624" s="424"/>
      <c r="J624" s="424"/>
      <c r="K624" s="424"/>
      <c r="L624" s="424"/>
      <c r="M624" s="424"/>
      <c r="N624" s="425"/>
      <c r="O624" s="425"/>
      <c r="P624" s="425"/>
      <c r="Q624" s="425"/>
      <c r="R624" s="425"/>
      <c r="S624" s="425"/>
      <c r="T624" s="425"/>
      <c r="U624" s="425"/>
      <c r="V624" s="425"/>
      <c r="W624" s="430"/>
      <c r="X624" s="430"/>
      <c r="Y624" s="430"/>
      <c r="Z624" s="430"/>
      <c r="AA624" s="430"/>
      <c r="AB624" s="430"/>
      <c r="AC624" s="430"/>
      <c r="AD624" s="430"/>
      <c r="AE624" s="430"/>
      <c r="AF624" s="430"/>
      <c r="AG624" s="430"/>
      <c r="AH624" s="430"/>
      <c r="AI624" s="430"/>
      <c r="AJ624" s="430"/>
      <c r="AK624" s="430"/>
      <c r="AL624" s="430"/>
      <c r="AM624" s="430"/>
      <c r="AN624" s="430"/>
      <c r="AO624" s="430"/>
      <c r="AP624" s="430"/>
      <c r="AQ624" s="430"/>
      <c r="AR624" s="430"/>
      <c r="AS624" s="430"/>
      <c r="AT624" s="430"/>
      <c r="AU624" s="430"/>
      <c r="AV624" s="430"/>
      <c r="AW624" s="430"/>
      <c r="AX624" s="430"/>
      <c r="AY624" s="430"/>
      <c r="AZ624" s="430"/>
      <c r="BA624" s="430"/>
      <c r="BB624" s="430"/>
      <c r="BC624" s="430"/>
      <c r="BD624" s="430"/>
      <c r="BE624" s="430"/>
      <c r="BF624" s="430"/>
      <c r="BG624" s="430"/>
      <c r="BH624" s="430"/>
      <c r="BI624" s="430"/>
      <c r="BJ624" s="430"/>
      <c r="BK624" s="430"/>
      <c r="BL624" s="430"/>
      <c r="BM624" s="430"/>
      <c r="BN624" s="430"/>
      <c r="BO624" s="423"/>
      <c r="BP624" s="423"/>
      <c r="BQ624" s="423"/>
      <c r="BR624" s="423"/>
      <c r="BS624" s="423"/>
      <c r="BT624" s="423"/>
      <c r="BV624" s="430"/>
      <c r="BW624" s="430"/>
      <c r="BX624" s="430"/>
      <c r="BY624" s="430"/>
      <c r="BZ624" s="430"/>
      <c r="CA624" s="430"/>
      <c r="CB624" s="430"/>
      <c r="CC624" s="430"/>
      <c r="CD624" s="430"/>
      <c r="CE624" s="430"/>
      <c r="CF624" s="430"/>
      <c r="CG624" s="430"/>
      <c r="CH624" s="430"/>
      <c r="CI624" s="430"/>
      <c r="CJ624" s="430"/>
      <c r="CK624" s="430"/>
      <c r="CL624" s="430"/>
      <c r="CM624" s="430"/>
      <c r="CN624" s="430"/>
      <c r="CO624" s="430"/>
      <c r="CP624" s="430"/>
      <c r="CQ624" s="430"/>
      <c r="CR624" s="430"/>
      <c r="CS624" s="430"/>
      <c r="CT624" s="430"/>
      <c r="CU624" s="430"/>
    </row>
    <row r="625" spans="6:99" s="422" customFormat="1" hidden="1" x14ac:dyDescent="0.2">
      <c r="F625" s="423"/>
      <c r="G625" s="423"/>
      <c r="H625" s="423"/>
      <c r="I625" s="424"/>
      <c r="J625" s="424"/>
      <c r="K625" s="424"/>
      <c r="L625" s="425" t="s">
        <v>6</v>
      </c>
      <c r="M625" s="427">
        <f>SUM(W627:X627,AA627:AG627)</f>
        <v>46362</v>
      </c>
      <c r="N625" s="428" t="b">
        <f>K623&lt;0</f>
        <v>0</v>
      </c>
      <c r="O625" s="428"/>
      <c r="P625" s="428"/>
      <c r="Q625" s="428"/>
      <c r="R625" s="428"/>
      <c r="S625" s="428"/>
      <c r="T625" s="428"/>
      <c r="U625" s="428"/>
      <c r="V625" s="426" t="s">
        <v>3266</v>
      </c>
      <c r="W625" s="430" t="b">
        <f>AND(N625,W612&lt;&gt;0,NOT(W617),NOT(W621))</f>
        <v>0</v>
      </c>
      <c r="X625" s="430" t="b">
        <f>AND($N625,X612&lt;&gt;0,NOT(X617),NOT(X621),COUNTIF($W625:W625,TRUE())=0)</f>
        <v>0</v>
      </c>
      <c r="Y625" s="430"/>
      <c r="Z625" s="430"/>
      <c r="AA625" s="430" t="b">
        <f>AND($N625,AA612&lt;&gt;0,NOT(AA617),NOT(AA621),COUNTIF($W625:Z625,TRUE())=0)</f>
        <v>0</v>
      </c>
      <c r="AB625" s="430" t="b">
        <f>AND($N625,AB612&lt;&gt;0,NOT(AB617),NOT(AB621),COUNTIF($W625:AA625,TRUE())=0)</f>
        <v>0</v>
      </c>
      <c r="AC625" s="430" t="b">
        <f>AND($N625,AC612&lt;&gt;0,NOT(AC617),NOT(AC621),COUNTIF($W625:AB625,TRUE())=0)</f>
        <v>0</v>
      </c>
      <c r="AD625" s="430" t="b">
        <f>AND($N625,AD612&lt;&gt;0,NOT(AD617),NOT(AD621),COUNTIF($W625:AC625,TRUE())=0)</f>
        <v>0</v>
      </c>
      <c r="AE625" s="430" t="b">
        <f>AND($N625,AE612&lt;&gt;0,NOT(AE617),NOT(AE621),COUNTIF($W625:AD625,TRUE())=0)</f>
        <v>0</v>
      </c>
      <c r="AF625" s="430" t="b">
        <f>AND($N625,AF612&lt;&gt;0,NOT(AF617),NOT(AF621),COUNTIF($W625:AE625,TRUE())=0)</f>
        <v>0</v>
      </c>
      <c r="AG625" s="430" t="b">
        <f>AND($N625,AG612&lt;&gt;0,NOT(AG617),NOT(AG621),COUNTIF($W625:AF625,TRUE())=0)</f>
        <v>0</v>
      </c>
      <c r="AH625" s="430"/>
      <c r="AI625" s="430"/>
      <c r="AJ625" s="430"/>
      <c r="AK625" s="430"/>
      <c r="AL625" s="430"/>
      <c r="AM625" s="430"/>
      <c r="AN625" s="430"/>
      <c r="AO625" s="430"/>
      <c r="AP625" s="430"/>
      <c r="AQ625" s="430"/>
      <c r="AR625" s="430"/>
      <c r="AS625" s="430"/>
      <c r="AT625" s="430"/>
      <c r="AU625" s="430"/>
      <c r="AV625" s="430"/>
      <c r="AW625" s="430"/>
      <c r="AX625" s="430"/>
      <c r="AY625" s="430"/>
      <c r="AZ625" s="430"/>
      <c r="BA625" s="430"/>
      <c r="BB625" s="430"/>
      <c r="BC625" s="430"/>
      <c r="BD625" s="430"/>
      <c r="BE625" s="430"/>
      <c r="BF625" s="430"/>
      <c r="BG625" s="430"/>
      <c r="BH625" s="430"/>
      <c r="BI625" s="430"/>
      <c r="BJ625" s="430"/>
      <c r="BK625" s="430"/>
      <c r="BL625" s="430"/>
      <c r="BM625" s="430"/>
      <c r="BN625" s="430"/>
      <c r="BO625" s="423"/>
      <c r="BP625" s="423"/>
      <c r="BQ625" s="423"/>
      <c r="BR625" s="423"/>
      <c r="BS625" s="423"/>
      <c r="BT625" s="423"/>
      <c r="BV625" s="430"/>
      <c r="BW625" s="430"/>
      <c r="BX625" s="430"/>
      <c r="BY625" s="430"/>
      <c r="BZ625" s="430"/>
      <c r="CA625" s="430"/>
      <c r="CB625" s="430"/>
      <c r="CC625" s="430"/>
      <c r="CD625" s="430"/>
      <c r="CE625" s="430"/>
      <c r="CF625" s="430"/>
      <c r="CG625" s="430"/>
      <c r="CH625" s="430"/>
      <c r="CI625" s="430"/>
      <c r="CJ625" s="430"/>
      <c r="CK625" s="430"/>
      <c r="CL625" s="430"/>
      <c r="CM625" s="430"/>
      <c r="CN625" s="430"/>
      <c r="CO625" s="430"/>
      <c r="CP625" s="430"/>
      <c r="CQ625" s="430"/>
      <c r="CR625" s="430"/>
      <c r="CS625" s="430"/>
      <c r="CT625" s="430"/>
      <c r="CU625" s="430"/>
    </row>
    <row r="626" spans="6:99" s="422" customFormat="1" hidden="1" x14ac:dyDescent="0.2">
      <c r="F626" s="423"/>
      <c r="G626" s="423"/>
      <c r="H626" s="423"/>
      <c r="I626" s="424"/>
      <c r="J626" s="424"/>
      <c r="K626" s="424"/>
      <c r="L626" s="425" t="s">
        <v>7</v>
      </c>
      <c r="M626" s="427">
        <f>SUM(Y627:Z627,AH627:AK627)</f>
        <v>40154</v>
      </c>
      <c r="N626" s="428" t="b">
        <f>K623&gt;0</f>
        <v>0</v>
      </c>
      <c r="O626" s="428"/>
      <c r="P626" s="428"/>
      <c r="Q626" s="428"/>
      <c r="R626" s="428"/>
      <c r="S626" s="428"/>
      <c r="T626" s="428"/>
      <c r="U626" s="428"/>
      <c r="V626" s="425" t="s">
        <v>3271</v>
      </c>
      <c r="W626" s="430"/>
      <c r="X626" s="430"/>
      <c r="Y626" s="430" t="b">
        <f>AND(N626,Y$614&lt;&gt;0,NOT(Y618),NOT(Y622))</f>
        <v>0</v>
      </c>
      <c r="Z626" s="430" t="b">
        <f>AND($N626,Z$614&lt;&gt;0,NOT(Z618),NOT(Z622),COUNTIF($Y626:Y626,TRUE())=0)</f>
        <v>0</v>
      </c>
      <c r="AA626" s="430"/>
      <c r="AB626" s="430"/>
      <c r="AC626" s="430"/>
      <c r="AD626" s="430"/>
      <c r="AE626" s="430"/>
      <c r="AF626" s="430"/>
      <c r="AG626" s="430"/>
      <c r="AH626" s="430" t="b">
        <f>AND($N626,AH$614&lt;&gt;0,NOT(AH618),NOT(AH622),COUNTIF($Y626:AG626,TRUE())=0)</f>
        <v>0</v>
      </c>
      <c r="AI626" s="430" t="b">
        <f>AND($N626,AI$614&lt;&gt;0,NOT(AI618),NOT(AI622),COUNTIF($Y626:AH626,TRUE())=0)</f>
        <v>0</v>
      </c>
      <c r="AJ626" s="430" t="b">
        <f>AND($N626,AJ$614&lt;&gt;0,NOT(AJ618),NOT(AJ622),COUNTIF($Y626:AI626,TRUE())=0)</f>
        <v>0</v>
      </c>
      <c r="AK626" s="430" t="b">
        <f>AND($N626,AK$614&lt;&gt;0,NOT(AK618),NOT(AK622),COUNTIF($Y626:AJ626,TRUE())=0)</f>
        <v>0</v>
      </c>
      <c r="AL626" s="430"/>
      <c r="AM626" s="430"/>
      <c r="AN626" s="430"/>
      <c r="AO626" s="430"/>
      <c r="AP626" s="430"/>
      <c r="AQ626" s="430"/>
      <c r="AR626" s="430"/>
      <c r="AS626" s="430"/>
      <c r="AT626" s="430"/>
      <c r="AU626" s="430"/>
      <c r="AV626" s="430"/>
      <c r="AW626" s="430"/>
      <c r="AX626" s="430"/>
      <c r="AY626" s="430"/>
      <c r="AZ626" s="430"/>
      <c r="BA626" s="430"/>
      <c r="BB626" s="430"/>
      <c r="BC626" s="430"/>
      <c r="BD626" s="430"/>
      <c r="BE626" s="430"/>
      <c r="BF626" s="430"/>
      <c r="BG626" s="430"/>
      <c r="BH626" s="430"/>
      <c r="BI626" s="430"/>
      <c r="BJ626" s="430"/>
      <c r="BK626" s="430"/>
      <c r="BL626" s="430"/>
      <c r="BM626" s="430"/>
      <c r="BN626" s="430"/>
      <c r="BO626" s="423"/>
      <c r="BP626" s="423"/>
      <c r="BQ626" s="423"/>
      <c r="BR626" s="423"/>
      <c r="BS626" s="423"/>
      <c r="BT626" s="423"/>
      <c r="BV626" s="430"/>
      <c r="BW626" s="430"/>
      <c r="BX626" s="430"/>
      <c r="BY626" s="430"/>
      <c r="BZ626" s="430"/>
      <c r="CA626" s="430"/>
      <c r="CB626" s="430"/>
      <c r="CC626" s="430"/>
      <c r="CD626" s="430"/>
      <c r="CE626" s="430"/>
      <c r="CF626" s="430"/>
      <c r="CG626" s="430"/>
      <c r="CH626" s="430"/>
      <c r="CI626" s="430"/>
      <c r="CJ626" s="430"/>
      <c r="CK626" s="430"/>
      <c r="CL626" s="430"/>
      <c r="CM626" s="430"/>
      <c r="CN626" s="430"/>
      <c r="CO626" s="430"/>
      <c r="CP626" s="430"/>
      <c r="CQ626" s="430"/>
      <c r="CR626" s="430"/>
      <c r="CS626" s="430"/>
      <c r="CT626" s="430"/>
      <c r="CU626" s="430"/>
    </row>
    <row r="627" spans="6:99" s="422" customFormat="1" hidden="1" x14ac:dyDescent="0.2">
      <c r="F627" s="423"/>
      <c r="G627" s="423"/>
      <c r="H627" s="423"/>
      <c r="I627" s="424"/>
      <c r="J627" s="424"/>
      <c r="K627" s="427">
        <f>$J$614-M627</f>
        <v>0</v>
      </c>
      <c r="L627" s="425" t="s">
        <v>3267</v>
      </c>
      <c r="M627" s="427">
        <f>M625-M626</f>
        <v>6208</v>
      </c>
      <c r="N627" s="425"/>
      <c r="O627" s="425"/>
      <c r="P627" s="425"/>
      <c r="Q627" s="425"/>
      <c r="R627" s="425"/>
      <c r="S627" s="425"/>
      <c r="T627" s="425"/>
      <c r="U627" s="425"/>
      <c r="V627" s="424"/>
      <c r="W627" s="430">
        <f>IF(W625,W610-W612,W623)</f>
        <v>23525</v>
      </c>
      <c r="X627" s="430">
        <f>IF(X625,X610-X612,X623)</f>
        <v>5735</v>
      </c>
      <c r="Y627" s="430">
        <f>IF(Y626,Y$610-Y$614,Y623)</f>
        <v>6301</v>
      </c>
      <c r="Z627" s="430">
        <f>IF(Z626,Z$610-Z$614,Z623)</f>
        <v>100</v>
      </c>
      <c r="AA627" s="430">
        <f t="shared" ref="AA627:AG627" si="370">IF(AA625,AA610-AA612,AA623)</f>
        <v>500</v>
      </c>
      <c r="AB627" s="430">
        <f t="shared" si="370"/>
        <v>2000</v>
      </c>
      <c r="AC627" s="430">
        <f t="shared" si="370"/>
        <v>99</v>
      </c>
      <c r="AD627" s="430">
        <f t="shared" si="370"/>
        <v>1501</v>
      </c>
      <c r="AE627" s="430">
        <f t="shared" si="370"/>
        <v>5001</v>
      </c>
      <c r="AF627" s="430">
        <f t="shared" si="370"/>
        <v>3001</v>
      </c>
      <c r="AG627" s="430">
        <f t="shared" si="370"/>
        <v>5000</v>
      </c>
      <c r="AH627" s="430">
        <f t="shared" ref="AH627:AK627" si="371">IF(AH626,AH$610-AH$614,AH623)</f>
        <v>28172</v>
      </c>
      <c r="AI627" s="430">
        <f t="shared" si="371"/>
        <v>457</v>
      </c>
      <c r="AJ627" s="430">
        <f t="shared" si="371"/>
        <v>5000</v>
      </c>
      <c r="AK627" s="430">
        <f t="shared" si="371"/>
        <v>124</v>
      </c>
      <c r="AL627" s="430"/>
      <c r="AM627" s="430"/>
      <c r="AN627" s="430"/>
      <c r="AO627" s="430"/>
      <c r="AP627" s="430"/>
      <c r="AQ627" s="430"/>
      <c r="AR627" s="430"/>
      <c r="AS627" s="430"/>
      <c r="AT627" s="430"/>
      <c r="AU627" s="430"/>
      <c r="AV627" s="430"/>
      <c r="AW627" s="430"/>
      <c r="AX627" s="430"/>
      <c r="AY627" s="430"/>
      <c r="AZ627" s="430"/>
      <c r="BA627" s="430"/>
      <c r="BB627" s="430"/>
      <c r="BC627" s="430"/>
      <c r="BD627" s="430"/>
      <c r="BE627" s="430"/>
      <c r="BF627" s="430"/>
      <c r="BG627" s="430"/>
      <c r="BH627" s="430"/>
      <c r="BI627" s="430"/>
      <c r="BJ627" s="430"/>
      <c r="BK627" s="430"/>
      <c r="BL627" s="430"/>
      <c r="BM627" s="430"/>
      <c r="BN627" s="430"/>
      <c r="BO627" s="423"/>
      <c r="BP627" s="423"/>
      <c r="BQ627" s="423"/>
      <c r="BR627" s="423"/>
      <c r="BS627" s="423"/>
      <c r="BT627" s="423"/>
      <c r="BV627" s="430"/>
      <c r="BW627" s="430"/>
      <c r="BX627" s="430"/>
      <c r="BY627" s="430"/>
      <c r="BZ627" s="430"/>
      <c r="CA627" s="430"/>
      <c r="CB627" s="430"/>
      <c r="CC627" s="430"/>
      <c r="CD627" s="430"/>
      <c r="CE627" s="430"/>
      <c r="CF627" s="430"/>
      <c r="CG627" s="430"/>
      <c r="CH627" s="430"/>
      <c r="CI627" s="430"/>
      <c r="CJ627" s="430"/>
      <c r="CK627" s="430"/>
      <c r="CL627" s="430"/>
      <c r="CM627" s="430"/>
      <c r="CN627" s="430"/>
      <c r="CO627" s="430"/>
      <c r="CP627" s="430"/>
      <c r="CQ627" s="430"/>
      <c r="CR627" s="430"/>
      <c r="CS627" s="430"/>
      <c r="CT627" s="430"/>
      <c r="CU627" s="430"/>
    </row>
    <row r="628" spans="6:99" s="422" customFormat="1" hidden="1" x14ac:dyDescent="0.2">
      <c r="F628" s="423"/>
      <c r="G628" s="423"/>
      <c r="H628" s="423"/>
      <c r="I628" s="424"/>
      <c r="J628" s="424"/>
      <c r="K628" s="424"/>
      <c r="L628" s="424"/>
      <c r="M628" s="424"/>
      <c r="N628" s="425"/>
      <c r="O628" s="425"/>
      <c r="P628" s="425"/>
      <c r="Q628" s="425"/>
      <c r="R628" s="425"/>
      <c r="S628" s="425"/>
      <c r="T628" s="425"/>
      <c r="U628" s="425"/>
      <c r="V628" s="425"/>
      <c r="W628" s="430"/>
      <c r="X628" s="430"/>
      <c r="Y628" s="430"/>
      <c r="Z628" s="430"/>
      <c r="AA628" s="430"/>
      <c r="AB628" s="430"/>
      <c r="AC628" s="430"/>
      <c r="AD628" s="430"/>
      <c r="AE628" s="430"/>
      <c r="AF628" s="430"/>
      <c r="AG628" s="430"/>
      <c r="AH628" s="430"/>
      <c r="AI628" s="430"/>
      <c r="AJ628" s="430"/>
      <c r="AK628" s="430"/>
      <c r="AL628" s="430"/>
      <c r="AM628" s="430"/>
      <c r="AN628" s="430"/>
      <c r="AO628" s="430"/>
      <c r="AP628" s="430"/>
      <c r="AQ628" s="430"/>
      <c r="AR628" s="430"/>
      <c r="AS628" s="430"/>
      <c r="AT628" s="430"/>
      <c r="AU628" s="430"/>
      <c r="AV628" s="430"/>
      <c r="AW628" s="430"/>
      <c r="AX628" s="430"/>
      <c r="AY628" s="430"/>
      <c r="AZ628" s="430"/>
      <c r="BA628" s="430"/>
      <c r="BB628" s="430"/>
      <c r="BC628" s="430"/>
      <c r="BD628" s="430"/>
      <c r="BE628" s="430"/>
      <c r="BF628" s="430"/>
      <c r="BG628" s="430"/>
      <c r="BH628" s="430"/>
      <c r="BI628" s="430"/>
      <c r="BJ628" s="430"/>
      <c r="BK628" s="430"/>
      <c r="BL628" s="430"/>
      <c r="BM628" s="430"/>
      <c r="BN628" s="430"/>
      <c r="BO628" s="423"/>
      <c r="BP628" s="423"/>
      <c r="BQ628" s="423"/>
      <c r="BR628" s="423"/>
      <c r="BS628" s="423"/>
      <c r="BT628" s="423"/>
      <c r="BV628" s="430"/>
      <c r="BW628" s="430"/>
      <c r="BX628" s="430"/>
      <c r="BY628" s="430"/>
      <c r="BZ628" s="430"/>
      <c r="CA628" s="430"/>
      <c r="CB628" s="430"/>
      <c r="CC628" s="430"/>
      <c r="CD628" s="430"/>
      <c r="CE628" s="430"/>
      <c r="CF628" s="430"/>
      <c r="CG628" s="430"/>
      <c r="CH628" s="430"/>
      <c r="CI628" s="430"/>
      <c r="CJ628" s="430"/>
      <c r="CK628" s="430"/>
      <c r="CL628" s="430"/>
      <c r="CM628" s="430"/>
      <c r="CN628" s="430"/>
      <c r="CO628" s="430"/>
      <c r="CP628" s="430"/>
      <c r="CQ628" s="430"/>
      <c r="CR628" s="430"/>
      <c r="CS628" s="430"/>
      <c r="CT628" s="430"/>
      <c r="CU628" s="430"/>
    </row>
    <row r="629" spans="6:99" s="422" customFormat="1" hidden="1" x14ac:dyDescent="0.2">
      <c r="F629" s="423"/>
      <c r="G629" s="423"/>
      <c r="H629" s="423"/>
      <c r="I629" s="424"/>
      <c r="J629" s="424"/>
      <c r="K629" s="424"/>
      <c r="L629" s="425" t="s">
        <v>6</v>
      </c>
      <c r="M629" s="427">
        <f>SUM(W631:X631,AA631:AG631)</f>
        <v>46362</v>
      </c>
      <c r="N629" s="428" t="b">
        <f>K627&lt;0</f>
        <v>0</v>
      </c>
      <c r="O629" s="428"/>
      <c r="P629" s="428"/>
      <c r="Q629" s="428"/>
      <c r="R629" s="428"/>
      <c r="S629" s="428"/>
      <c r="T629" s="428"/>
      <c r="U629" s="428"/>
      <c r="V629" s="426" t="s">
        <v>3266</v>
      </c>
      <c r="W629" s="430" t="b">
        <f>AND(N629,W612&lt;&gt;0,NOT(W617),NOT(W621),NOT(W625))</f>
        <v>0</v>
      </c>
      <c r="X629" s="430" t="b">
        <f>AND($N629,X612&lt;&gt;0,NOT(X617),NOT(X621),NOT(X625),COUNTIF($W629:W629,TRUE())=0)</f>
        <v>0</v>
      </c>
      <c r="Y629" s="430"/>
      <c r="Z629" s="430"/>
      <c r="AA629" s="430" t="b">
        <f>AND($N629,AA612&lt;&gt;0,NOT(AA617),NOT(AA621),NOT(AA625),COUNTIF($W629:Z629,TRUE())=0)</f>
        <v>0</v>
      </c>
      <c r="AB629" s="430" t="b">
        <f>AND($N629,AB612&lt;&gt;0,NOT(AB617),NOT(AB621),NOT(AB625),COUNTIF($W629:AA629,TRUE())=0)</f>
        <v>0</v>
      </c>
      <c r="AC629" s="430" t="b">
        <f>AND($N629,AC612&lt;&gt;0,NOT(AC617),NOT(AC621),NOT(AC625),COUNTIF($W629:AB629,TRUE())=0)</f>
        <v>0</v>
      </c>
      <c r="AD629" s="430" t="b">
        <f>AND($N629,AD612&lt;&gt;0,NOT(AD617),NOT(AD621),NOT(AD625),COUNTIF($W629:AC629,TRUE())=0)</f>
        <v>0</v>
      </c>
      <c r="AE629" s="430" t="b">
        <f>AND($N629,AE612&lt;&gt;0,NOT(AE617),NOT(AE621),NOT(AE625),COUNTIF($W629:AD629,TRUE())=0)</f>
        <v>0</v>
      </c>
      <c r="AF629" s="430" t="b">
        <f>AND($N629,AF612&lt;&gt;0,NOT(AF617),NOT(AF621),NOT(AF625),COUNTIF($W629:AE629,TRUE())=0)</f>
        <v>0</v>
      </c>
      <c r="AG629" s="430" t="b">
        <f>AND($N629,AG612&lt;&gt;0,NOT(AG617),NOT(AG621),NOT(AG625),COUNTIF($W629:AF629,TRUE())=0)</f>
        <v>0</v>
      </c>
      <c r="AH629" s="430"/>
      <c r="AI629" s="430"/>
      <c r="AJ629" s="430"/>
      <c r="AK629" s="430"/>
      <c r="AL629" s="430"/>
      <c r="AM629" s="430"/>
      <c r="AN629" s="430"/>
      <c r="AO629" s="430"/>
      <c r="AP629" s="430"/>
      <c r="AQ629" s="430"/>
      <c r="AR629" s="430"/>
      <c r="AS629" s="430"/>
      <c r="AT629" s="430"/>
      <c r="AU629" s="430"/>
      <c r="AV629" s="430"/>
      <c r="AW629" s="430"/>
      <c r="AX629" s="430"/>
      <c r="AY629" s="430"/>
      <c r="AZ629" s="430"/>
      <c r="BA629" s="430"/>
      <c r="BB629" s="430"/>
      <c r="BC629" s="430"/>
      <c r="BD629" s="430"/>
      <c r="BE629" s="430"/>
      <c r="BF629" s="430"/>
      <c r="BG629" s="430"/>
      <c r="BH629" s="430"/>
      <c r="BI629" s="430"/>
      <c r="BJ629" s="430"/>
      <c r="BK629" s="430"/>
      <c r="BL629" s="430"/>
      <c r="BM629" s="430"/>
      <c r="BN629" s="430"/>
      <c r="BO629" s="423"/>
      <c r="BP629" s="423"/>
      <c r="BQ629" s="423"/>
      <c r="BR629" s="423"/>
      <c r="BS629" s="423"/>
      <c r="BT629" s="423"/>
      <c r="BV629" s="430"/>
      <c r="BW629" s="430"/>
      <c r="BX629" s="430"/>
      <c r="BY629" s="430"/>
      <c r="BZ629" s="430"/>
      <c r="CA629" s="430"/>
      <c r="CB629" s="430"/>
      <c r="CC629" s="430"/>
      <c r="CD629" s="430"/>
      <c r="CE629" s="430"/>
      <c r="CF629" s="430"/>
      <c r="CG629" s="430"/>
      <c r="CH629" s="430"/>
      <c r="CI629" s="430"/>
      <c r="CJ629" s="430"/>
      <c r="CK629" s="430"/>
      <c r="CL629" s="430"/>
      <c r="CM629" s="430"/>
      <c r="CN629" s="430"/>
      <c r="CO629" s="430"/>
      <c r="CP629" s="430"/>
      <c r="CQ629" s="430"/>
      <c r="CR629" s="430"/>
      <c r="CS629" s="430"/>
      <c r="CT629" s="430"/>
      <c r="CU629" s="430"/>
    </row>
    <row r="630" spans="6:99" s="422" customFormat="1" hidden="1" x14ac:dyDescent="0.2">
      <c r="F630" s="423"/>
      <c r="G630" s="423"/>
      <c r="H630" s="423"/>
      <c r="I630" s="424"/>
      <c r="J630" s="424"/>
      <c r="K630" s="424"/>
      <c r="L630" s="425" t="s">
        <v>7</v>
      </c>
      <c r="M630" s="427">
        <f>SUM(Y631:Z631,AH631:AK631)</f>
        <v>40154</v>
      </c>
      <c r="N630" s="428" t="b">
        <f>K627&gt;0</f>
        <v>0</v>
      </c>
      <c r="O630" s="428"/>
      <c r="P630" s="428"/>
      <c r="Q630" s="428"/>
      <c r="R630" s="428"/>
      <c r="S630" s="428"/>
      <c r="T630" s="428"/>
      <c r="U630" s="428"/>
      <c r="V630" s="425" t="s">
        <v>3271</v>
      </c>
      <c r="W630" s="430"/>
      <c r="X630" s="430"/>
      <c r="Y630" s="430" t="b">
        <f>AND(N630,Y$614&lt;&gt;0,NOT(Y618),NOT(Y622),NOT(Y626))</f>
        <v>0</v>
      </c>
      <c r="Z630" s="430" t="b">
        <f>AND($N630,Z$614&lt;&gt;0,NOT(Z618),NOT(Z622),NOT(Z626),COUNTIF($Y630:Y630,TRUE())=0)</f>
        <v>0</v>
      </c>
      <c r="AA630" s="430"/>
      <c r="AB630" s="430"/>
      <c r="AC630" s="430"/>
      <c r="AD630" s="430"/>
      <c r="AE630" s="430"/>
      <c r="AF630" s="430"/>
      <c r="AG630" s="430"/>
      <c r="AH630" s="430" t="b">
        <f>AND($N630,AH$614&lt;&gt;0,NOT(AH618),NOT(AH622),NOT(AH626),COUNTIF($Y630:AG630,TRUE())=0)</f>
        <v>0</v>
      </c>
      <c r="AI630" s="430" t="b">
        <f>AND($N630,AI$614&lt;&gt;0,NOT(AI618),NOT(AI622),NOT(AI626),COUNTIF($Y630:AH630,TRUE())=0)</f>
        <v>0</v>
      </c>
      <c r="AJ630" s="430" t="b">
        <f>AND($N630,AJ$614&lt;&gt;0,NOT(AJ618),NOT(AJ622),NOT(AJ626),COUNTIF($Y630:AI630,TRUE())=0)</f>
        <v>0</v>
      </c>
      <c r="AK630" s="430" t="b">
        <f>AND($N630,AK$614&lt;&gt;0,NOT(AK618),NOT(AK622),NOT(AK626),COUNTIF($Y630:AJ630,TRUE())=0)</f>
        <v>0</v>
      </c>
      <c r="AL630" s="430"/>
      <c r="AM630" s="430"/>
      <c r="AN630" s="430"/>
      <c r="AO630" s="430"/>
      <c r="AP630" s="430"/>
      <c r="AQ630" s="430"/>
      <c r="AR630" s="430"/>
      <c r="AS630" s="430"/>
      <c r="AT630" s="430"/>
      <c r="AU630" s="430"/>
      <c r="AV630" s="430"/>
      <c r="AW630" s="430"/>
      <c r="AX630" s="430"/>
      <c r="AY630" s="430"/>
      <c r="AZ630" s="430"/>
      <c r="BA630" s="430"/>
      <c r="BB630" s="430"/>
      <c r="BC630" s="430"/>
      <c r="BD630" s="430"/>
      <c r="BE630" s="430"/>
      <c r="BF630" s="430"/>
      <c r="BG630" s="430"/>
      <c r="BH630" s="430"/>
      <c r="BI630" s="430"/>
      <c r="BJ630" s="430"/>
      <c r="BK630" s="430"/>
      <c r="BL630" s="430"/>
      <c r="BM630" s="430"/>
      <c r="BN630" s="430"/>
      <c r="BO630" s="423"/>
      <c r="BP630" s="423"/>
      <c r="BQ630" s="423"/>
      <c r="BR630" s="423"/>
      <c r="BS630" s="423"/>
      <c r="BT630" s="423"/>
      <c r="BV630" s="430"/>
      <c r="BW630" s="430"/>
      <c r="BX630" s="430"/>
      <c r="BY630" s="430"/>
      <c r="BZ630" s="430"/>
      <c r="CA630" s="430"/>
      <c r="CB630" s="430"/>
      <c r="CC630" s="430"/>
      <c r="CD630" s="430"/>
      <c r="CE630" s="430"/>
      <c r="CF630" s="430"/>
      <c r="CG630" s="430"/>
      <c r="CH630" s="430"/>
      <c r="CI630" s="430"/>
      <c r="CJ630" s="430"/>
      <c r="CK630" s="430"/>
      <c r="CL630" s="430"/>
      <c r="CM630" s="430"/>
      <c r="CN630" s="430"/>
      <c r="CO630" s="430"/>
      <c r="CP630" s="430"/>
      <c r="CQ630" s="430"/>
      <c r="CR630" s="430"/>
      <c r="CS630" s="430"/>
      <c r="CT630" s="430"/>
      <c r="CU630" s="430"/>
    </row>
    <row r="631" spans="6:99" s="422" customFormat="1" hidden="1" x14ac:dyDescent="0.2">
      <c r="F631" s="423"/>
      <c r="G631" s="423"/>
      <c r="H631" s="423"/>
      <c r="I631" s="424"/>
      <c r="J631" s="424"/>
      <c r="K631" s="427">
        <f>$J$614-M631</f>
        <v>0</v>
      </c>
      <c r="L631" s="425" t="s">
        <v>3267</v>
      </c>
      <c r="M631" s="427">
        <f>M629-M630</f>
        <v>6208</v>
      </c>
      <c r="N631" s="425"/>
      <c r="O631" s="425"/>
      <c r="P631" s="425"/>
      <c r="Q631" s="425"/>
      <c r="R631" s="425"/>
      <c r="S631" s="425"/>
      <c r="T631" s="425"/>
      <c r="U631" s="425"/>
      <c r="V631" s="424"/>
      <c r="W631" s="430">
        <f>IF(W629,W610-W612,W627)</f>
        <v>23525</v>
      </c>
      <c r="X631" s="430">
        <f>IF(X629,X610-X612,X627)</f>
        <v>5735</v>
      </c>
      <c r="Y631" s="430">
        <f>IF(Y630,Y$610-Y$614,Y627)</f>
        <v>6301</v>
      </c>
      <c r="Z631" s="430">
        <f>IF(Z630,Z$610-Z$614,Z627)</f>
        <v>100</v>
      </c>
      <c r="AA631" s="430">
        <f t="shared" ref="AA631:AG631" si="372">IF(AA629,AA610-AA612,AA627)</f>
        <v>500</v>
      </c>
      <c r="AB631" s="430">
        <f t="shared" si="372"/>
        <v>2000</v>
      </c>
      <c r="AC631" s="430">
        <f t="shared" si="372"/>
        <v>99</v>
      </c>
      <c r="AD631" s="430">
        <f t="shared" si="372"/>
        <v>1501</v>
      </c>
      <c r="AE631" s="430">
        <f t="shared" si="372"/>
        <v>5001</v>
      </c>
      <c r="AF631" s="430">
        <f t="shared" si="372"/>
        <v>3001</v>
      </c>
      <c r="AG631" s="430">
        <f t="shared" si="372"/>
        <v>5000</v>
      </c>
      <c r="AH631" s="430">
        <f t="shared" ref="AH631:AK631" si="373">IF(AH630,AH$610-AH$614,AH627)</f>
        <v>28172</v>
      </c>
      <c r="AI631" s="430">
        <f t="shared" si="373"/>
        <v>457</v>
      </c>
      <c r="AJ631" s="430">
        <f t="shared" si="373"/>
        <v>5000</v>
      </c>
      <c r="AK631" s="430">
        <f t="shared" si="373"/>
        <v>124</v>
      </c>
      <c r="AL631" s="430"/>
      <c r="AM631" s="430"/>
      <c r="AN631" s="430"/>
      <c r="AO631" s="430"/>
      <c r="AP631" s="430"/>
      <c r="AQ631" s="430"/>
      <c r="AR631" s="430"/>
      <c r="AS631" s="430"/>
      <c r="AT631" s="430"/>
      <c r="AU631" s="430"/>
      <c r="AV631" s="430"/>
      <c r="AW631" s="430"/>
      <c r="AX631" s="430"/>
      <c r="AY631" s="430"/>
      <c r="AZ631" s="430"/>
      <c r="BA631" s="430"/>
      <c r="BB631" s="430"/>
      <c r="BC631" s="430"/>
      <c r="BD631" s="430"/>
      <c r="BE631" s="430"/>
      <c r="BF631" s="430"/>
      <c r="BG631" s="430"/>
      <c r="BH631" s="430"/>
      <c r="BI631" s="430"/>
      <c r="BJ631" s="430"/>
      <c r="BK631" s="430"/>
      <c r="BL631" s="430"/>
      <c r="BM631" s="430"/>
      <c r="BN631" s="430"/>
      <c r="BO631" s="423"/>
      <c r="BP631" s="423"/>
      <c r="BQ631" s="423"/>
      <c r="BR631" s="423"/>
      <c r="BS631" s="423"/>
      <c r="BT631" s="423"/>
      <c r="BV631" s="430"/>
      <c r="BW631" s="430"/>
      <c r="BX631" s="430"/>
      <c r="BY631" s="430"/>
      <c r="BZ631" s="430"/>
      <c r="CA631" s="430"/>
      <c r="CB631" s="430"/>
      <c r="CC631" s="430"/>
      <c r="CD631" s="430"/>
      <c r="CE631" s="430"/>
      <c r="CF631" s="430"/>
      <c r="CG631" s="430"/>
      <c r="CH631" s="430"/>
      <c r="CI631" s="430"/>
      <c r="CJ631" s="430"/>
      <c r="CK631" s="430"/>
      <c r="CL631" s="430"/>
      <c r="CM631" s="430"/>
      <c r="CN631" s="430"/>
      <c r="CO631" s="430"/>
      <c r="CP631" s="430"/>
      <c r="CQ631" s="430"/>
      <c r="CR631" s="430"/>
      <c r="CS631" s="430"/>
      <c r="CT631" s="430"/>
      <c r="CU631" s="430"/>
    </row>
  </sheetData>
  <sheetProtection sheet="1" objects="1" scenarios="1"/>
  <autoFilter ref="A4:BR608" xr:uid="{00000000-0009-0000-0000-000003000000}"/>
  <mergeCells count="61">
    <mergeCell ref="BO1:BT1"/>
    <mergeCell ref="AW1:BE1"/>
    <mergeCell ref="AW607:BE607"/>
    <mergeCell ref="AW608:BE608"/>
    <mergeCell ref="BF1:BM1"/>
    <mergeCell ref="BF607:BM607"/>
    <mergeCell ref="BF608:BM608"/>
    <mergeCell ref="AL607:AS607"/>
    <mergeCell ref="AL608:AS608"/>
    <mergeCell ref="AT1:AV1"/>
    <mergeCell ref="AT607:AV607"/>
    <mergeCell ref="AT608:AV608"/>
    <mergeCell ref="AL1:AS1"/>
    <mergeCell ref="Y608:Z608"/>
    <mergeCell ref="AH608:AK608"/>
    <mergeCell ref="W608:X608"/>
    <mergeCell ref="AA608:AG608"/>
    <mergeCell ref="W607:X607"/>
    <mergeCell ref="Y607:Z607"/>
    <mergeCell ref="AA607:AG607"/>
    <mergeCell ref="E607:I607"/>
    <mergeCell ref="AK2:AK3"/>
    <mergeCell ref="AH1:AK1"/>
    <mergeCell ref="AH2:AH3"/>
    <mergeCell ref="AI2:AI3"/>
    <mergeCell ref="AJ2:AJ3"/>
    <mergeCell ref="AC2:AC3"/>
    <mergeCell ref="AA1:AG1"/>
    <mergeCell ref="Y1:Z2"/>
    <mergeCell ref="AF2:AF3"/>
    <mergeCell ref="AG2:AG3"/>
    <mergeCell ref="AD2:AE3"/>
    <mergeCell ref="L607:M607"/>
    <mergeCell ref="O607:P607"/>
    <mergeCell ref="R607:S607"/>
    <mergeCell ref="AH607:AK607"/>
    <mergeCell ref="A1:D1"/>
    <mergeCell ref="E1:F1"/>
    <mergeCell ref="AA2:AA3"/>
    <mergeCell ref="AB2:AB3"/>
    <mergeCell ref="I2:K2"/>
    <mergeCell ref="E2:E3"/>
    <mergeCell ref="F2:F3"/>
    <mergeCell ref="W1:X2"/>
    <mergeCell ref="L2:N2"/>
    <mergeCell ref="O2:Q2"/>
    <mergeCell ref="R2:T2"/>
    <mergeCell ref="I1:T1"/>
    <mergeCell ref="G1:H1"/>
    <mergeCell ref="BV608:CB608"/>
    <mergeCell ref="CC608:CE608"/>
    <mergeCell ref="CF608:CM608"/>
    <mergeCell ref="CN608:CU608"/>
    <mergeCell ref="BV1:CB1"/>
    <mergeCell ref="CC1:CE1"/>
    <mergeCell ref="CF1:CM1"/>
    <mergeCell ref="CN1:CU1"/>
    <mergeCell ref="BV607:CB607"/>
    <mergeCell ref="CC607:CE607"/>
    <mergeCell ref="CF607:CM607"/>
    <mergeCell ref="CN607:CU607"/>
  </mergeCells>
  <phoneticPr fontId="0" type="noConversion"/>
  <conditionalFormatting sqref="A6:A605">
    <cfRule type="expression" dxfId="17" priority="55" stopIfTrue="1">
      <formula>BO6</formula>
    </cfRule>
  </conditionalFormatting>
  <conditionalFormatting sqref="E607:I607">
    <cfRule type="notContainsBlanks" dxfId="16" priority="3" stopIfTrue="1">
      <formula>LEN(TRIM(E607))&gt;0</formula>
    </cfRule>
  </conditionalFormatting>
  <conditionalFormatting sqref="N6:N8 T6:U8 K6:K605 Q6:Q605 T7:T605 N9:U605">
    <cfRule type="cellIs" dxfId="15" priority="66" stopIfTrue="1" operator="lessThan">
      <formula>0</formula>
    </cfRule>
  </conditionalFormatting>
  <conditionalFormatting sqref="N616:BN631 BV616:CU631">
    <cfRule type="cellIs" dxfId="14" priority="2" stopIfTrue="1" operator="equal">
      <formula>TRUE</formula>
    </cfRule>
  </conditionalFormatting>
  <conditionalFormatting sqref="BR5 BO6:BT605">
    <cfRule type="cellIs" dxfId="13" priority="64" stopIfTrue="1" operator="equal">
      <formula>FALSE</formula>
    </cfRule>
    <cfRule type="cellIs" dxfId="12" priority="65" stopIfTrue="1" operator="equal">
      <formula>TRUE</formula>
    </cfRule>
  </conditionalFormatting>
  <dataValidations count="8">
    <dataValidation type="whole" operator="greaterThanOrEqual" allowBlank="1" showErrorMessage="1" errorTitle="Chybná hodnota" error="Je nutné zadat celé nezáporné číslo._x000a__x000a_Záporná čísla nebo čísla s desetinnou částí jsou nepřípustná._x000a_" sqref="K5" xr:uid="{00000000-0002-0000-0300-000004000000}">
      <formula1>0</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6:E605" xr:uid="{00000000-0002-0000-0300-000000000000}">
      <formula1>Klasifikace</formula1>
    </dataValidation>
    <dataValidation type="list" allowBlank="1" showErrorMessage="1" errorTitle="Nepovolená hodnota" error="Zadána nepovolená hodnota._x000a__x000a_Lze zadat pouze hodnoty ze seznamů uvedených na záložce &quot;Povolené hodnoty&quot;._x000a_" sqref="F6:F605" xr:uid="{00000000-0002-0000-0300-000001000000}">
      <formula1>Označení</formula1>
    </dataValidation>
    <dataValidation type="whole" operator="greaterThan" allowBlank="1" showErrorMessage="1" errorTitle="Chybná hodnota" error="Je nutné zadat celé kladné číslo._x000a__x000a_Záporná čísla, nula nebo čísla s desetinnou částí jsou nepřípustná._x000a_" sqref="I6:J605" xr:uid="{00000000-0002-0000-0300-000002000000}">
      <formula1>0</formula1>
    </dataValidation>
    <dataValidation type="decimal" operator="greaterThan" allowBlank="1" showErrorMessage="1" errorTitle="Neplatná hodnota" error="Je nutné zadat kladné číslo._x000a__x000a_Záporná čísla nebo nula jsou nepřípustná._x000a_" sqref="L6:M605 R6:S605 O6:P605" xr:uid="{00000000-0002-0000-0300-000003000000}">
      <formula1>0</formula1>
    </dataValidation>
    <dataValidation type="decimal" operator="greaterThanOrEqual" allowBlank="1" showErrorMessage="1" errorTitle="Chybná hodnota" error="Je nutné zadat nezáporné číslo._x000a__x000a_Záporná čísla jsou nepřípustná._x000a_" sqref="N5 Q5 T5" xr:uid="{00000000-0002-0000-0300-000005000000}">
      <formula1>0</formula1>
    </dataValidation>
    <dataValidation type="list" allowBlank="1" showErrorMessage="1" errorTitle="Nepovolená hodnota" error="Zadána nepovolená hodnota._x000a__x000a_Lze zadat pouze hodnoty ze seznamů uvedených na záložce &quot;Povolené hodnoty&quot;._x000a_" sqref="G6:G605" xr:uid="{8CD8CD5F-6C16-4E47-A2E6-7619D63543BE}">
      <formula1>Typ_cinnosti</formula1>
    </dataValidation>
    <dataValidation type="list" allowBlank="1" showInputMessage="1" showErrorMessage="1" sqref="H6:H605" xr:uid="{E0DCB63C-FEA5-4B9A-968B-B76F65E86C91}">
      <formula1>Typ_pohybu</formula1>
    </dataValidation>
  </dataValidations>
  <printOptions horizontalCentered="1"/>
  <pageMargins left="0.82677165354330717" right="0.23622047244094491" top="0.39370078740157483" bottom="0.15748031496062992" header="0.15748031496062992" footer="0.35433070866141736"/>
  <pageSetup paperSize="9" orientation="landscape" horizontalDpi="360" verticalDpi="180" r:id="rId1"/>
  <headerFooter alignWithMargins="0"/>
  <colBreaks count="1" manualBreakCount="1">
    <brk id="21" max="1048575" man="1"/>
  </colBreaks>
  <ignoredErrors>
    <ignoredError sqref="K606 AQ6:AQ605"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73421-ECFF-43C0-BAB7-45D80E7C0F78}">
  <sheetPr codeName="List7">
    <tabColor theme="0"/>
  </sheetPr>
  <dimension ref="B2:Y21"/>
  <sheetViews>
    <sheetView workbookViewId="0">
      <selection activeCell="C2" sqref="C2"/>
    </sheetView>
  </sheetViews>
  <sheetFormatPr defaultRowHeight="15" x14ac:dyDescent="0.2"/>
  <cols>
    <col min="1" max="1" width="2.85546875" style="378" customWidth="1"/>
    <col min="2" max="7" width="15.85546875" style="378" customWidth="1"/>
    <col min="8" max="8" width="2.85546875" style="378" customWidth="1"/>
    <col min="9" max="9" width="2" style="378" hidden="1" customWidth="1"/>
    <col min="10" max="10" width="5.85546875" style="378" hidden="1" customWidth="1"/>
    <col min="11" max="11" width="2" style="378" hidden="1" customWidth="1"/>
    <col min="12" max="12" width="10.42578125" style="378" hidden="1" customWidth="1"/>
    <col min="13" max="13" width="2" style="378" hidden="1" customWidth="1"/>
    <col min="14" max="14" width="10.140625" style="378" hidden="1" customWidth="1"/>
    <col min="15" max="15" width="2" style="378" hidden="1" customWidth="1"/>
    <col min="16" max="16" width="8.42578125" style="378" hidden="1" customWidth="1"/>
    <col min="17" max="17" width="2" style="378" hidden="1" customWidth="1"/>
    <col min="18" max="18" width="5.85546875" style="378" hidden="1" customWidth="1"/>
    <col min="19" max="19" width="2" style="378" hidden="1" customWidth="1"/>
    <col min="20" max="20" width="5.42578125" style="378" hidden="1" customWidth="1"/>
    <col min="21" max="21" width="2.85546875" style="378" hidden="1" customWidth="1"/>
    <col min="22" max="22" width="11.140625" style="378" hidden="1" customWidth="1"/>
    <col min="23" max="23" width="11.42578125" style="378" hidden="1" customWidth="1"/>
    <col min="24" max="24" width="10.140625" style="378" hidden="1" customWidth="1"/>
    <col min="25" max="25" width="38.5703125" style="378" hidden="1" customWidth="1"/>
    <col min="26" max="16384" width="9.140625" style="378"/>
  </cols>
  <sheetData>
    <row r="2" spans="2:25" x14ac:dyDescent="0.2">
      <c r="B2" s="378" t="s">
        <v>647</v>
      </c>
      <c r="C2" s="387">
        <v>1</v>
      </c>
    </row>
    <row r="3" spans="2:25" x14ac:dyDescent="0.2">
      <c r="B3" s="378" t="s">
        <v>648</v>
      </c>
      <c r="C3" s="388">
        <f>VLOOKUP(VLOOKUP("P"&amp;C2,pokladna,20,FALSE),datumovka,2,FALSE)</f>
        <v>44941</v>
      </c>
    </row>
    <row r="4" spans="2:25" x14ac:dyDescent="0.2">
      <c r="B4" s="378" t="s">
        <v>649</v>
      </c>
      <c r="C4" s="389">
        <f>VLOOKUP("P"&amp;C2,pokladna,7,FALSE)-VLOOKUP("P"&amp;C2,pokladna,8,FALSE)</f>
        <v>2000</v>
      </c>
    </row>
    <row r="5" spans="2:25" x14ac:dyDescent="0.2">
      <c r="B5" s="378" t="s">
        <v>650</v>
      </c>
      <c r="C5" s="390" t="str">
        <f>IF(VLOOKUP("P"&amp;C2,pokladna,19,FALSE)="",VLOOKUP("P"&amp;C2,pokladna,2,FALSE),VLOOKUP("P"&amp;C2,pokladna,19,FALSE))</f>
        <v>Vybráno od členů</v>
      </c>
    </row>
    <row r="6" spans="2:25" x14ac:dyDescent="0.2">
      <c r="B6" s="378" t="s">
        <v>3426</v>
      </c>
      <c r="C6" s="404"/>
    </row>
    <row r="8" spans="2:25" ht="15.75" x14ac:dyDescent="0.2">
      <c r="B8" s="605" t="str">
        <f>IF(C4&lt;0,"VÝDAJOVÝ POKLADNÍ DOKLAD","PŘÍJMOVÝ POKLADNÍ DOKLAD")</f>
        <v>PŘÍJMOVÝ POKLADNÍ DOKLAD</v>
      </c>
      <c r="C8" s="605"/>
      <c r="D8" s="605"/>
      <c r="E8" s="379" t="s">
        <v>584</v>
      </c>
      <c r="F8" s="391" t="str">
        <f>"P"&amp;C2&amp;"/"&amp;YEAR(Deník!B6)</f>
        <v>P1/2023</v>
      </c>
    </row>
    <row r="9" spans="2:25" x14ac:dyDescent="0.2">
      <c r="B9" s="392" t="s">
        <v>586</v>
      </c>
      <c r="C9" s="393"/>
      <c r="D9" s="394"/>
      <c r="E9" s="392" t="str">
        <f>IF(B8="PŘÍJMOVÝ POKLADNÍ DOKLAD"," Přijato od"," Vydáno (komu)")</f>
        <v xml:space="preserve"> Přijato od</v>
      </c>
      <c r="F9" s="395"/>
      <c r="G9" s="394"/>
      <c r="I9" s="614" t="s">
        <v>596</v>
      </c>
      <c r="J9" s="615"/>
      <c r="K9" s="614" t="s">
        <v>597</v>
      </c>
      <c r="L9" s="615"/>
      <c r="M9" s="614" t="s">
        <v>643</v>
      </c>
      <c r="N9" s="615"/>
      <c r="O9" s="614" t="s">
        <v>598</v>
      </c>
      <c r="P9" s="615"/>
      <c r="Q9" s="614" t="s">
        <v>599</v>
      </c>
      <c r="R9" s="615"/>
      <c r="S9" s="614" t="s">
        <v>640</v>
      </c>
      <c r="T9" s="615"/>
      <c r="U9" s="264"/>
      <c r="V9" s="380" t="s">
        <v>601</v>
      </c>
      <c r="W9" s="381" t="e">
        <f>MID($B$17,$W$16-5,1)</f>
        <v>#VALUE!</v>
      </c>
      <c r="X9" s="111" t="e">
        <f>IF(W9="0","",VLOOKUP(W9+0,$O$10:$P$18,2,FALSE))</f>
        <v>#VALUE!</v>
      </c>
      <c r="Y9" s="111"/>
    </row>
    <row r="10" spans="2:25" ht="18.75" customHeight="1" x14ac:dyDescent="0.2">
      <c r="B10" s="607" t="str">
        <f>" "&amp;'Základní údaje'!B10</f>
        <v xml:space="preserve"> SH ČMS - Sbor dobrovolných hasičů Osík</v>
      </c>
      <c r="C10" s="608"/>
      <c r="D10" s="609"/>
      <c r="E10" s="607"/>
      <c r="F10" s="608"/>
      <c r="G10" s="609"/>
      <c r="I10" s="382">
        <v>1</v>
      </c>
      <c r="J10" s="383" t="s">
        <v>630</v>
      </c>
      <c r="K10" s="382">
        <v>1</v>
      </c>
      <c r="L10" s="111" t="s">
        <v>613</v>
      </c>
      <c r="M10" s="384">
        <v>0</v>
      </c>
      <c r="N10" s="383" t="s">
        <v>613</v>
      </c>
      <c r="O10" s="384">
        <v>1</v>
      </c>
      <c r="P10" s="383" t="s">
        <v>603</v>
      </c>
      <c r="Q10" s="382">
        <v>1</v>
      </c>
      <c r="R10" s="111" t="s">
        <v>638</v>
      </c>
      <c r="S10" s="384">
        <v>0</v>
      </c>
      <c r="T10" s="383" t="s">
        <v>602</v>
      </c>
      <c r="U10" s="111"/>
      <c r="V10" s="380" t="s">
        <v>600</v>
      </c>
      <c r="W10" s="381">
        <f>IF(LEN($B$17)&gt;4,MID($B$17,$W$16-4,1),0)</f>
        <v>0</v>
      </c>
      <c r="X10" s="111" t="e">
        <f>IF(W10="0","",IF(W10="1",VLOOKUP(W11+0,$M$10:$N$19,2,FALSE),VLOOKUP(W10+0,$K$10:$L$18,2,FALSE)))</f>
        <v>#N/A</v>
      </c>
      <c r="Y10" s="111"/>
    </row>
    <row r="11" spans="2:25" ht="18.75" customHeight="1" x14ac:dyDescent="0.2">
      <c r="B11" s="610" t="str">
        <f>" "&amp;'Základní údaje'!B14</f>
        <v xml:space="preserve"> Osík</v>
      </c>
      <c r="C11" s="611"/>
      <c r="D11" s="612"/>
      <c r="E11" s="610"/>
      <c r="F11" s="611"/>
      <c r="G11" s="612"/>
      <c r="I11" s="382">
        <v>2</v>
      </c>
      <c r="J11" s="383" t="s">
        <v>642</v>
      </c>
      <c r="K11" s="382">
        <v>2</v>
      </c>
      <c r="L11" s="111" t="s">
        <v>604</v>
      </c>
      <c r="M11" s="384">
        <v>1</v>
      </c>
      <c r="N11" s="383" t="s">
        <v>614</v>
      </c>
      <c r="O11" s="384">
        <v>2</v>
      </c>
      <c r="P11" s="383" t="s">
        <v>605</v>
      </c>
      <c r="Q11" s="382">
        <v>2</v>
      </c>
      <c r="R11" s="111" t="s">
        <v>639</v>
      </c>
      <c r="S11" s="384">
        <v>1</v>
      </c>
      <c r="T11" s="383" t="s">
        <v>602</v>
      </c>
      <c r="U11" s="111"/>
      <c r="V11" s="380" t="s">
        <v>599</v>
      </c>
      <c r="W11" s="381" t="str">
        <f>MID($B$17,$W$16-3,1)</f>
        <v>2</v>
      </c>
      <c r="X11" s="111" t="str">
        <f>IF($W$16=4,IF($W$16="1","",VLOOKUP(W11+0,$Q$10:$R$18,2,FALSE)),IF(W11="0","",IF(W10="1","",VLOOKUP(W11+0,$Q$10:$R$18,2,FALSE))))</f>
        <v>Dva</v>
      </c>
      <c r="Y11" s="385" t="str">
        <f>IF(W10="1",T10,VLOOKUP(W11+0,$S$10:$T$19,2,FALSE))</f>
        <v>tisíce</v>
      </c>
    </row>
    <row r="12" spans="2:25" ht="18.75" customHeight="1" x14ac:dyDescent="0.2">
      <c r="B12" s="610" t="str">
        <f>" "&amp;'Základní údaje'!B17&amp;" "&amp;'Základní údaje'!B16</f>
        <v xml:space="preserve"> 56967 Osík</v>
      </c>
      <c r="C12" s="611"/>
      <c r="D12" s="612"/>
      <c r="E12" s="610"/>
      <c r="F12" s="611"/>
      <c r="G12" s="612"/>
      <c r="I12" s="382">
        <v>3</v>
      </c>
      <c r="J12" s="383" t="s">
        <v>631</v>
      </c>
      <c r="K12" s="382">
        <v>3</v>
      </c>
      <c r="L12" s="111" t="s">
        <v>623</v>
      </c>
      <c r="M12" s="384">
        <v>2</v>
      </c>
      <c r="N12" s="383" t="s">
        <v>615</v>
      </c>
      <c r="O12" s="384">
        <v>3</v>
      </c>
      <c r="P12" s="383" t="s">
        <v>606</v>
      </c>
      <c r="Q12" s="382">
        <v>3</v>
      </c>
      <c r="R12" s="111" t="s">
        <v>631</v>
      </c>
      <c r="S12" s="384">
        <v>2</v>
      </c>
      <c r="T12" s="383" t="s">
        <v>599</v>
      </c>
      <c r="U12" s="111"/>
      <c r="V12" s="380" t="s">
        <v>598</v>
      </c>
      <c r="W12" s="381" t="str">
        <f>MID($B$17,$W$16-2,1)</f>
        <v>0</v>
      </c>
      <c r="X12" s="111" t="str">
        <f>IF(W12="0","",VLOOKUP(W12+0,$O$10:$P$18,2,FALSE))</f>
        <v/>
      </c>
      <c r="Y12" s="111"/>
    </row>
    <row r="13" spans="2:25" ht="18.75" customHeight="1" x14ac:dyDescent="0.2">
      <c r="B13" s="613" t="str">
        <f>" IČO: "&amp;'Základní údaje'!B9</f>
        <v xml:space="preserve"> IČO: 64211045</v>
      </c>
      <c r="C13" s="602"/>
      <c r="D13" s="603"/>
      <c r="E13" s="613"/>
      <c r="F13" s="602"/>
      <c r="G13" s="603"/>
      <c r="I13" s="382">
        <v>4</v>
      </c>
      <c r="J13" s="383" t="s">
        <v>632</v>
      </c>
      <c r="K13" s="382">
        <v>4</v>
      </c>
      <c r="L13" s="111" t="s">
        <v>624</v>
      </c>
      <c r="M13" s="384">
        <v>3</v>
      </c>
      <c r="N13" s="383" t="s">
        <v>616</v>
      </c>
      <c r="O13" s="384">
        <v>4</v>
      </c>
      <c r="P13" s="383" t="s">
        <v>607</v>
      </c>
      <c r="Q13" s="382">
        <v>4</v>
      </c>
      <c r="R13" s="111" t="s">
        <v>632</v>
      </c>
      <c r="S13" s="384">
        <v>3</v>
      </c>
      <c r="T13" s="383" t="s">
        <v>599</v>
      </c>
      <c r="U13" s="111"/>
      <c r="V13" s="380" t="s">
        <v>597</v>
      </c>
      <c r="W13" s="381" t="str">
        <f>MID($B$17,$W$16-1,1)</f>
        <v>0</v>
      </c>
      <c r="X13" s="111" t="str">
        <f>IF(W13="0","",IF(W13="1",VLOOKUP(W14+0,$M$10:$N$19,2,FALSE),VLOOKUP(W13+0,$K$10:$L$18,2,FALSE)))</f>
        <v/>
      </c>
      <c r="Y13" s="111"/>
    </row>
    <row r="14" spans="2:25" x14ac:dyDescent="0.2">
      <c r="B14" s="392" t="s">
        <v>587</v>
      </c>
      <c r="C14" s="393"/>
      <c r="D14" s="393"/>
      <c r="E14" s="393"/>
      <c r="F14" s="393"/>
      <c r="G14" s="394"/>
      <c r="I14" s="382">
        <v>5</v>
      </c>
      <c r="J14" s="383" t="s">
        <v>633</v>
      </c>
      <c r="K14" s="382">
        <v>5</v>
      </c>
      <c r="L14" s="111" t="s">
        <v>625</v>
      </c>
      <c r="M14" s="384">
        <v>4</v>
      </c>
      <c r="N14" s="383" t="s">
        <v>617</v>
      </c>
      <c r="O14" s="384">
        <v>5</v>
      </c>
      <c r="P14" s="383" t="s">
        <v>608</v>
      </c>
      <c r="Q14" s="382">
        <v>5</v>
      </c>
      <c r="R14" s="111" t="s">
        <v>633</v>
      </c>
      <c r="S14" s="384">
        <v>4</v>
      </c>
      <c r="T14" s="383" t="s">
        <v>599</v>
      </c>
      <c r="U14" s="111"/>
      <c r="V14" s="380" t="s">
        <v>596</v>
      </c>
      <c r="W14" s="381" t="str">
        <f>MID($B$17,$W$16,1)</f>
        <v>0</v>
      </c>
      <c r="X14" s="111" t="str">
        <f>IF($W$16=1,Y14,IF(W14="0","",IF(W13="1","",IF(W14="2",R11,VLOOKUP(W14+0,$I$10:$J$18,2,FALSE)))))</f>
        <v/>
      </c>
      <c r="Y14" s="111" t="e">
        <f>IF($W$16="1","",VLOOKUP(W14+0,$I$10:$J$18,2,FALSE))</f>
        <v>#N/A</v>
      </c>
    </row>
    <row r="15" spans="2:25" ht="18.75" customHeight="1" x14ac:dyDescent="0.2">
      <c r="B15" s="604" t="str">
        <f>" "&amp;IF(ISBLANK(C6),C5,C6)</f>
        <v xml:space="preserve"> Vybráno od členů</v>
      </c>
      <c r="C15" s="605"/>
      <c r="D15" s="605"/>
      <c r="E15" s="605"/>
      <c r="F15" s="605"/>
      <c r="G15" s="606"/>
      <c r="I15" s="382">
        <v>6</v>
      </c>
      <c r="J15" s="383" t="s">
        <v>634</v>
      </c>
      <c r="K15" s="382">
        <v>6</v>
      </c>
      <c r="L15" s="111" t="s">
        <v>626</v>
      </c>
      <c r="M15" s="384">
        <v>5</v>
      </c>
      <c r="N15" s="383" t="s">
        <v>618</v>
      </c>
      <c r="O15" s="384">
        <v>6</v>
      </c>
      <c r="P15" s="383" t="s">
        <v>609</v>
      </c>
      <c r="Q15" s="382">
        <v>6</v>
      </c>
      <c r="R15" s="111" t="s">
        <v>634</v>
      </c>
      <c r="S15" s="384">
        <v>5</v>
      </c>
      <c r="T15" s="383" t="s">
        <v>602</v>
      </c>
      <c r="U15" s="111"/>
      <c r="V15" s="380"/>
      <c r="W15" s="111"/>
      <c r="X15" s="111"/>
      <c r="Y15" s="111"/>
    </row>
    <row r="16" spans="2:25" x14ac:dyDescent="0.2">
      <c r="B16" s="392" t="s">
        <v>588</v>
      </c>
      <c r="C16" s="393"/>
      <c r="D16" s="393"/>
      <c r="E16" s="393"/>
      <c r="F16" s="393"/>
      <c r="G16" s="394"/>
      <c r="I16" s="382">
        <v>7</v>
      </c>
      <c r="J16" s="383" t="s">
        <v>635</v>
      </c>
      <c r="K16" s="382">
        <v>7</v>
      </c>
      <c r="L16" s="111" t="s">
        <v>627</v>
      </c>
      <c r="M16" s="384">
        <v>6</v>
      </c>
      <c r="N16" s="383" t="s">
        <v>619</v>
      </c>
      <c r="O16" s="384">
        <v>7</v>
      </c>
      <c r="P16" s="383" t="s">
        <v>610</v>
      </c>
      <c r="Q16" s="382">
        <v>7</v>
      </c>
      <c r="R16" s="111" t="s">
        <v>635</v>
      </c>
      <c r="S16" s="384">
        <v>6</v>
      </c>
      <c r="T16" s="383" t="s">
        <v>602</v>
      </c>
      <c r="U16" s="111"/>
      <c r="V16" s="380" t="s">
        <v>641</v>
      </c>
      <c r="W16" s="264">
        <f>LEN(B17)</f>
        <v>4</v>
      </c>
      <c r="X16" s="111">
        <v>1</v>
      </c>
      <c r="Y16" s="111" t="str">
        <f>CONCATENATE(X14)</f>
        <v/>
      </c>
    </row>
    <row r="17" spans="2:25" ht="18.75" customHeight="1" x14ac:dyDescent="0.2">
      <c r="B17" s="396">
        <f>ABS(C4)</f>
        <v>2000</v>
      </c>
      <c r="C17" s="397" t="s">
        <v>585</v>
      </c>
      <c r="D17" s="602" t="str">
        <f>"="&amp;VLOOKUP(W16,X16:Y21,2,FALSE)&amp;"="</f>
        <v>=Dvatisíce=</v>
      </c>
      <c r="E17" s="602"/>
      <c r="F17" s="602"/>
      <c r="G17" s="603"/>
      <c r="I17" s="382">
        <v>8</v>
      </c>
      <c r="J17" s="383" t="s">
        <v>636</v>
      </c>
      <c r="K17" s="382">
        <v>8</v>
      </c>
      <c r="L17" s="111" t="s">
        <v>628</v>
      </c>
      <c r="M17" s="384">
        <v>7</v>
      </c>
      <c r="N17" s="383" t="s">
        <v>620</v>
      </c>
      <c r="O17" s="384">
        <v>8</v>
      </c>
      <c r="P17" s="383" t="s">
        <v>611</v>
      </c>
      <c r="Q17" s="382">
        <v>8</v>
      </c>
      <c r="R17" s="111" t="s">
        <v>636</v>
      </c>
      <c r="S17" s="384">
        <v>7</v>
      </c>
      <c r="T17" s="383" t="s">
        <v>602</v>
      </c>
      <c r="U17" s="111"/>
      <c r="V17" s="380"/>
      <c r="W17" s="111"/>
      <c r="X17" s="111">
        <v>2</v>
      </c>
      <c r="Y17" s="111" t="str">
        <f>CONCATENATE(X13,X14)</f>
        <v/>
      </c>
    </row>
    <row r="18" spans="2:25" ht="18.75" customHeight="1" x14ac:dyDescent="0.2">
      <c r="B18" s="398" t="s">
        <v>589</v>
      </c>
      <c r="C18" s="399">
        <f>C3</f>
        <v>44941</v>
      </c>
      <c r="D18" s="392" t="s">
        <v>593</v>
      </c>
      <c r="E18" s="394"/>
      <c r="F18" s="392" t="s">
        <v>594</v>
      </c>
      <c r="G18" s="394"/>
      <c r="I18" s="386">
        <v>9</v>
      </c>
      <c r="J18" s="270" t="s">
        <v>637</v>
      </c>
      <c r="K18" s="386">
        <v>9</v>
      </c>
      <c r="L18" s="269" t="s">
        <v>629</v>
      </c>
      <c r="M18" s="384">
        <v>8</v>
      </c>
      <c r="N18" s="383" t="s">
        <v>621</v>
      </c>
      <c r="O18" s="268">
        <v>9</v>
      </c>
      <c r="P18" s="270" t="s">
        <v>612</v>
      </c>
      <c r="Q18" s="386">
        <v>9</v>
      </c>
      <c r="R18" s="269" t="s">
        <v>637</v>
      </c>
      <c r="S18" s="384">
        <v>8</v>
      </c>
      <c r="T18" s="383" t="s">
        <v>602</v>
      </c>
      <c r="U18" s="111"/>
      <c r="V18" s="379"/>
      <c r="W18" s="111"/>
      <c r="X18" s="111">
        <v>3</v>
      </c>
      <c r="Y18" s="111" t="str">
        <f>CONCATENATE(X12,X13,X14)</f>
        <v/>
      </c>
    </row>
    <row r="19" spans="2:25" ht="18.75" customHeight="1" x14ac:dyDescent="0.2">
      <c r="B19" s="398" t="s">
        <v>590</v>
      </c>
      <c r="C19" s="399">
        <f>C3</f>
        <v>44941</v>
      </c>
      <c r="D19" s="400"/>
      <c r="E19" s="401"/>
      <c r="F19" s="400"/>
      <c r="G19" s="401"/>
      <c r="I19" s="111"/>
      <c r="J19" s="111"/>
      <c r="K19" s="111"/>
      <c r="L19" s="111"/>
      <c r="M19" s="268">
        <v>9</v>
      </c>
      <c r="N19" s="270" t="s">
        <v>622</v>
      </c>
      <c r="O19" s="111"/>
      <c r="P19" s="111"/>
      <c r="Q19" s="111"/>
      <c r="R19" s="111"/>
      <c r="S19" s="268">
        <v>9</v>
      </c>
      <c r="T19" s="270" t="s">
        <v>602</v>
      </c>
      <c r="U19" s="111"/>
      <c r="W19" s="111"/>
      <c r="X19" s="111">
        <v>4</v>
      </c>
      <c r="Y19" s="111" t="str">
        <f>CONCATENATE(X11,Y11,X12,X13,X14)</f>
        <v>Dvatisíce</v>
      </c>
    </row>
    <row r="20" spans="2:25" ht="18.75" customHeight="1" x14ac:dyDescent="0.2">
      <c r="B20" s="392" t="s">
        <v>591</v>
      </c>
      <c r="C20" s="394"/>
      <c r="D20" s="392" t="s">
        <v>592</v>
      </c>
      <c r="E20" s="394"/>
      <c r="F20" s="392" t="s">
        <v>595</v>
      </c>
      <c r="G20" s="394"/>
      <c r="I20" s="111"/>
      <c r="J20" s="111"/>
      <c r="K20" s="111"/>
      <c r="L20" s="111"/>
      <c r="M20" s="111"/>
      <c r="N20" s="111"/>
      <c r="O20" s="111"/>
      <c r="P20" s="111"/>
      <c r="V20" s="111"/>
      <c r="W20" s="111"/>
      <c r="X20" s="111">
        <v>5</v>
      </c>
      <c r="Y20" s="111" t="e">
        <f>CONCATENATE(X10,X11,Y11,X12,X13,X14)</f>
        <v>#N/A</v>
      </c>
    </row>
    <row r="21" spans="2:25" ht="18.75" customHeight="1" x14ac:dyDescent="0.2">
      <c r="B21" s="402">
        <f>C3</f>
        <v>44941</v>
      </c>
      <c r="C21" s="403"/>
      <c r="D21" s="402">
        <f>C3</f>
        <v>44941</v>
      </c>
      <c r="E21" s="403"/>
      <c r="F21" s="402">
        <f>C3</f>
        <v>44941</v>
      </c>
      <c r="G21" s="403"/>
      <c r="I21" s="111"/>
      <c r="O21" s="111"/>
      <c r="P21" s="111"/>
      <c r="V21" s="111"/>
      <c r="W21" s="111"/>
      <c r="X21" s="111">
        <v>6</v>
      </c>
      <c r="Y21" s="111" t="e">
        <f>CONCATENATE(X9,X10,X11,Y11,X12,X13,X14)</f>
        <v>#VALUE!</v>
      </c>
    </row>
  </sheetData>
  <sheetProtection sheet="1" objects="1" scenarios="1"/>
  <mergeCells count="17">
    <mergeCell ref="S9:T9"/>
    <mergeCell ref="B8:D8"/>
    <mergeCell ref="I9:J9"/>
    <mergeCell ref="K9:L9"/>
    <mergeCell ref="M9:N9"/>
    <mergeCell ref="O9:P9"/>
    <mergeCell ref="Q9:R9"/>
    <mergeCell ref="D17:G17"/>
    <mergeCell ref="B15:G15"/>
    <mergeCell ref="B10:D10"/>
    <mergeCell ref="B11:D11"/>
    <mergeCell ref="B12:D12"/>
    <mergeCell ref="B13:D13"/>
    <mergeCell ref="E10:G10"/>
    <mergeCell ref="E11:G11"/>
    <mergeCell ref="E12:G12"/>
    <mergeCell ref="E13:G13"/>
  </mergeCells>
  <dataValidations count="1">
    <dataValidation allowBlank="1" sqref="B8:D8" xr:uid="{804C7082-9577-4A90-A1B9-AE2CE4CB5E47}"/>
  </dataValidations>
  <printOptions horizontalCentered="1"/>
  <pageMargins left="0.39370078740157483" right="0.39370078740157483" top="0.39370078740157483" bottom="0.39370078740157483" header="0" footer="0"/>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DDBFD-87FA-4CA5-AD6D-4E43D05CD651}">
  <sheetPr codeName="List8">
    <tabColor rgb="FFFFFF00"/>
  </sheetPr>
  <dimension ref="A1:AA34"/>
  <sheetViews>
    <sheetView workbookViewId="0">
      <selection activeCell="B2" sqref="B2"/>
    </sheetView>
  </sheetViews>
  <sheetFormatPr defaultRowHeight="15" x14ac:dyDescent="0.25"/>
  <cols>
    <col min="1" max="16384" width="9.140625" style="368"/>
  </cols>
  <sheetData>
    <row r="1" spans="1:27" x14ac:dyDescent="0.25">
      <c r="A1" s="371" t="s">
        <v>581</v>
      </c>
      <c r="B1" s="371" t="s">
        <v>580</v>
      </c>
      <c r="C1" s="371" t="s">
        <v>204</v>
      </c>
      <c r="E1" s="371" t="s">
        <v>581</v>
      </c>
      <c r="F1" s="371" t="s">
        <v>580</v>
      </c>
      <c r="G1" s="371" t="s">
        <v>204</v>
      </c>
      <c r="I1" s="371" t="s">
        <v>581</v>
      </c>
      <c r="J1" s="371" t="s">
        <v>580</v>
      </c>
      <c r="K1" s="371" t="s">
        <v>204</v>
      </c>
      <c r="M1" s="371" t="s">
        <v>581</v>
      </c>
      <c r="N1" s="371" t="s">
        <v>580</v>
      </c>
      <c r="O1" s="371" t="s">
        <v>204</v>
      </c>
      <c r="Q1" s="371" t="s">
        <v>581</v>
      </c>
      <c r="R1" s="371" t="s">
        <v>580</v>
      </c>
      <c r="S1" s="371" t="s">
        <v>204</v>
      </c>
      <c r="U1" s="371" t="s">
        <v>581</v>
      </c>
      <c r="V1" s="371" t="s">
        <v>580</v>
      </c>
      <c r="W1" s="371" t="s">
        <v>204</v>
      </c>
      <c r="Y1" s="371" t="s">
        <v>581</v>
      </c>
      <c r="Z1" s="371" t="s">
        <v>580</v>
      </c>
      <c r="AA1" s="371" t="s">
        <v>204</v>
      </c>
    </row>
    <row r="2" spans="1:27" x14ac:dyDescent="0.25">
      <c r="A2" s="371">
        <v>5000</v>
      </c>
      <c r="B2" s="375">
        <v>1</v>
      </c>
      <c r="C2" s="371">
        <f t="shared" ref="C2:C13" si="0">A2*B2</f>
        <v>5000</v>
      </c>
      <c r="E2" s="371">
        <v>5000</v>
      </c>
      <c r="F2" s="375"/>
      <c r="G2" s="371">
        <f t="shared" ref="G2:G13" si="1">E2*F2</f>
        <v>0</v>
      </c>
      <c r="I2" s="371">
        <v>5000</v>
      </c>
      <c r="J2" s="375"/>
      <c r="K2" s="371">
        <f t="shared" ref="K2:K13" si="2">I2*J2</f>
        <v>0</v>
      </c>
      <c r="M2" s="371">
        <v>5000</v>
      </c>
      <c r="N2" s="375"/>
      <c r="O2" s="371">
        <f t="shared" ref="O2:O13" si="3">M2*N2</f>
        <v>0</v>
      </c>
      <c r="Q2" s="371">
        <v>5000</v>
      </c>
      <c r="R2" s="375"/>
      <c r="S2" s="371">
        <f t="shared" ref="S2:S13" si="4">Q2*R2</f>
        <v>0</v>
      </c>
      <c r="U2" s="371">
        <v>5000</v>
      </c>
      <c r="V2" s="375"/>
      <c r="W2" s="371">
        <f t="shared" ref="W2:W13" si="5">U2*V2</f>
        <v>0</v>
      </c>
      <c r="Y2" s="371">
        <v>5000</v>
      </c>
      <c r="Z2" s="375"/>
      <c r="AA2" s="371">
        <f t="shared" ref="AA2:AA13" si="6">Y2*Z2</f>
        <v>0</v>
      </c>
    </row>
    <row r="3" spans="1:27" x14ac:dyDescent="0.25">
      <c r="A3" s="371">
        <v>2000</v>
      </c>
      <c r="B3" s="375">
        <v>2</v>
      </c>
      <c r="C3" s="371">
        <f t="shared" si="0"/>
        <v>4000</v>
      </c>
      <c r="E3" s="371">
        <v>2000</v>
      </c>
      <c r="F3" s="375"/>
      <c r="G3" s="371">
        <f t="shared" si="1"/>
        <v>0</v>
      </c>
      <c r="I3" s="371">
        <v>2000</v>
      </c>
      <c r="J3" s="375"/>
      <c r="K3" s="371">
        <f t="shared" si="2"/>
        <v>0</v>
      </c>
      <c r="M3" s="371">
        <v>2000</v>
      </c>
      <c r="N3" s="375"/>
      <c r="O3" s="371">
        <f t="shared" si="3"/>
        <v>0</v>
      </c>
      <c r="Q3" s="371">
        <v>2000</v>
      </c>
      <c r="R3" s="375"/>
      <c r="S3" s="371">
        <f t="shared" si="4"/>
        <v>0</v>
      </c>
      <c r="U3" s="371">
        <v>2000</v>
      </c>
      <c r="V3" s="375"/>
      <c r="W3" s="371">
        <f t="shared" si="5"/>
        <v>0</v>
      </c>
      <c r="Y3" s="371">
        <v>2000</v>
      </c>
      <c r="Z3" s="375"/>
      <c r="AA3" s="371">
        <f t="shared" si="6"/>
        <v>0</v>
      </c>
    </row>
    <row r="4" spans="1:27" x14ac:dyDescent="0.25">
      <c r="A4" s="371">
        <v>1000</v>
      </c>
      <c r="B4" s="375">
        <v>3</v>
      </c>
      <c r="C4" s="371">
        <f t="shared" si="0"/>
        <v>3000</v>
      </c>
      <c r="E4" s="371">
        <v>1000</v>
      </c>
      <c r="F4" s="375"/>
      <c r="G4" s="371">
        <f t="shared" si="1"/>
        <v>0</v>
      </c>
      <c r="I4" s="371">
        <v>1000</v>
      </c>
      <c r="J4" s="375"/>
      <c r="K4" s="371">
        <f t="shared" si="2"/>
        <v>0</v>
      </c>
      <c r="M4" s="371">
        <v>1000</v>
      </c>
      <c r="N4" s="375"/>
      <c r="O4" s="371">
        <f t="shared" si="3"/>
        <v>0</v>
      </c>
      <c r="Q4" s="371">
        <v>1000</v>
      </c>
      <c r="R4" s="375"/>
      <c r="S4" s="371">
        <f t="shared" si="4"/>
        <v>0</v>
      </c>
      <c r="U4" s="371">
        <v>1000</v>
      </c>
      <c r="V4" s="375"/>
      <c r="W4" s="371">
        <f t="shared" si="5"/>
        <v>0</v>
      </c>
      <c r="Y4" s="371">
        <v>1000</v>
      </c>
      <c r="Z4" s="375"/>
      <c r="AA4" s="371">
        <f t="shared" si="6"/>
        <v>0</v>
      </c>
    </row>
    <row r="5" spans="1:27" x14ac:dyDescent="0.25">
      <c r="A5" s="371">
        <v>500</v>
      </c>
      <c r="B5" s="375">
        <v>4</v>
      </c>
      <c r="C5" s="371">
        <f t="shared" si="0"/>
        <v>2000</v>
      </c>
      <c r="E5" s="371">
        <v>500</v>
      </c>
      <c r="F5" s="375"/>
      <c r="G5" s="371">
        <f t="shared" si="1"/>
        <v>0</v>
      </c>
      <c r="I5" s="371">
        <v>500</v>
      </c>
      <c r="J5" s="375"/>
      <c r="K5" s="371">
        <f t="shared" si="2"/>
        <v>0</v>
      </c>
      <c r="M5" s="371">
        <v>500</v>
      </c>
      <c r="N5" s="375"/>
      <c r="O5" s="371">
        <f t="shared" si="3"/>
        <v>0</v>
      </c>
      <c r="Q5" s="371">
        <v>500</v>
      </c>
      <c r="R5" s="375"/>
      <c r="S5" s="371">
        <f t="shared" si="4"/>
        <v>0</v>
      </c>
      <c r="U5" s="371">
        <v>500</v>
      </c>
      <c r="V5" s="375"/>
      <c r="W5" s="371">
        <f t="shared" si="5"/>
        <v>0</v>
      </c>
      <c r="Y5" s="371">
        <v>500</v>
      </c>
      <c r="Z5" s="375"/>
      <c r="AA5" s="371">
        <f t="shared" si="6"/>
        <v>0</v>
      </c>
    </row>
    <row r="6" spans="1:27" x14ac:dyDescent="0.25">
      <c r="A6" s="371">
        <v>200</v>
      </c>
      <c r="B6" s="375">
        <v>5</v>
      </c>
      <c r="C6" s="371">
        <f t="shared" si="0"/>
        <v>1000</v>
      </c>
      <c r="E6" s="371">
        <v>200</v>
      </c>
      <c r="F6" s="375"/>
      <c r="G6" s="371">
        <f t="shared" si="1"/>
        <v>0</v>
      </c>
      <c r="I6" s="371">
        <v>200</v>
      </c>
      <c r="J6" s="375"/>
      <c r="K6" s="371">
        <f t="shared" si="2"/>
        <v>0</v>
      </c>
      <c r="M6" s="371">
        <v>200</v>
      </c>
      <c r="N6" s="375"/>
      <c r="O6" s="371">
        <f t="shared" si="3"/>
        <v>0</v>
      </c>
      <c r="Q6" s="371">
        <v>200</v>
      </c>
      <c r="R6" s="375"/>
      <c r="S6" s="371">
        <f t="shared" si="4"/>
        <v>0</v>
      </c>
      <c r="U6" s="371">
        <v>200</v>
      </c>
      <c r="V6" s="375"/>
      <c r="W6" s="371">
        <f t="shared" si="5"/>
        <v>0</v>
      </c>
      <c r="Y6" s="371">
        <v>200</v>
      </c>
      <c r="Z6" s="375"/>
      <c r="AA6" s="371">
        <f t="shared" si="6"/>
        <v>0</v>
      </c>
    </row>
    <row r="7" spans="1:27" x14ac:dyDescent="0.25">
      <c r="A7" s="371">
        <v>100</v>
      </c>
      <c r="B7" s="375">
        <v>6</v>
      </c>
      <c r="C7" s="371">
        <f t="shared" si="0"/>
        <v>600</v>
      </c>
      <c r="E7" s="371">
        <v>100</v>
      </c>
      <c r="F7" s="375"/>
      <c r="G7" s="371">
        <f t="shared" si="1"/>
        <v>0</v>
      </c>
      <c r="I7" s="371">
        <v>100</v>
      </c>
      <c r="J7" s="375"/>
      <c r="K7" s="371">
        <f t="shared" si="2"/>
        <v>0</v>
      </c>
      <c r="M7" s="371">
        <v>100</v>
      </c>
      <c r="N7" s="375"/>
      <c r="O7" s="371">
        <f t="shared" si="3"/>
        <v>0</v>
      </c>
      <c r="Q7" s="371">
        <v>100</v>
      </c>
      <c r="R7" s="375"/>
      <c r="S7" s="371">
        <f t="shared" si="4"/>
        <v>0</v>
      </c>
      <c r="U7" s="371">
        <v>100</v>
      </c>
      <c r="V7" s="375"/>
      <c r="W7" s="371">
        <f t="shared" si="5"/>
        <v>0</v>
      </c>
      <c r="Y7" s="371">
        <v>100</v>
      </c>
      <c r="Z7" s="375"/>
      <c r="AA7" s="371">
        <f t="shared" si="6"/>
        <v>0</v>
      </c>
    </row>
    <row r="8" spans="1:27" x14ac:dyDescent="0.25">
      <c r="A8" s="371">
        <v>50</v>
      </c>
      <c r="B8" s="375">
        <v>7</v>
      </c>
      <c r="C8" s="371">
        <f t="shared" si="0"/>
        <v>350</v>
      </c>
      <c r="E8" s="371">
        <v>50</v>
      </c>
      <c r="F8" s="375"/>
      <c r="G8" s="371">
        <f t="shared" si="1"/>
        <v>0</v>
      </c>
      <c r="I8" s="371">
        <v>50</v>
      </c>
      <c r="J8" s="375"/>
      <c r="K8" s="371">
        <f t="shared" si="2"/>
        <v>0</v>
      </c>
      <c r="M8" s="371">
        <v>50</v>
      </c>
      <c r="N8" s="375"/>
      <c r="O8" s="371">
        <f t="shared" si="3"/>
        <v>0</v>
      </c>
      <c r="Q8" s="371">
        <v>50</v>
      </c>
      <c r="R8" s="375"/>
      <c r="S8" s="371">
        <f t="shared" si="4"/>
        <v>0</v>
      </c>
      <c r="U8" s="371">
        <v>50</v>
      </c>
      <c r="V8" s="375"/>
      <c r="W8" s="371">
        <f t="shared" si="5"/>
        <v>0</v>
      </c>
      <c r="Y8" s="371">
        <v>50</v>
      </c>
      <c r="Z8" s="375"/>
      <c r="AA8" s="371">
        <f t="shared" si="6"/>
        <v>0</v>
      </c>
    </row>
    <row r="9" spans="1:27" x14ac:dyDescent="0.25">
      <c r="A9" s="371">
        <v>20</v>
      </c>
      <c r="B9" s="375">
        <v>8</v>
      </c>
      <c r="C9" s="371">
        <f t="shared" si="0"/>
        <v>160</v>
      </c>
      <c r="E9" s="371">
        <v>20</v>
      </c>
      <c r="F9" s="375"/>
      <c r="G9" s="371">
        <f t="shared" si="1"/>
        <v>0</v>
      </c>
      <c r="I9" s="371">
        <v>20</v>
      </c>
      <c r="J9" s="375"/>
      <c r="K9" s="371">
        <f t="shared" si="2"/>
        <v>0</v>
      </c>
      <c r="M9" s="371">
        <v>20</v>
      </c>
      <c r="N9" s="375"/>
      <c r="O9" s="371">
        <f t="shared" si="3"/>
        <v>0</v>
      </c>
      <c r="Q9" s="371">
        <v>20</v>
      </c>
      <c r="R9" s="375"/>
      <c r="S9" s="371">
        <f t="shared" si="4"/>
        <v>0</v>
      </c>
      <c r="U9" s="371">
        <v>20</v>
      </c>
      <c r="V9" s="375"/>
      <c r="W9" s="371">
        <f t="shared" si="5"/>
        <v>0</v>
      </c>
      <c r="Y9" s="371">
        <v>20</v>
      </c>
      <c r="Z9" s="375"/>
      <c r="AA9" s="371">
        <f t="shared" si="6"/>
        <v>0</v>
      </c>
    </row>
    <row r="10" spans="1:27" x14ac:dyDescent="0.25">
      <c r="A10" s="371">
        <v>10</v>
      </c>
      <c r="B10" s="375">
        <v>9</v>
      </c>
      <c r="C10" s="371">
        <f t="shared" si="0"/>
        <v>90</v>
      </c>
      <c r="E10" s="371">
        <v>10</v>
      </c>
      <c r="F10" s="375"/>
      <c r="G10" s="371">
        <f t="shared" si="1"/>
        <v>0</v>
      </c>
      <c r="I10" s="371">
        <v>10</v>
      </c>
      <c r="J10" s="375"/>
      <c r="K10" s="371">
        <f t="shared" si="2"/>
        <v>0</v>
      </c>
      <c r="M10" s="371">
        <v>10</v>
      </c>
      <c r="N10" s="375"/>
      <c r="O10" s="371">
        <f t="shared" si="3"/>
        <v>0</v>
      </c>
      <c r="Q10" s="371">
        <v>10</v>
      </c>
      <c r="R10" s="375"/>
      <c r="S10" s="371">
        <f t="shared" si="4"/>
        <v>0</v>
      </c>
      <c r="U10" s="371">
        <v>10</v>
      </c>
      <c r="V10" s="375"/>
      <c r="W10" s="371">
        <f t="shared" si="5"/>
        <v>0</v>
      </c>
      <c r="Y10" s="371">
        <v>10</v>
      </c>
      <c r="Z10" s="375"/>
      <c r="AA10" s="371">
        <f t="shared" si="6"/>
        <v>0</v>
      </c>
    </row>
    <row r="11" spans="1:27" x14ac:dyDescent="0.25">
      <c r="A11" s="371">
        <v>5</v>
      </c>
      <c r="B11" s="375">
        <v>10</v>
      </c>
      <c r="C11" s="371">
        <f t="shared" si="0"/>
        <v>50</v>
      </c>
      <c r="E11" s="371">
        <v>5</v>
      </c>
      <c r="F11" s="375"/>
      <c r="G11" s="371">
        <f t="shared" si="1"/>
        <v>0</v>
      </c>
      <c r="I11" s="371">
        <v>5</v>
      </c>
      <c r="J11" s="375"/>
      <c r="K11" s="371">
        <f t="shared" si="2"/>
        <v>0</v>
      </c>
      <c r="M11" s="371">
        <v>5</v>
      </c>
      <c r="N11" s="375"/>
      <c r="O11" s="371">
        <f t="shared" si="3"/>
        <v>0</v>
      </c>
      <c r="Q11" s="371">
        <v>5</v>
      </c>
      <c r="R11" s="375"/>
      <c r="S11" s="371">
        <f t="shared" si="4"/>
        <v>0</v>
      </c>
      <c r="U11" s="371">
        <v>5</v>
      </c>
      <c r="V11" s="375"/>
      <c r="W11" s="371">
        <f t="shared" si="5"/>
        <v>0</v>
      </c>
      <c r="Y11" s="371">
        <v>5</v>
      </c>
      <c r="Z11" s="375"/>
      <c r="AA11" s="371">
        <f t="shared" si="6"/>
        <v>0</v>
      </c>
    </row>
    <row r="12" spans="1:27" x14ac:dyDescent="0.25">
      <c r="A12" s="371">
        <v>2</v>
      </c>
      <c r="B12" s="375">
        <v>11</v>
      </c>
      <c r="C12" s="371">
        <f t="shared" si="0"/>
        <v>22</v>
      </c>
      <c r="E12" s="371">
        <v>2</v>
      </c>
      <c r="F12" s="375"/>
      <c r="G12" s="371">
        <f t="shared" si="1"/>
        <v>0</v>
      </c>
      <c r="I12" s="371">
        <v>2</v>
      </c>
      <c r="J12" s="375"/>
      <c r="K12" s="371">
        <f t="shared" si="2"/>
        <v>0</v>
      </c>
      <c r="M12" s="371">
        <v>2</v>
      </c>
      <c r="N12" s="375"/>
      <c r="O12" s="371">
        <f t="shared" si="3"/>
        <v>0</v>
      </c>
      <c r="Q12" s="371">
        <v>2</v>
      </c>
      <c r="R12" s="375"/>
      <c r="S12" s="371">
        <f t="shared" si="4"/>
        <v>0</v>
      </c>
      <c r="U12" s="371">
        <v>2</v>
      </c>
      <c r="V12" s="375"/>
      <c r="W12" s="371">
        <f t="shared" si="5"/>
        <v>0</v>
      </c>
      <c r="Y12" s="371">
        <v>2</v>
      </c>
      <c r="Z12" s="375"/>
      <c r="AA12" s="371">
        <f t="shared" si="6"/>
        <v>0</v>
      </c>
    </row>
    <row r="13" spans="1:27" ht="15.75" thickBot="1" x14ac:dyDescent="0.3">
      <c r="A13" s="372">
        <v>1</v>
      </c>
      <c r="B13" s="376">
        <v>12</v>
      </c>
      <c r="C13" s="372">
        <f t="shared" si="0"/>
        <v>12</v>
      </c>
      <c r="E13" s="372">
        <v>1</v>
      </c>
      <c r="F13" s="376"/>
      <c r="G13" s="372">
        <f t="shared" si="1"/>
        <v>0</v>
      </c>
      <c r="I13" s="372">
        <v>1</v>
      </c>
      <c r="J13" s="376"/>
      <c r="K13" s="372">
        <f t="shared" si="2"/>
        <v>0</v>
      </c>
      <c r="M13" s="372">
        <v>1</v>
      </c>
      <c r="N13" s="376"/>
      <c r="O13" s="372">
        <f t="shared" si="3"/>
        <v>0</v>
      </c>
      <c r="Q13" s="372">
        <v>1</v>
      </c>
      <c r="R13" s="376"/>
      <c r="S13" s="372">
        <f t="shared" si="4"/>
        <v>0</v>
      </c>
      <c r="U13" s="372">
        <v>1</v>
      </c>
      <c r="V13" s="376"/>
      <c r="W13" s="372">
        <f t="shared" si="5"/>
        <v>0</v>
      </c>
      <c r="Y13" s="372">
        <v>1</v>
      </c>
      <c r="Z13" s="376"/>
      <c r="AA13" s="372">
        <f t="shared" si="6"/>
        <v>0</v>
      </c>
    </row>
    <row r="14" spans="1:27" x14ac:dyDescent="0.25">
      <c r="A14" s="377">
        <v>44561</v>
      </c>
      <c r="B14" s="371"/>
      <c r="C14" s="371">
        <f>SUM(C2:C13)</f>
        <v>16284</v>
      </c>
      <c r="E14" s="377">
        <v>44592</v>
      </c>
      <c r="F14" s="371"/>
      <c r="G14" s="371">
        <f>SUM(G2:G13)</f>
        <v>0</v>
      </c>
      <c r="I14" s="377">
        <v>44620</v>
      </c>
      <c r="J14" s="371"/>
      <c r="K14" s="371">
        <f>SUM(K2:K13)</f>
        <v>0</v>
      </c>
      <c r="M14" s="377">
        <v>44651</v>
      </c>
      <c r="N14" s="371"/>
      <c r="O14" s="371">
        <f>SUM(O2:O13)</f>
        <v>0</v>
      </c>
      <c r="Q14" s="377">
        <v>44681</v>
      </c>
      <c r="R14" s="371"/>
      <c r="S14" s="371">
        <f>SUM(S2:S13)</f>
        <v>0</v>
      </c>
      <c r="U14" s="377">
        <v>44712</v>
      </c>
      <c r="V14" s="371"/>
      <c r="W14" s="371">
        <f>SUM(W2:W13)</f>
        <v>0</v>
      </c>
      <c r="Y14" s="377">
        <v>44742</v>
      </c>
      <c r="Z14" s="371"/>
      <c r="AA14" s="371">
        <f>SUM(AA2:AA13)</f>
        <v>0</v>
      </c>
    </row>
    <row r="15" spans="1:27" x14ac:dyDescent="0.25">
      <c r="B15" s="370" t="s">
        <v>582</v>
      </c>
      <c r="C15" s="375">
        <v>16255</v>
      </c>
      <c r="F15" s="370" t="s">
        <v>582</v>
      </c>
      <c r="G15" s="375"/>
      <c r="J15" s="370" t="s">
        <v>582</v>
      </c>
      <c r="K15" s="375"/>
      <c r="N15" s="370" t="s">
        <v>582</v>
      </c>
      <c r="O15" s="375"/>
      <c r="R15" s="370" t="s">
        <v>582</v>
      </c>
      <c r="S15" s="375"/>
      <c r="V15" s="370" t="s">
        <v>582</v>
      </c>
      <c r="W15" s="375"/>
      <c r="Z15" s="370" t="s">
        <v>582</v>
      </c>
      <c r="AA15" s="375"/>
    </row>
    <row r="16" spans="1:27" x14ac:dyDescent="0.25">
      <c r="B16" s="370" t="s">
        <v>579</v>
      </c>
      <c r="C16" s="369">
        <f>C14-C15</f>
        <v>29</v>
      </c>
      <c r="F16" s="370" t="s">
        <v>579</v>
      </c>
      <c r="G16" s="369">
        <f>G14-G15</f>
        <v>0</v>
      </c>
      <c r="J16" s="370" t="s">
        <v>579</v>
      </c>
      <c r="K16" s="369">
        <f>K14-K15</f>
        <v>0</v>
      </c>
      <c r="N16" s="370" t="s">
        <v>579</v>
      </c>
      <c r="O16" s="369">
        <f>O14-O15</f>
        <v>0</v>
      </c>
      <c r="R16" s="370" t="s">
        <v>579</v>
      </c>
      <c r="S16" s="369">
        <f>S14-S15</f>
        <v>0</v>
      </c>
      <c r="V16" s="370" t="s">
        <v>579</v>
      </c>
      <c r="W16" s="369">
        <f>W14-W15</f>
        <v>0</v>
      </c>
      <c r="Z16" s="370" t="s">
        <v>579</v>
      </c>
      <c r="AA16" s="369">
        <f>AA14-AA15</f>
        <v>0</v>
      </c>
    </row>
    <row r="17" spans="1:27" x14ac:dyDescent="0.25">
      <c r="N17" s="370"/>
      <c r="O17" s="369"/>
    </row>
    <row r="18" spans="1:27" x14ac:dyDescent="0.25">
      <c r="N18" s="374"/>
      <c r="O18" s="373"/>
    </row>
    <row r="19" spans="1:27" x14ac:dyDescent="0.25">
      <c r="A19" s="371" t="s">
        <v>581</v>
      </c>
      <c r="B19" s="371" t="s">
        <v>580</v>
      </c>
      <c r="C19" s="371" t="s">
        <v>204</v>
      </c>
      <c r="E19" s="371" t="s">
        <v>581</v>
      </c>
      <c r="F19" s="371" t="s">
        <v>580</v>
      </c>
      <c r="G19" s="371" t="s">
        <v>204</v>
      </c>
      <c r="I19" s="371" t="s">
        <v>581</v>
      </c>
      <c r="J19" s="371" t="s">
        <v>580</v>
      </c>
      <c r="K19" s="371" t="s">
        <v>204</v>
      </c>
      <c r="M19" s="371" t="s">
        <v>581</v>
      </c>
      <c r="N19" s="371" t="s">
        <v>580</v>
      </c>
      <c r="O19" s="371" t="s">
        <v>204</v>
      </c>
      <c r="Q19" s="371" t="s">
        <v>581</v>
      </c>
      <c r="R19" s="371" t="s">
        <v>580</v>
      </c>
      <c r="S19" s="371" t="s">
        <v>204</v>
      </c>
      <c r="U19" s="371" t="s">
        <v>581</v>
      </c>
      <c r="V19" s="371" t="s">
        <v>580</v>
      </c>
      <c r="W19" s="371" t="s">
        <v>204</v>
      </c>
      <c r="Y19" s="371" t="s">
        <v>581</v>
      </c>
      <c r="Z19" s="371" t="s">
        <v>580</v>
      </c>
      <c r="AA19" s="371" t="s">
        <v>204</v>
      </c>
    </row>
    <row r="20" spans="1:27" x14ac:dyDescent="0.25">
      <c r="A20" s="371">
        <v>5000</v>
      </c>
      <c r="B20" s="375"/>
      <c r="C20" s="371">
        <f t="shared" ref="C20:C31" si="7">A20*B20</f>
        <v>0</v>
      </c>
      <c r="E20" s="371">
        <v>5000</v>
      </c>
      <c r="F20" s="375"/>
      <c r="G20" s="371">
        <f t="shared" ref="G20:G31" si="8">E20*F20</f>
        <v>0</v>
      </c>
      <c r="I20" s="371">
        <v>5000</v>
      </c>
      <c r="J20" s="375"/>
      <c r="K20" s="371">
        <f t="shared" ref="K20:K31" si="9">I20*J20</f>
        <v>0</v>
      </c>
      <c r="M20" s="371">
        <v>5000</v>
      </c>
      <c r="N20" s="375"/>
      <c r="O20" s="371">
        <f t="shared" ref="O20:O31" si="10">M20*N20</f>
        <v>0</v>
      </c>
      <c r="Q20" s="371">
        <v>5000</v>
      </c>
      <c r="R20" s="375"/>
      <c r="S20" s="371">
        <f t="shared" ref="S20:S31" si="11">Q20*R20</f>
        <v>0</v>
      </c>
      <c r="U20" s="371">
        <v>5000</v>
      </c>
      <c r="V20" s="375"/>
      <c r="W20" s="371">
        <f t="shared" ref="W20:W31" si="12">U20*V20</f>
        <v>0</v>
      </c>
      <c r="Y20" s="371">
        <v>5000</v>
      </c>
      <c r="Z20" s="375"/>
      <c r="AA20" s="371">
        <f t="shared" ref="AA20:AA31" si="13">Y20*Z20</f>
        <v>0</v>
      </c>
    </row>
    <row r="21" spans="1:27" x14ac:dyDescent="0.25">
      <c r="A21" s="371">
        <v>2000</v>
      </c>
      <c r="B21" s="375"/>
      <c r="C21" s="371">
        <f t="shared" si="7"/>
        <v>0</v>
      </c>
      <c r="E21" s="371">
        <v>2000</v>
      </c>
      <c r="F21" s="375"/>
      <c r="G21" s="371">
        <f t="shared" si="8"/>
        <v>0</v>
      </c>
      <c r="I21" s="371">
        <v>2000</v>
      </c>
      <c r="J21" s="375"/>
      <c r="K21" s="371">
        <f t="shared" si="9"/>
        <v>0</v>
      </c>
      <c r="M21" s="371">
        <v>2000</v>
      </c>
      <c r="N21" s="375"/>
      <c r="O21" s="371">
        <f t="shared" si="10"/>
        <v>0</v>
      </c>
      <c r="Q21" s="371">
        <v>2000</v>
      </c>
      <c r="R21" s="375"/>
      <c r="S21" s="371">
        <f t="shared" si="11"/>
        <v>0</v>
      </c>
      <c r="U21" s="371">
        <v>2000</v>
      </c>
      <c r="V21" s="375"/>
      <c r="W21" s="371">
        <f t="shared" si="12"/>
        <v>0</v>
      </c>
      <c r="Y21" s="371">
        <v>2000</v>
      </c>
      <c r="Z21" s="375"/>
      <c r="AA21" s="371">
        <f t="shared" si="13"/>
        <v>0</v>
      </c>
    </row>
    <row r="22" spans="1:27" x14ac:dyDescent="0.25">
      <c r="A22" s="371">
        <v>1000</v>
      </c>
      <c r="B22" s="375"/>
      <c r="C22" s="371">
        <f t="shared" si="7"/>
        <v>0</v>
      </c>
      <c r="E22" s="371">
        <v>1000</v>
      </c>
      <c r="F22" s="375"/>
      <c r="G22" s="371">
        <f t="shared" si="8"/>
        <v>0</v>
      </c>
      <c r="I22" s="371">
        <v>1000</v>
      </c>
      <c r="J22" s="375"/>
      <c r="K22" s="371">
        <f t="shared" si="9"/>
        <v>0</v>
      </c>
      <c r="M22" s="371">
        <v>1000</v>
      </c>
      <c r="N22" s="375"/>
      <c r="O22" s="371">
        <f t="shared" si="10"/>
        <v>0</v>
      </c>
      <c r="Q22" s="371">
        <v>1000</v>
      </c>
      <c r="R22" s="375"/>
      <c r="S22" s="371">
        <f t="shared" si="11"/>
        <v>0</v>
      </c>
      <c r="U22" s="371">
        <v>1000</v>
      </c>
      <c r="V22" s="375"/>
      <c r="W22" s="371">
        <f t="shared" si="12"/>
        <v>0</v>
      </c>
      <c r="Y22" s="371">
        <v>1000</v>
      </c>
      <c r="Z22" s="375"/>
      <c r="AA22" s="371">
        <f t="shared" si="13"/>
        <v>0</v>
      </c>
    </row>
    <row r="23" spans="1:27" x14ac:dyDescent="0.25">
      <c r="A23" s="371">
        <v>500</v>
      </c>
      <c r="B23" s="375"/>
      <c r="C23" s="371">
        <f t="shared" si="7"/>
        <v>0</v>
      </c>
      <c r="E23" s="371">
        <v>500</v>
      </c>
      <c r="F23" s="375"/>
      <c r="G23" s="371">
        <f t="shared" si="8"/>
        <v>0</v>
      </c>
      <c r="I23" s="371">
        <v>500</v>
      </c>
      <c r="J23" s="375"/>
      <c r="K23" s="371">
        <f t="shared" si="9"/>
        <v>0</v>
      </c>
      <c r="M23" s="371">
        <v>500</v>
      </c>
      <c r="N23" s="375"/>
      <c r="O23" s="371">
        <f t="shared" si="10"/>
        <v>0</v>
      </c>
      <c r="Q23" s="371">
        <v>500</v>
      </c>
      <c r="R23" s="375"/>
      <c r="S23" s="371">
        <f t="shared" si="11"/>
        <v>0</v>
      </c>
      <c r="U23" s="371">
        <v>500</v>
      </c>
      <c r="V23" s="375"/>
      <c r="W23" s="371">
        <f t="shared" si="12"/>
        <v>0</v>
      </c>
      <c r="Y23" s="371">
        <v>500</v>
      </c>
      <c r="Z23" s="375"/>
      <c r="AA23" s="371">
        <f t="shared" si="13"/>
        <v>0</v>
      </c>
    </row>
    <row r="24" spans="1:27" x14ac:dyDescent="0.25">
      <c r="A24" s="371">
        <v>200</v>
      </c>
      <c r="B24" s="375"/>
      <c r="C24" s="371">
        <f t="shared" si="7"/>
        <v>0</v>
      </c>
      <c r="E24" s="371">
        <v>200</v>
      </c>
      <c r="F24" s="375"/>
      <c r="G24" s="371">
        <f t="shared" si="8"/>
        <v>0</v>
      </c>
      <c r="I24" s="371">
        <v>200</v>
      </c>
      <c r="J24" s="375"/>
      <c r="K24" s="371">
        <f t="shared" si="9"/>
        <v>0</v>
      </c>
      <c r="M24" s="371">
        <v>200</v>
      </c>
      <c r="N24" s="375"/>
      <c r="O24" s="371">
        <f t="shared" si="10"/>
        <v>0</v>
      </c>
      <c r="Q24" s="371">
        <v>200</v>
      </c>
      <c r="R24" s="375"/>
      <c r="S24" s="371">
        <f t="shared" si="11"/>
        <v>0</v>
      </c>
      <c r="U24" s="371">
        <v>200</v>
      </c>
      <c r="V24" s="375"/>
      <c r="W24" s="371">
        <f t="shared" si="12"/>
        <v>0</v>
      </c>
      <c r="Y24" s="371">
        <v>200</v>
      </c>
      <c r="Z24" s="375"/>
      <c r="AA24" s="371">
        <f t="shared" si="13"/>
        <v>0</v>
      </c>
    </row>
    <row r="25" spans="1:27" x14ac:dyDescent="0.25">
      <c r="A25" s="371">
        <v>100</v>
      </c>
      <c r="B25" s="375"/>
      <c r="C25" s="371">
        <f t="shared" si="7"/>
        <v>0</v>
      </c>
      <c r="E25" s="371">
        <v>100</v>
      </c>
      <c r="F25" s="375"/>
      <c r="G25" s="371">
        <f t="shared" si="8"/>
        <v>0</v>
      </c>
      <c r="I25" s="371">
        <v>100</v>
      </c>
      <c r="J25" s="375"/>
      <c r="K25" s="371">
        <f t="shared" si="9"/>
        <v>0</v>
      </c>
      <c r="M25" s="371">
        <v>100</v>
      </c>
      <c r="N25" s="375"/>
      <c r="O25" s="371">
        <f t="shared" si="10"/>
        <v>0</v>
      </c>
      <c r="Q25" s="371">
        <v>100</v>
      </c>
      <c r="R25" s="375"/>
      <c r="S25" s="371">
        <f t="shared" si="11"/>
        <v>0</v>
      </c>
      <c r="U25" s="371">
        <v>100</v>
      </c>
      <c r="V25" s="375"/>
      <c r="W25" s="371">
        <f t="shared" si="12"/>
        <v>0</v>
      </c>
      <c r="Y25" s="371">
        <v>100</v>
      </c>
      <c r="Z25" s="375"/>
      <c r="AA25" s="371">
        <f t="shared" si="13"/>
        <v>0</v>
      </c>
    </row>
    <row r="26" spans="1:27" x14ac:dyDescent="0.25">
      <c r="A26" s="371">
        <v>50</v>
      </c>
      <c r="B26" s="375"/>
      <c r="C26" s="371">
        <f t="shared" si="7"/>
        <v>0</v>
      </c>
      <c r="E26" s="371">
        <v>50</v>
      </c>
      <c r="F26" s="375"/>
      <c r="G26" s="371">
        <f t="shared" si="8"/>
        <v>0</v>
      </c>
      <c r="I26" s="371">
        <v>50</v>
      </c>
      <c r="J26" s="375"/>
      <c r="K26" s="371">
        <f t="shared" si="9"/>
        <v>0</v>
      </c>
      <c r="M26" s="371">
        <v>50</v>
      </c>
      <c r="N26" s="375"/>
      <c r="O26" s="371">
        <f t="shared" si="10"/>
        <v>0</v>
      </c>
      <c r="Q26" s="371">
        <v>50</v>
      </c>
      <c r="R26" s="375"/>
      <c r="S26" s="371">
        <f t="shared" si="11"/>
        <v>0</v>
      </c>
      <c r="U26" s="371">
        <v>50</v>
      </c>
      <c r="V26" s="375"/>
      <c r="W26" s="371">
        <f t="shared" si="12"/>
        <v>0</v>
      </c>
      <c r="Y26" s="371">
        <v>50</v>
      </c>
      <c r="Z26" s="375"/>
      <c r="AA26" s="371">
        <f t="shared" si="13"/>
        <v>0</v>
      </c>
    </row>
    <row r="27" spans="1:27" x14ac:dyDescent="0.25">
      <c r="A27" s="371">
        <v>20</v>
      </c>
      <c r="B27" s="375"/>
      <c r="C27" s="371">
        <f t="shared" si="7"/>
        <v>0</v>
      </c>
      <c r="E27" s="371">
        <v>20</v>
      </c>
      <c r="F27" s="375"/>
      <c r="G27" s="371">
        <f t="shared" si="8"/>
        <v>0</v>
      </c>
      <c r="I27" s="371">
        <v>20</v>
      </c>
      <c r="J27" s="375"/>
      <c r="K27" s="371">
        <f t="shared" si="9"/>
        <v>0</v>
      </c>
      <c r="M27" s="371">
        <v>20</v>
      </c>
      <c r="N27" s="375"/>
      <c r="O27" s="371">
        <f t="shared" si="10"/>
        <v>0</v>
      </c>
      <c r="Q27" s="371">
        <v>20</v>
      </c>
      <c r="R27" s="375"/>
      <c r="S27" s="371">
        <f t="shared" si="11"/>
        <v>0</v>
      </c>
      <c r="U27" s="371">
        <v>20</v>
      </c>
      <c r="V27" s="375"/>
      <c r="W27" s="371">
        <f t="shared" si="12"/>
        <v>0</v>
      </c>
      <c r="Y27" s="371">
        <v>20</v>
      </c>
      <c r="Z27" s="375"/>
      <c r="AA27" s="371">
        <f t="shared" si="13"/>
        <v>0</v>
      </c>
    </row>
    <row r="28" spans="1:27" x14ac:dyDescent="0.25">
      <c r="A28" s="371">
        <v>10</v>
      </c>
      <c r="B28" s="375"/>
      <c r="C28" s="371">
        <f t="shared" si="7"/>
        <v>0</v>
      </c>
      <c r="E28" s="371">
        <v>10</v>
      </c>
      <c r="F28" s="375"/>
      <c r="G28" s="371">
        <f t="shared" si="8"/>
        <v>0</v>
      </c>
      <c r="I28" s="371">
        <v>10</v>
      </c>
      <c r="J28" s="375"/>
      <c r="K28" s="371">
        <f t="shared" si="9"/>
        <v>0</v>
      </c>
      <c r="M28" s="371">
        <v>10</v>
      </c>
      <c r="N28" s="375"/>
      <c r="O28" s="371">
        <f t="shared" si="10"/>
        <v>0</v>
      </c>
      <c r="Q28" s="371">
        <v>10</v>
      </c>
      <c r="R28" s="375"/>
      <c r="S28" s="371">
        <f t="shared" si="11"/>
        <v>0</v>
      </c>
      <c r="U28" s="371">
        <v>10</v>
      </c>
      <c r="V28" s="375"/>
      <c r="W28" s="371">
        <f t="shared" si="12"/>
        <v>0</v>
      </c>
      <c r="Y28" s="371">
        <v>10</v>
      </c>
      <c r="Z28" s="375"/>
      <c r="AA28" s="371">
        <f t="shared" si="13"/>
        <v>0</v>
      </c>
    </row>
    <row r="29" spans="1:27" x14ac:dyDescent="0.25">
      <c r="A29" s="371">
        <v>5</v>
      </c>
      <c r="B29" s="375"/>
      <c r="C29" s="371">
        <f t="shared" si="7"/>
        <v>0</v>
      </c>
      <c r="E29" s="371">
        <v>5</v>
      </c>
      <c r="F29" s="375"/>
      <c r="G29" s="371">
        <f t="shared" si="8"/>
        <v>0</v>
      </c>
      <c r="I29" s="371">
        <v>5</v>
      </c>
      <c r="J29" s="375"/>
      <c r="K29" s="371">
        <f t="shared" si="9"/>
        <v>0</v>
      </c>
      <c r="M29" s="371">
        <v>5</v>
      </c>
      <c r="N29" s="375"/>
      <c r="O29" s="371">
        <f t="shared" si="10"/>
        <v>0</v>
      </c>
      <c r="Q29" s="371">
        <v>5</v>
      </c>
      <c r="R29" s="375"/>
      <c r="S29" s="371">
        <f t="shared" si="11"/>
        <v>0</v>
      </c>
      <c r="U29" s="371">
        <v>5</v>
      </c>
      <c r="V29" s="375"/>
      <c r="W29" s="371">
        <f t="shared" si="12"/>
        <v>0</v>
      </c>
      <c r="Y29" s="371">
        <v>5</v>
      </c>
      <c r="Z29" s="375"/>
      <c r="AA29" s="371">
        <f t="shared" si="13"/>
        <v>0</v>
      </c>
    </row>
    <row r="30" spans="1:27" x14ac:dyDescent="0.25">
      <c r="A30" s="371">
        <v>2</v>
      </c>
      <c r="B30" s="375"/>
      <c r="C30" s="371">
        <f t="shared" si="7"/>
        <v>0</v>
      </c>
      <c r="E30" s="371">
        <v>2</v>
      </c>
      <c r="F30" s="375"/>
      <c r="G30" s="371">
        <f t="shared" si="8"/>
        <v>0</v>
      </c>
      <c r="I30" s="371">
        <v>2</v>
      </c>
      <c r="J30" s="375"/>
      <c r="K30" s="371">
        <f t="shared" si="9"/>
        <v>0</v>
      </c>
      <c r="M30" s="371">
        <v>2</v>
      </c>
      <c r="N30" s="375"/>
      <c r="O30" s="371">
        <f t="shared" si="10"/>
        <v>0</v>
      </c>
      <c r="Q30" s="371">
        <v>2</v>
      </c>
      <c r="R30" s="375"/>
      <c r="S30" s="371">
        <f t="shared" si="11"/>
        <v>0</v>
      </c>
      <c r="U30" s="371">
        <v>2</v>
      </c>
      <c r="V30" s="375"/>
      <c r="W30" s="371">
        <f t="shared" si="12"/>
        <v>0</v>
      </c>
      <c r="Y30" s="371">
        <v>2</v>
      </c>
      <c r="Z30" s="375"/>
      <c r="AA30" s="371">
        <f t="shared" si="13"/>
        <v>0</v>
      </c>
    </row>
    <row r="31" spans="1:27" ht="15.75" thickBot="1" x14ac:dyDescent="0.3">
      <c r="A31" s="372">
        <v>1</v>
      </c>
      <c r="B31" s="376"/>
      <c r="C31" s="372">
        <f t="shared" si="7"/>
        <v>0</v>
      </c>
      <c r="E31" s="372">
        <v>1</v>
      </c>
      <c r="F31" s="376"/>
      <c r="G31" s="372">
        <f t="shared" si="8"/>
        <v>0</v>
      </c>
      <c r="I31" s="372">
        <v>1</v>
      </c>
      <c r="J31" s="376"/>
      <c r="K31" s="372">
        <f t="shared" si="9"/>
        <v>0</v>
      </c>
      <c r="M31" s="372">
        <v>1</v>
      </c>
      <c r="N31" s="376"/>
      <c r="O31" s="372">
        <f t="shared" si="10"/>
        <v>0</v>
      </c>
      <c r="Q31" s="372">
        <v>1</v>
      </c>
      <c r="R31" s="376"/>
      <c r="S31" s="372">
        <f t="shared" si="11"/>
        <v>0</v>
      </c>
      <c r="U31" s="372">
        <v>1</v>
      </c>
      <c r="V31" s="376"/>
      <c r="W31" s="372">
        <f t="shared" si="12"/>
        <v>0</v>
      </c>
      <c r="Y31" s="372">
        <v>1</v>
      </c>
      <c r="Z31" s="376"/>
      <c r="AA31" s="372">
        <f t="shared" si="13"/>
        <v>0</v>
      </c>
    </row>
    <row r="32" spans="1:27" x14ac:dyDescent="0.25">
      <c r="A32" s="377">
        <v>44773</v>
      </c>
      <c r="B32" s="371"/>
      <c r="C32" s="371">
        <f>SUM(C20:C31)</f>
        <v>0</v>
      </c>
      <c r="E32" s="377">
        <v>44804</v>
      </c>
      <c r="F32" s="371"/>
      <c r="G32" s="371">
        <f>SUM(G20:G31)</f>
        <v>0</v>
      </c>
      <c r="I32" s="377">
        <v>44834</v>
      </c>
      <c r="J32" s="371"/>
      <c r="K32" s="371">
        <f>SUM(K20:K31)</f>
        <v>0</v>
      </c>
      <c r="M32" s="377">
        <v>44865</v>
      </c>
      <c r="N32" s="371"/>
      <c r="O32" s="371">
        <f>SUM(O20:O31)</f>
        <v>0</v>
      </c>
      <c r="Q32" s="377">
        <v>44895</v>
      </c>
      <c r="R32" s="371"/>
      <c r="S32" s="371">
        <f>SUM(S20:S31)</f>
        <v>0</v>
      </c>
      <c r="U32" s="377">
        <v>44926</v>
      </c>
      <c r="V32" s="371"/>
      <c r="W32" s="371">
        <f>SUM(W20:W31)</f>
        <v>0</v>
      </c>
      <c r="Y32" s="377"/>
      <c r="Z32" s="371"/>
      <c r="AA32" s="371">
        <f>SUM(AA20:AA31)</f>
        <v>0</v>
      </c>
    </row>
    <row r="33" spans="2:27" x14ac:dyDescent="0.25">
      <c r="B33" s="370" t="s">
        <v>582</v>
      </c>
      <c r="C33" s="375"/>
      <c r="F33" s="370" t="s">
        <v>582</v>
      </c>
      <c r="G33" s="375"/>
      <c r="J33" s="370" t="s">
        <v>582</v>
      </c>
      <c r="K33" s="375"/>
      <c r="N33" s="370" t="s">
        <v>582</v>
      </c>
      <c r="O33" s="375"/>
      <c r="R33" s="370" t="s">
        <v>582</v>
      </c>
      <c r="S33" s="375"/>
      <c r="V33" s="370" t="s">
        <v>582</v>
      </c>
      <c r="W33" s="375"/>
      <c r="Z33" s="370" t="s">
        <v>582</v>
      </c>
      <c r="AA33" s="375"/>
    </row>
    <row r="34" spans="2:27" x14ac:dyDescent="0.25">
      <c r="B34" s="370" t="s">
        <v>579</v>
      </c>
      <c r="C34" s="369">
        <f>C32-C33</f>
        <v>0</v>
      </c>
      <c r="F34" s="370" t="s">
        <v>579</v>
      </c>
      <c r="G34" s="369">
        <f>G32-G33</f>
        <v>0</v>
      </c>
      <c r="J34" s="370" t="s">
        <v>579</v>
      </c>
      <c r="K34" s="369">
        <f>K32-K33</f>
        <v>0</v>
      </c>
      <c r="N34" s="370" t="s">
        <v>579</v>
      </c>
      <c r="O34" s="369">
        <f>O32-O33</f>
        <v>0</v>
      </c>
      <c r="R34" s="370" t="s">
        <v>579</v>
      </c>
      <c r="S34" s="369">
        <f>S32-S33</f>
        <v>0</v>
      </c>
      <c r="V34" s="370" t="s">
        <v>579</v>
      </c>
      <c r="W34" s="369">
        <f>W32-W33</f>
        <v>0</v>
      </c>
      <c r="Z34" s="370" t="s">
        <v>579</v>
      </c>
      <c r="AA34" s="369">
        <f>AA32-AA33</f>
        <v>0</v>
      </c>
    </row>
  </sheetData>
  <sheetProtection sheet="1" objects="1" scenarios="1"/>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9">
    <tabColor rgb="FFFFC000"/>
  </sheetPr>
  <dimension ref="A1:G55"/>
  <sheetViews>
    <sheetView workbookViewId="0">
      <selection sqref="A1:G1"/>
    </sheetView>
  </sheetViews>
  <sheetFormatPr defaultColWidth="9.140625" defaultRowHeight="12.75" x14ac:dyDescent="0.2"/>
  <cols>
    <col min="1" max="1" width="3.42578125" style="306" customWidth="1"/>
    <col min="2" max="2" width="8.7109375" style="360" bestFit="1" customWidth="1"/>
    <col min="3" max="3" width="6.85546875" style="306" bestFit="1" customWidth="1"/>
    <col min="4" max="4" width="35.7109375" style="306" customWidth="1"/>
    <col min="5" max="7" width="10" style="305" customWidth="1"/>
    <col min="8" max="16384" width="9.140625" style="306"/>
  </cols>
  <sheetData>
    <row r="1" spans="1:7" ht="13.5" thickBot="1" x14ac:dyDescent="0.25">
      <c r="A1" s="620" t="s">
        <v>479</v>
      </c>
      <c r="B1" s="621"/>
      <c r="C1" s="621"/>
      <c r="D1" s="621"/>
      <c r="E1" s="621"/>
      <c r="F1" s="621"/>
      <c r="G1" s="621"/>
    </row>
    <row r="2" spans="1:7" x14ac:dyDescent="0.2">
      <c r="A2" s="624" t="s">
        <v>134</v>
      </c>
      <c r="B2" s="622" t="s">
        <v>466</v>
      </c>
      <c r="C2" s="626" t="s">
        <v>4</v>
      </c>
      <c r="D2" s="626" t="s">
        <v>5</v>
      </c>
      <c r="E2" s="618" t="s">
        <v>480</v>
      </c>
      <c r="F2" s="618"/>
      <c r="G2" s="619"/>
    </row>
    <row r="3" spans="1:7" ht="13.5" thickBot="1" x14ac:dyDescent="0.25">
      <c r="A3" s="625"/>
      <c r="B3" s="623"/>
      <c r="C3" s="627"/>
      <c r="D3" s="627"/>
      <c r="E3" s="353" t="s">
        <v>467</v>
      </c>
      <c r="F3" s="354" t="s">
        <v>468</v>
      </c>
      <c r="G3" s="355" t="s">
        <v>8</v>
      </c>
    </row>
    <row r="4" spans="1:7" s="352" customFormat="1" x14ac:dyDescent="0.2">
      <c r="A4" s="307">
        <v>0</v>
      </c>
      <c r="B4" s="308"/>
      <c r="C4" s="309" t="s">
        <v>1</v>
      </c>
      <c r="D4" s="32" t="str">
        <f>"Stav k 1.1."&amp;YEAR(B5)</f>
        <v>Stav k 1.1.2014</v>
      </c>
      <c r="E4" s="310" t="s">
        <v>1</v>
      </c>
      <c r="F4" s="311" t="s">
        <v>1</v>
      </c>
      <c r="G4" s="358">
        <v>0</v>
      </c>
    </row>
    <row r="5" spans="1:7" x14ac:dyDescent="0.2">
      <c r="A5" s="312">
        <f>A4+1</f>
        <v>1</v>
      </c>
      <c r="B5" s="313">
        <v>41656</v>
      </c>
      <c r="C5" s="314" t="s">
        <v>103</v>
      </c>
      <c r="D5" s="315" t="s">
        <v>481</v>
      </c>
      <c r="E5" s="316">
        <v>900</v>
      </c>
      <c r="F5" s="317"/>
      <c r="G5" s="318">
        <f>G4+E5-F5</f>
        <v>900</v>
      </c>
    </row>
    <row r="6" spans="1:7" x14ac:dyDescent="0.2">
      <c r="A6" s="319">
        <f t="shared" ref="A6:A53" si="0">A5+1</f>
        <v>2</v>
      </c>
      <c r="B6" s="320">
        <v>41676</v>
      </c>
      <c r="C6" s="321" t="s">
        <v>104</v>
      </c>
      <c r="D6" s="322" t="s">
        <v>470</v>
      </c>
      <c r="E6" s="323">
        <v>3500</v>
      </c>
      <c r="F6" s="324"/>
      <c r="G6" s="325">
        <f t="shared" ref="G6:G54" si="1">G5+E6-F6</f>
        <v>4400</v>
      </c>
    </row>
    <row r="7" spans="1:7" x14ac:dyDescent="0.2">
      <c r="A7" s="312">
        <f t="shared" si="0"/>
        <v>3</v>
      </c>
      <c r="B7" s="313">
        <v>41822</v>
      </c>
      <c r="C7" s="314" t="s">
        <v>414</v>
      </c>
      <c r="D7" s="315" t="s">
        <v>469</v>
      </c>
      <c r="E7" s="316">
        <v>800</v>
      </c>
      <c r="F7" s="317"/>
      <c r="G7" s="318">
        <f t="shared" si="1"/>
        <v>5200</v>
      </c>
    </row>
    <row r="8" spans="1:7" x14ac:dyDescent="0.2">
      <c r="A8" s="319">
        <f t="shared" si="0"/>
        <v>4</v>
      </c>
      <c r="B8" s="320">
        <v>41911</v>
      </c>
      <c r="C8" s="321" t="s">
        <v>415</v>
      </c>
      <c r="D8" s="322" t="s">
        <v>473</v>
      </c>
      <c r="E8" s="323">
        <v>6550</v>
      </c>
      <c r="F8" s="324"/>
      <c r="G8" s="325">
        <f t="shared" si="1"/>
        <v>11750</v>
      </c>
    </row>
    <row r="9" spans="1:7" ht="13.5" thickBot="1" x14ac:dyDescent="0.25">
      <c r="A9" s="326">
        <f t="shared" si="0"/>
        <v>5</v>
      </c>
      <c r="B9" s="327">
        <v>41963</v>
      </c>
      <c r="C9" s="328" t="s">
        <v>471</v>
      </c>
      <c r="D9" s="329" t="s">
        <v>472</v>
      </c>
      <c r="E9" s="330">
        <v>2206</v>
      </c>
      <c r="F9" s="331"/>
      <c r="G9" s="332">
        <f t="shared" si="1"/>
        <v>13956</v>
      </c>
    </row>
    <row r="10" spans="1:7" x14ac:dyDescent="0.2">
      <c r="A10" s="333">
        <f t="shared" si="0"/>
        <v>6</v>
      </c>
      <c r="B10" s="334">
        <v>42061</v>
      </c>
      <c r="C10" s="335" t="s">
        <v>105</v>
      </c>
      <c r="D10" s="336" t="s">
        <v>474</v>
      </c>
      <c r="E10" s="337">
        <v>3242</v>
      </c>
      <c r="F10" s="338"/>
      <c r="G10" s="339">
        <f t="shared" si="1"/>
        <v>17198</v>
      </c>
    </row>
    <row r="11" spans="1:7" x14ac:dyDescent="0.2">
      <c r="A11" s="312">
        <f t="shared" si="0"/>
        <v>7</v>
      </c>
      <c r="B11" s="313">
        <v>42167</v>
      </c>
      <c r="C11" s="340" t="s">
        <v>107</v>
      </c>
      <c r="D11" s="315" t="s">
        <v>483</v>
      </c>
      <c r="E11" s="316">
        <v>39900</v>
      </c>
      <c r="F11" s="317"/>
      <c r="G11" s="318">
        <f t="shared" si="1"/>
        <v>57098</v>
      </c>
    </row>
    <row r="12" spans="1:7" x14ac:dyDescent="0.2">
      <c r="A12" s="319">
        <f t="shared" si="0"/>
        <v>8</v>
      </c>
      <c r="B12" s="320">
        <v>42214</v>
      </c>
      <c r="C12" s="321" t="s">
        <v>412</v>
      </c>
      <c r="D12" s="322" t="s">
        <v>484</v>
      </c>
      <c r="E12" s="323">
        <v>6660</v>
      </c>
      <c r="F12" s="324"/>
      <c r="G12" s="325">
        <f t="shared" si="1"/>
        <v>63758</v>
      </c>
    </row>
    <row r="13" spans="1:7" ht="13.5" thickBot="1" x14ac:dyDescent="0.25">
      <c r="A13" s="326">
        <f t="shared" si="0"/>
        <v>9</v>
      </c>
      <c r="B13" s="327">
        <v>42247</v>
      </c>
      <c r="C13" s="341" t="s">
        <v>108</v>
      </c>
      <c r="D13" s="329" t="s">
        <v>476</v>
      </c>
      <c r="E13" s="330">
        <v>4852</v>
      </c>
      <c r="F13" s="331"/>
      <c r="G13" s="332">
        <f t="shared" si="1"/>
        <v>68610</v>
      </c>
    </row>
    <row r="14" spans="1:7" x14ac:dyDescent="0.2">
      <c r="A14" s="333">
        <f t="shared" si="0"/>
        <v>10</v>
      </c>
      <c r="B14" s="334">
        <v>42460</v>
      </c>
      <c r="C14" s="335" t="s">
        <v>106</v>
      </c>
      <c r="D14" s="336" t="s">
        <v>482</v>
      </c>
      <c r="E14" s="337">
        <v>3242</v>
      </c>
      <c r="F14" s="338"/>
      <c r="G14" s="339">
        <f t="shared" si="1"/>
        <v>71852</v>
      </c>
    </row>
    <row r="15" spans="1:7" x14ac:dyDescent="0.2">
      <c r="A15" s="312">
        <f t="shared" si="0"/>
        <v>11</v>
      </c>
      <c r="B15" s="313">
        <v>42643</v>
      </c>
      <c r="C15" s="340" t="s">
        <v>410</v>
      </c>
      <c r="D15" s="315" t="s">
        <v>475</v>
      </c>
      <c r="E15" s="316">
        <v>1594</v>
      </c>
      <c r="F15" s="317"/>
      <c r="G15" s="318">
        <f t="shared" si="1"/>
        <v>73446</v>
      </c>
    </row>
    <row r="16" spans="1:7" x14ac:dyDescent="0.2">
      <c r="A16" s="319">
        <f t="shared" si="0"/>
        <v>12</v>
      </c>
      <c r="B16" s="320">
        <v>42676</v>
      </c>
      <c r="C16" s="321" t="s">
        <v>414</v>
      </c>
      <c r="D16" s="322" t="s">
        <v>476</v>
      </c>
      <c r="E16" s="323">
        <v>5035</v>
      </c>
      <c r="F16" s="324"/>
      <c r="G16" s="325">
        <f t="shared" si="1"/>
        <v>78481</v>
      </c>
    </row>
    <row r="17" spans="1:7" ht="13.5" thickBot="1" x14ac:dyDescent="0.25">
      <c r="A17" s="326">
        <f t="shared" si="0"/>
        <v>13</v>
      </c>
      <c r="B17" s="327">
        <v>42734</v>
      </c>
      <c r="C17" s="341" t="s">
        <v>411</v>
      </c>
      <c r="D17" s="329" t="s">
        <v>485</v>
      </c>
      <c r="E17" s="330">
        <v>3300</v>
      </c>
      <c r="F17" s="331"/>
      <c r="G17" s="332">
        <f t="shared" si="1"/>
        <v>81781</v>
      </c>
    </row>
    <row r="18" spans="1:7" x14ac:dyDescent="0.2">
      <c r="A18" s="333">
        <f t="shared" si="0"/>
        <v>14</v>
      </c>
      <c r="B18" s="334">
        <v>42852</v>
      </c>
      <c r="C18" s="335" t="s">
        <v>105</v>
      </c>
      <c r="D18" s="336" t="s">
        <v>477</v>
      </c>
      <c r="E18" s="337">
        <v>9321</v>
      </c>
      <c r="F18" s="338"/>
      <c r="G18" s="339">
        <f t="shared" si="1"/>
        <v>91102</v>
      </c>
    </row>
    <row r="19" spans="1:7" x14ac:dyDescent="0.2">
      <c r="A19" s="312">
        <f t="shared" si="0"/>
        <v>15</v>
      </c>
      <c r="B19" s="313">
        <v>43081</v>
      </c>
      <c r="C19" s="356" t="s">
        <v>1</v>
      </c>
      <c r="D19" s="315" t="s">
        <v>486</v>
      </c>
      <c r="E19" s="316"/>
      <c r="F19" s="317">
        <v>900</v>
      </c>
      <c r="G19" s="318">
        <f t="shared" si="1"/>
        <v>90202</v>
      </c>
    </row>
    <row r="20" spans="1:7" x14ac:dyDescent="0.2">
      <c r="A20" s="319">
        <f t="shared" si="0"/>
        <v>16</v>
      </c>
      <c r="B20" s="320">
        <v>43081</v>
      </c>
      <c r="C20" s="357" t="s">
        <v>1</v>
      </c>
      <c r="D20" s="322" t="s">
        <v>3438</v>
      </c>
      <c r="E20" s="323"/>
      <c r="F20" s="324">
        <v>800</v>
      </c>
      <c r="G20" s="325">
        <f t="shared" si="1"/>
        <v>89402</v>
      </c>
    </row>
    <row r="21" spans="1:7" ht="13.5" thickBot="1" x14ac:dyDescent="0.25">
      <c r="A21" s="326">
        <f t="shared" si="0"/>
        <v>17</v>
      </c>
      <c r="B21" s="327">
        <v>43083</v>
      </c>
      <c r="C21" s="341" t="s">
        <v>413</v>
      </c>
      <c r="D21" s="329" t="s">
        <v>478</v>
      </c>
      <c r="E21" s="330">
        <v>1254</v>
      </c>
      <c r="F21" s="331"/>
      <c r="G21" s="332">
        <f t="shared" si="1"/>
        <v>90656</v>
      </c>
    </row>
    <row r="22" spans="1:7" x14ac:dyDescent="0.2">
      <c r="A22" s="333">
        <f t="shared" si="0"/>
        <v>18</v>
      </c>
      <c r="B22" s="334"/>
      <c r="C22" s="335"/>
      <c r="D22" s="336"/>
      <c r="E22" s="337"/>
      <c r="F22" s="338"/>
      <c r="G22" s="339">
        <f t="shared" si="1"/>
        <v>90656</v>
      </c>
    </row>
    <row r="23" spans="1:7" x14ac:dyDescent="0.2">
      <c r="A23" s="312">
        <f t="shared" si="0"/>
        <v>19</v>
      </c>
      <c r="B23" s="313"/>
      <c r="C23" s="314"/>
      <c r="D23" s="315"/>
      <c r="E23" s="316"/>
      <c r="F23" s="317"/>
      <c r="G23" s="318">
        <f t="shared" si="1"/>
        <v>90656</v>
      </c>
    </row>
    <row r="24" spans="1:7" x14ac:dyDescent="0.2">
      <c r="A24" s="319">
        <f t="shared" si="0"/>
        <v>20</v>
      </c>
      <c r="B24" s="320"/>
      <c r="C24" s="342"/>
      <c r="D24" s="322"/>
      <c r="E24" s="323"/>
      <c r="F24" s="324"/>
      <c r="G24" s="325">
        <f t="shared" si="1"/>
        <v>90656</v>
      </c>
    </row>
    <row r="25" spans="1:7" x14ac:dyDescent="0.2">
      <c r="A25" s="312">
        <f t="shared" si="0"/>
        <v>21</v>
      </c>
      <c r="B25" s="313"/>
      <c r="C25" s="314"/>
      <c r="D25" s="315"/>
      <c r="E25" s="316"/>
      <c r="F25" s="317"/>
      <c r="G25" s="318">
        <f t="shared" si="1"/>
        <v>90656</v>
      </c>
    </row>
    <row r="26" spans="1:7" x14ac:dyDescent="0.2">
      <c r="A26" s="319">
        <f t="shared" si="0"/>
        <v>22</v>
      </c>
      <c r="B26" s="320"/>
      <c r="C26" s="342"/>
      <c r="D26" s="322"/>
      <c r="E26" s="323"/>
      <c r="F26" s="324"/>
      <c r="G26" s="325">
        <f t="shared" si="1"/>
        <v>90656</v>
      </c>
    </row>
    <row r="27" spans="1:7" x14ac:dyDescent="0.2">
      <c r="A27" s="312">
        <f t="shared" si="0"/>
        <v>23</v>
      </c>
      <c r="B27" s="313"/>
      <c r="C27" s="314"/>
      <c r="D27" s="315"/>
      <c r="E27" s="316"/>
      <c r="F27" s="317"/>
      <c r="G27" s="318">
        <f t="shared" si="1"/>
        <v>90656</v>
      </c>
    </row>
    <row r="28" spans="1:7" x14ac:dyDescent="0.2">
      <c r="A28" s="319">
        <f t="shared" si="0"/>
        <v>24</v>
      </c>
      <c r="B28" s="320"/>
      <c r="C28" s="342"/>
      <c r="D28" s="322"/>
      <c r="E28" s="323"/>
      <c r="F28" s="324"/>
      <c r="G28" s="325">
        <f t="shared" si="1"/>
        <v>90656</v>
      </c>
    </row>
    <row r="29" spans="1:7" x14ac:dyDescent="0.2">
      <c r="A29" s="312">
        <f t="shared" si="0"/>
        <v>25</v>
      </c>
      <c r="B29" s="313"/>
      <c r="C29" s="314"/>
      <c r="D29" s="315"/>
      <c r="E29" s="316"/>
      <c r="F29" s="317"/>
      <c r="G29" s="318">
        <f t="shared" si="1"/>
        <v>90656</v>
      </c>
    </row>
    <row r="30" spans="1:7" x14ac:dyDescent="0.2">
      <c r="A30" s="319">
        <f t="shared" si="0"/>
        <v>26</v>
      </c>
      <c r="B30" s="320"/>
      <c r="C30" s="342"/>
      <c r="D30" s="322"/>
      <c r="E30" s="323"/>
      <c r="F30" s="324"/>
      <c r="G30" s="325">
        <f t="shared" si="1"/>
        <v>90656</v>
      </c>
    </row>
    <row r="31" spans="1:7" x14ac:dyDescent="0.2">
      <c r="A31" s="312">
        <f t="shared" si="0"/>
        <v>27</v>
      </c>
      <c r="B31" s="313"/>
      <c r="C31" s="314"/>
      <c r="D31" s="315"/>
      <c r="E31" s="316"/>
      <c r="F31" s="317"/>
      <c r="G31" s="318">
        <f t="shared" si="1"/>
        <v>90656</v>
      </c>
    </row>
    <row r="32" spans="1:7" x14ac:dyDescent="0.2">
      <c r="A32" s="319">
        <f t="shared" si="0"/>
        <v>28</v>
      </c>
      <c r="B32" s="320"/>
      <c r="C32" s="342"/>
      <c r="D32" s="322"/>
      <c r="E32" s="323"/>
      <c r="F32" s="324"/>
      <c r="G32" s="325">
        <f t="shared" si="1"/>
        <v>90656</v>
      </c>
    </row>
    <row r="33" spans="1:7" x14ac:dyDescent="0.2">
      <c r="A33" s="312">
        <f t="shared" si="0"/>
        <v>29</v>
      </c>
      <c r="B33" s="313"/>
      <c r="C33" s="314"/>
      <c r="D33" s="315"/>
      <c r="E33" s="316"/>
      <c r="F33" s="317"/>
      <c r="G33" s="318">
        <f t="shared" si="1"/>
        <v>90656</v>
      </c>
    </row>
    <row r="34" spans="1:7" x14ac:dyDescent="0.2">
      <c r="A34" s="319">
        <f t="shared" si="0"/>
        <v>30</v>
      </c>
      <c r="B34" s="320"/>
      <c r="C34" s="342"/>
      <c r="D34" s="322"/>
      <c r="E34" s="323"/>
      <c r="F34" s="324"/>
      <c r="G34" s="325">
        <f t="shared" si="1"/>
        <v>90656</v>
      </c>
    </row>
    <row r="35" spans="1:7" x14ac:dyDescent="0.2">
      <c r="A35" s="312">
        <f t="shared" si="0"/>
        <v>31</v>
      </c>
      <c r="B35" s="313"/>
      <c r="C35" s="314"/>
      <c r="D35" s="315"/>
      <c r="E35" s="316"/>
      <c r="F35" s="317"/>
      <c r="G35" s="318">
        <f t="shared" si="1"/>
        <v>90656</v>
      </c>
    </row>
    <row r="36" spans="1:7" x14ac:dyDescent="0.2">
      <c r="A36" s="319">
        <f t="shared" si="0"/>
        <v>32</v>
      </c>
      <c r="B36" s="320"/>
      <c r="C36" s="342"/>
      <c r="D36" s="322"/>
      <c r="E36" s="323"/>
      <c r="F36" s="324"/>
      <c r="G36" s="325">
        <f t="shared" si="1"/>
        <v>90656</v>
      </c>
    </row>
    <row r="37" spans="1:7" x14ac:dyDescent="0.2">
      <c r="A37" s="312">
        <f t="shared" si="0"/>
        <v>33</v>
      </c>
      <c r="B37" s="313"/>
      <c r="C37" s="314"/>
      <c r="D37" s="315"/>
      <c r="E37" s="316"/>
      <c r="F37" s="317"/>
      <c r="G37" s="318">
        <f t="shared" si="1"/>
        <v>90656</v>
      </c>
    </row>
    <row r="38" spans="1:7" x14ac:dyDescent="0.2">
      <c r="A38" s="319">
        <f t="shared" si="0"/>
        <v>34</v>
      </c>
      <c r="B38" s="320"/>
      <c r="C38" s="342"/>
      <c r="D38" s="322"/>
      <c r="E38" s="323"/>
      <c r="F38" s="324"/>
      <c r="G38" s="325">
        <f t="shared" si="1"/>
        <v>90656</v>
      </c>
    </row>
    <row r="39" spans="1:7" x14ac:dyDescent="0.2">
      <c r="A39" s="312">
        <f t="shared" si="0"/>
        <v>35</v>
      </c>
      <c r="B39" s="313"/>
      <c r="C39" s="314"/>
      <c r="D39" s="315"/>
      <c r="E39" s="316"/>
      <c r="F39" s="317"/>
      <c r="G39" s="318">
        <f t="shared" si="1"/>
        <v>90656</v>
      </c>
    </row>
    <row r="40" spans="1:7" x14ac:dyDescent="0.2">
      <c r="A40" s="319">
        <f t="shared" si="0"/>
        <v>36</v>
      </c>
      <c r="B40" s="320"/>
      <c r="C40" s="342"/>
      <c r="D40" s="322"/>
      <c r="E40" s="323"/>
      <c r="F40" s="324"/>
      <c r="G40" s="325">
        <f t="shared" si="1"/>
        <v>90656</v>
      </c>
    </row>
    <row r="41" spans="1:7" x14ac:dyDescent="0.2">
      <c r="A41" s="312">
        <f t="shared" si="0"/>
        <v>37</v>
      </c>
      <c r="B41" s="313"/>
      <c r="C41" s="314"/>
      <c r="D41" s="315"/>
      <c r="E41" s="316"/>
      <c r="F41" s="317"/>
      <c r="G41" s="318">
        <f t="shared" si="1"/>
        <v>90656</v>
      </c>
    </row>
    <row r="42" spans="1:7" x14ac:dyDescent="0.2">
      <c r="A42" s="319">
        <f t="shared" si="0"/>
        <v>38</v>
      </c>
      <c r="B42" s="320"/>
      <c r="C42" s="342"/>
      <c r="D42" s="322"/>
      <c r="E42" s="323"/>
      <c r="F42" s="324"/>
      <c r="G42" s="325">
        <f t="shared" si="1"/>
        <v>90656</v>
      </c>
    </row>
    <row r="43" spans="1:7" x14ac:dyDescent="0.2">
      <c r="A43" s="312">
        <f t="shared" si="0"/>
        <v>39</v>
      </c>
      <c r="B43" s="313"/>
      <c r="C43" s="314"/>
      <c r="D43" s="315"/>
      <c r="E43" s="316"/>
      <c r="F43" s="317"/>
      <c r="G43" s="318">
        <f t="shared" si="1"/>
        <v>90656</v>
      </c>
    </row>
    <row r="44" spans="1:7" x14ac:dyDescent="0.2">
      <c r="A44" s="319">
        <f t="shared" si="0"/>
        <v>40</v>
      </c>
      <c r="B44" s="320"/>
      <c r="C44" s="342"/>
      <c r="D44" s="322"/>
      <c r="E44" s="323"/>
      <c r="F44" s="324"/>
      <c r="G44" s="325">
        <f t="shared" si="1"/>
        <v>90656</v>
      </c>
    </row>
    <row r="45" spans="1:7" x14ac:dyDescent="0.2">
      <c r="A45" s="312">
        <f t="shared" si="0"/>
        <v>41</v>
      </c>
      <c r="B45" s="313"/>
      <c r="C45" s="314"/>
      <c r="D45" s="315"/>
      <c r="E45" s="316"/>
      <c r="F45" s="317"/>
      <c r="G45" s="318">
        <f t="shared" si="1"/>
        <v>90656</v>
      </c>
    </row>
    <row r="46" spans="1:7" x14ac:dyDescent="0.2">
      <c r="A46" s="319">
        <f t="shared" si="0"/>
        <v>42</v>
      </c>
      <c r="B46" s="320"/>
      <c r="C46" s="342"/>
      <c r="D46" s="322"/>
      <c r="E46" s="323"/>
      <c r="F46" s="324"/>
      <c r="G46" s="325">
        <f t="shared" si="1"/>
        <v>90656</v>
      </c>
    </row>
    <row r="47" spans="1:7" x14ac:dyDescent="0.2">
      <c r="A47" s="312">
        <f t="shared" si="0"/>
        <v>43</v>
      </c>
      <c r="B47" s="313"/>
      <c r="C47" s="314"/>
      <c r="D47" s="315"/>
      <c r="E47" s="316"/>
      <c r="F47" s="317"/>
      <c r="G47" s="318">
        <f t="shared" si="1"/>
        <v>90656</v>
      </c>
    </row>
    <row r="48" spans="1:7" x14ac:dyDescent="0.2">
      <c r="A48" s="319">
        <f t="shared" si="0"/>
        <v>44</v>
      </c>
      <c r="B48" s="320"/>
      <c r="C48" s="342"/>
      <c r="D48" s="322"/>
      <c r="E48" s="323"/>
      <c r="F48" s="324"/>
      <c r="G48" s="325">
        <f t="shared" si="1"/>
        <v>90656</v>
      </c>
    </row>
    <row r="49" spans="1:7" x14ac:dyDescent="0.2">
      <c r="A49" s="312">
        <f t="shared" si="0"/>
        <v>45</v>
      </c>
      <c r="B49" s="313"/>
      <c r="C49" s="340"/>
      <c r="D49" s="315"/>
      <c r="E49" s="316"/>
      <c r="F49" s="317"/>
      <c r="G49" s="318">
        <f t="shared" si="1"/>
        <v>90656</v>
      </c>
    </row>
    <row r="50" spans="1:7" x14ac:dyDescent="0.2">
      <c r="A50" s="319">
        <f t="shared" si="0"/>
        <v>46</v>
      </c>
      <c r="B50" s="320"/>
      <c r="C50" s="342"/>
      <c r="D50" s="322"/>
      <c r="E50" s="323"/>
      <c r="F50" s="324"/>
      <c r="G50" s="325">
        <f t="shared" si="1"/>
        <v>90656</v>
      </c>
    </row>
    <row r="51" spans="1:7" x14ac:dyDescent="0.2">
      <c r="A51" s="312">
        <f t="shared" si="0"/>
        <v>47</v>
      </c>
      <c r="B51" s="313"/>
      <c r="C51" s="314"/>
      <c r="D51" s="315"/>
      <c r="E51" s="316"/>
      <c r="F51" s="317"/>
      <c r="G51" s="318">
        <f t="shared" si="1"/>
        <v>90656</v>
      </c>
    </row>
    <row r="52" spans="1:7" x14ac:dyDescent="0.2">
      <c r="A52" s="319">
        <f t="shared" si="0"/>
        <v>48</v>
      </c>
      <c r="B52" s="320"/>
      <c r="C52" s="342"/>
      <c r="D52" s="322"/>
      <c r="E52" s="323"/>
      <c r="F52" s="324"/>
      <c r="G52" s="325">
        <f t="shared" si="1"/>
        <v>90656</v>
      </c>
    </row>
    <row r="53" spans="1:7" x14ac:dyDescent="0.2">
      <c r="A53" s="312">
        <f t="shared" si="0"/>
        <v>49</v>
      </c>
      <c r="B53" s="313"/>
      <c r="C53" s="340"/>
      <c r="D53" s="315"/>
      <c r="E53" s="316"/>
      <c r="F53" s="317"/>
      <c r="G53" s="318">
        <f t="shared" si="1"/>
        <v>90656</v>
      </c>
    </row>
    <row r="54" spans="1:7" ht="13.5" thickBot="1" x14ac:dyDescent="0.25">
      <c r="A54" s="343">
        <f>A53+1</f>
        <v>50</v>
      </c>
      <c r="B54" s="344"/>
      <c r="C54" s="345"/>
      <c r="D54" s="346"/>
      <c r="E54" s="347"/>
      <c r="F54" s="348"/>
      <c r="G54" s="325">
        <f t="shared" si="1"/>
        <v>90656</v>
      </c>
    </row>
    <row r="55" spans="1:7" ht="13.5" thickBot="1" x14ac:dyDescent="0.25">
      <c r="A55" s="349" t="s">
        <v>1</v>
      </c>
      <c r="B55" s="616" t="str">
        <f>"Obrat od počátku evidence + Konečný stav k 31.12."&amp;YEAR(MAX(B5:B54))</f>
        <v>Obrat od počátku evidence + Konečný stav k 31.12.2017</v>
      </c>
      <c r="C55" s="616"/>
      <c r="D55" s="617"/>
      <c r="E55" s="350">
        <f>SUM(E5:E54)</f>
        <v>92356</v>
      </c>
      <c r="F55" s="351">
        <f>SUM(F5:F54)</f>
        <v>1700</v>
      </c>
      <c r="G55" s="359">
        <f>G4+E55-F55</f>
        <v>90656</v>
      </c>
    </row>
  </sheetData>
  <sheetProtection sheet="1" objects="1" scenarios="1"/>
  <mergeCells count="7">
    <mergeCell ref="B55:D55"/>
    <mergeCell ref="E2:G2"/>
    <mergeCell ref="A1:G1"/>
    <mergeCell ref="B2:B3"/>
    <mergeCell ref="A2:A3"/>
    <mergeCell ref="C2:C3"/>
    <mergeCell ref="D2:D3"/>
  </mergeCells>
  <conditionalFormatting sqref="G4:G55">
    <cfRule type="cellIs" dxfId="11" priority="3" stopIfTrue="1" operator="lessThan">
      <formula>0</formula>
    </cfRule>
  </conditionalFormatting>
  <dataValidations count="2">
    <dataValidation type="whole" operator="greaterThanOrEqual" allowBlank="1" showErrorMessage="1" errorTitle="Chybná hodnota" error="Je nutné zadat celé nezáporné číslo._x000a__x000a_Záporná čísla nebo čísla s desetinnou částí jsou nepřípustná._x000a_" sqref="G4" xr:uid="{00000000-0002-0000-0400-000000000000}">
      <formula1>0</formula1>
    </dataValidation>
    <dataValidation type="whole" operator="greaterThan" allowBlank="1" showErrorMessage="1" errorTitle="Chybná hodnota" error="Je nutné zadat celé kladné číslo._x000a__x000a_Záporná čísla, nula nebo čísla s desetinnou částí jsou nepřípustná._x000a_" sqref="E5:F54" xr:uid="{00000000-0002-0000-0400-000001000000}">
      <formula1>0</formula1>
    </dataValidation>
  </dataValidations>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4">
    <tabColor rgb="FFFF0000"/>
  </sheetPr>
  <dimension ref="A1:I48"/>
  <sheetViews>
    <sheetView workbookViewId="0">
      <selection activeCell="F33" sqref="F33:G33"/>
    </sheetView>
  </sheetViews>
  <sheetFormatPr defaultRowHeight="12.75" x14ac:dyDescent="0.2"/>
  <cols>
    <col min="1" max="1" width="2.85546875" style="43" customWidth="1"/>
    <col min="2" max="2" width="35.85546875" style="43" bestFit="1" customWidth="1"/>
    <col min="3" max="3" width="5.42578125" style="43" customWidth="1"/>
    <col min="4" max="4" width="7.5703125" style="43" bestFit="1" customWidth="1"/>
    <col min="5" max="5" width="8.85546875" style="43" customWidth="1"/>
    <col min="6" max="6" width="9.85546875" style="43" customWidth="1"/>
    <col min="7" max="7" width="4.42578125" style="43" customWidth="1"/>
    <col min="8" max="8" width="14.28515625" style="43" customWidth="1"/>
    <col min="9" max="9" width="2.85546875" style="43" customWidth="1"/>
    <col min="10" max="16384" width="9.140625" style="43"/>
  </cols>
  <sheetData>
    <row r="1" spans="1:9" x14ac:dyDescent="0.2">
      <c r="A1" s="361" t="b">
        <f>Deník!E607&lt;&gt;"Rozdíl příjmů a výdajů !!!"</f>
        <v>1</v>
      </c>
      <c r="B1" s="631" t="str">
        <f>IF(A1,"Rozdíl příjmů a výdajů souhlasí s Peněžním deníkem.","Nesouhlasí Rozdíl příjmů a výdajů, zkontrolujte správnost Klasifikací a Označení, příp. Průběžné položky.")</f>
        <v>Rozdíl příjmů a výdajů souhlasí s Peněžním deníkem.</v>
      </c>
      <c r="C1" s="631"/>
      <c r="D1" s="631"/>
      <c r="E1" s="631"/>
      <c r="F1" s="631"/>
      <c r="G1" s="631"/>
      <c r="H1" s="631"/>
      <c r="I1" s="125"/>
    </row>
    <row r="2" spans="1:9" ht="37.5" customHeight="1" x14ac:dyDescent="0.2">
      <c r="B2" s="632" t="s">
        <v>80</v>
      </c>
      <c r="C2" s="633"/>
      <c r="D2" s="633"/>
      <c r="E2" s="633"/>
      <c r="F2" s="633"/>
      <c r="G2" s="633"/>
      <c r="H2" s="634"/>
    </row>
    <row r="3" spans="1:9" ht="18" x14ac:dyDescent="0.25">
      <c r="B3" s="44"/>
      <c r="C3" s="45" t="s">
        <v>81</v>
      </c>
      <c r="D3" s="69">
        <f>YEAR(Deník!B6)</f>
        <v>2023</v>
      </c>
      <c r="E3" s="46"/>
      <c r="F3" s="46"/>
      <c r="G3" s="46"/>
      <c r="H3" s="47"/>
    </row>
    <row r="4" spans="1:9" ht="7.5" customHeight="1" x14ac:dyDescent="0.2"/>
    <row r="5" spans="1:9" x14ac:dyDescent="0.2">
      <c r="B5" s="43" t="s">
        <v>101</v>
      </c>
      <c r="G5" s="70" t="s">
        <v>102</v>
      </c>
    </row>
    <row r="6" spans="1:9" ht="15.75" x14ac:dyDescent="0.25">
      <c r="B6" s="676" t="str">
        <f>'Základní údaje'!B10</f>
        <v>SH ČMS - Sbor dobrovolných hasičů Osík</v>
      </c>
      <c r="C6" s="676"/>
      <c r="D6" s="676"/>
      <c r="E6" s="676"/>
      <c r="F6" s="676"/>
      <c r="G6" s="675" t="str">
        <f>"CZ"&amp;'Základní údaje'!B9</f>
        <v>CZ64211045</v>
      </c>
      <c r="H6" s="675"/>
    </row>
    <row r="7" spans="1:9" ht="15.75" x14ac:dyDescent="0.25">
      <c r="B7" s="293" t="str">
        <f>IF('Základní údaje'!B10="SH ČMS - Sbor dobrovolných hasičů",'Základní údaje'!B16,"")</f>
        <v/>
      </c>
    </row>
    <row r="8" spans="1:9" ht="7.5" customHeight="1" x14ac:dyDescent="0.2"/>
    <row r="9" spans="1:9" ht="21" thickBot="1" x14ac:dyDescent="0.35">
      <c r="B9" s="48" t="s">
        <v>100</v>
      </c>
      <c r="H9" s="43" t="s">
        <v>82</v>
      </c>
    </row>
    <row r="10" spans="1:9" ht="15" customHeight="1" x14ac:dyDescent="0.2">
      <c r="B10" s="641" t="s">
        <v>83</v>
      </c>
      <c r="C10" s="642"/>
      <c r="D10" s="262" t="s">
        <v>84</v>
      </c>
      <c r="E10" s="638" t="str">
        <f>"Stav k 1.1."&amp;YEAR(Deník!B6)</f>
        <v>Stav k 1.1.2023</v>
      </c>
      <c r="F10" s="639"/>
      <c r="G10" s="639" t="str">
        <f>"Stav k 31.12."&amp;YEAR(Deník!B6)</f>
        <v>Stav k 31.12.2023</v>
      </c>
      <c r="H10" s="640"/>
    </row>
    <row r="11" spans="1:9" ht="15" customHeight="1" x14ac:dyDescent="0.2">
      <c r="B11" s="689" t="s">
        <v>97</v>
      </c>
      <c r="C11" s="690"/>
      <c r="D11" s="693">
        <v>1</v>
      </c>
      <c r="E11" s="681">
        <f>SUM('Přehled o majetku a závazcích'!E11:G12)</f>
        <v>0</v>
      </c>
      <c r="F11" s="682"/>
      <c r="G11" s="685">
        <f>SUM('Přehled o majetku a závazcích'!H11:H12)</f>
        <v>0</v>
      </c>
      <c r="H11" s="695"/>
    </row>
    <row r="12" spans="1:9" ht="15" customHeight="1" x14ac:dyDescent="0.2">
      <c r="B12" s="691"/>
      <c r="C12" s="692"/>
      <c r="D12" s="694"/>
      <c r="E12" s="683"/>
      <c r="F12" s="684"/>
      <c r="G12" s="686"/>
      <c r="H12" s="696"/>
    </row>
    <row r="13" spans="1:9" ht="15" customHeight="1" x14ac:dyDescent="0.2">
      <c r="B13" s="649" t="s">
        <v>85</v>
      </c>
      <c r="C13" s="650"/>
      <c r="D13" s="50">
        <v>2</v>
      </c>
      <c r="E13" s="646">
        <f>Deník!K5</f>
        <v>2000</v>
      </c>
      <c r="F13" s="629"/>
      <c r="G13" s="628">
        <f>Deník!K607</f>
        <v>3625</v>
      </c>
      <c r="H13" s="672"/>
    </row>
    <row r="14" spans="1:9" ht="15" customHeight="1" x14ac:dyDescent="0.2">
      <c r="B14" s="649" t="s">
        <v>86</v>
      </c>
      <c r="C14" s="650"/>
      <c r="D14" s="50">
        <v>3</v>
      </c>
      <c r="E14" s="646">
        <f>ROUND(Deník!N5+Deník!Q5+Deník!T5,0)</f>
        <v>6000</v>
      </c>
      <c r="F14" s="629"/>
      <c r="G14" s="628">
        <f>ROUND(Deník!N607+Deník!Q607+Deník!T607,0)</f>
        <v>10583</v>
      </c>
      <c r="H14" s="672"/>
    </row>
    <row r="15" spans="1:9" ht="15" customHeight="1" x14ac:dyDescent="0.2">
      <c r="B15" s="649" t="s">
        <v>87</v>
      </c>
      <c r="C15" s="650"/>
      <c r="D15" s="50">
        <v>4</v>
      </c>
      <c r="E15" s="646">
        <f>'Přehled o majetku a závazcích'!E13</f>
        <v>0</v>
      </c>
      <c r="F15" s="629"/>
      <c r="G15" s="628">
        <f>'Přehled o majetku a závazcích'!H13</f>
        <v>0</v>
      </c>
      <c r="H15" s="672"/>
    </row>
    <row r="16" spans="1:9" ht="15" customHeight="1" x14ac:dyDescent="0.2">
      <c r="B16" s="649" t="s">
        <v>88</v>
      </c>
      <c r="C16" s="650"/>
      <c r="D16" s="50">
        <v>5</v>
      </c>
      <c r="E16" s="630">
        <f>'Přehled o majetku a závazcích'!E16</f>
        <v>0</v>
      </c>
      <c r="F16" s="629"/>
      <c r="G16" s="628">
        <f>'Přehled o majetku a závazcích'!H16</f>
        <v>0</v>
      </c>
      <c r="H16" s="672"/>
    </row>
    <row r="17" spans="2:8" ht="15" customHeight="1" x14ac:dyDescent="0.2">
      <c r="B17" s="649" t="s">
        <v>89</v>
      </c>
      <c r="C17" s="650"/>
      <c r="D17" s="50">
        <v>6</v>
      </c>
      <c r="E17" s="630">
        <f>'Přehled o majetku a závazcích'!E17</f>
        <v>0</v>
      </c>
      <c r="F17" s="629"/>
      <c r="G17" s="628">
        <f>'Přehled o majetku a závazcích'!H17</f>
        <v>0</v>
      </c>
      <c r="H17" s="672"/>
    </row>
    <row r="18" spans="2:8" ht="15" customHeight="1" x14ac:dyDescent="0.2">
      <c r="B18" s="656"/>
      <c r="C18" s="657"/>
      <c r="D18" s="51">
        <v>7</v>
      </c>
      <c r="E18" s="664"/>
      <c r="F18" s="652"/>
      <c r="G18" s="651"/>
      <c r="H18" s="661"/>
    </row>
    <row r="19" spans="2:8" ht="15" customHeight="1" x14ac:dyDescent="0.2">
      <c r="B19" s="665" t="s">
        <v>90</v>
      </c>
      <c r="C19" s="666"/>
      <c r="D19" s="52">
        <v>8</v>
      </c>
      <c r="E19" s="673">
        <f>SUM(E11:F18)</f>
        <v>8000</v>
      </c>
      <c r="F19" s="654"/>
      <c r="G19" s="655">
        <f>SUM(G11:H18)</f>
        <v>14208</v>
      </c>
      <c r="H19" s="660"/>
    </row>
    <row r="20" spans="2:8" ht="15" customHeight="1" x14ac:dyDescent="0.2">
      <c r="B20" s="647" t="s">
        <v>91</v>
      </c>
      <c r="C20" s="648"/>
      <c r="D20" s="49">
        <v>9</v>
      </c>
      <c r="E20" s="643">
        <f>'Přehled o majetku a závazcích'!E24</f>
        <v>0</v>
      </c>
      <c r="F20" s="644"/>
      <c r="G20" s="645">
        <f>'Přehled o majetku a závazcích'!H24</f>
        <v>0</v>
      </c>
      <c r="H20" s="674"/>
    </row>
    <row r="21" spans="2:8" ht="15" customHeight="1" x14ac:dyDescent="0.2">
      <c r="B21" s="649" t="s">
        <v>92</v>
      </c>
      <c r="C21" s="650"/>
      <c r="D21" s="50">
        <v>10</v>
      </c>
      <c r="E21" s="646"/>
      <c r="F21" s="629"/>
      <c r="G21" s="628"/>
      <c r="H21" s="672"/>
    </row>
    <row r="22" spans="2:8" ht="15" customHeight="1" x14ac:dyDescent="0.2">
      <c r="B22" s="649" t="s">
        <v>93</v>
      </c>
      <c r="C22" s="650"/>
      <c r="D22" s="50">
        <v>11</v>
      </c>
      <c r="E22" s="646"/>
      <c r="F22" s="629"/>
      <c r="G22" s="628"/>
      <c r="H22" s="672"/>
    </row>
    <row r="23" spans="2:8" ht="15" customHeight="1" x14ac:dyDescent="0.2">
      <c r="B23" s="656"/>
      <c r="C23" s="657"/>
      <c r="D23" s="51">
        <v>12</v>
      </c>
      <c r="E23" s="664"/>
      <c r="F23" s="652"/>
      <c r="G23" s="651"/>
      <c r="H23" s="661"/>
    </row>
    <row r="24" spans="2:8" ht="15" customHeight="1" x14ac:dyDescent="0.2">
      <c r="B24" s="665" t="s">
        <v>94</v>
      </c>
      <c r="C24" s="666"/>
      <c r="D24" s="52">
        <v>13</v>
      </c>
      <c r="E24" s="673">
        <f>SUM(E20:F23)</f>
        <v>0</v>
      </c>
      <c r="F24" s="654"/>
      <c r="G24" s="655">
        <f>SUM(G20:H23)</f>
        <v>0</v>
      </c>
      <c r="H24" s="660"/>
    </row>
    <row r="25" spans="2:8" ht="15" customHeight="1" thickBot="1" x14ac:dyDescent="0.25">
      <c r="B25" s="662" t="s">
        <v>95</v>
      </c>
      <c r="C25" s="663"/>
      <c r="D25" s="53">
        <v>14</v>
      </c>
      <c r="E25" s="670">
        <f>E19-E24</f>
        <v>8000</v>
      </c>
      <c r="F25" s="668"/>
      <c r="G25" s="669">
        <f>G19-G24</f>
        <v>14208</v>
      </c>
      <c r="H25" s="671"/>
    </row>
    <row r="26" spans="2:8" ht="7.5" customHeight="1" x14ac:dyDescent="0.2"/>
    <row r="27" spans="2:8" ht="21" thickBot="1" x14ac:dyDescent="0.35">
      <c r="B27" s="48" t="s">
        <v>99</v>
      </c>
      <c r="H27" s="43" t="s">
        <v>82</v>
      </c>
    </row>
    <row r="28" spans="2:8" ht="25.5" customHeight="1" x14ac:dyDescent="0.2">
      <c r="B28" s="261" t="s">
        <v>62</v>
      </c>
      <c r="C28" s="262" t="s">
        <v>84</v>
      </c>
      <c r="D28" s="635" t="s">
        <v>342</v>
      </c>
      <c r="E28" s="636"/>
      <c r="F28" s="637" t="s">
        <v>343</v>
      </c>
      <c r="G28" s="636"/>
      <c r="H28" s="260" t="s">
        <v>96</v>
      </c>
    </row>
    <row r="29" spans="2:8" ht="15" customHeight="1" x14ac:dyDescent="0.2">
      <c r="B29" s="54" t="s">
        <v>48</v>
      </c>
      <c r="C29" s="55">
        <v>1</v>
      </c>
      <c r="D29" s="643">
        <f>Deník!X606</f>
        <v>5735</v>
      </c>
      <c r="E29" s="644"/>
      <c r="F29" s="645" t="s">
        <v>3376</v>
      </c>
      <c r="G29" s="644"/>
      <c r="H29" s="56">
        <f>SUM(D29:G29)</f>
        <v>5735</v>
      </c>
    </row>
    <row r="30" spans="2:8" ht="15" customHeight="1" x14ac:dyDescent="0.2">
      <c r="B30" s="57" t="s">
        <v>49</v>
      </c>
      <c r="C30" s="58">
        <v>2</v>
      </c>
      <c r="D30" s="630">
        <f>Deník!W606</f>
        <v>23525</v>
      </c>
      <c r="E30" s="629"/>
      <c r="F30" s="628">
        <f>Deník!AA606</f>
        <v>500</v>
      </c>
      <c r="G30" s="629"/>
      <c r="H30" s="59">
        <f t="shared" ref="H30:H36" si="0">SUM(D30:G30)</f>
        <v>24025</v>
      </c>
    </row>
    <row r="31" spans="2:8" ht="15" customHeight="1" x14ac:dyDescent="0.2">
      <c r="B31" s="57" t="s">
        <v>40</v>
      </c>
      <c r="C31" s="58">
        <v>3</v>
      </c>
      <c r="D31" s="630" t="s">
        <v>3376</v>
      </c>
      <c r="E31" s="629"/>
      <c r="F31" s="628">
        <f>Deník!AB606</f>
        <v>2000</v>
      </c>
      <c r="G31" s="629"/>
      <c r="H31" s="59">
        <f t="shared" si="0"/>
        <v>2000</v>
      </c>
    </row>
    <row r="32" spans="2:8" ht="15" customHeight="1" x14ac:dyDescent="0.2">
      <c r="B32" s="57" t="s">
        <v>50</v>
      </c>
      <c r="C32" s="58">
        <v>4</v>
      </c>
      <c r="D32" s="630" t="s">
        <v>3376</v>
      </c>
      <c r="E32" s="629"/>
      <c r="F32" s="628">
        <f>Deník!AC606</f>
        <v>99</v>
      </c>
      <c r="G32" s="629"/>
      <c r="H32" s="59">
        <f t="shared" si="0"/>
        <v>99</v>
      </c>
    </row>
    <row r="33" spans="2:8" ht="15" customHeight="1" x14ac:dyDescent="0.2">
      <c r="B33" s="57" t="s">
        <v>51</v>
      </c>
      <c r="C33" s="58" t="s">
        <v>45</v>
      </c>
      <c r="D33" s="630" t="s">
        <v>3376</v>
      </c>
      <c r="E33" s="629"/>
      <c r="F33" s="628">
        <f>Deník!AD606</f>
        <v>1501</v>
      </c>
      <c r="G33" s="629"/>
      <c r="H33" s="59">
        <f t="shared" si="0"/>
        <v>1501</v>
      </c>
    </row>
    <row r="34" spans="2:8" ht="15" customHeight="1" x14ac:dyDescent="0.2">
      <c r="B34" s="57" t="s">
        <v>52</v>
      </c>
      <c r="C34" s="58" t="s">
        <v>46</v>
      </c>
      <c r="D34" s="630" t="s">
        <v>3376</v>
      </c>
      <c r="E34" s="629"/>
      <c r="F34" s="628">
        <f>Deník!AE606</f>
        <v>5001</v>
      </c>
      <c r="G34" s="629"/>
      <c r="H34" s="59">
        <f t="shared" si="0"/>
        <v>5001</v>
      </c>
    </row>
    <row r="35" spans="2:8" ht="15" customHeight="1" x14ac:dyDescent="0.2">
      <c r="B35" s="57" t="s">
        <v>53</v>
      </c>
      <c r="C35" s="58">
        <v>6</v>
      </c>
      <c r="D35" s="630" t="s">
        <v>3376</v>
      </c>
      <c r="E35" s="629"/>
      <c r="F35" s="628">
        <f>Deník!AF606</f>
        <v>3001</v>
      </c>
      <c r="G35" s="629"/>
      <c r="H35" s="59">
        <f t="shared" si="0"/>
        <v>3001</v>
      </c>
    </row>
    <row r="36" spans="2:8" ht="15" customHeight="1" x14ac:dyDescent="0.2">
      <c r="B36" s="60" t="s">
        <v>54</v>
      </c>
      <c r="C36" s="61">
        <v>7</v>
      </c>
      <c r="D36" s="658"/>
      <c r="E36" s="659"/>
      <c r="F36" s="651">
        <f>Deník!AG606</f>
        <v>5000</v>
      </c>
      <c r="G36" s="652"/>
      <c r="H36" s="62">
        <f t="shared" si="0"/>
        <v>5000</v>
      </c>
    </row>
    <row r="37" spans="2:8" ht="15" customHeight="1" x14ac:dyDescent="0.2">
      <c r="B37" s="63" t="s">
        <v>55</v>
      </c>
      <c r="C37" s="64">
        <v>8</v>
      </c>
      <c r="D37" s="653">
        <f>SUM(D29:E36)</f>
        <v>29260</v>
      </c>
      <c r="E37" s="654"/>
      <c r="F37" s="655">
        <f>SUM(F29:G36)</f>
        <v>17102</v>
      </c>
      <c r="G37" s="654"/>
      <c r="H37" s="65">
        <f>SUM(H29:H36)</f>
        <v>46362</v>
      </c>
    </row>
    <row r="38" spans="2:8" ht="15" customHeight="1" x14ac:dyDescent="0.2">
      <c r="B38" s="677" t="s">
        <v>56</v>
      </c>
      <c r="C38" s="679">
        <v>9</v>
      </c>
      <c r="D38" s="681">
        <f>Deník!Z606</f>
        <v>100</v>
      </c>
      <c r="E38" s="682"/>
      <c r="F38" s="685" t="s">
        <v>3376</v>
      </c>
      <c r="G38" s="682"/>
      <c r="H38" s="687">
        <f t="shared" ref="H38:H43" si="1">SUM(D38:G38)</f>
        <v>100</v>
      </c>
    </row>
    <row r="39" spans="2:8" ht="15" customHeight="1" x14ac:dyDescent="0.2">
      <c r="B39" s="678"/>
      <c r="C39" s="680"/>
      <c r="D39" s="683"/>
      <c r="E39" s="684"/>
      <c r="F39" s="686"/>
      <c r="G39" s="684"/>
      <c r="H39" s="688"/>
    </row>
    <row r="40" spans="2:8" ht="15" customHeight="1" x14ac:dyDescent="0.2">
      <c r="B40" s="57" t="s">
        <v>57</v>
      </c>
      <c r="C40" s="58">
        <v>10</v>
      </c>
      <c r="D40" s="630">
        <f>Deník!Y606</f>
        <v>6301</v>
      </c>
      <c r="E40" s="629"/>
      <c r="F40" s="628">
        <f>Deník!AH606</f>
        <v>28172</v>
      </c>
      <c r="G40" s="629"/>
      <c r="H40" s="59">
        <f t="shared" si="1"/>
        <v>34473</v>
      </c>
    </row>
    <row r="41" spans="2:8" ht="15" customHeight="1" x14ac:dyDescent="0.2">
      <c r="B41" s="57" t="s">
        <v>58</v>
      </c>
      <c r="C41" s="58">
        <v>11</v>
      </c>
      <c r="D41" s="630" t="s">
        <v>3376</v>
      </c>
      <c r="E41" s="629"/>
      <c r="F41" s="628">
        <f>Deník!AI606</f>
        <v>457</v>
      </c>
      <c r="G41" s="629"/>
      <c r="H41" s="59">
        <f t="shared" si="1"/>
        <v>457</v>
      </c>
    </row>
    <row r="42" spans="2:8" ht="15" customHeight="1" x14ac:dyDescent="0.2">
      <c r="B42" s="57" t="s">
        <v>59</v>
      </c>
      <c r="C42" s="58">
        <v>12</v>
      </c>
      <c r="D42" s="630" t="s">
        <v>3376</v>
      </c>
      <c r="E42" s="629"/>
      <c r="F42" s="628">
        <f>Deník!AJ606</f>
        <v>5000</v>
      </c>
      <c r="G42" s="629"/>
      <c r="H42" s="59">
        <f t="shared" si="1"/>
        <v>5000</v>
      </c>
    </row>
    <row r="43" spans="2:8" ht="15" customHeight="1" x14ac:dyDescent="0.2">
      <c r="B43" s="60" t="s">
        <v>60</v>
      </c>
      <c r="C43" s="61">
        <v>13</v>
      </c>
      <c r="D43" s="658"/>
      <c r="E43" s="659"/>
      <c r="F43" s="651">
        <f>Deník!AK606</f>
        <v>124</v>
      </c>
      <c r="G43" s="652"/>
      <c r="H43" s="62">
        <f t="shared" si="1"/>
        <v>124</v>
      </c>
    </row>
    <row r="44" spans="2:8" ht="15" customHeight="1" x14ac:dyDescent="0.2">
      <c r="B44" s="63" t="s">
        <v>61</v>
      </c>
      <c r="C44" s="64">
        <v>14</v>
      </c>
      <c r="D44" s="653">
        <f>SUM(D38:E43)</f>
        <v>6401</v>
      </c>
      <c r="E44" s="654"/>
      <c r="F44" s="655">
        <f>SUM(F38:G43)</f>
        <v>33753</v>
      </c>
      <c r="G44" s="654"/>
      <c r="H44" s="65">
        <f>SUM(H38:H43)</f>
        <v>40154</v>
      </c>
    </row>
    <row r="45" spans="2:8" ht="15" customHeight="1" thickBot="1" x14ac:dyDescent="0.25">
      <c r="B45" s="66" t="s">
        <v>651</v>
      </c>
      <c r="C45" s="67">
        <v>15</v>
      </c>
      <c r="D45" s="667">
        <f>D37-D44</f>
        <v>22859</v>
      </c>
      <c r="E45" s="668"/>
      <c r="F45" s="669">
        <f>F37-F44</f>
        <v>-16651</v>
      </c>
      <c r="G45" s="668"/>
      <c r="H45" s="68">
        <f>H37-H44</f>
        <v>6208</v>
      </c>
    </row>
    <row r="46" spans="2:8" x14ac:dyDescent="0.2">
      <c r="B46" s="43" t="s">
        <v>3377</v>
      </c>
    </row>
    <row r="47" spans="2:8" ht="7.5" customHeight="1" x14ac:dyDescent="0.2"/>
    <row r="48" spans="2:8" x14ac:dyDescent="0.2">
      <c r="B48" s="43" t="str">
        <f>"Datum: "&amp;'Základní údaje'!B24</f>
        <v>Datum: d.m.rok</v>
      </c>
      <c r="D48" s="43" t="s">
        <v>98</v>
      </c>
    </row>
  </sheetData>
  <sheetProtection sheet="1" objects="1" scenarios="1"/>
  <mergeCells count="87">
    <mergeCell ref="G6:H6"/>
    <mergeCell ref="B6:F6"/>
    <mergeCell ref="B38:B39"/>
    <mergeCell ref="C38:C39"/>
    <mergeCell ref="D38:E39"/>
    <mergeCell ref="F38:G39"/>
    <mergeCell ref="H38:H39"/>
    <mergeCell ref="G17:H17"/>
    <mergeCell ref="G16:H16"/>
    <mergeCell ref="G14:H14"/>
    <mergeCell ref="G13:H13"/>
    <mergeCell ref="B11:C12"/>
    <mergeCell ref="D11:D12"/>
    <mergeCell ref="E11:F12"/>
    <mergeCell ref="G11:H12"/>
    <mergeCell ref="G15:H15"/>
    <mergeCell ref="G21:H21"/>
    <mergeCell ref="E19:F19"/>
    <mergeCell ref="E20:F20"/>
    <mergeCell ref="E21:F21"/>
    <mergeCell ref="E22:F22"/>
    <mergeCell ref="G20:H20"/>
    <mergeCell ref="E25:F25"/>
    <mergeCell ref="G25:H25"/>
    <mergeCell ref="G24:H24"/>
    <mergeCell ref="G23:H23"/>
    <mergeCell ref="G22:H22"/>
    <mergeCell ref="E23:F23"/>
    <mergeCell ref="E24:F24"/>
    <mergeCell ref="B22:C22"/>
    <mergeCell ref="B23:C23"/>
    <mergeCell ref="B24:C24"/>
    <mergeCell ref="B13:C13"/>
    <mergeCell ref="B15:C15"/>
    <mergeCell ref="B16:C16"/>
    <mergeCell ref="B17:C17"/>
    <mergeCell ref="F41:G41"/>
    <mergeCell ref="F40:G40"/>
    <mergeCell ref="D40:E40"/>
    <mergeCell ref="D41:E41"/>
    <mergeCell ref="D42:E42"/>
    <mergeCell ref="D45:E45"/>
    <mergeCell ref="F45:G45"/>
    <mergeCell ref="F44:G44"/>
    <mergeCell ref="F43:G43"/>
    <mergeCell ref="F42:G42"/>
    <mergeCell ref="D43:E43"/>
    <mergeCell ref="D44:E44"/>
    <mergeCell ref="F36:G36"/>
    <mergeCell ref="D37:E37"/>
    <mergeCell ref="F37:G37"/>
    <mergeCell ref="B14:C14"/>
    <mergeCell ref="B18:C18"/>
    <mergeCell ref="D36:E36"/>
    <mergeCell ref="F33:G33"/>
    <mergeCell ref="G19:H19"/>
    <mergeCell ref="G18:H18"/>
    <mergeCell ref="B25:C25"/>
    <mergeCell ref="E14:F14"/>
    <mergeCell ref="E15:F15"/>
    <mergeCell ref="E16:F16"/>
    <mergeCell ref="E17:F17"/>
    <mergeCell ref="E18:F18"/>
    <mergeCell ref="B19:C19"/>
    <mergeCell ref="B1:H1"/>
    <mergeCell ref="D32:E32"/>
    <mergeCell ref="B2:H2"/>
    <mergeCell ref="D28:E28"/>
    <mergeCell ref="F28:G28"/>
    <mergeCell ref="E10:F10"/>
    <mergeCell ref="G10:H10"/>
    <mergeCell ref="B10:C10"/>
    <mergeCell ref="D29:E29"/>
    <mergeCell ref="F29:G29"/>
    <mergeCell ref="D30:E30"/>
    <mergeCell ref="F30:G30"/>
    <mergeCell ref="D31:E31"/>
    <mergeCell ref="E13:F13"/>
    <mergeCell ref="B20:C20"/>
    <mergeCell ref="B21:C21"/>
    <mergeCell ref="F31:G31"/>
    <mergeCell ref="F32:G32"/>
    <mergeCell ref="D33:E33"/>
    <mergeCell ref="D34:E34"/>
    <mergeCell ref="D35:E35"/>
    <mergeCell ref="F34:G34"/>
    <mergeCell ref="F35:G35"/>
  </mergeCells>
  <conditionalFormatting sqref="B1 A1:A52 I1:I52 B52:H52">
    <cfRule type="expression" dxfId="10" priority="7" stopIfTrue="1">
      <formula>$A$1=TRUE</formula>
    </cfRule>
    <cfRule type="expression" dxfId="9" priority="8" stopIfTrue="1">
      <formula>$A$1&lt;&gt;TRUE</formula>
    </cfRule>
  </conditionalFormatting>
  <conditionalFormatting sqref="E11:H12 E15:H17 E20:H23 D29:H36 D38:H43">
    <cfRule type="cellIs" dxfId="8"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r:id="rId1"/>
  <ignoredErrors>
    <ignoredError sqref="H30 H36 H40 H43" formulaRange="1"/>
    <ignoredError sqref="H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33</vt:i4>
      </vt:variant>
    </vt:vector>
  </HeadingPairs>
  <TitlesOfParts>
    <vt:vector size="56" baseType="lpstr">
      <vt:lpstr>Instrukce</vt:lpstr>
      <vt:lpstr>Historie verzí</vt:lpstr>
      <vt:lpstr>Základní údaje</vt:lpstr>
      <vt:lpstr>Kontroly</vt:lpstr>
      <vt:lpstr>Deník</vt:lpstr>
      <vt:lpstr>Pokladní doklad</vt:lpstr>
      <vt:lpstr>Výčetka</vt:lpstr>
      <vt:lpstr>Evidence DKP</vt:lpstr>
      <vt:lpstr>Přehled údajů k přiznání</vt:lpstr>
      <vt:lpstr>Přehled o příjmech a výdajích</vt:lpstr>
      <vt:lpstr>Přehled o majetku a závazcích</vt:lpstr>
      <vt:lpstr>Tisk deníku</vt:lpstr>
      <vt:lpstr>str 1</vt:lpstr>
      <vt:lpstr>str 2</vt:lpstr>
      <vt:lpstr>str 3</vt:lpstr>
      <vt:lpstr>str 4</vt:lpstr>
      <vt:lpstr>str 5</vt:lpstr>
      <vt:lpstr>str 6</vt:lpstr>
      <vt:lpstr>str 7</vt:lpstr>
      <vt:lpstr>str 8</vt:lpstr>
      <vt:lpstr>helper</vt:lpstr>
      <vt:lpstr>xml_export</vt:lpstr>
      <vt:lpstr>Povolené hodnoty</vt:lpstr>
      <vt:lpstr>helper!datumovka</vt:lpstr>
      <vt:lpstr>datumovka</vt:lpstr>
      <vt:lpstr>financi_urad</vt:lpstr>
      <vt:lpstr>helper!Klasifikace</vt:lpstr>
      <vt:lpstr>Klasifikace</vt:lpstr>
      <vt:lpstr>nazev_okec</vt:lpstr>
      <vt:lpstr>nazev_pracoviste</vt:lpstr>
      <vt:lpstr>'Historie verzí'!Oblast_tisku</vt:lpstr>
      <vt:lpstr>Instrukce!Oblast_tisku</vt:lpstr>
      <vt:lpstr>'Pokladní doklad'!Oblast_tisku</vt:lpstr>
      <vt:lpstr>'Přehled o majetku a závazcích'!Oblast_tisku</vt:lpstr>
      <vt:lpstr>'Přehled o příjmech a výdajích'!Oblast_tisku</vt:lpstr>
      <vt:lpstr>'Přehled údajů k přiznání'!Oblast_tisku</vt:lpstr>
      <vt:lpstr>'str 1'!Oblast_tisku</vt:lpstr>
      <vt:lpstr>'str 2'!Oblast_tisku</vt:lpstr>
      <vt:lpstr>'str 3'!Oblast_tisku</vt:lpstr>
      <vt:lpstr>'str 4'!Oblast_tisku</vt:lpstr>
      <vt:lpstr>'str 5'!Oblast_tisku</vt:lpstr>
      <vt:lpstr>'str 6'!Oblast_tisku</vt:lpstr>
      <vt:lpstr>'str 7'!Oblast_tisku</vt:lpstr>
      <vt:lpstr>'str 8'!Oblast_tisku</vt:lpstr>
      <vt:lpstr>'Tisk deníku'!Oblast_tisku</vt:lpstr>
      <vt:lpstr>okec</vt:lpstr>
      <vt:lpstr>helper!Označení</vt:lpstr>
      <vt:lpstr>Označení</vt:lpstr>
      <vt:lpstr>helper!pokladna</vt:lpstr>
      <vt:lpstr>pokladna</vt:lpstr>
      <vt:lpstr>tab_FinUrad</vt:lpstr>
      <vt:lpstr>tab_Pracoviste</vt:lpstr>
      <vt:lpstr>'Přehled o příjmech a výdajích'!Typ_cinnosti</vt:lpstr>
      <vt:lpstr>Typ_cinnosti</vt:lpstr>
      <vt:lpstr>'Přehled o příjmech a výdajích'!Typ_pohybu</vt:lpstr>
      <vt:lpstr>Typ_pohybu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Peněžní deník SDH</dc:title>
  <dc:creator>Zölfl Michal</dc:creator>
  <cp:lastModifiedBy>Michal Zölfl</cp:lastModifiedBy>
  <cp:lastPrinted>2024-03-14T09:44:57Z</cp:lastPrinted>
  <dcterms:created xsi:type="dcterms:W3CDTF">1997-10-07T09:15:48Z</dcterms:created>
  <dcterms:modified xsi:type="dcterms:W3CDTF">2024-03-18T20:08:23Z</dcterms:modified>
</cp:coreProperties>
</file>